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Tour de France\56 - Pluneret\"/>
    </mc:Choice>
  </mc:AlternateContent>
  <bookViews>
    <workbookView xWindow="0" yWindow="0" windowWidth="20490" windowHeight="71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0" i="1"/>
  <c r="B50" i="1"/>
  <c r="D55" i="1"/>
  <c r="B55" i="1"/>
  <c r="B54" i="1"/>
  <c r="D53" i="1"/>
  <c r="B53" i="1"/>
  <c r="D52" i="1"/>
  <c r="B52" i="1"/>
  <c r="B51" i="1"/>
  <c r="D49" i="1"/>
  <c r="B49" i="1"/>
  <c r="D48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B37" i="1"/>
  <c r="S28" i="6" l="1"/>
  <c r="B247" i="6" l="1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4" i="1" a="1"/>
  <c r="F14" i="1" s="1"/>
  <c r="F13" i="1" a="1"/>
  <c r="F13" i="1" s="1"/>
  <c r="S57" i="6" l="1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D15" i="4"/>
  <c r="D14" i="4"/>
  <c r="D13" i="4"/>
  <c r="D12" i="4"/>
  <c r="D11" i="4"/>
  <c r="D10" i="4"/>
  <c r="D9" i="4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44" i="1"/>
  <c r="I218" i="1"/>
  <c r="I192" i="1"/>
  <c r="I166" i="1"/>
  <c r="I140" i="1"/>
  <c r="I114" i="1"/>
  <c r="I88" i="1"/>
  <c r="I62" i="1"/>
  <c r="F9" i="1" l="1" a="1"/>
  <c r="F9" i="1" s="1"/>
  <c r="F10" i="1" a="1"/>
  <c r="F10" i="1" s="1"/>
  <c r="F11" i="1" a="1"/>
  <c r="F11" i="1" s="1"/>
  <c r="F18" i="1" a="1"/>
  <c r="F18" i="1" s="1"/>
  <c r="F17" i="1" a="1"/>
  <c r="F17" i="1" s="1"/>
  <c r="F16" i="1" a="1"/>
  <c r="F16" i="1" s="1"/>
  <c r="F15" i="1" a="1"/>
  <c r="F15" i="1" s="1"/>
  <c r="F12" i="1" a="1"/>
  <c r="F12" i="1" s="1"/>
  <c r="D9" i="1" l="1"/>
  <c r="D10" i="1"/>
  <c r="D11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D153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I37" i="1"/>
  <c r="I36" i="1"/>
  <c r="D4" i="2" l="1"/>
  <c r="D5" i="2"/>
  <c r="D147" i="2"/>
  <c r="D139" i="2"/>
  <c r="D131" i="2"/>
  <c r="D123" i="2"/>
  <c r="D115" i="2"/>
  <c r="D107" i="2"/>
  <c r="D99" i="2"/>
  <c r="D91" i="2"/>
  <c r="D83" i="2"/>
  <c r="D75" i="2"/>
  <c r="D67" i="2"/>
  <c r="D59" i="2"/>
  <c r="D51" i="2"/>
  <c r="D43" i="2"/>
  <c r="D35" i="2"/>
  <c r="D27" i="2"/>
  <c r="D19" i="2"/>
  <c r="D11" i="2"/>
  <c r="D138" i="2"/>
  <c r="D114" i="2"/>
  <c r="D26" i="2"/>
  <c r="D121" i="2"/>
  <c r="D146" i="2"/>
  <c r="D130" i="2"/>
  <c r="D122" i="2"/>
  <c r="D106" i="2"/>
  <c r="D90" i="2"/>
  <c r="D82" i="2"/>
  <c r="D74" i="2"/>
  <c r="D66" i="2"/>
  <c r="D58" i="2"/>
  <c r="D50" i="2"/>
  <c r="D42" i="2"/>
  <c r="D34" i="2"/>
  <c r="D18" i="2"/>
  <c r="D10" i="2"/>
  <c r="D145" i="2"/>
  <c r="D137" i="2"/>
  <c r="D129" i="2"/>
  <c r="D113" i="2"/>
  <c r="D105" i="2"/>
  <c r="D97" i="2"/>
  <c r="D89" i="2"/>
  <c r="D81" i="2"/>
  <c r="D73" i="2"/>
  <c r="D65" i="2"/>
  <c r="D57" i="2"/>
  <c r="D49" i="2"/>
  <c r="D41" i="2"/>
  <c r="D33" i="2"/>
  <c r="D25" i="2"/>
  <c r="D17" i="2"/>
  <c r="D9" i="2"/>
  <c r="D152" i="2"/>
  <c r="D144" i="2"/>
  <c r="D136" i="2"/>
  <c r="D128" i="2"/>
  <c r="D120" i="2"/>
  <c r="D112" i="2"/>
  <c r="D104" i="2"/>
  <c r="D96" i="2"/>
  <c r="D88" i="2"/>
  <c r="D80" i="2"/>
  <c r="D72" i="2"/>
  <c r="D64" i="2"/>
  <c r="D56" i="2"/>
  <c r="D48" i="2"/>
  <c r="D40" i="2"/>
  <c r="D32" i="2"/>
  <c r="D24" i="2"/>
  <c r="D16" i="2"/>
  <c r="D8" i="2"/>
  <c r="D98" i="2"/>
  <c r="D151" i="2"/>
  <c r="D143" i="2"/>
  <c r="D135" i="2"/>
  <c r="D127" i="2"/>
  <c r="D119" i="2"/>
  <c r="D111" i="2"/>
  <c r="D103" i="2"/>
  <c r="D95" i="2"/>
  <c r="D87" i="2"/>
  <c r="D79" i="2"/>
  <c r="D71" i="2"/>
  <c r="D63" i="2"/>
  <c r="D55" i="2"/>
  <c r="D47" i="2"/>
  <c r="D39" i="2"/>
  <c r="D31" i="2"/>
  <c r="D23" i="2"/>
  <c r="D15" i="2"/>
  <c r="D7" i="2"/>
  <c r="D150" i="2"/>
  <c r="D142" i="2"/>
  <c r="D134" i="2"/>
  <c r="D126" i="2"/>
  <c r="D118" i="2"/>
  <c r="D110" i="2"/>
  <c r="D102" i="2"/>
  <c r="D94" i="2"/>
  <c r="D86" i="2"/>
  <c r="D78" i="2"/>
  <c r="D70" i="2"/>
  <c r="D62" i="2"/>
  <c r="D54" i="2"/>
  <c r="D46" i="2"/>
  <c r="D38" i="2"/>
  <c r="D30" i="2"/>
  <c r="D22" i="2"/>
  <c r="D14" i="2"/>
  <c r="D6" i="2"/>
  <c r="D149" i="2"/>
  <c r="D141" i="2"/>
  <c r="D133" i="2"/>
  <c r="D125" i="2"/>
  <c r="D117" i="2"/>
  <c r="D109" i="2"/>
  <c r="D101" i="2"/>
  <c r="D93" i="2"/>
  <c r="D85" i="2"/>
  <c r="D77" i="2"/>
  <c r="D69" i="2"/>
  <c r="D61" i="2"/>
  <c r="D53" i="2"/>
  <c r="D45" i="2"/>
  <c r="D37" i="2"/>
  <c r="D29" i="2"/>
  <c r="D21" i="2"/>
  <c r="D13" i="2"/>
  <c r="D148" i="2"/>
  <c r="D140" i="2"/>
  <c r="D132" i="2"/>
  <c r="D124" i="2"/>
  <c r="D116" i="2"/>
  <c r="D108" i="2"/>
  <c r="D100" i="2"/>
  <c r="D92" i="2"/>
  <c r="D84" i="2"/>
  <c r="D76" i="2"/>
  <c r="D68" i="2"/>
  <c r="D60" i="2"/>
  <c r="D52" i="2"/>
  <c r="D44" i="2"/>
  <c r="D36" i="2"/>
  <c r="D28" i="2"/>
  <c r="D20" i="2"/>
  <c r="D12" i="2"/>
  <c r="D3" i="2"/>
  <c r="E3" i="2" s="1"/>
  <c r="R29" i="6"/>
  <c r="S29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K9" i="4"/>
  <c r="M9" i="4"/>
  <c r="C9" i="4"/>
  <c r="A6" i="4"/>
  <c r="B43" i="6"/>
  <c r="B18" i="6"/>
  <c r="A7" i="4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D98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I245" i="1"/>
  <c r="I25" i="6" l="1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H14" i="4"/>
  <c r="G14" i="4"/>
  <c r="H12" i="4"/>
  <c r="G12" i="4"/>
  <c r="H8" i="4"/>
  <c r="G8" i="4"/>
  <c r="G9" i="4"/>
  <c r="H9" i="4"/>
  <c r="G15" i="4"/>
  <c r="H15" i="4"/>
  <c r="G11" i="4"/>
  <c r="H11" i="4"/>
  <c r="G7" i="4"/>
  <c r="H7" i="4"/>
  <c r="G13" i="4"/>
  <c r="H13" i="4"/>
  <c r="H10" i="4"/>
  <c r="G10" i="4"/>
  <c r="R30" i="6"/>
  <c r="G6" i="4"/>
  <c r="H6" i="4"/>
  <c r="R31" i="6" l="1"/>
  <c r="S30" i="6"/>
  <c r="I141" i="1"/>
  <c r="I167" i="1"/>
  <c r="R32" i="6" l="1"/>
  <c r="S31" i="6"/>
  <c r="FD3" i="2"/>
  <c r="FC3" i="2"/>
  <c r="EN3" i="2"/>
  <c r="EM3" i="2"/>
  <c r="DX3" i="2"/>
  <c r="DW3" i="2"/>
  <c r="DH3" i="2"/>
  <c r="DG3" i="2"/>
  <c r="CR3" i="2"/>
  <c r="CQ3" i="2"/>
  <c r="CB3" i="2"/>
  <c r="CA3" i="2"/>
  <c r="BL3" i="2"/>
  <c r="BK3" i="2"/>
  <c r="AV3" i="2"/>
  <c r="AU3" i="2"/>
  <c r="AF3" i="2"/>
  <c r="AE3" i="2"/>
  <c r="P3" i="2"/>
  <c r="O3" i="2"/>
  <c r="R33" i="6" l="1"/>
  <c r="S32" i="6"/>
  <c r="ET1" i="2"/>
  <c r="FE3" i="2"/>
  <c r="FB3" i="2"/>
  <c r="FA3" i="2"/>
  <c r="EX3" i="2"/>
  <c r="EZ3" i="2" s="1"/>
  <c r="EU3" i="2"/>
  <c r="FI3" i="2"/>
  <c r="EO3" i="2"/>
  <c r="EL3" i="2"/>
  <c r="EK3" i="2"/>
  <c r="EH3" i="2"/>
  <c r="EJ3" i="2" s="1"/>
  <c r="EE3" i="2"/>
  <c r="ED1" i="2"/>
  <c r="ES3" i="2"/>
  <c r="DY3" i="2"/>
  <c r="DV3" i="2"/>
  <c r="DU3" i="2"/>
  <c r="DR3" i="2"/>
  <c r="DT3" i="2" s="1"/>
  <c r="DO3" i="2"/>
  <c r="DN1" i="2"/>
  <c r="EC3" i="2"/>
  <c r="DI3" i="2"/>
  <c r="DF3" i="2"/>
  <c r="DE3" i="2"/>
  <c r="DB3" i="2"/>
  <c r="DD3" i="2" s="1"/>
  <c r="CY3" i="2"/>
  <c r="CX1" i="2"/>
  <c r="DM3" i="2"/>
  <c r="CS3" i="2"/>
  <c r="CP3" i="2"/>
  <c r="CO3" i="2"/>
  <c r="CL3" i="2"/>
  <c r="CN3" i="2" s="1"/>
  <c r="CI3" i="2"/>
  <c r="CH1" i="2"/>
  <c r="CW3" i="2"/>
  <c r="BM3" i="2"/>
  <c r="CC3" i="2"/>
  <c r="BZ3" i="2"/>
  <c r="BY3" i="2"/>
  <c r="BV3" i="2"/>
  <c r="BX3" i="2" s="1"/>
  <c r="BR1" i="2"/>
  <c r="CG3" i="2"/>
  <c r="BJ3" i="2"/>
  <c r="BI3" i="2"/>
  <c r="BF3" i="2"/>
  <c r="BH3" i="2" s="1"/>
  <c r="AP3" i="2"/>
  <c r="AR3" i="2" s="1"/>
  <c r="J3" i="2"/>
  <c r="Z3" i="2"/>
  <c r="AB3" i="2" s="1"/>
  <c r="BC3" i="2"/>
  <c r="BB1" i="2"/>
  <c r="AL1" i="2"/>
  <c r="V1" i="2"/>
  <c r="F1" i="2"/>
  <c r="BQ3" i="2"/>
  <c r="AW3" i="2"/>
  <c r="AT3" i="2"/>
  <c r="AS3" i="2"/>
  <c r="BA3" i="2"/>
  <c r="AG3" i="2"/>
  <c r="AD3" i="2"/>
  <c r="AC3" i="2"/>
  <c r="W3" i="2"/>
  <c r="I219" i="1"/>
  <c r="I193" i="1"/>
  <c r="BS3" i="2"/>
  <c r="I115" i="1"/>
  <c r="I89" i="1"/>
  <c r="AM3" i="2"/>
  <c r="AK3" i="2"/>
  <c r="I63" i="1"/>
  <c r="R34" i="6" l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35" i="6" l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N9" i="4" s="1"/>
  <c r="K23" i="6"/>
  <c r="L23" i="6" s="1"/>
  <c r="M12" i="4"/>
  <c r="N12" i="4" s="1"/>
  <c r="M11" i="4"/>
  <c r="N11" i="4" s="1"/>
  <c r="M10" i="4"/>
  <c r="N10" i="4" s="1"/>
  <c r="M13" i="4"/>
  <c r="N13" i="4" s="1"/>
  <c r="M15" i="4"/>
  <c r="N15" i="4" s="1"/>
  <c r="D19" i="1"/>
  <c r="B14" i="4"/>
  <c r="J32" i="6" l="1"/>
  <c r="R36" i="6"/>
  <c r="S35" i="6"/>
  <c r="M14" i="4"/>
  <c r="N14" i="4" s="1"/>
  <c r="R37" i="6" l="1"/>
  <c r="S36" i="6"/>
  <c r="R38" i="6" l="1"/>
  <c r="S37" i="6"/>
  <c r="R39" i="6" l="1"/>
  <c r="S38" i="6"/>
  <c r="R40" i="6" l="1"/>
  <c r="S39" i="6"/>
  <c r="R41" i="6" l="1"/>
  <c r="S40" i="6"/>
  <c r="R42" i="6" l="1"/>
  <c r="S41" i="6"/>
  <c r="R43" i="6" l="1"/>
  <c r="S42" i="6"/>
  <c r="R44" i="6" l="1"/>
  <c r="S43" i="6"/>
  <c r="R45" i="6" l="1"/>
  <c r="S44" i="6"/>
  <c r="R46" i="6" l="1"/>
  <c r="S45" i="6"/>
  <c r="R47" i="6" l="1"/>
  <c r="S46" i="6"/>
  <c r="R48" i="6" l="1"/>
  <c r="S47" i="6"/>
  <c r="R49" i="6" l="1"/>
  <c r="S48" i="6"/>
  <c r="R50" i="6" l="1"/>
  <c r="S49" i="6"/>
  <c r="R51" i="6" l="1"/>
  <c r="S50" i="6"/>
  <c r="R52" i="6" l="1"/>
  <c r="S51" i="6"/>
  <c r="R53" i="6" l="1"/>
  <c r="S52" i="6"/>
  <c r="Q3" i="2"/>
  <c r="U3" i="2"/>
  <c r="R54" i="6" l="1"/>
  <c r="S53" i="6"/>
  <c r="N3" i="2"/>
  <c r="M3" i="2"/>
  <c r="L3" i="2"/>
  <c r="R55" i="6" l="1"/>
  <c r="S54" i="6"/>
  <c r="G3" i="2"/>
  <c r="I39" i="1"/>
  <c r="I38" i="1"/>
  <c r="R56" i="6" l="1"/>
  <c r="S56" i="6" s="1"/>
  <c r="P27" i="6" s="1"/>
  <c r="S55" i="6"/>
  <c r="E4" i="2"/>
  <c r="E5" i="2" l="1"/>
  <c r="E6" i="2"/>
  <c r="A4" i="2"/>
  <c r="C19" i="1"/>
  <c r="C20" i="1" s="1"/>
  <c r="FC4" i="2" l="1"/>
  <c r="FD4" i="2"/>
  <c r="EN4" i="2"/>
  <c r="DX4" i="2"/>
  <c r="CR4" i="2"/>
  <c r="DG4" i="2"/>
  <c r="CQ4" i="2"/>
  <c r="EM4" i="2"/>
  <c r="BL4" i="2"/>
  <c r="DH4" i="2"/>
  <c r="CA4" i="2"/>
  <c r="AU4" i="2"/>
  <c r="CB4" i="2"/>
  <c r="BK4" i="2"/>
  <c r="AV4" i="2"/>
  <c r="AF4" i="2"/>
  <c r="AE4" i="2"/>
  <c r="DW4" i="2"/>
  <c r="P4" i="2"/>
  <c r="O4" i="2"/>
  <c r="FA4" i="2"/>
  <c r="FB4" i="2"/>
  <c r="EL4" i="2"/>
  <c r="EO4" i="2"/>
  <c r="EU4" i="2"/>
  <c r="ET4" i="2"/>
  <c r="DY4" i="2"/>
  <c r="EK4" i="2"/>
  <c r="EE4" i="2"/>
  <c r="ED4" i="2"/>
  <c r="DU4" i="2"/>
  <c r="DO4" i="2"/>
  <c r="DV4" i="2"/>
  <c r="DF4" i="2"/>
  <c r="CO4" i="2"/>
  <c r="CI4" i="2"/>
  <c r="CH4" i="2"/>
  <c r="BY4" i="2"/>
  <c r="DI4" i="2"/>
  <c r="CP4" i="2"/>
  <c r="BZ4" i="2"/>
  <c r="DN4" i="2"/>
  <c r="CS4" i="2"/>
  <c r="CC4" i="2"/>
  <c r="FE4" i="2"/>
  <c r="DE4" i="2"/>
  <c r="CY4" i="2"/>
  <c r="CX4" i="2"/>
  <c r="BS4" i="2"/>
  <c r="BM4" i="2"/>
  <c r="BR4" i="2"/>
  <c r="AS4" i="2"/>
  <c r="BC4" i="2"/>
  <c r="BB4" i="2"/>
  <c r="BI4" i="2"/>
  <c r="AT4" i="2"/>
  <c r="BJ4" i="2"/>
  <c r="AW4" i="2"/>
  <c r="AM4" i="2"/>
  <c r="AL4" i="2"/>
  <c r="AG4" i="2"/>
  <c r="A5" i="2"/>
  <c r="AD4" i="2"/>
  <c r="V4" i="2"/>
  <c r="W4" i="2"/>
  <c r="AC4" i="2"/>
  <c r="Q5" i="2"/>
  <c r="G5" i="2"/>
  <c r="F5" i="2"/>
  <c r="Q4" i="2"/>
  <c r="M4" i="2"/>
  <c r="N4" i="2"/>
  <c r="F4" i="2"/>
  <c r="G4" i="2"/>
  <c r="E7" i="2"/>
  <c r="BN4" i="2" l="1"/>
  <c r="BO4" i="2"/>
  <c r="BP4" i="2"/>
  <c r="EQ4" i="2"/>
  <c r="ER4" i="2"/>
  <c r="EP4" i="2"/>
  <c r="CE4" i="2"/>
  <c r="CF4" i="2"/>
  <c r="CD4" i="2"/>
  <c r="EA4" i="2"/>
  <c r="EB4" i="2"/>
  <c r="DZ4" i="2"/>
  <c r="FD5" i="2"/>
  <c r="EN5" i="2"/>
  <c r="FC5" i="2"/>
  <c r="EM5" i="2"/>
  <c r="DX5" i="2"/>
  <c r="DW5" i="2"/>
  <c r="CR5" i="2"/>
  <c r="DH5" i="2"/>
  <c r="DG5" i="2"/>
  <c r="CB5" i="2"/>
  <c r="BK5" i="2"/>
  <c r="AF5" i="2"/>
  <c r="CQ5" i="2"/>
  <c r="BL5" i="2"/>
  <c r="P5" i="2"/>
  <c r="CA5" i="2"/>
  <c r="AV5" i="2"/>
  <c r="AU5" i="2"/>
  <c r="AE5" i="2"/>
  <c r="O5" i="2"/>
  <c r="FE5" i="2"/>
  <c r="FA5" i="2"/>
  <c r="ET5" i="2"/>
  <c r="EL5" i="2"/>
  <c r="FB5" i="2"/>
  <c r="EO5" i="2"/>
  <c r="ED5" i="2"/>
  <c r="DV5" i="2"/>
  <c r="DY5" i="2"/>
  <c r="DN5" i="2"/>
  <c r="EU5" i="2"/>
  <c r="EK5" i="2"/>
  <c r="EE5" i="2"/>
  <c r="DE5" i="2"/>
  <c r="CY5" i="2"/>
  <c r="BM5" i="2"/>
  <c r="DF5" i="2"/>
  <c r="CO5" i="2"/>
  <c r="CI5" i="2"/>
  <c r="BY5" i="2"/>
  <c r="BS5" i="2"/>
  <c r="BR5" i="2"/>
  <c r="DI5" i="2"/>
  <c r="CX5" i="2"/>
  <c r="CP5" i="2"/>
  <c r="BZ5" i="2"/>
  <c r="DU5" i="2"/>
  <c r="DO5" i="2"/>
  <c r="CS5" i="2"/>
  <c r="CC5" i="2"/>
  <c r="CH5" i="2"/>
  <c r="BJ5" i="2"/>
  <c r="BB5" i="2"/>
  <c r="AW5" i="2"/>
  <c r="AM5" i="2"/>
  <c r="AS5" i="2"/>
  <c r="BC5" i="2"/>
  <c r="BI5" i="2"/>
  <c r="AT5" i="2"/>
  <c r="AG5" i="2"/>
  <c r="AL5" i="2"/>
  <c r="AX4" i="2"/>
  <c r="AY4" i="2"/>
  <c r="AZ4" i="2"/>
  <c r="CT4" i="2"/>
  <c r="CU4" i="2"/>
  <c r="CV4" i="2"/>
  <c r="N5" i="2"/>
  <c r="M5" i="2"/>
  <c r="DK4" i="2"/>
  <c r="DJ4" i="2"/>
  <c r="DL4" i="2"/>
  <c r="FF4" i="2"/>
  <c r="FH4" i="2"/>
  <c r="FG4" i="2"/>
  <c r="FG5" i="2" s="1"/>
  <c r="AH4" i="2"/>
  <c r="A6" i="2"/>
  <c r="AD5" i="2"/>
  <c r="W5" i="2"/>
  <c r="AC5" i="2"/>
  <c r="V5" i="2"/>
  <c r="T4" i="2"/>
  <c r="R4" i="2"/>
  <c r="S4" i="2"/>
  <c r="E8" i="2"/>
  <c r="CD5" i="2" l="1"/>
  <c r="CG4" i="2"/>
  <c r="ES4" i="2"/>
  <c r="EP5" i="2"/>
  <c r="T5" i="2"/>
  <c r="FH5" i="2"/>
  <c r="FH6" i="2" s="1"/>
  <c r="DK5" i="2"/>
  <c r="AZ5" i="2"/>
  <c r="DZ5" i="2"/>
  <c r="EC4" i="2"/>
  <c r="CF5" i="2"/>
  <c r="ER5" i="2"/>
  <c r="BP5" i="2"/>
  <c r="BP6" i="2" s="1"/>
  <c r="DM4" i="2"/>
  <c r="DJ5" i="2"/>
  <c r="CT5" i="2"/>
  <c r="CW4" i="2"/>
  <c r="FC6" i="2"/>
  <c r="FD6" i="2"/>
  <c r="EM6" i="2"/>
  <c r="EN6" i="2"/>
  <c r="DH6" i="2"/>
  <c r="DX6" i="2"/>
  <c r="DW6" i="2"/>
  <c r="CR6" i="2"/>
  <c r="DG6" i="2"/>
  <c r="AV6" i="2"/>
  <c r="BK6" i="2"/>
  <c r="AF6" i="2"/>
  <c r="O6" i="2"/>
  <c r="CB6" i="2"/>
  <c r="BL6" i="2"/>
  <c r="P6" i="2"/>
  <c r="CA6" i="2"/>
  <c r="AU6" i="2"/>
  <c r="AE6" i="2"/>
  <c r="CQ6" i="2"/>
  <c r="FB6" i="2"/>
  <c r="FG6" i="2" s="1"/>
  <c r="FE6" i="2"/>
  <c r="EU6" i="2"/>
  <c r="FA6" i="2"/>
  <c r="ET6" i="2"/>
  <c r="EL6" i="2"/>
  <c r="EO6" i="2"/>
  <c r="DU6" i="2"/>
  <c r="DO6" i="2"/>
  <c r="ED6" i="2"/>
  <c r="DV6" i="2"/>
  <c r="DY6" i="2"/>
  <c r="DN6" i="2"/>
  <c r="CS6" i="2"/>
  <c r="CH6" i="2"/>
  <c r="CC6" i="2"/>
  <c r="EE6" i="2"/>
  <c r="DE6" i="2"/>
  <c r="CY6" i="2"/>
  <c r="BM6" i="2"/>
  <c r="EK6" i="2"/>
  <c r="DF6" i="2"/>
  <c r="CO6" i="2"/>
  <c r="CI6" i="2"/>
  <c r="BY6" i="2"/>
  <c r="BS6" i="2"/>
  <c r="BR6" i="2"/>
  <c r="CX6" i="2"/>
  <c r="DI6" i="2"/>
  <c r="CP6" i="2"/>
  <c r="BZ6" i="2"/>
  <c r="BI6" i="2"/>
  <c r="AT6" i="2"/>
  <c r="BJ6" i="2"/>
  <c r="BB6" i="2"/>
  <c r="AW6" i="2"/>
  <c r="AM6" i="2"/>
  <c r="AL6" i="2"/>
  <c r="AS6" i="2"/>
  <c r="BC6" i="2"/>
  <c r="AG6" i="2"/>
  <c r="FF5" i="2"/>
  <c r="FI4" i="2"/>
  <c r="CV5" i="2"/>
  <c r="CV6" i="2" s="1"/>
  <c r="AY5" i="2"/>
  <c r="AY6" i="2" s="1"/>
  <c r="EB5" i="2"/>
  <c r="CE5" i="2"/>
  <c r="EQ5" i="2"/>
  <c r="EQ6" i="2" s="1"/>
  <c r="BO5" i="2"/>
  <c r="BO6" i="2" s="1"/>
  <c r="S5" i="2"/>
  <c r="DL5" i="2"/>
  <c r="DL6" i="2" s="1"/>
  <c r="CU5" i="2"/>
  <c r="CU6" i="2" s="1"/>
  <c r="AX5" i="2"/>
  <c r="BA4" i="2"/>
  <c r="EA5" i="2"/>
  <c r="EA6" i="2" s="1"/>
  <c r="BN5" i="2"/>
  <c r="BQ4" i="2"/>
  <c r="AC6" i="2"/>
  <c r="V6" i="2"/>
  <c r="AD6" i="2"/>
  <c r="W6" i="2"/>
  <c r="Q6" i="2"/>
  <c r="M6" i="2"/>
  <c r="N6" i="2"/>
  <c r="G6" i="2"/>
  <c r="A7" i="2"/>
  <c r="F6" i="2"/>
  <c r="R5" i="2"/>
  <c r="U4" i="2"/>
  <c r="E9" i="2"/>
  <c r="FF6" i="2" l="1"/>
  <c r="FI5" i="2"/>
  <c r="CW5" i="2"/>
  <c r="CT6" i="2"/>
  <c r="EC5" i="2"/>
  <c r="DZ6" i="2"/>
  <c r="DM5" i="2"/>
  <c r="DJ6" i="2"/>
  <c r="ER6" i="2"/>
  <c r="CG5" i="2"/>
  <c r="CD6" i="2"/>
  <c r="EN7" i="2"/>
  <c r="FC7" i="2"/>
  <c r="FD7" i="2"/>
  <c r="EM7" i="2"/>
  <c r="DG7" i="2"/>
  <c r="DH7" i="2"/>
  <c r="DX7" i="2"/>
  <c r="DW7" i="2"/>
  <c r="CR7" i="2"/>
  <c r="CB7" i="2"/>
  <c r="CA7" i="2"/>
  <c r="AU7" i="2"/>
  <c r="AV7" i="2"/>
  <c r="CQ7" i="2"/>
  <c r="BK7" i="2"/>
  <c r="AF7" i="2"/>
  <c r="O7" i="2"/>
  <c r="BL7" i="2"/>
  <c r="AE7" i="2"/>
  <c r="P7" i="2"/>
  <c r="FA7" i="2"/>
  <c r="FB7" i="2"/>
  <c r="FG7" i="2" s="1"/>
  <c r="FE7" i="2"/>
  <c r="EO7" i="2"/>
  <c r="EU7" i="2"/>
  <c r="EK7" i="2"/>
  <c r="EE7" i="2"/>
  <c r="ET7" i="2"/>
  <c r="DU7" i="2"/>
  <c r="DO7" i="2"/>
  <c r="EL7" i="2"/>
  <c r="EQ7" i="2" s="1"/>
  <c r="ED7" i="2"/>
  <c r="DV7" i="2"/>
  <c r="EA7" i="2" s="1"/>
  <c r="DI7" i="2"/>
  <c r="CX7" i="2"/>
  <c r="CP7" i="2"/>
  <c r="CV7" i="2" s="1"/>
  <c r="BZ7" i="2"/>
  <c r="CS7" i="2"/>
  <c r="CH7" i="2"/>
  <c r="CC7" i="2"/>
  <c r="DY7" i="2"/>
  <c r="DN7" i="2"/>
  <c r="DE7" i="2"/>
  <c r="CY7" i="2"/>
  <c r="BM7" i="2"/>
  <c r="BP7" i="2" s="1"/>
  <c r="CO7" i="2"/>
  <c r="BY7" i="2"/>
  <c r="BS7" i="2"/>
  <c r="BR7" i="2"/>
  <c r="DF7" i="2"/>
  <c r="BC7" i="2"/>
  <c r="BI7" i="2"/>
  <c r="AT7" i="2"/>
  <c r="AY7" i="2" s="1"/>
  <c r="CI7" i="2"/>
  <c r="BJ7" i="2"/>
  <c r="BB7" i="2"/>
  <c r="AW7" i="2"/>
  <c r="AM7" i="2"/>
  <c r="AL7" i="2"/>
  <c r="AS7" i="2"/>
  <c r="AG7" i="2"/>
  <c r="BA5" i="2"/>
  <c r="AX6" i="2"/>
  <c r="CE6" i="2"/>
  <c r="CE7" i="2" s="1"/>
  <c r="CF6" i="2"/>
  <c r="AZ6" i="2"/>
  <c r="EP6" i="2"/>
  <c r="ES5" i="2"/>
  <c r="DL7" i="2"/>
  <c r="BO7" i="2"/>
  <c r="BQ5" i="2"/>
  <c r="BN6" i="2"/>
  <c r="CU7" i="2"/>
  <c r="EB6" i="2"/>
  <c r="DK6" i="2"/>
  <c r="DK7" i="2" s="1"/>
  <c r="T6" i="2"/>
  <c r="AD7" i="2"/>
  <c r="AC7" i="2"/>
  <c r="V7" i="2"/>
  <c r="W7" i="2"/>
  <c r="Q7" i="2"/>
  <c r="M7" i="2"/>
  <c r="N7" i="2"/>
  <c r="G7" i="2"/>
  <c r="A8" i="2"/>
  <c r="F7" i="2"/>
  <c r="S6" i="2"/>
  <c r="AI4" i="2"/>
  <c r="AH5" i="2"/>
  <c r="AJ4" i="2"/>
  <c r="AJ5" i="2" s="1"/>
  <c r="R6" i="2"/>
  <c r="U5" i="2"/>
  <c r="ES6" i="2" l="1"/>
  <c r="EP7" i="2"/>
  <c r="BQ6" i="2"/>
  <c r="BN7" i="2"/>
  <c r="AZ7" i="2"/>
  <c r="AX7" i="2"/>
  <c r="BA6" i="2"/>
  <c r="FH7" i="2"/>
  <c r="ER7" i="2"/>
  <c r="CT7" i="2"/>
  <c r="CW6" i="2"/>
  <c r="FF7" i="2"/>
  <c r="FI6" i="2"/>
  <c r="FC8" i="2"/>
  <c r="EN8" i="2"/>
  <c r="DX8" i="2"/>
  <c r="FD8" i="2"/>
  <c r="EM8" i="2"/>
  <c r="CR8" i="2"/>
  <c r="DG8" i="2"/>
  <c r="CQ8" i="2"/>
  <c r="DW8" i="2"/>
  <c r="DH8" i="2"/>
  <c r="BL8" i="2"/>
  <c r="BO8" i="2" s="1"/>
  <c r="CB8" i="2"/>
  <c r="CA8" i="2"/>
  <c r="AU8" i="2"/>
  <c r="AE8" i="2"/>
  <c r="BK8" i="2"/>
  <c r="AF8" i="2"/>
  <c r="AV8" i="2"/>
  <c r="P8" i="2"/>
  <c r="O8" i="2"/>
  <c r="FA8" i="2"/>
  <c r="FB8" i="2"/>
  <c r="FG8" i="2" s="1"/>
  <c r="FE8" i="2"/>
  <c r="ET8" i="2"/>
  <c r="EL8" i="2"/>
  <c r="EQ8" i="2" s="1"/>
  <c r="EO8" i="2"/>
  <c r="EU8" i="2"/>
  <c r="DY8" i="2"/>
  <c r="DN8" i="2"/>
  <c r="EK8" i="2"/>
  <c r="EE8" i="2"/>
  <c r="DU8" i="2"/>
  <c r="DO8" i="2"/>
  <c r="DF8" i="2"/>
  <c r="CO8" i="2"/>
  <c r="CI8" i="2"/>
  <c r="BY8" i="2"/>
  <c r="DV8" i="2"/>
  <c r="EA8" i="2" s="1"/>
  <c r="DI8" i="2"/>
  <c r="CX8" i="2"/>
  <c r="CP8" i="2"/>
  <c r="CV8" i="2" s="1"/>
  <c r="BZ8" i="2"/>
  <c r="CE8" i="2" s="1"/>
  <c r="CS8" i="2"/>
  <c r="CH8" i="2"/>
  <c r="CC8" i="2"/>
  <c r="ED8" i="2"/>
  <c r="DE8" i="2"/>
  <c r="CY8" i="2"/>
  <c r="BM8" i="2"/>
  <c r="BS8" i="2"/>
  <c r="BR8" i="2"/>
  <c r="AS8" i="2"/>
  <c r="BC8" i="2"/>
  <c r="BI8" i="2"/>
  <c r="AT8" i="2"/>
  <c r="BJ8" i="2"/>
  <c r="BP8" i="2" s="1"/>
  <c r="BB8" i="2"/>
  <c r="AW8" i="2"/>
  <c r="AM8" i="2"/>
  <c r="AL8" i="2"/>
  <c r="AG8" i="2"/>
  <c r="DK8" i="2"/>
  <c r="CF7" i="2"/>
  <c r="CF8" i="2" s="1"/>
  <c r="DM6" i="2"/>
  <c r="DJ7" i="2"/>
  <c r="CU8" i="2"/>
  <c r="DL8" i="2"/>
  <c r="EB7" i="2"/>
  <c r="EB8" i="2" s="1"/>
  <c r="CD7" i="2"/>
  <c r="CG6" i="2"/>
  <c r="EC6" i="2"/>
  <c r="DZ7" i="2"/>
  <c r="T7" i="2"/>
  <c r="S7" i="2"/>
  <c r="AC8" i="2"/>
  <c r="AD8" i="2"/>
  <c r="W8" i="2"/>
  <c r="V8" i="2"/>
  <c r="Q8" i="2"/>
  <c r="M8" i="2"/>
  <c r="N8" i="2"/>
  <c r="F8" i="2"/>
  <c r="G8" i="2"/>
  <c r="A9" i="2"/>
  <c r="AK4" i="2"/>
  <c r="AI5" i="2"/>
  <c r="AK5" i="2" s="1"/>
  <c r="R7" i="2"/>
  <c r="U6" i="2"/>
  <c r="E11" i="2"/>
  <c r="E10" i="2"/>
  <c r="AY8" i="2" l="1"/>
  <c r="CF9" i="2"/>
  <c r="BA7" i="2"/>
  <c r="AX8" i="2"/>
  <c r="ES7" i="2"/>
  <c r="EP8" i="2"/>
  <c r="DM7" i="2"/>
  <c r="DJ8" i="2"/>
  <c r="CT8" i="2"/>
  <c r="CW7" i="2"/>
  <c r="AZ8" i="2"/>
  <c r="AZ9" i="2" s="1"/>
  <c r="CG7" i="2"/>
  <c r="CD8" i="2"/>
  <c r="EC7" i="2"/>
  <c r="DZ8" i="2"/>
  <c r="FF8" i="2"/>
  <c r="FI7" i="2"/>
  <c r="FD9" i="2"/>
  <c r="EN9" i="2"/>
  <c r="FC9" i="2"/>
  <c r="DX9" i="2"/>
  <c r="DW9" i="2"/>
  <c r="CR9" i="2"/>
  <c r="CB9" i="2"/>
  <c r="EM9" i="2"/>
  <c r="DG9" i="2"/>
  <c r="CQ9" i="2"/>
  <c r="BK9" i="2"/>
  <c r="AF9" i="2"/>
  <c r="BL9" i="2"/>
  <c r="P9" i="2"/>
  <c r="AE9" i="2"/>
  <c r="AV9" i="2"/>
  <c r="AU9" i="2"/>
  <c r="DH9" i="2"/>
  <c r="CA9" i="2"/>
  <c r="O9" i="2"/>
  <c r="FE9" i="2"/>
  <c r="FA9" i="2"/>
  <c r="ET9" i="2"/>
  <c r="EL9" i="2"/>
  <c r="EQ9" i="2" s="1"/>
  <c r="EO9" i="2"/>
  <c r="ED9" i="2"/>
  <c r="DV9" i="2"/>
  <c r="EA9" i="2" s="1"/>
  <c r="DY9" i="2"/>
  <c r="EB9" i="2" s="1"/>
  <c r="DN9" i="2"/>
  <c r="FB9" i="2"/>
  <c r="FG9" i="2" s="1"/>
  <c r="EK9" i="2"/>
  <c r="EE9" i="2"/>
  <c r="DU9" i="2"/>
  <c r="DO9" i="2"/>
  <c r="DE9" i="2"/>
  <c r="CY9" i="2"/>
  <c r="BM9" i="2"/>
  <c r="EU9" i="2"/>
  <c r="DF9" i="2"/>
  <c r="DK9" i="2" s="1"/>
  <c r="CO9" i="2"/>
  <c r="CI9" i="2"/>
  <c r="BY9" i="2"/>
  <c r="BR9" i="2"/>
  <c r="DI9" i="2"/>
  <c r="CX9" i="2"/>
  <c r="CP9" i="2"/>
  <c r="CU9" i="2" s="1"/>
  <c r="BZ9" i="2"/>
  <c r="CE9" i="2" s="1"/>
  <c r="CS9" i="2"/>
  <c r="CV9" i="2" s="1"/>
  <c r="CC9" i="2"/>
  <c r="CH9" i="2"/>
  <c r="BJ9" i="2"/>
  <c r="BP9" i="2" s="1"/>
  <c r="BB9" i="2"/>
  <c r="AW9" i="2"/>
  <c r="AM9" i="2"/>
  <c r="AS9" i="2"/>
  <c r="BC9" i="2"/>
  <c r="BI9" i="2"/>
  <c r="AT9" i="2"/>
  <c r="AY9" i="2" s="1"/>
  <c r="AG9" i="2"/>
  <c r="AL9" i="2"/>
  <c r="BS9" i="2"/>
  <c r="ER8" i="2"/>
  <c r="BQ7" i="2"/>
  <c r="BN8" i="2"/>
  <c r="FH8" i="2"/>
  <c r="FH9" i="2" s="1"/>
  <c r="K10" i="4"/>
  <c r="L10" i="4" s="1"/>
  <c r="T8" i="2"/>
  <c r="S8" i="2"/>
  <c r="AC9" i="2"/>
  <c r="V9" i="2"/>
  <c r="AD9" i="2"/>
  <c r="W9" i="2"/>
  <c r="F9" i="2"/>
  <c r="G9" i="2"/>
  <c r="A10" i="2"/>
  <c r="Q9" i="2"/>
  <c r="M9" i="2"/>
  <c r="N9" i="2"/>
  <c r="AJ6" i="2"/>
  <c r="AH6" i="2"/>
  <c r="AI6" i="2"/>
  <c r="R8" i="2"/>
  <c r="U7" i="2"/>
  <c r="EB10" i="2" l="1"/>
  <c r="BP10" i="2"/>
  <c r="BQ8" i="2"/>
  <c r="BN9" i="2"/>
  <c r="CG8" i="2"/>
  <c r="CD9" i="2"/>
  <c r="BA8" i="2"/>
  <c r="AX9" i="2"/>
  <c r="FF9" i="2"/>
  <c r="FI8" i="2"/>
  <c r="ES8" i="2"/>
  <c r="EP9" i="2"/>
  <c r="DL9" i="2"/>
  <c r="BO9" i="2"/>
  <c r="DM8" i="2"/>
  <c r="DJ9" i="2"/>
  <c r="M10" i="2"/>
  <c r="FC10" i="2"/>
  <c r="FD10" i="2"/>
  <c r="FG10" i="2" s="1"/>
  <c r="EM10" i="2"/>
  <c r="EN10" i="2"/>
  <c r="DH10" i="2"/>
  <c r="DW10" i="2"/>
  <c r="DX10" i="2"/>
  <c r="AV10" i="2"/>
  <c r="DG10" i="2"/>
  <c r="CQ10" i="2"/>
  <c r="BK10" i="2"/>
  <c r="AF10" i="2"/>
  <c r="CA10" i="2"/>
  <c r="AU10" i="2"/>
  <c r="O10" i="2"/>
  <c r="P10" i="2"/>
  <c r="CR10" i="2"/>
  <c r="CU10" i="2" s="1"/>
  <c r="CB10" i="2"/>
  <c r="CE10" i="2" s="1"/>
  <c r="BL10" i="2"/>
  <c r="AE10" i="2"/>
  <c r="FB10" i="2"/>
  <c r="FE10" i="2"/>
  <c r="EU10" i="2"/>
  <c r="FA10" i="2"/>
  <c r="ET10" i="2"/>
  <c r="EL10" i="2"/>
  <c r="EQ10" i="2" s="1"/>
  <c r="DU10" i="2"/>
  <c r="DO10" i="2"/>
  <c r="EO10" i="2"/>
  <c r="ED10" i="2"/>
  <c r="DV10" i="2"/>
  <c r="EA10" i="2" s="1"/>
  <c r="DY10" i="2"/>
  <c r="DN10" i="2"/>
  <c r="CS10" i="2"/>
  <c r="CH10" i="2"/>
  <c r="CC10" i="2"/>
  <c r="DE10" i="2"/>
  <c r="CY10" i="2"/>
  <c r="BM10" i="2"/>
  <c r="EE10" i="2"/>
  <c r="DF10" i="2"/>
  <c r="DK10" i="2" s="1"/>
  <c r="CO10" i="2"/>
  <c r="CI10" i="2"/>
  <c r="BY10" i="2"/>
  <c r="BR10" i="2"/>
  <c r="EK10" i="2"/>
  <c r="CP10" i="2"/>
  <c r="CV10" i="2" s="1"/>
  <c r="CX10" i="2"/>
  <c r="BZ10" i="2"/>
  <c r="CF10" i="2" s="1"/>
  <c r="DI10" i="2"/>
  <c r="BI10" i="2"/>
  <c r="AT10" i="2"/>
  <c r="AY10" i="2" s="1"/>
  <c r="BJ10" i="2"/>
  <c r="BB10" i="2"/>
  <c r="AW10" i="2"/>
  <c r="AM10" i="2"/>
  <c r="AL10" i="2"/>
  <c r="AS10" i="2"/>
  <c r="BC10" i="2"/>
  <c r="AG10" i="2"/>
  <c r="BS10" i="2"/>
  <c r="FH10" i="2"/>
  <c r="ER9" i="2"/>
  <c r="EC8" i="2"/>
  <c r="DZ9" i="2"/>
  <c r="CW8" i="2"/>
  <c r="CT9" i="2"/>
  <c r="K13" i="4"/>
  <c r="L13" i="4" s="1"/>
  <c r="K14" i="4"/>
  <c r="L14" i="4" s="1"/>
  <c r="K11" i="4"/>
  <c r="L11" i="4" s="1"/>
  <c r="T9" i="2"/>
  <c r="AI7" i="2"/>
  <c r="W10" i="2"/>
  <c r="AC10" i="2"/>
  <c r="V10" i="2"/>
  <c r="AD10" i="2"/>
  <c r="Q10" i="2"/>
  <c r="F10" i="2"/>
  <c r="N10" i="2"/>
  <c r="A11" i="2"/>
  <c r="G10" i="2"/>
  <c r="S9" i="2"/>
  <c r="AJ7" i="2"/>
  <c r="AK6" i="2"/>
  <c r="AH7" i="2"/>
  <c r="R9" i="2"/>
  <c r="U8" i="2"/>
  <c r="E12" i="2"/>
  <c r="AZ10" i="2" l="1"/>
  <c r="CF11" i="2"/>
  <c r="ES9" i="2"/>
  <c r="EP10" i="2"/>
  <c r="FF10" i="2"/>
  <c r="FI9" i="2"/>
  <c r="ER10" i="2"/>
  <c r="ER11" i="2" s="1"/>
  <c r="BO10" i="2"/>
  <c r="BA9" i="2"/>
  <c r="AX10" i="2"/>
  <c r="EN11" i="2"/>
  <c r="FC11" i="2"/>
  <c r="FD11" i="2"/>
  <c r="EM11" i="2"/>
  <c r="DX11" i="2"/>
  <c r="DG11" i="2"/>
  <c r="DH11" i="2"/>
  <c r="DW11" i="2"/>
  <c r="CA11" i="2"/>
  <c r="AU11" i="2"/>
  <c r="AV11" i="2"/>
  <c r="BL11" i="2"/>
  <c r="CQ11" i="2"/>
  <c r="O11" i="2"/>
  <c r="CB11" i="2"/>
  <c r="BK11" i="2"/>
  <c r="CR11" i="2"/>
  <c r="P11" i="2"/>
  <c r="AF11" i="2"/>
  <c r="AE11" i="2"/>
  <c r="FA11" i="2"/>
  <c r="FB11" i="2"/>
  <c r="FG11" i="2" s="1"/>
  <c r="FE11" i="2"/>
  <c r="EO11" i="2"/>
  <c r="EU11" i="2"/>
  <c r="EK11" i="2"/>
  <c r="EE11" i="2"/>
  <c r="DU11" i="2"/>
  <c r="DO11" i="2"/>
  <c r="ET11" i="2"/>
  <c r="ED11" i="2"/>
  <c r="DV11" i="2"/>
  <c r="EA11" i="2" s="1"/>
  <c r="EL11" i="2"/>
  <c r="EQ11" i="2" s="1"/>
  <c r="DI11" i="2"/>
  <c r="CX11" i="2"/>
  <c r="CP11" i="2"/>
  <c r="CU11" i="2" s="1"/>
  <c r="BZ11" i="2"/>
  <c r="CE11" i="2" s="1"/>
  <c r="CS11" i="2"/>
  <c r="CH11" i="2"/>
  <c r="CC11" i="2"/>
  <c r="DE11" i="2"/>
  <c r="CY11" i="2"/>
  <c r="BM11" i="2"/>
  <c r="DY11" i="2"/>
  <c r="DN11" i="2"/>
  <c r="DF11" i="2"/>
  <c r="DK11" i="2" s="1"/>
  <c r="CI11" i="2"/>
  <c r="CO11" i="2"/>
  <c r="BY11" i="2"/>
  <c r="BC11" i="2"/>
  <c r="BI11" i="2"/>
  <c r="AT11" i="2"/>
  <c r="AY11" i="2" s="1"/>
  <c r="BR11" i="2"/>
  <c r="BJ11" i="2"/>
  <c r="BP11" i="2" s="1"/>
  <c r="BB11" i="2"/>
  <c r="AW11" i="2"/>
  <c r="AM11" i="2"/>
  <c r="AL11" i="2"/>
  <c r="AS11" i="2"/>
  <c r="AG11" i="2"/>
  <c r="BS11" i="2"/>
  <c r="CT10" i="2"/>
  <c r="CW9" i="2"/>
  <c r="EB11" i="2"/>
  <c r="EC9" i="2"/>
  <c r="DZ10" i="2"/>
  <c r="DM9" i="2"/>
  <c r="DJ10" i="2"/>
  <c r="DL10" i="2"/>
  <c r="DL11" i="2" s="1"/>
  <c r="CG9" i="2"/>
  <c r="CD10" i="2"/>
  <c r="BQ9" i="2"/>
  <c r="BN10" i="2"/>
  <c r="S10" i="2"/>
  <c r="K12" i="4"/>
  <c r="L12" i="4" s="1"/>
  <c r="K15" i="4"/>
  <c r="L15" i="4" s="1"/>
  <c r="T10" i="2"/>
  <c r="AD11" i="2"/>
  <c r="AC11" i="2"/>
  <c r="W11" i="2"/>
  <c r="V11" i="2"/>
  <c r="M11" i="2"/>
  <c r="A12" i="2"/>
  <c r="N11" i="2"/>
  <c r="F11" i="2"/>
  <c r="G11" i="2"/>
  <c r="Q11" i="2"/>
  <c r="AJ8" i="2"/>
  <c r="AH8" i="2"/>
  <c r="AK7" i="2"/>
  <c r="AI8" i="2"/>
  <c r="R10" i="2"/>
  <c r="U9" i="2"/>
  <c r="E14" i="2"/>
  <c r="E13" i="2"/>
  <c r="CE12" i="2" l="1"/>
  <c r="FG12" i="2"/>
  <c r="BA10" i="2"/>
  <c r="AX11" i="2"/>
  <c r="BO11" i="2"/>
  <c r="EP11" i="2"/>
  <c r="ES10" i="2"/>
  <c r="FH11" i="2"/>
  <c r="AZ11" i="2"/>
  <c r="EC10" i="2"/>
  <c r="DZ11" i="2"/>
  <c r="CT11" i="2"/>
  <c r="CW10" i="2"/>
  <c r="FF11" i="2"/>
  <c r="FI10" i="2"/>
  <c r="CG10" i="2"/>
  <c r="CD11" i="2"/>
  <c r="FC12" i="2"/>
  <c r="FD12" i="2"/>
  <c r="DX12" i="2"/>
  <c r="EM12" i="2"/>
  <c r="CR12" i="2"/>
  <c r="EN12" i="2"/>
  <c r="DG12" i="2"/>
  <c r="CQ12" i="2"/>
  <c r="CB12" i="2"/>
  <c r="BL12" i="2"/>
  <c r="DW12" i="2"/>
  <c r="CA12" i="2"/>
  <c r="AU12" i="2"/>
  <c r="DH12" i="2"/>
  <c r="BK12" i="2"/>
  <c r="AV12" i="2"/>
  <c r="AF12" i="2"/>
  <c r="AE12" i="2"/>
  <c r="O12" i="2"/>
  <c r="P12" i="2"/>
  <c r="FA12" i="2"/>
  <c r="FB12" i="2"/>
  <c r="ET12" i="2"/>
  <c r="EL12" i="2"/>
  <c r="EQ12" i="2" s="1"/>
  <c r="FE12" i="2"/>
  <c r="EO12" i="2"/>
  <c r="ER12" i="2" s="1"/>
  <c r="EU12" i="2"/>
  <c r="DY12" i="2"/>
  <c r="DN12" i="2"/>
  <c r="EK12" i="2"/>
  <c r="EE12" i="2"/>
  <c r="DU12" i="2"/>
  <c r="DO12" i="2"/>
  <c r="ED12" i="2"/>
  <c r="DF12" i="2"/>
  <c r="DL12" i="2" s="1"/>
  <c r="CO12" i="2"/>
  <c r="CI12" i="2"/>
  <c r="BY12" i="2"/>
  <c r="DI12" i="2"/>
  <c r="CX12" i="2"/>
  <c r="CP12" i="2"/>
  <c r="CU12" i="2" s="1"/>
  <c r="BZ12" i="2"/>
  <c r="CF12" i="2" s="1"/>
  <c r="DV12" i="2"/>
  <c r="EB12" i="2" s="1"/>
  <c r="CS12" i="2"/>
  <c r="CH12" i="2"/>
  <c r="CC12" i="2"/>
  <c r="BR12" i="2"/>
  <c r="DE12" i="2"/>
  <c r="CY12" i="2"/>
  <c r="BM12" i="2"/>
  <c r="AS12" i="2"/>
  <c r="BC12" i="2"/>
  <c r="BI12" i="2"/>
  <c r="AT12" i="2"/>
  <c r="AY12" i="2" s="1"/>
  <c r="BJ12" i="2"/>
  <c r="BP12" i="2" s="1"/>
  <c r="BB12" i="2"/>
  <c r="AW12" i="2"/>
  <c r="AM12" i="2"/>
  <c r="AL12" i="2"/>
  <c r="AG12" i="2"/>
  <c r="BS12" i="2"/>
  <c r="BN11" i="2"/>
  <c r="BQ10" i="2"/>
  <c r="DJ11" i="2"/>
  <c r="DM10" i="2"/>
  <c r="CV11" i="2"/>
  <c r="CV12" i="2" s="1"/>
  <c r="S11" i="2"/>
  <c r="T11" i="2"/>
  <c r="AD12" i="2"/>
  <c r="W12" i="2"/>
  <c r="AC12" i="2"/>
  <c r="V12" i="2"/>
  <c r="Q12" i="2"/>
  <c r="M12" i="2"/>
  <c r="N12" i="2"/>
  <c r="F12" i="2"/>
  <c r="G12" i="2"/>
  <c r="A13" i="2"/>
  <c r="AJ9" i="2"/>
  <c r="AI9" i="2"/>
  <c r="AH9" i="2"/>
  <c r="AK8" i="2"/>
  <c r="R11" i="2"/>
  <c r="U10" i="2"/>
  <c r="E15" i="2"/>
  <c r="DL13" i="2" l="1"/>
  <c r="CG11" i="2"/>
  <c r="CD12" i="2"/>
  <c r="FF12" i="2"/>
  <c r="FI11" i="2"/>
  <c r="FG13" i="2"/>
  <c r="EA12" i="2"/>
  <c r="EA13" i="2" s="1"/>
  <c r="DK12" i="2"/>
  <c r="DJ12" i="2"/>
  <c r="DM11" i="2"/>
  <c r="BO12" i="2"/>
  <c r="EC11" i="2"/>
  <c r="DZ12" i="2"/>
  <c r="BQ11" i="2"/>
  <c r="BN12" i="2"/>
  <c r="ES11" i="2"/>
  <c r="EP12" i="2"/>
  <c r="FD13" i="2"/>
  <c r="EN13" i="2"/>
  <c r="EM13" i="2"/>
  <c r="DX13" i="2"/>
  <c r="DW13" i="2"/>
  <c r="FC13" i="2"/>
  <c r="CR13" i="2"/>
  <c r="DH13" i="2"/>
  <c r="DG13" i="2"/>
  <c r="CB13" i="2"/>
  <c r="BK13" i="2"/>
  <c r="AF13" i="2"/>
  <c r="BL13" i="2"/>
  <c r="P13" i="2"/>
  <c r="CA13" i="2"/>
  <c r="AV13" i="2"/>
  <c r="AU13" i="2"/>
  <c r="AE13" i="2"/>
  <c r="CQ13" i="2"/>
  <c r="O13" i="2"/>
  <c r="FE13" i="2"/>
  <c r="FA13" i="2"/>
  <c r="FB13" i="2"/>
  <c r="ET13" i="2"/>
  <c r="EL13" i="2"/>
  <c r="ER13" i="2" s="1"/>
  <c r="EO13" i="2"/>
  <c r="EU13" i="2"/>
  <c r="ED13" i="2"/>
  <c r="DV13" i="2"/>
  <c r="EB13" i="2" s="1"/>
  <c r="DY13" i="2"/>
  <c r="DN13" i="2"/>
  <c r="EK13" i="2"/>
  <c r="EE13" i="2"/>
  <c r="DE13" i="2"/>
  <c r="CY13" i="2"/>
  <c r="BM13" i="2"/>
  <c r="DU13" i="2"/>
  <c r="DO13" i="2"/>
  <c r="DF13" i="2"/>
  <c r="CO13" i="2"/>
  <c r="CI13" i="2"/>
  <c r="BY13" i="2"/>
  <c r="BR13" i="2"/>
  <c r="DI13" i="2"/>
  <c r="CX13" i="2"/>
  <c r="CP13" i="2"/>
  <c r="CU13" i="2" s="1"/>
  <c r="BZ13" i="2"/>
  <c r="CE13" i="2" s="1"/>
  <c r="CS13" i="2"/>
  <c r="CC13" i="2"/>
  <c r="BJ13" i="2"/>
  <c r="BP13" i="2" s="1"/>
  <c r="BB13" i="2"/>
  <c r="AW13" i="2"/>
  <c r="AM13" i="2"/>
  <c r="CH13" i="2"/>
  <c r="AS13" i="2"/>
  <c r="BC13" i="2"/>
  <c r="BI13" i="2"/>
  <c r="AT13" i="2"/>
  <c r="AY13" i="2" s="1"/>
  <c r="AG13" i="2"/>
  <c r="AL13" i="2"/>
  <c r="BS13" i="2"/>
  <c r="CV13" i="2"/>
  <c r="CT12" i="2"/>
  <c r="CW11" i="2"/>
  <c r="AZ12" i="2"/>
  <c r="FH12" i="2"/>
  <c r="FH13" i="2" s="1"/>
  <c r="BA11" i="2"/>
  <c r="AX12" i="2"/>
  <c r="S12" i="2"/>
  <c r="T12" i="2"/>
  <c r="AD13" i="2"/>
  <c r="W13" i="2"/>
  <c r="AC13" i="2"/>
  <c r="V13" i="2"/>
  <c r="G13" i="2"/>
  <c r="F13" i="2"/>
  <c r="N13" i="2"/>
  <c r="A14" i="2"/>
  <c r="Q13" i="2"/>
  <c r="M13" i="2"/>
  <c r="AJ10" i="2"/>
  <c r="AK9" i="2"/>
  <c r="AH10" i="2"/>
  <c r="AI10" i="2"/>
  <c r="R12" i="2"/>
  <c r="U11" i="2"/>
  <c r="EC12" i="2" l="1"/>
  <c r="DZ13" i="2"/>
  <c r="BQ12" i="2"/>
  <c r="BN13" i="2"/>
  <c r="AX13" i="2"/>
  <c r="BA12" i="2"/>
  <c r="AZ13" i="2"/>
  <c r="ES12" i="2"/>
  <c r="EP13" i="2"/>
  <c r="DM12" i="2"/>
  <c r="DJ13" i="2"/>
  <c r="FF13" i="2"/>
  <c r="FI12" i="2"/>
  <c r="CF13" i="2"/>
  <c r="CT13" i="2"/>
  <c r="CW12" i="2"/>
  <c r="EQ13" i="2"/>
  <c r="FC14" i="2"/>
  <c r="FD14" i="2"/>
  <c r="EM14" i="2"/>
  <c r="DH14" i="2"/>
  <c r="DX14" i="2"/>
  <c r="DW14" i="2"/>
  <c r="EN14" i="2"/>
  <c r="CR14" i="2"/>
  <c r="DG14" i="2"/>
  <c r="CQ14" i="2"/>
  <c r="AV14" i="2"/>
  <c r="CB14" i="2"/>
  <c r="BK14" i="2"/>
  <c r="AF14" i="2"/>
  <c r="O14" i="2"/>
  <c r="CA14" i="2"/>
  <c r="AU14" i="2"/>
  <c r="BL14" i="2"/>
  <c r="P14" i="2"/>
  <c r="AE14" i="2"/>
  <c r="FB14" i="2"/>
  <c r="FH14" i="2" s="1"/>
  <c r="FE14" i="2"/>
  <c r="EU14" i="2"/>
  <c r="ET14" i="2"/>
  <c r="EL14" i="2"/>
  <c r="ER14" i="2" s="1"/>
  <c r="DU14" i="2"/>
  <c r="DO14" i="2"/>
  <c r="FA14" i="2"/>
  <c r="ED14" i="2"/>
  <c r="DV14" i="2"/>
  <c r="EA14" i="2" s="1"/>
  <c r="EO14" i="2"/>
  <c r="DY14" i="2"/>
  <c r="DN14" i="2"/>
  <c r="EK14" i="2"/>
  <c r="CS14" i="2"/>
  <c r="CH14" i="2"/>
  <c r="CC14" i="2"/>
  <c r="DE14" i="2"/>
  <c r="CY14" i="2"/>
  <c r="BM14" i="2"/>
  <c r="DF14" i="2"/>
  <c r="DL14" i="2" s="1"/>
  <c r="CO14" i="2"/>
  <c r="CI14" i="2"/>
  <c r="BY14" i="2"/>
  <c r="BR14" i="2"/>
  <c r="EE14" i="2"/>
  <c r="CP14" i="2"/>
  <c r="CV14" i="2" s="1"/>
  <c r="CX14" i="2"/>
  <c r="BZ14" i="2"/>
  <c r="CE14" i="2" s="1"/>
  <c r="DI14" i="2"/>
  <c r="BI14" i="2"/>
  <c r="AT14" i="2"/>
  <c r="AY14" i="2" s="1"/>
  <c r="BJ14" i="2"/>
  <c r="BP14" i="2" s="1"/>
  <c r="BB14" i="2"/>
  <c r="AW14" i="2"/>
  <c r="AM14" i="2"/>
  <c r="AL14" i="2"/>
  <c r="AS14" i="2"/>
  <c r="BC14" i="2"/>
  <c r="AG14" i="2"/>
  <c r="BS14" i="2"/>
  <c r="BO13" i="2"/>
  <c r="BO14" i="2" s="1"/>
  <c r="DK13" i="2"/>
  <c r="CD13" i="2"/>
  <c r="CG12" i="2"/>
  <c r="S13" i="2"/>
  <c r="AC14" i="2"/>
  <c r="V14" i="2"/>
  <c r="AD14" i="2"/>
  <c r="W14" i="2"/>
  <c r="Q14" i="2"/>
  <c r="G14" i="2"/>
  <c r="F14" i="2"/>
  <c r="M14" i="2"/>
  <c r="N14" i="2"/>
  <c r="A15" i="2"/>
  <c r="T13" i="2"/>
  <c r="AJ11" i="2"/>
  <c r="AK10" i="2"/>
  <c r="AH11" i="2"/>
  <c r="AI11" i="2"/>
  <c r="R13" i="2"/>
  <c r="U12" i="2"/>
  <c r="E16" i="2"/>
  <c r="ER15" i="2" l="1"/>
  <c r="DJ14" i="2"/>
  <c r="DM13" i="2"/>
  <c r="AX14" i="2"/>
  <c r="BA13" i="2"/>
  <c r="EC13" i="2"/>
  <c r="DZ14" i="2"/>
  <c r="EB14" i="2"/>
  <c r="CG13" i="2"/>
  <c r="CD14" i="2"/>
  <c r="BQ13" i="2"/>
  <c r="BN14" i="2"/>
  <c r="CU14" i="2"/>
  <c r="EQ14" i="2"/>
  <c r="CW13" i="2"/>
  <c r="CT14" i="2"/>
  <c r="FF14" i="2"/>
  <c r="FI13" i="2"/>
  <c r="AZ14" i="2"/>
  <c r="FG14" i="2"/>
  <c r="EN15" i="2"/>
  <c r="FC15" i="2"/>
  <c r="FD15" i="2"/>
  <c r="EM15" i="2"/>
  <c r="DG15" i="2"/>
  <c r="DH15" i="2"/>
  <c r="DW15" i="2"/>
  <c r="CR15" i="2"/>
  <c r="DX15" i="2"/>
  <c r="CA15" i="2"/>
  <c r="AU15" i="2"/>
  <c r="CQ15" i="2"/>
  <c r="AV15" i="2"/>
  <c r="CB15" i="2"/>
  <c r="BL15" i="2"/>
  <c r="BK15" i="2"/>
  <c r="AF15" i="2"/>
  <c r="O15" i="2"/>
  <c r="AE15" i="2"/>
  <c r="P15" i="2"/>
  <c r="FA15" i="2"/>
  <c r="FB15" i="2"/>
  <c r="FH15" i="2" s="1"/>
  <c r="FE15" i="2"/>
  <c r="EO15" i="2"/>
  <c r="EU15" i="2"/>
  <c r="EL15" i="2"/>
  <c r="EK15" i="2"/>
  <c r="EE15" i="2"/>
  <c r="DU15" i="2"/>
  <c r="DO15" i="2"/>
  <c r="ED15" i="2"/>
  <c r="DV15" i="2"/>
  <c r="EA15" i="2" s="1"/>
  <c r="ET15" i="2"/>
  <c r="DY15" i="2"/>
  <c r="DN15" i="2"/>
  <c r="DI15" i="2"/>
  <c r="CX15" i="2"/>
  <c r="CP15" i="2"/>
  <c r="CV15" i="2" s="1"/>
  <c r="BZ15" i="2"/>
  <c r="CE15" i="2" s="1"/>
  <c r="CS15" i="2"/>
  <c r="CH15" i="2"/>
  <c r="CC15" i="2"/>
  <c r="DE15" i="2"/>
  <c r="CY15" i="2"/>
  <c r="BM15" i="2"/>
  <c r="DF15" i="2"/>
  <c r="DL15" i="2" s="1"/>
  <c r="CI15" i="2"/>
  <c r="BR15" i="2"/>
  <c r="CO15" i="2"/>
  <c r="BC15" i="2"/>
  <c r="BI15" i="2"/>
  <c r="AT15" i="2"/>
  <c r="AY15" i="2" s="1"/>
  <c r="BJ15" i="2"/>
  <c r="BP15" i="2" s="1"/>
  <c r="BB15" i="2"/>
  <c r="AW15" i="2"/>
  <c r="AM15" i="2"/>
  <c r="AL15" i="2"/>
  <c r="BY15" i="2"/>
  <c r="AS15" i="2"/>
  <c r="AG15" i="2"/>
  <c r="BS15" i="2"/>
  <c r="DK14" i="2"/>
  <c r="DK15" i="2" s="1"/>
  <c r="CF14" i="2"/>
  <c r="CF15" i="2" s="1"/>
  <c r="ES13" i="2"/>
  <c r="EP14" i="2"/>
  <c r="S14" i="2"/>
  <c r="T14" i="2"/>
  <c r="AD15" i="2"/>
  <c r="W15" i="2"/>
  <c r="AC15" i="2"/>
  <c r="V15" i="2"/>
  <c r="G15" i="2"/>
  <c r="A16" i="2"/>
  <c r="Q15" i="2"/>
  <c r="N15" i="2"/>
  <c r="M15" i="2"/>
  <c r="F15" i="2"/>
  <c r="AJ12" i="2"/>
  <c r="AH12" i="2"/>
  <c r="AK11" i="2"/>
  <c r="AI12" i="2"/>
  <c r="R14" i="2"/>
  <c r="U13" i="2"/>
  <c r="E17" i="2"/>
  <c r="CE16" i="2" l="1"/>
  <c r="EP15" i="2"/>
  <c r="ES14" i="2"/>
  <c r="AZ15" i="2"/>
  <c r="FF15" i="2"/>
  <c r="FI14" i="2"/>
  <c r="EB15" i="2"/>
  <c r="EB16" i="2" s="1"/>
  <c r="BO15" i="2"/>
  <c r="CW14" i="2"/>
  <c r="CT15" i="2"/>
  <c r="EQ15" i="2"/>
  <c r="BQ14" i="2"/>
  <c r="BN15" i="2"/>
  <c r="EC14" i="2"/>
  <c r="DZ15" i="2"/>
  <c r="BA14" i="2"/>
  <c r="AX15" i="2"/>
  <c r="DJ15" i="2"/>
  <c r="DM14" i="2"/>
  <c r="FC16" i="2"/>
  <c r="EN16" i="2"/>
  <c r="FD16" i="2"/>
  <c r="DX16" i="2"/>
  <c r="EM16" i="2"/>
  <c r="CR16" i="2"/>
  <c r="DG16" i="2"/>
  <c r="CQ16" i="2"/>
  <c r="DW16" i="2"/>
  <c r="DH16" i="2"/>
  <c r="BL16" i="2"/>
  <c r="CA16" i="2"/>
  <c r="AU16" i="2"/>
  <c r="AE16" i="2"/>
  <c r="BK16" i="2"/>
  <c r="AV16" i="2"/>
  <c r="CB16" i="2"/>
  <c r="AF16" i="2"/>
  <c r="P16" i="2"/>
  <c r="O16" i="2"/>
  <c r="FA16" i="2"/>
  <c r="FB16" i="2"/>
  <c r="FH16" i="2" s="1"/>
  <c r="ET16" i="2"/>
  <c r="EL16" i="2"/>
  <c r="ER16" i="2" s="1"/>
  <c r="EO16" i="2"/>
  <c r="FE16" i="2"/>
  <c r="EU16" i="2"/>
  <c r="DY16" i="2"/>
  <c r="DN16" i="2"/>
  <c r="EK16" i="2"/>
  <c r="EE16" i="2"/>
  <c r="DU16" i="2"/>
  <c r="DO16" i="2"/>
  <c r="DF16" i="2"/>
  <c r="DK16" i="2" s="1"/>
  <c r="CO16" i="2"/>
  <c r="CI16" i="2"/>
  <c r="BY16" i="2"/>
  <c r="ED16" i="2"/>
  <c r="DI16" i="2"/>
  <c r="CX16" i="2"/>
  <c r="CP16" i="2"/>
  <c r="BZ16" i="2"/>
  <c r="CF16" i="2" s="1"/>
  <c r="CS16" i="2"/>
  <c r="CV16" i="2" s="1"/>
  <c r="CH16" i="2"/>
  <c r="CC16" i="2"/>
  <c r="DV16" i="2"/>
  <c r="EA16" i="2" s="1"/>
  <c r="DE16" i="2"/>
  <c r="CY16" i="2"/>
  <c r="BM16" i="2"/>
  <c r="BR16" i="2"/>
  <c r="AS16" i="2"/>
  <c r="BC16" i="2"/>
  <c r="BI16" i="2"/>
  <c r="AT16" i="2"/>
  <c r="AY16" i="2" s="1"/>
  <c r="BJ16" i="2"/>
  <c r="BP16" i="2" s="1"/>
  <c r="BB16" i="2"/>
  <c r="AW16" i="2"/>
  <c r="AM16" i="2"/>
  <c r="AL16" i="2"/>
  <c r="AG16" i="2"/>
  <c r="BS16" i="2"/>
  <c r="FG15" i="2"/>
  <c r="CU15" i="2"/>
  <c r="CU16" i="2" s="1"/>
  <c r="CG14" i="2"/>
  <c r="CD15" i="2"/>
  <c r="AD16" i="2"/>
  <c r="W16" i="2"/>
  <c r="AC16" i="2"/>
  <c r="V16" i="2"/>
  <c r="G16" i="2"/>
  <c r="A17" i="2"/>
  <c r="Q16" i="2"/>
  <c r="M16" i="2"/>
  <c r="N16" i="2"/>
  <c r="F16" i="2"/>
  <c r="S15" i="2"/>
  <c r="T15" i="2"/>
  <c r="AI13" i="2"/>
  <c r="AJ13" i="2"/>
  <c r="AH13" i="2"/>
  <c r="AK12" i="2"/>
  <c r="R15" i="2"/>
  <c r="U14" i="2"/>
  <c r="E18" i="2"/>
  <c r="ER17" i="2" l="1"/>
  <c r="CW15" i="2"/>
  <c r="CT16" i="2"/>
  <c r="DM15" i="2"/>
  <c r="DJ16" i="2"/>
  <c r="DZ16" i="2"/>
  <c r="EC15" i="2"/>
  <c r="DL16" i="2"/>
  <c r="BQ15" i="2"/>
  <c r="BN16" i="2"/>
  <c r="CE17" i="2"/>
  <c r="AU17" i="2"/>
  <c r="FD17" i="2"/>
  <c r="EN17" i="2"/>
  <c r="FC17" i="2"/>
  <c r="DX17" i="2"/>
  <c r="DW17" i="2"/>
  <c r="EM17" i="2"/>
  <c r="CR17" i="2"/>
  <c r="CU17" i="2" s="1"/>
  <c r="CB17" i="2"/>
  <c r="DH17" i="2"/>
  <c r="BK17" i="2"/>
  <c r="AF17" i="2"/>
  <c r="BL17" i="2"/>
  <c r="P17" i="2"/>
  <c r="AE17" i="2"/>
  <c r="DG17" i="2"/>
  <c r="AV17" i="2"/>
  <c r="O17" i="2"/>
  <c r="CA17" i="2"/>
  <c r="CQ17" i="2"/>
  <c r="FE17" i="2"/>
  <c r="FA17" i="2"/>
  <c r="FB17" i="2"/>
  <c r="FH17" i="2" s="1"/>
  <c r="ET17" i="2"/>
  <c r="EL17" i="2"/>
  <c r="EO17" i="2"/>
  <c r="ED17" i="2"/>
  <c r="DV17" i="2"/>
  <c r="EB17" i="2" s="1"/>
  <c r="EU17" i="2"/>
  <c r="DY17" i="2"/>
  <c r="EK17" i="2"/>
  <c r="EE17" i="2"/>
  <c r="DE17" i="2"/>
  <c r="CY17" i="2"/>
  <c r="BM17" i="2"/>
  <c r="DN17" i="2"/>
  <c r="DF17" i="2"/>
  <c r="DK17" i="2" s="1"/>
  <c r="CO17" i="2"/>
  <c r="CI17" i="2"/>
  <c r="BY17" i="2"/>
  <c r="BR17" i="2"/>
  <c r="DU17" i="2"/>
  <c r="DO17" i="2"/>
  <c r="DI17" i="2"/>
  <c r="CX17" i="2"/>
  <c r="CP17" i="2"/>
  <c r="CV17" i="2" s="1"/>
  <c r="BZ17" i="2"/>
  <c r="CF17" i="2" s="1"/>
  <c r="CH17" i="2"/>
  <c r="CS17" i="2"/>
  <c r="BJ17" i="2"/>
  <c r="BP17" i="2" s="1"/>
  <c r="BB17" i="2"/>
  <c r="AW17" i="2"/>
  <c r="AM17" i="2"/>
  <c r="AS17" i="2"/>
  <c r="CC17" i="2"/>
  <c r="BC17" i="2"/>
  <c r="BI17" i="2"/>
  <c r="AT17" i="2"/>
  <c r="AY17" i="2" s="1"/>
  <c r="AL17" i="2"/>
  <c r="AG17" i="2"/>
  <c r="BS17" i="2"/>
  <c r="FF16" i="2"/>
  <c r="FI15" i="2"/>
  <c r="ES15" i="2"/>
  <c r="EP16" i="2"/>
  <c r="CG15" i="2"/>
  <c r="CD16" i="2"/>
  <c r="FG16" i="2"/>
  <c r="FG17" i="2" s="1"/>
  <c r="BA15" i="2"/>
  <c r="AX16" i="2"/>
  <c r="EQ16" i="2"/>
  <c r="EQ17" i="2" s="1"/>
  <c r="BO16" i="2"/>
  <c r="BO17" i="2" s="1"/>
  <c r="AZ16" i="2"/>
  <c r="AZ17" i="2" s="1"/>
  <c r="AC17" i="2"/>
  <c r="V17" i="2"/>
  <c r="AD17" i="2"/>
  <c r="W17" i="2"/>
  <c r="Q17" i="2"/>
  <c r="M17" i="2"/>
  <c r="N17" i="2"/>
  <c r="F17" i="2"/>
  <c r="G17" i="2"/>
  <c r="A18" i="2"/>
  <c r="S16" i="2"/>
  <c r="T16" i="2"/>
  <c r="AJ14" i="2"/>
  <c r="AI14" i="2"/>
  <c r="AK13" i="2"/>
  <c r="AH14" i="2"/>
  <c r="R16" i="2"/>
  <c r="U15" i="2"/>
  <c r="E20" i="2"/>
  <c r="E19" i="2"/>
  <c r="CE18" i="2" l="1"/>
  <c r="EC16" i="2"/>
  <c r="DZ17" i="2"/>
  <c r="EA17" i="2"/>
  <c r="EA18" i="2" s="1"/>
  <c r="BA16" i="2"/>
  <c r="AX17" i="2"/>
  <c r="CD17" i="2"/>
  <c r="CG16" i="2"/>
  <c r="DJ17" i="2"/>
  <c r="DM16" i="2"/>
  <c r="EQ18" i="2"/>
  <c r="FF17" i="2"/>
  <c r="FI16" i="2"/>
  <c r="BN17" i="2"/>
  <c r="BQ16" i="2"/>
  <c r="DL17" i="2"/>
  <c r="FC18" i="2"/>
  <c r="FD18" i="2"/>
  <c r="EM18" i="2"/>
  <c r="EN18" i="2"/>
  <c r="DH18" i="2"/>
  <c r="DW18" i="2"/>
  <c r="CR18" i="2"/>
  <c r="CU18" i="2" s="1"/>
  <c r="CB18" i="2"/>
  <c r="AV18" i="2"/>
  <c r="DX18" i="2"/>
  <c r="BK18" i="2"/>
  <c r="AF18" i="2"/>
  <c r="DG18" i="2"/>
  <c r="CQ18" i="2"/>
  <c r="CA18" i="2"/>
  <c r="O18" i="2"/>
  <c r="P18" i="2"/>
  <c r="AU18" i="2"/>
  <c r="AE18" i="2"/>
  <c r="BL18" i="2"/>
  <c r="FB18" i="2"/>
  <c r="FH18" i="2" s="1"/>
  <c r="FE18" i="2"/>
  <c r="FA18" i="2"/>
  <c r="EU18" i="2"/>
  <c r="ET18" i="2"/>
  <c r="EL18" i="2"/>
  <c r="ER18" i="2" s="1"/>
  <c r="DU18" i="2"/>
  <c r="DO18" i="2"/>
  <c r="ED18" i="2"/>
  <c r="DV18" i="2"/>
  <c r="EB18" i="2" s="1"/>
  <c r="DY18" i="2"/>
  <c r="EE18" i="2"/>
  <c r="CS18" i="2"/>
  <c r="CH18" i="2"/>
  <c r="CC18" i="2"/>
  <c r="EK18" i="2"/>
  <c r="DE18" i="2"/>
  <c r="CY18" i="2"/>
  <c r="BM18" i="2"/>
  <c r="EO18" i="2"/>
  <c r="DN18" i="2"/>
  <c r="DF18" i="2"/>
  <c r="DK18" i="2" s="1"/>
  <c r="CO18" i="2"/>
  <c r="CI18" i="2"/>
  <c r="BY18" i="2"/>
  <c r="BR18" i="2"/>
  <c r="DI18" i="2"/>
  <c r="CP18" i="2"/>
  <c r="CV18" i="2" s="1"/>
  <c r="CX18" i="2"/>
  <c r="BZ18" i="2"/>
  <c r="CF18" i="2" s="1"/>
  <c r="BI18" i="2"/>
  <c r="AT18" i="2"/>
  <c r="AY18" i="2" s="1"/>
  <c r="BJ18" i="2"/>
  <c r="BP18" i="2" s="1"/>
  <c r="BB18" i="2"/>
  <c r="AW18" i="2"/>
  <c r="AZ18" i="2" s="1"/>
  <c r="AM18" i="2"/>
  <c r="AL18" i="2"/>
  <c r="AS18" i="2"/>
  <c r="BC18" i="2"/>
  <c r="AG18" i="2"/>
  <c r="BS18" i="2"/>
  <c r="BO18" i="2"/>
  <c r="FG18" i="2"/>
  <c r="EP17" i="2"/>
  <c r="ES16" i="2"/>
  <c r="CT17" i="2"/>
  <c r="CW16" i="2"/>
  <c r="T17" i="2"/>
  <c r="AC18" i="2"/>
  <c r="V18" i="2"/>
  <c r="W18" i="2"/>
  <c r="AD18" i="2"/>
  <c r="N18" i="2"/>
  <c r="F18" i="2"/>
  <c r="G18" i="2"/>
  <c r="A19" i="2"/>
  <c r="Q18" i="2"/>
  <c r="M18" i="2"/>
  <c r="S17" i="2"/>
  <c r="AJ15" i="2"/>
  <c r="AK14" i="2"/>
  <c r="AH15" i="2"/>
  <c r="AI15" i="2"/>
  <c r="R17" i="2"/>
  <c r="U16" i="2"/>
  <c r="E21" i="2"/>
  <c r="DZ18" i="2" l="1"/>
  <c r="EC17" i="2"/>
  <c r="FF18" i="2"/>
  <c r="FI17" i="2"/>
  <c r="DJ18" i="2"/>
  <c r="DM17" i="2"/>
  <c r="CG17" i="2"/>
  <c r="CD18" i="2"/>
  <c r="CT18" i="2"/>
  <c r="CW17" i="2"/>
  <c r="BQ17" i="2"/>
  <c r="BN18" i="2"/>
  <c r="BA17" i="2"/>
  <c r="AX18" i="2"/>
  <c r="BA18" i="2" s="1"/>
  <c r="AT19" i="2"/>
  <c r="EN19" i="2"/>
  <c r="FC19" i="2"/>
  <c r="FD19" i="2"/>
  <c r="EM19" i="2"/>
  <c r="DX19" i="2"/>
  <c r="DG19" i="2"/>
  <c r="DH19" i="2"/>
  <c r="CQ19" i="2"/>
  <c r="CA19" i="2"/>
  <c r="CR19" i="2"/>
  <c r="CB19" i="2"/>
  <c r="AV19" i="2"/>
  <c r="DW19" i="2"/>
  <c r="BL19" i="2"/>
  <c r="AU19" i="2"/>
  <c r="O19" i="2"/>
  <c r="AF19" i="2"/>
  <c r="BK19" i="2"/>
  <c r="P19" i="2"/>
  <c r="AE19" i="2"/>
  <c r="FA19" i="2"/>
  <c r="FB19" i="2"/>
  <c r="FH19" i="2" s="1"/>
  <c r="FE19" i="2"/>
  <c r="EO19" i="2"/>
  <c r="EU19" i="2"/>
  <c r="ET19" i="2"/>
  <c r="EK19" i="2"/>
  <c r="EE19" i="2"/>
  <c r="EL19" i="2"/>
  <c r="ER19" i="2" s="1"/>
  <c r="DU19" i="2"/>
  <c r="DO19" i="2"/>
  <c r="ED19" i="2"/>
  <c r="DV19" i="2"/>
  <c r="EB19" i="2" s="1"/>
  <c r="DI19" i="2"/>
  <c r="CX19" i="2"/>
  <c r="CP19" i="2"/>
  <c r="CU19" i="2" s="1"/>
  <c r="BZ19" i="2"/>
  <c r="CF19" i="2" s="1"/>
  <c r="DY19" i="2"/>
  <c r="CS19" i="2"/>
  <c r="CH19" i="2"/>
  <c r="CC19" i="2"/>
  <c r="DE19" i="2"/>
  <c r="CY19" i="2"/>
  <c r="BM19" i="2"/>
  <c r="DN19" i="2"/>
  <c r="CO19" i="2"/>
  <c r="BY19" i="2"/>
  <c r="DF19" i="2"/>
  <c r="DK19" i="2" s="1"/>
  <c r="CI19" i="2"/>
  <c r="BC19" i="2"/>
  <c r="BI19" i="2"/>
  <c r="BJ19" i="2"/>
  <c r="BO19" i="2" s="1"/>
  <c r="BB19" i="2"/>
  <c r="AW19" i="2"/>
  <c r="AM19" i="2"/>
  <c r="AL19" i="2"/>
  <c r="BR19" i="2"/>
  <c r="AS19" i="2"/>
  <c r="AG19" i="2"/>
  <c r="BS19" i="2"/>
  <c r="EA19" i="2"/>
  <c r="CE19" i="2"/>
  <c r="EP18" i="2"/>
  <c r="ES17" i="2"/>
  <c r="DL18" i="2"/>
  <c r="DL19" i="2" s="1"/>
  <c r="T18" i="2"/>
  <c r="S18" i="2"/>
  <c r="AD19" i="2"/>
  <c r="AC19" i="2"/>
  <c r="W19" i="2"/>
  <c r="V19" i="2"/>
  <c r="G19" i="2"/>
  <c r="A20" i="2"/>
  <c r="Q19" i="2"/>
  <c r="F19" i="2"/>
  <c r="N19" i="2"/>
  <c r="M19" i="2"/>
  <c r="AJ16" i="2"/>
  <c r="AI16" i="2"/>
  <c r="AH16" i="2"/>
  <c r="AK15" i="2"/>
  <c r="R18" i="2"/>
  <c r="U17" i="2"/>
  <c r="E22" i="2"/>
  <c r="FC20" i="2" l="1"/>
  <c r="EN20" i="2"/>
  <c r="DX20" i="2"/>
  <c r="CR20" i="2"/>
  <c r="DG20" i="2"/>
  <c r="CQ20" i="2"/>
  <c r="BL20" i="2"/>
  <c r="AU20" i="2"/>
  <c r="EM20" i="2"/>
  <c r="DH20" i="2"/>
  <c r="CA20" i="2"/>
  <c r="BK20" i="2"/>
  <c r="AV20" i="2"/>
  <c r="AF20" i="2"/>
  <c r="AE20" i="2"/>
  <c r="DW20" i="2"/>
  <c r="FD20" i="2"/>
  <c r="CB20" i="2"/>
  <c r="P20" i="2"/>
  <c r="O20" i="2"/>
  <c r="FA20" i="2"/>
  <c r="FB20" i="2"/>
  <c r="ET20" i="2"/>
  <c r="EL20" i="2"/>
  <c r="ER20" i="2" s="1"/>
  <c r="EO20" i="2"/>
  <c r="EU20" i="2"/>
  <c r="FE20" i="2"/>
  <c r="FH20" i="2" s="1"/>
  <c r="DY20" i="2"/>
  <c r="EK20" i="2"/>
  <c r="EE20" i="2"/>
  <c r="DU20" i="2"/>
  <c r="DO20" i="2"/>
  <c r="DV20" i="2"/>
  <c r="EB20" i="2" s="1"/>
  <c r="DN20" i="2"/>
  <c r="DF20" i="2"/>
  <c r="DK20" i="2" s="1"/>
  <c r="CO20" i="2"/>
  <c r="CI20" i="2"/>
  <c r="BY20" i="2"/>
  <c r="DI20" i="2"/>
  <c r="CX20" i="2"/>
  <c r="CP20" i="2"/>
  <c r="CU20" i="2" s="1"/>
  <c r="BZ20" i="2"/>
  <c r="CF20" i="2" s="1"/>
  <c r="ED20" i="2"/>
  <c r="CS20" i="2"/>
  <c r="CH20" i="2"/>
  <c r="CC20" i="2"/>
  <c r="DE20" i="2"/>
  <c r="CY20" i="2"/>
  <c r="BR20" i="2"/>
  <c r="BM20" i="2"/>
  <c r="AS20" i="2"/>
  <c r="BC20" i="2"/>
  <c r="AT20" i="2"/>
  <c r="BI20" i="2"/>
  <c r="BJ20" i="2"/>
  <c r="BO20" i="2" s="1"/>
  <c r="BB20" i="2"/>
  <c r="AW20" i="2"/>
  <c r="AM20" i="2"/>
  <c r="AL20" i="2"/>
  <c r="AG20" i="2"/>
  <c r="BS20" i="2"/>
  <c r="CE20" i="2"/>
  <c r="CW18" i="2"/>
  <c r="CT19" i="2"/>
  <c r="DM18" i="2"/>
  <c r="DJ19" i="2"/>
  <c r="DZ19" i="2"/>
  <c r="EC18" i="2"/>
  <c r="EA20" i="2"/>
  <c r="CD19" i="2"/>
  <c r="CG18" i="2"/>
  <c r="EQ19" i="2"/>
  <c r="EQ20" i="2" s="1"/>
  <c r="FG19" i="2"/>
  <c r="FG20" i="2" s="1"/>
  <c r="ES18" i="2"/>
  <c r="EP19" i="2"/>
  <c r="BP19" i="2"/>
  <c r="BP20" i="2" s="1"/>
  <c r="CV19" i="2"/>
  <c r="CV20" i="2" s="1"/>
  <c r="DL20" i="2"/>
  <c r="BN19" i="2"/>
  <c r="BQ18" i="2"/>
  <c r="FF19" i="2"/>
  <c r="FI18" i="2"/>
  <c r="S19" i="2"/>
  <c r="V20" i="2"/>
  <c r="AD20" i="2"/>
  <c r="W20" i="2"/>
  <c r="AC20" i="2"/>
  <c r="M20" i="2"/>
  <c r="N20" i="2"/>
  <c r="G20" i="2"/>
  <c r="F20" i="2"/>
  <c r="A21" i="2"/>
  <c r="Q20" i="2"/>
  <c r="T19" i="2"/>
  <c r="AJ17" i="2"/>
  <c r="AH17" i="2"/>
  <c r="AK16" i="2"/>
  <c r="AI17" i="2"/>
  <c r="R19" i="2"/>
  <c r="U18" i="2"/>
  <c r="CT20" i="2" l="1"/>
  <c r="CW19" i="2"/>
  <c r="BN20" i="2"/>
  <c r="BQ19" i="2"/>
  <c r="EP20" i="2"/>
  <c r="ES19" i="2"/>
  <c r="CG19" i="2"/>
  <c r="CD20" i="2"/>
  <c r="FF20" i="2"/>
  <c r="FI19" i="2"/>
  <c r="DM19" i="2"/>
  <c r="DJ20" i="2"/>
  <c r="FD21" i="2"/>
  <c r="EN21" i="2"/>
  <c r="FC21" i="2"/>
  <c r="EM21" i="2"/>
  <c r="DX21" i="2"/>
  <c r="DW21" i="2"/>
  <c r="CR21" i="2"/>
  <c r="DH21" i="2"/>
  <c r="DG21" i="2"/>
  <c r="CB21" i="2"/>
  <c r="BK21" i="2"/>
  <c r="AF21" i="2"/>
  <c r="CQ21" i="2"/>
  <c r="BL21" i="2"/>
  <c r="AU21" i="2"/>
  <c r="P21" i="2"/>
  <c r="CA21" i="2"/>
  <c r="AV21" i="2"/>
  <c r="AE21" i="2"/>
  <c r="O21" i="2"/>
  <c r="FE21" i="2"/>
  <c r="FA21" i="2"/>
  <c r="ET21" i="2"/>
  <c r="EL21" i="2"/>
  <c r="ER21" i="2" s="1"/>
  <c r="FB21" i="2"/>
  <c r="FH21" i="2" s="1"/>
  <c r="EO21" i="2"/>
  <c r="ED21" i="2"/>
  <c r="DV21" i="2"/>
  <c r="EA21" i="2" s="1"/>
  <c r="DY21" i="2"/>
  <c r="EU21" i="2"/>
  <c r="EK21" i="2"/>
  <c r="EE21" i="2"/>
  <c r="DE21" i="2"/>
  <c r="CY21" i="2"/>
  <c r="BM21" i="2"/>
  <c r="DN21" i="2"/>
  <c r="DF21" i="2"/>
  <c r="DK21" i="2" s="1"/>
  <c r="CO21" i="2"/>
  <c r="CI21" i="2"/>
  <c r="BY21" i="2"/>
  <c r="BS21" i="2"/>
  <c r="BR21" i="2"/>
  <c r="DI21" i="2"/>
  <c r="CX21" i="2"/>
  <c r="CP21" i="2"/>
  <c r="CU21" i="2" s="1"/>
  <c r="BZ21" i="2"/>
  <c r="CF21" i="2" s="1"/>
  <c r="DU21" i="2"/>
  <c r="DO21" i="2"/>
  <c r="CS21" i="2"/>
  <c r="CC21" i="2"/>
  <c r="CH21" i="2"/>
  <c r="BJ21" i="2"/>
  <c r="BO21" i="2" s="1"/>
  <c r="BB21" i="2"/>
  <c r="AW21" i="2"/>
  <c r="AM21" i="2"/>
  <c r="AS21" i="2"/>
  <c r="BC21" i="2"/>
  <c r="AT21" i="2"/>
  <c r="BI21" i="2"/>
  <c r="AG21" i="2"/>
  <c r="AL21" i="2"/>
  <c r="CV21" i="2"/>
  <c r="EC19" i="2"/>
  <c r="DZ20" i="2"/>
  <c r="S20" i="2"/>
  <c r="AI18" i="2"/>
  <c r="AD21" i="2"/>
  <c r="W21" i="2"/>
  <c r="V21" i="2"/>
  <c r="AC21" i="2"/>
  <c r="A22" i="2"/>
  <c r="F21" i="2"/>
  <c r="Q21" i="2"/>
  <c r="N21" i="2"/>
  <c r="G21" i="2"/>
  <c r="M21" i="2"/>
  <c r="T20" i="2"/>
  <c r="AJ18" i="2"/>
  <c r="AH18" i="2"/>
  <c r="AK17" i="2"/>
  <c r="R20" i="2"/>
  <c r="U19" i="2"/>
  <c r="E24" i="2"/>
  <c r="E23" i="2"/>
  <c r="EQ21" i="2" l="1"/>
  <c r="DJ21" i="2"/>
  <c r="DM20" i="2"/>
  <c r="BP21" i="2"/>
  <c r="FF21" i="2"/>
  <c r="FI20" i="2"/>
  <c r="CE21" i="2"/>
  <c r="FG21" i="2"/>
  <c r="BQ20" i="2"/>
  <c r="BN21" i="2"/>
  <c r="EB21" i="2"/>
  <c r="EC20" i="2"/>
  <c r="DZ21" i="2"/>
  <c r="FC22" i="2"/>
  <c r="FD22" i="2"/>
  <c r="EM22" i="2"/>
  <c r="EN22" i="2"/>
  <c r="DH22" i="2"/>
  <c r="DX22" i="2"/>
  <c r="DW22" i="2"/>
  <c r="CR22" i="2"/>
  <c r="DG22" i="2"/>
  <c r="AV22" i="2"/>
  <c r="BK22" i="2"/>
  <c r="AF22" i="2"/>
  <c r="O22" i="2"/>
  <c r="CQ22" i="2"/>
  <c r="BL22" i="2"/>
  <c r="AU22" i="2"/>
  <c r="P22" i="2"/>
  <c r="CA22" i="2"/>
  <c r="AE22" i="2"/>
  <c r="CB22" i="2"/>
  <c r="FB22" i="2"/>
  <c r="FH22" i="2" s="1"/>
  <c r="FE22" i="2"/>
  <c r="EU22" i="2"/>
  <c r="FA22" i="2"/>
  <c r="ET22" i="2"/>
  <c r="EL22" i="2"/>
  <c r="ER22" i="2" s="1"/>
  <c r="EO22" i="2"/>
  <c r="DU22" i="2"/>
  <c r="DO22" i="2"/>
  <c r="ED22" i="2"/>
  <c r="DV22" i="2"/>
  <c r="EA22" i="2" s="1"/>
  <c r="DY22" i="2"/>
  <c r="CS22" i="2"/>
  <c r="CH22" i="2"/>
  <c r="CC22" i="2"/>
  <c r="EE22" i="2"/>
  <c r="DE22" i="2"/>
  <c r="CY22" i="2"/>
  <c r="BM22" i="2"/>
  <c r="EK22" i="2"/>
  <c r="DN22" i="2"/>
  <c r="DF22" i="2"/>
  <c r="DK22" i="2" s="1"/>
  <c r="CO22" i="2"/>
  <c r="CI22" i="2"/>
  <c r="BY22" i="2"/>
  <c r="BS22" i="2"/>
  <c r="BR22" i="2"/>
  <c r="CX22" i="2"/>
  <c r="DI22" i="2"/>
  <c r="CP22" i="2"/>
  <c r="CU22" i="2" s="1"/>
  <c r="BI22" i="2"/>
  <c r="BZ22" i="2"/>
  <c r="CF22" i="2" s="1"/>
  <c r="BJ22" i="2"/>
  <c r="BO22" i="2" s="1"/>
  <c r="BB22" i="2"/>
  <c r="AW22" i="2"/>
  <c r="AM22" i="2"/>
  <c r="AL22" i="2"/>
  <c r="AS22" i="2"/>
  <c r="BC22" i="2"/>
  <c r="AT22" i="2"/>
  <c r="AG22" i="2"/>
  <c r="DL21" i="2"/>
  <c r="DL22" i="2" s="1"/>
  <c r="CG20" i="2"/>
  <c r="CD21" i="2"/>
  <c r="ES20" i="2"/>
  <c r="EP21" i="2"/>
  <c r="CT21" i="2"/>
  <c r="CW20" i="2"/>
  <c r="S21" i="2"/>
  <c r="T21" i="2"/>
  <c r="AC22" i="2"/>
  <c r="V22" i="2"/>
  <c r="AD22" i="2"/>
  <c r="W22" i="2"/>
  <c r="G22" i="2"/>
  <c r="F22" i="2"/>
  <c r="A23" i="2"/>
  <c r="Q22" i="2"/>
  <c r="M22" i="2"/>
  <c r="N22" i="2"/>
  <c r="AJ19" i="2"/>
  <c r="AI19" i="2"/>
  <c r="AH19" i="2"/>
  <c r="AK18" i="2"/>
  <c r="R21" i="2"/>
  <c r="U20" i="2"/>
  <c r="E25" i="2"/>
  <c r="CG21" i="2" l="1"/>
  <c r="CD22" i="2"/>
  <c r="EN23" i="2"/>
  <c r="FC23" i="2"/>
  <c r="FD23" i="2"/>
  <c r="EM23" i="2"/>
  <c r="DG23" i="2"/>
  <c r="DH23" i="2"/>
  <c r="DX23" i="2"/>
  <c r="DW23" i="2"/>
  <c r="CR23" i="2"/>
  <c r="CB23" i="2"/>
  <c r="CA23" i="2"/>
  <c r="AV23" i="2"/>
  <c r="AU23" i="2"/>
  <c r="BK23" i="2"/>
  <c r="AF23" i="2"/>
  <c r="O23" i="2"/>
  <c r="CQ23" i="2"/>
  <c r="BL23" i="2"/>
  <c r="AE23" i="2"/>
  <c r="P23" i="2"/>
  <c r="FA23" i="2"/>
  <c r="FB23" i="2"/>
  <c r="FH23" i="2" s="1"/>
  <c r="FE23" i="2"/>
  <c r="EO23" i="2"/>
  <c r="EU23" i="2"/>
  <c r="EK23" i="2"/>
  <c r="EE23" i="2"/>
  <c r="ET23" i="2"/>
  <c r="DU23" i="2"/>
  <c r="DO23" i="2"/>
  <c r="EL23" i="2"/>
  <c r="ER23" i="2" s="1"/>
  <c r="ED23" i="2"/>
  <c r="DV23" i="2"/>
  <c r="EA23" i="2" s="1"/>
  <c r="DI23" i="2"/>
  <c r="CX23" i="2"/>
  <c r="CP23" i="2"/>
  <c r="CU23" i="2" s="1"/>
  <c r="BZ23" i="2"/>
  <c r="CF23" i="2" s="1"/>
  <c r="CS23" i="2"/>
  <c r="CH23" i="2"/>
  <c r="CC23" i="2"/>
  <c r="DY23" i="2"/>
  <c r="DE23" i="2"/>
  <c r="CY23" i="2"/>
  <c r="BM23" i="2"/>
  <c r="DN23" i="2"/>
  <c r="CO23" i="2"/>
  <c r="BY23" i="2"/>
  <c r="BR23" i="2"/>
  <c r="DF23" i="2"/>
  <c r="DK23" i="2" s="1"/>
  <c r="BC23" i="2"/>
  <c r="AT23" i="2"/>
  <c r="BI23" i="2"/>
  <c r="BJ23" i="2"/>
  <c r="BO23" i="2" s="1"/>
  <c r="BB23" i="2"/>
  <c r="AW23" i="2"/>
  <c r="AL23" i="2"/>
  <c r="CI23" i="2"/>
  <c r="AS23" i="2"/>
  <c r="BS23" i="2"/>
  <c r="AG23" i="2"/>
  <c r="AM23" i="2"/>
  <c r="CW21" i="2"/>
  <c r="CT22" i="2"/>
  <c r="EC21" i="2"/>
  <c r="DZ22" i="2"/>
  <c r="FG22" i="2"/>
  <c r="FG23" i="2" s="1"/>
  <c r="DJ22" i="2"/>
  <c r="DM21" i="2"/>
  <c r="EB22" i="2"/>
  <c r="EB23" i="2" s="1"/>
  <c r="CE22" i="2"/>
  <c r="CE23" i="2" s="1"/>
  <c r="CV22" i="2"/>
  <c r="CV23" i="2" s="1"/>
  <c r="EP22" i="2"/>
  <c r="ES21" i="2"/>
  <c r="BQ21" i="2"/>
  <c r="BN22" i="2"/>
  <c r="BP22" i="2"/>
  <c r="BP23" i="2" s="1"/>
  <c r="FF22" i="2"/>
  <c r="FI21" i="2"/>
  <c r="EQ22" i="2"/>
  <c r="EQ23" i="2" s="1"/>
  <c r="S22" i="2"/>
  <c r="T22" i="2"/>
  <c r="AD23" i="2"/>
  <c r="AC23" i="2"/>
  <c r="V23" i="2"/>
  <c r="W23" i="2"/>
  <c r="A24" i="2"/>
  <c r="M23" i="2"/>
  <c r="N23" i="2"/>
  <c r="Q23" i="2"/>
  <c r="G23" i="2"/>
  <c r="F23" i="2"/>
  <c r="AJ20" i="2"/>
  <c r="AI20" i="2"/>
  <c r="AH20" i="2"/>
  <c r="AK19" i="2"/>
  <c r="R22" i="2"/>
  <c r="U21" i="2"/>
  <c r="E26" i="2"/>
  <c r="BQ22" i="2" l="1"/>
  <c r="BN23" i="2"/>
  <c r="DZ23" i="2"/>
  <c r="EC22" i="2"/>
  <c r="CG22" i="2"/>
  <c r="CD23" i="2"/>
  <c r="ES22" i="2"/>
  <c r="EP23" i="2"/>
  <c r="DM22" i="2"/>
  <c r="DJ23" i="2"/>
  <c r="CT23" i="2"/>
  <c r="CW22" i="2"/>
  <c r="FC24" i="2"/>
  <c r="EN24" i="2"/>
  <c r="DX24" i="2"/>
  <c r="EM24" i="2"/>
  <c r="CR24" i="2"/>
  <c r="DG24" i="2"/>
  <c r="CQ24" i="2"/>
  <c r="DW24" i="2"/>
  <c r="DH24" i="2"/>
  <c r="BL24" i="2"/>
  <c r="AU24" i="2"/>
  <c r="CB24" i="2"/>
  <c r="CA24" i="2"/>
  <c r="AE24" i="2"/>
  <c r="AF24" i="2"/>
  <c r="BK24" i="2"/>
  <c r="AV24" i="2"/>
  <c r="P24" i="2"/>
  <c r="O24" i="2"/>
  <c r="FD24" i="2"/>
  <c r="FA24" i="2"/>
  <c r="FB24" i="2"/>
  <c r="FH24" i="2" s="1"/>
  <c r="FE24" i="2"/>
  <c r="ET24" i="2"/>
  <c r="EL24" i="2"/>
  <c r="EQ24" i="2" s="1"/>
  <c r="EO24" i="2"/>
  <c r="EU24" i="2"/>
  <c r="DY24" i="2"/>
  <c r="EK24" i="2"/>
  <c r="EE24" i="2"/>
  <c r="DU24" i="2"/>
  <c r="DO24" i="2"/>
  <c r="DN24" i="2"/>
  <c r="DF24" i="2"/>
  <c r="DK24" i="2" s="1"/>
  <c r="CO24" i="2"/>
  <c r="CI24" i="2"/>
  <c r="BY24" i="2"/>
  <c r="DV24" i="2"/>
  <c r="EA24" i="2" s="1"/>
  <c r="DI24" i="2"/>
  <c r="CX24" i="2"/>
  <c r="CP24" i="2"/>
  <c r="CU24" i="2" s="1"/>
  <c r="BZ24" i="2"/>
  <c r="CF24" i="2" s="1"/>
  <c r="CS24" i="2"/>
  <c r="CV24" i="2" s="1"/>
  <c r="CH24" i="2"/>
  <c r="CC24" i="2"/>
  <c r="ED24" i="2"/>
  <c r="DE24" i="2"/>
  <c r="CY24" i="2"/>
  <c r="BM24" i="2"/>
  <c r="BR24" i="2"/>
  <c r="AS24" i="2"/>
  <c r="BC24" i="2"/>
  <c r="AT24" i="2"/>
  <c r="BS24" i="2"/>
  <c r="BI24" i="2"/>
  <c r="AM24" i="2"/>
  <c r="BJ24" i="2"/>
  <c r="BO24" i="2" s="1"/>
  <c r="BB24" i="2"/>
  <c r="AW24" i="2"/>
  <c r="AL24" i="2"/>
  <c r="AG24" i="2"/>
  <c r="FF23" i="2"/>
  <c r="FI22" i="2"/>
  <c r="BP24" i="2"/>
  <c r="FG24" i="2"/>
  <c r="DL23" i="2"/>
  <c r="DL24" i="2" s="1"/>
  <c r="T23" i="2"/>
  <c r="S23" i="2"/>
  <c r="AD24" i="2"/>
  <c r="W24" i="2"/>
  <c r="AC24" i="2"/>
  <c r="V24" i="2"/>
  <c r="F24" i="2"/>
  <c r="G24" i="2"/>
  <c r="A25" i="2"/>
  <c r="Q24" i="2"/>
  <c r="N24" i="2"/>
  <c r="M24" i="2"/>
  <c r="AJ21" i="2"/>
  <c r="AI21" i="2"/>
  <c r="AI22" i="2" s="1"/>
  <c r="AH21" i="2"/>
  <c r="AK20" i="2"/>
  <c r="R23" i="2"/>
  <c r="U22" i="2"/>
  <c r="DK25" i="2" l="1"/>
  <c r="BO25" i="2"/>
  <c r="CV25" i="2"/>
  <c r="FD25" i="2"/>
  <c r="EN25" i="2"/>
  <c r="DX25" i="2"/>
  <c r="DW25" i="2"/>
  <c r="CR25" i="2"/>
  <c r="EM25" i="2"/>
  <c r="CB25" i="2"/>
  <c r="FC25" i="2"/>
  <c r="DG25" i="2"/>
  <c r="CQ25" i="2"/>
  <c r="BK25" i="2"/>
  <c r="AF25" i="2"/>
  <c r="BL25" i="2"/>
  <c r="AU25" i="2"/>
  <c r="P25" i="2"/>
  <c r="DH25" i="2"/>
  <c r="AE25" i="2"/>
  <c r="CA25" i="2"/>
  <c r="AV25" i="2"/>
  <c r="O25" i="2"/>
  <c r="FE25" i="2"/>
  <c r="FA25" i="2"/>
  <c r="ET25" i="2"/>
  <c r="EL25" i="2"/>
  <c r="EQ25" i="2" s="1"/>
  <c r="EO25" i="2"/>
  <c r="ED25" i="2"/>
  <c r="DV25" i="2"/>
  <c r="EA25" i="2" s="1"/>
  <c r="DY25" i="2"/>
  <c r="EK25" i="2"/>
  <c r="EE25" i="2"/>
  <c r="DU25" i="2"/>
  <c r="DO25" i="2"/>
  <c r="DE25" i="2"/>
  <c r="CY25" i="2"/>
  <c r="BM25" i="2"/>
  <c r="DN25" i="2"/>
  <c r="DF25" i="2"/>
  <c r="CO25" i="2"/>
  <c r="CI25" i="2"/>
  <c r="BY25" i="2"/>
  <c r="BR25" i="2"/>
  <c r="EU25" i="2"/>
  <c r="DI25" i="2"/>
  <c r="CX25" i="2"/>
  <c r="CP25" i="2"/>
  <c r="CU25" i="2" s="1"/>
  <c r="BZ25" i="2"/>
  <c r="CF25" i="2" s="1"/>
  <c r="FB25" i="2"/>
  <c r="FH25" i="2" s="1"/>
  <c r="CS25" i="2"/>
  <c r="BS25" i="2"/>
  <c r="CC25" i="2"/>
  <c r="CH25" i="2"/>
  <c r="BJ25" i="2"/>
  <c r="BB25" i="2"/>
  <c r="AW25" i="2"/>
  <c r="AS25" i="2"/>
  <c r="BC25" i="2"/>
  <c r="AT25" i="2"/>
  <c r="BI25" i="2"/>
  <c r="AM25" i="2"/>
  <c r="AG25" i="2"/>
  <c r="AL25" i="2"/>
  <c r="EB24" i="2"/>
  <c r="EB25" i="2" s="1"/>
  <c r="CG23" i="2"/>
  <c r="CD24" i="2"/>
  <c r="CE24" i="2"/>
  <c r="DL25" i="2"/>
  <c r="BP25" i="2"/>
  <c r="CT24" i="2"/>
  <c r="CW23" i="2"/>
  <c r="ES23" i="2"/>
  <c r="EP24" i="2"/>
  <c r="BN24" i="2"/>
  <c r="BQ23" i="2"/>
  <c r="ER24" i="2"/>
  <c r="ER25" i="2" s="1"/>
  <c r="DM23" i="2"/>
  <c r="DJ24" i="2"/>
  <c r="FG25" i="2"/>
  <c r="FF24" i="2"/>
  <c r="FI23" i="2"/>
  <c r="DZ24" i="2"/>
  <c r="EC23" i="2"/>
  <c r="S24" i="2"/>
  <c r="T24" i="2"/>
  <c r="AC25" i="2"/>
  <c r="V25" i="2"/>
  <c r="AD25" i="2"/>
  <c r="W25" i="2"/>
  <c r="N25" i="2"/>
  <c r="G25" i="2"/>
  <c r="M25" i="2"/>
  <c r="F25" i="2"/>
  <c r="Q25" i="2"/>
  <c r="A26" i="2"/>
  <c r="AJ22" i="2"/>
  <c r="AK21" i="2"/>
  <c r="AH22" i="2"/>
  <c r="R24" i="2"/>
  <c r="U23" i="2"/>
  <c r="E28" i="2"/>
  <c r="E27" i="2"/>
  <c r="CE25" i="2" l="1"/>
  <c r="FC26" i="2"/>
  <c r="FD26" i="2"/>
  <c r="EM26" i="2"/>
  <c r="EN26" i="2"/>
  <c r="DH26" i="2"/>
  <c r="DW26" i="2"/>
  <c r="DX26" i="2"/>
  <c r="AV26" i="2"/>
  <c r="DG26" i="2"/>
  <c r="CQ26" i="2"/>
  <c r="BK26" i="2"/>
  <c r="AF26" i="2"/>
  <c r="CR26" i="2"/>
  <c r="CB26" i="2"/>
  <c r="CA26" i="2"/>
  <c r="O26" i="2"/>
  <c r="P26" i="2"/>
  <c r="BL26" i="2"/>
  <c r="AU26" i="2"/>
  <c r="AE26" i="2"/>
  <c r="FB26" i="2"/>
  <c r="FG26" i="2" s="1"/>
  <c r="FE26" i="2"/>
  <c r="FH26" i="2" s="1"/>
  <c r="EU26" i="2"/>
  <c r="FA26" i="2"/>
  <c r="ET26" i="2"/>
  <c r="EL26" i="2"/>
  <c r="EQ26" i="2" s="1"/>
  <c r="DU26" i="2"/>
  <c r="DO26" i="2"/>
  <c r="EO26" i="2"/>
  <c r="ED26" i="2"/>
  <c r="DV26" i="2"/>
  <c r="EA26" i="2" s="1"/>
  <c r="DY26" i="2"/>
  <c r="CS26" i="2"/>
  <c r="CH26" i="2"/>
  <c r="CC26" i="2"/>
  <c r="DE26" i="2"/>
  <c r="CY26" i="2"/>
  <c r="BM26" i="2"/>
  <c r="BS26" i="2"/>
  <c r="EE26" i="2"/>
  <c r="DN26" i="2"/>
  <c r="DF26" i="2"/>
  <c r="CO26" i="2"/>
  <c r="CI26" i="2"/>
  <c r="BY26" i="2"/>
  <c r="BR26" i="2"/>
  <c r="EK26" i="2"/>
  <c r="CP26" i="2"/>
  <c r="CU26" i="2" s="1"/>
  <c r="CX26" i="2"/>
  <c r="BZ26" i="2"/>
  <c r="CF26" i="2" s="1"/>
  <c r="DI26" i="2"/>
  <c r="BI26" i="2"/>
  <c r="AM26" i="2"/>
  <c r="BJ26" i="2"/>
  <c r="BB26" i="2"/>
  <c r="AW26" i="2"/>
  <c r="AL26" i="2"/>
  <c r="AS26" i="2"/>
  <c r="BC26" i="2"/>
  <c r="AT26" i="2"/>
  <c r="AG26" i="2"/>
  <c r="DZ25" i="2"/>
  <c r="EC24" i="2"/>
  <c r="DM24" i="2"/>
  <c r="DJ25" i="2"/>
  <c r="BN25" i="2"/>
  <c r="BQ24" i="2"/>
  <c r="CT25" i="2"/>
  <c r="CW24" i="2"/>
  <c r="CD25" i="2"/>
  <c r="CG24" i="2"/>
  <c r="ES24" i="2"/>
  <c r="EP25" i="2"/>
  <c r="BP26" i="2"/>
  <c r="BO26" i="2"/>
  <c r="FF25" i="2"/>
  <c r="FI24" i="2"/>
  <c r="ER26" i="2"/>
  <c r="DL26" i="2"/>
  <c r="EB26" i="2"/>
  <c r="CV26" i="2"/>
  <c r="DK26" i="2"/>
  <c r="S25" i="2"/>
  <c r="W26" i="2"/>
  <c r="AC26" i="2"/>
  <c r="V26" i="2"/>
  <c r="AD26" i="2"/>
  <c r="N26" i="2"/>
  <c r="G26" i="2"/>
  <c r="A27" i="2"/>
  <c r="M26" i="2"/>
  <c r="F26" i="2"/>
  <c r="Q26" i="2"/>
  <c r="T25" i="2"/>
  <c r="AJ23" i="2"/>
  <c r="AK22" i="2"/>
  <c r="AH23" i="2"/>
  <c r="AI23" i="2"/>
  <c r="R25" i="2"/>
  <c r="U24" i="2"/>
  <c r="E29" i="2"/>
  <c r="C10" i="4"/>
  <c r="EN27" i="2" l="1"/>
  <c r="FC27" i="2"/>
  <c r="FD27" i="2"/>
  <c r="FG27" i="2" s="1"/>
  <c r="EM27" i="2"/>
  <c r="DX27" i="2"/>
  <c r="DG27" i="2"/>
  <c r="DH27" i="2"/>
  <c r="DW27" i="2"/>
  <c r="CA27" i="2"/>
  <c r="AV27" i="2"/>
  <c r="BL27" i="2"/>
  <c r="AU27" i="2"/>
  <c r="CR27" i="2"/>
  <c r="CU27" i="2" s="1"/>
  <c r="CB27" i="2"/>
  <c r="O27" i="2"/>
  <c r="CQ27" i="2"/>
  <c r="AF27" i="2"/>
  <c r="P27" i="2"/>
  <c r="BK27" i="2"/>
  <c r="AE27" i="2"/>
  <c r="FA27" i="2"/>
  <c r="FB27" i="2"/>
  <c r="FH27" i="2" s="1"/>
  <c r="FE27" i="2"/>
  <c r="EO27" i="2"/>
  <c r="EU27" i="2"/>
  <c r="EK27" i="2"/>
  <c r="EE27" i="2"/>
  <c r="DU27" i="2"/>
  <c r="DO27" i="2"/>
  <c r="ET27" i="2"/>
  <c r="ED27" i="2"/>
  <c r="DV27" i="2"/>
  <c r="EA27" i="2" s="1"/>
  <c r="DI27" i="2"/>
  <c r="CX27" i="2"/>
  <c r="CP27" i="2"/>
  <c r="BZ27" i="2"/>
  <c r="CF27" i="2" s="1"/>
  <c r="EL27" i="2"/>
  <c r="EQ27" i="2" s="1"/>
  <c r="CS27" i="2"/>
  <c r="CH27" i="2"/>
  <c r="CC27" i="2"/>
  <c r="DE27" i="2"/>
  <c r="CY27" i="2"/>
  <c r="BM27" i="2"/>
  <c r="BS27" i="2"/>
  <c r="DY27" i="2"/>
  <c r="DN27" i="2"/>
  <c r="DF27" i="2"/>
  <c r="DK27" i="2" s="1"/>
  <c r="CI27" i="2"/>
  <c r="CO27" i="2"/>
  <c r="BY27" i="2"/>
  <c r="BR27" i="2"/>
  <c r="BC27" i="2"/>
  <c r="AT27" i="2"/>
  <c r="BI27" i="2"/>
  <c r="AM27" i="2"/>
  <c r="BJ27" i="2"/>
  <c r="BB27" i="2"/>
  <c r="AW27" i="2"/>
  <c r="AL27" i="2"/>
  <c r="AS27" i="2"/>
  <c r="AG27" i="2"/>
  <c r="CV27" i="2"/>
  <c r="CG25" i="2"/>
  <c r="CD26" i="2"/>
  <c r="DM25" i="2"/>
  <c r="DJ26" i="2"/>
  <c r="CE26" i="2"/>
  <c r="CE27" i="2" s="1"/>
  <c r="EB27" i="2"/>
  <c r="FF26" i="2"/>
  <c r="FI25" i="2"/>
  <c r="CT26" i="2"/>
  <c r="CW25" i="2"/>
  <c r="DL27" i="2"/>
  <c r="BO27" i="2"/>
  <c r="BP27" i="2"/>
  <c r="EP26" i="2"/>
  <c r="ES25" i="2"/>
  <c r="BN26" i="2"/>
  <c r="BQ25" i="2"/>
  <c r="DZ26" i="2"/>
  <c r="EC25" i="2"/>
  <c r="T26" i="2"/>
  <c r="S26" i="2"/>
  <c r="AD27" i="2"/>
  <c r="AC27" i="2"/>
  <c r="W27" i="2"/>
  <c r="V27" i="2"/>
  <c r="N27" i="2"/>
  <c r="M27" i="2"/>
  <c r="F27" i="2"/>
  <c r="G27" i="2"/>
  <c r="A28" i="2"/>
  <c r="Q27" i="2"/>
  <c r="AJ24" i="2"/>
  <c r="AI24" i="2"/>
  <c r="AK23" i="2"/>
  <c r="AH24" i="2"/>
  <c r="R26" i="2"/>
  <c r="U25" i="2"/>
  <c r="E30" i="2"/>
  <c r="FC28" i="2" l="1"/>
  <c r="FD28" i="2"/>
  <c r="DX28" i="2"/>
  <c r="EM28" i="2"/>
  <c r="CR28" i="2"/>
  <c r="DG28" i="2"/>
  <c r="CQ28" i="2"/>
  <c r="EN28" i="2"/>
  <c r="CB28" i="2"/>
  <c r="BL28" i="2"/>
  <c r="AU28" i="2"/>
  <c r="DW28" i="2"/>
  <c r="CA28" i="2"/>
  <c r="BK28" i="2"/>
  <c r="AV28" i="2"/>
  <c r="AF28" i="2"/>
  <c r="AE28" i="2"/>
  <c r="DH28" i="2"/>
  <c r="O28" i="2"/>
  <c r="P28" i="2"/>
  <c r="FA28" i="2"/>
  <c r="FB28" i="2"/>
  <c r="FG28" i="2" s="1"/>
  <c r="ET28" i="2"/>
  <c r="EL28" i="2"/>
  <c r="EQ28" i="2" s="1"/>
  <c r="FE28" i="2"/>
  <c r="FH28" i="2" s="1"/>
  <c r="EO28" i="2"/>
  <c r="EU28" i="2"/>
  <c r="DY28" i="2"/>
  <c r="EB28" i="2" s="1"/>
  <c r="EK28" i="2"/>
  <c r="EE28" i="2"/>
  <c r="DU28" i="2"/>
  <c r="DO28" i="2"/>
  <c r="ED28" i="2"/>
  <c r="DN28" i="2"/>
  <c r="DF28" i="2"/>
  <c r="DK28" i="2" s="1"/>
  <c r="CO28" i="2"/>
  <c r="CI28" i="2"/>
  <c r="BY28" i="2"/>
  <c r="DI28" i="2"/>
  <c r="CX28" i="2"/>
  <c r="CP28" i="2"/>
  <c r="CU28" i="2" s="1"/>
  <c r="BZ28" i="2"/>
  <c r="CF28" i="2" s="1"/>
  <c r="DV28" i="2"/>
  <c r="EA28" i="2" s="1"/>
  <c r="CS28" i="2"/>
  <c r="CH28" i="2"/>
  <c r="CC28" i="2"/>
  <c r="BR28" i="2"/>
  <c r="DE28" i="2"/>
  <c r="CY28" i="2"/>
  <c r="AS28" i="2"/>
  <c r="BM28" i="2"/>
  <c r="BC28" i="2"/>
  <c r="AT28" i="2"/>
  <c r="BI28" i="2"/>
  <c r="AM28" i="2"/>
  <c r="BJ28" i="2"/>
  <c r="BP28" i="2" s="1"/>
  <c r="BB28" i="2"/>
  <c r="AW28" i="2"/>
  <c r="BS28" i="2"/>
  <c r="AG28" i="2"/>
  <c r="AL28" i="2"/>
  <c r="CG26" i="2"/>
  <c r="CD27" i="2"/>
  <c r="ER27" i="2"/>
  <c r="BN27" i="2"/>
  <c r="BQ26" i="2"/>
  <c r="DZ27" i="2"/>
  <c r="EC26" i="2"/>
  <c r="ES26" i="2"/>
  <c r="EP27" i="2"/>
  <c r="BO28" i="2"/>
  <c r="CT27" i="2"/>
  <c r="CW26" i="2"/>
  <c r="CE28" i="2"/>
  <c r="DL28" i="2"/>
  <c r="DJ27" i="2"/>
  <c r="DM26" i="2"/>
  <c r="FF27" i="2"/>
  <c r="FI26" i="2"/>
  <c r="CV28" i="2"/>
  <c r="T27" i="2"/>
  <c r="AC28" i="2"/>
  <c r="AD28" i="2"/>
  <c r="W28" i="2"/>
  <c r="V28" i="2"/>
  <c r="Q28" i="2"/>
  <c r="M28" i="2"/>
  <c r="N28" i="2"/>
  <c r="G28" i="2"/>
  <c r="A29" i="2"/>
  <c r="F28" i="2"/>
  <c r="S27" i="2"/>
  <c r="AJ25" i="2"/>
  <c r="AJ26" i="2" s="1"/>
  <c r="AI25" i="2"/>
  <c r="AH25" i="2"/>
  <c r="AK24" i="2"/>
  <c r="R27" i="2"/>
  <c r="U26" i="2"/>
  <c r="E31" i="2"/>
  <c r="ES27" i="2" l="1"/>
  <c r="EP28" i="2"/>
  <c r="FD29" i="2"/>
  <c r="EN29" i="2"/>
  <c r="FC29" i="2"/>
  <c r="EM29" i="2"/>
  <c r="DX29" i="2"/>
  <c r="DW29" i="2"/>
  <c r="CR29" i="2"/>
  <c r="DH29" i="2"/>
  <c r="DG29" i="2"/>
  <c r="CB29" i="2"/>
  <c r="BK29" i="2"/>
  <c r="AF29" i="2"/>
  <c r="BL29" i="2"/>
  <c r="AU29" i="2"/>
  <c r="CQ29" i="2"/>
  <c r="P29" i="2"/>
  <c r="CA29" i="2"/>
  <c r="AV29" i="2"/>
  <c r="AE29" i="2"/>
  <c r="O29" i="2"/>
  <c r="FE29" i="2"/>
  <c r="FA29" i="2"/>
  <c r="FB29" i="2"/>
  <c r="FG29" i="2" s="1"/>
  <c r="ET29" i="2"/>
  <c r="EL29" i="2"/>
  <c r="EQ29" i="2" s="1"/>
  <c r="EO29" i="2"/>
  <c r="EU29" i="2"/>
  <c r="ED29" i="2"/>
  <c r="DV29" i="2"/>
  <c r="EA29" i="2" s="1"/>
  <c r="DY29" i="2"/>
  <c r="EK29" i="2"/>
  <c r="EE29" i="2"/>
  <c r="DE29" i="2"/>
  <c r="CY29" i="2"/>
  <c r="BM29" i="2"/>
  <c r="DU29" i="2"/>
  <c r="DO29" i="2"/>
  <c r="DN29" i="2"/>
  <c r="DF29" i="2"/>
  <c r="DK29" i="2" s="1"/>
  <c r="CO29" i="2"/>
  <c r="CI29" i="2"/>
  <c r="BY29" i="2"/>
  <c r="DI29" i="2"/>
  <c r="CX29" i="2"/>
  <c r="CP29" i="2"/>
  <c r="CU29" i="2" s="1"/>
  <c r="BZ29" i="2"/>
  <c r="CF29" i="2" s="1"/>
  <c r="CS29" i="2"/>
  <c r="BS29" i="2"/>
  <c r="BR29" i="2"/>
  <c r="CC29" i="2"/>
  <c r="BJ29" i="2"/>
  <c r="BP29" i="2" s="1"/>
  <c r="BB29" i="2"/>
  <c r="AW29" i="2"/>
  <c r="AS29" i="2"/>
  <c r="CH29" i="2"/>
  <c r="BC29" i="2"/>
  <c r="AT29" i="2"/>
  <c r="BI29" i="2"/>
  <c r="AM29" i="2"/>
  <c r="AL29" i="2"/>
  <c r="AG29" i="2"/>
  <c r="DJ28" i="2"/>
  <c r="DM27" i="2"/>
  <c r="BN28" i="2"/>
  <c r="BQ27" i="2"/>
  <c r="ER28" i="2"/>
  <c r="ER29" i="2" s="1"/>
  <c r="FF28" i="2"/>
  <c r="FI27" i="2"/>
  <c r="DL29" i="2"/>
  <c r="CT28" i="2"/>
  <c r="CW27" i="2"/>
  <c r="CG27" i="2"/>
  <c r="CD28" i="2"/>
  <c r="BO29" i="2"/>
  <c r="EC27" i="2"/>
  <c r="DZ28" i="2"/>
  <c r="S28" i="2"/>
  <c r="T28" i="2"/>
  <c r="AD29" i="2"/>
  <c r="W29" i="2"/>
  <c r="AC29" i="2"/>
  <c r="V29" i="2"/>
  <c r="G29" i="2"/>
  <c r="F29" i="2"/>
  <c r="Q29" i="2"/>
  <c r="N29" i="2"/>
  <c r="A30" i="2"/>
  <c r="M29" i="2"/>
  <c r="AH26" i="2"/>
  <c r="AK25" i="2"/>
  <c r="AI26" i="2"/>
  <c r="R28" i="2"/>
  <c r="U27" i="2"/>
  <c r="E32" i="2"/>
  <c r="FC30" i="2" l="1"/>
  <c r="FD30" i="2"/>
  <c r="EM30" i="2"/>
  <c r="EN30" i="2"/>
  <c r="DH30" i="2"/>
  <c r="DX30" i="2"/>
  <c r="EA30" i="2" s="1"/>
  <c r="DW30" i="2"/>
  <c r="CR30" i="2"/>
  <c r="DG30" i="2"/>
  <c r="CQ30" i="2"/>
  <c r="AV30" i="2"/>
  <c r="CB30" i="2"/>
  <c r="BK30" i="2"/>
  <c r="AF30" i="2"/>
  <c r="O30" i="2"/>
  <c r="CA30" i="2"/>
  <c r="BL30" i="2"/>
  <c r="AU30" i="2"/>
  <c r="P30" i="2"/>
  <c r="AE30" i="2"/>
  <c r="FB30" i="2"/>
  <c r="FG30" i="2" s="1"/>
  <c r="FE30" i="2"/>
  <c r="EU30" i="2"/>
  <c r="ET30" i="2"/>
  <c r="EL30" i="2"/>
  <c r="EQ30" i="2" s="1"/>
  <c r="DU30" i="2"/>
  <c r="DO30" i="2"/>
  <c r="ED30" i="2"/>
  <c r="DV30" i="2"/>
  <c r="FA30" i="2"/>
  <c r="EO30" i="2"/>
  <c r="DY30" i="2"/>
  <c r="EK30" i="2"/>
  <c r="CS30" i="2"/>
  <c r="CH30" i="2"/>
  <c r="CC30" i="2"/>
  <c r="DE30" i="2"/>
  <c r="CY30" i="2"/>
  <c r="BM30" i="2"/>
  <c r="DN30" i="2"/>
  <c r="DF30" i="2"/>
  <c r="DK30" i="2" s="1"/>
  <c r="CO30" i="2"/>
  <c r="CI30" i="2"/>
  <c r="BY30" i="2"/>
  <c r="EE30" i="2"/>
  <c r="CP30" i="2"/>
  <c r="CU30" i="2" s="1"/>
  <c r="CX30" i="2"/>
  <c r="BZ30" i="2"/>
  <c r="CF30" i="2" s="1"/>
  <c r="DI30" i="2"/>
  <c r="BS30" i="2"/>
  <c r="BR30" i="2"/>
  <c r="BI30" i="2"/>
  <c r="AM30" i="2"/>
  <c r="BJ30" i="2"/>
  <c r="BP30" i="2" s="1"/>
  <c r="BB30" i="2"/>
  <c r="AW30" i="2"/>
  <c r="AS30" i="2"/>
  <c r="BC30" i="2"/>
  <c r="AT30" i="2"/>
  <c r="AL30" i="2"/>
  <c r="AG30" i="2"/>
  <c r="BO30" i="2"/>
  <c r="FF29" i="2"/>
  <c r="FI28" i="2"/>
  <c r="CE29" i="2"/>
  <c r="CE30" i="2" s="1"/>
  <c r="FH29" i="2"/>
  <c r="FH30" i="2" s="1"/>
  <c r="CW28" i="2"/>
  <c r="CT29" i="2"/>
  <c r="BN29" i="2"/>
  <c r="BQ28" i="2"/>
  <c r="CV29" i="2"/>
  <c r="CV30" i="2" s="1"/>
  <c r="EC28" i="2"/>
  <c r="DZ29" i="2"/>
  <c r="CD29" i="2"/>
  <c r="CG28" i="2"/>
  <c r="DL30" i="2"/>
  <c r="ES28" i="2"/>
  <c r="EP29" i="2"/>
  <c r="EB29" i="2"/>
  <c r="EB30" i="2" s="1"/>
  <c r="ER30" i="2"/>
  <c r="DJ29" i="2"/>
  <c r="DM28" i="2"/>
  <c r="T29" i="2"/>
  <c r="AI27" i="2"/>
  <c r="AC30" i="2"/>
  <c r="V30" i="2"/>
  <c r="W30" i="2"/>
  <c r="AD30" i="2"/>
  <c r="G30" i="2"/>
  <c r="Q30" i="2"/>
  <c r="M30" i="2"/>
  <c r="N30" i="2"/>
  <c r="F30" i="2"/>
  <c r="A31" i="2"/>
  <c r="S29" i="2"/>
  <c r="AJ27" i="2"/>
  <c r="AK26" i="2"/>
  <c r="AH27" i="2"/>
  <c r="R29" i="2"/>
  <c r="U28" i="2"/>
  <c r="CU31" i="2" l="1"/>
  <c r="CG29" i="2"/>
  <c r="CD30" i="2"/>
  <c r="EN31" i="2"/>
  <c r="FC31" i="2"/>
  <c r="FD31" i="2"/>
  <c r="EM31" i="2"/>
  <c r="DG31" i="2"/>
  <c r="DH31" i="2"/>
  <c r="DW31" i="2"/>
  <c r="CR31" i="2"/>
  <c r="CA31" i="2"/>
  <c r="CQ31" i="2"/>
  <c r="AV31" i="2"/>
  <c r="BL31" i="2"/>
  <c r="BK31" i="2"/>
  <c r="AF31" i="2"/>
  <c r="O31" i="2"/>
  <c r="DX31" i="2"/>
  <c r="CB31" i="2"/>
  <c r="AU31" i="2"/>
  <c r="AE31" i="2"/>
  <c r="P31" i="2"/>
  <c r="FB31" i="2"/>
  <c r="FG31" i="2" s="1"/>
  <c r="FE31" i="2"/>
  <c r="FA31" i="2"/>
  <c r="EO31" i="2"/>
  <c r="EU31" i="2"/>
  <c r="EK31" i="2"/>
  <c r="EE31" i="2"/>
  <c r="EL31" i="2"/>
  <c r="EQ31" i="2" s="1"/>
  <c r="DU31" i="2"/>
  <c r="DO31" i="2"/>
  <c r="ED31" i="2"/>
  <c r="DV31" i="2"/>
  <c r="EA31" i="2" s="1"/>
  <c r="DY31" i="2"/>
  <c r="EB31" i="2" s="1"/>
  <c r="DI31" i="2"/>
  <c r="CX31" i="2"/>
  <c r="CP31" i="2"/>
  <c r="BZ31" i="2"/>
  <c r="CF31" i="2" s="1"/>
  <c r="ET31" i="2"/>
  <c r="CS31" i="2"/>
  <c r="CH31" i="2"/>
  <c r="CC31" i="2"/>
  <c r="BS31" i="2"/>
  <c r="DE31" i="2"/>
  <c r="CY31" i="2"/>
  <c r="BM31" i="2"/>
  <c r="DN31" i="2"/>
  <c r="DF31" i="2"/>
  <c r="DK31" i="2" s="1"/>
  <c r="CI31" i="2"/>
  <c r="CO31" i="2"/>
  <c r="BY31" i="2"/>
  <c r="BC31" i="2"/>
  <c r="AT31" i="2"/>
  <c r="BR31" i="2"/>
  <c r="BI31" i="2"/>
  <c r="AM31" i="2"/>
  <c r="BJ31" i="2"/>
  <c r="BP31" i="2" s="1"/>
  <c r="BB31" i="2"/>
  <c r="AW31" i="2"/>
  <c r="AS31" i="2"/>
  <c r="AL31" i="2"/>
  <c r="AG31" i="2"/>
  <c r="EP30" i="2"/>
  <c r="ES29" i="2"/>
  <c r="DZ30" i="2"/>
  <c r="EC29" i="2"/>
  <c r="FF30" i="2"/>
  <c r="FI29" i="2"/>
  <c r="DM29" i="2"/>
  <c r="DJ30" i="2"/>
  <c r="DL31" i="2"/>
  <c r="BQ29" i="2"/>
  <c r="BN30" i="2"/>
  <c r="CE31" i="2"/>
  <c r="BO31" i="2"/>
  <c r="ER31" i="2"/>
  <c r="CV31" i="2"/>
  <c r="CW29" i="2"/>
  <c r="CT30" i="2"/>
  <c r="S30" i="2"/>
  <c r="T30" i="2"/>
  <c r="AD31" i="2"/>
  <c r="V31" i="2"/>
  <c r="W31" i="2"/>
  <c r="AC31" i="2"/>
  <c r="G31" i="2"/>
  <c r="A32" i="2"/>
  <c r="Q31" i="2"/>
  <c r="M31" i="2"/>
  <c r="F31" i="2"/>
  <c r="N31" i="2"/>
  <c r="AI28" i="2"/>
  <c r="AJ28" i="2"/>
  <c r="AH28" i="2"/>
  <c r="AK27" i="2"/>
  <c r="R30" i="2"/>
  <c r="U29" i="2"/>
  <c r="E34" i="2"/>
  <c r="E33" i="2"/>
  <c r="BN31" i="2" l="1"/>
  <c r="BQ30" i="2"/>
  <c r="FF31" i="2"/>
  <c r="FI30" i="2"/>
  <c r="FH31" i="2"/>
  <c r="ES30" i="2"/>
  <c r="EP31" i="2"/>
  <c r="FC32" i="2"/>
  <c r="EN32" i="2"/>
  <c r="FD32" i="2"/>
  <c r="DX32" i="2"/>
  <c r="EM32" i="2"/>
  <c r="CR32" i="2"/>
  <c r="CU32" i="2" s="1"/>
  <c r="DG32" i="2"/>
  <c r="CQ32" i="2"/>
  <c r="DW32" i="2"/>
  <c r="DH32" i="2"/>
  <c r="BL32" i="2"/>
  <c r="AU32" i="2"/>
  <c r="CA32" i="2"/>
  <c r="AE32" i="2"/>
  <c r="BK32" i="2"/>
  <c r="AV32" i="2"/>
  <c r="AF32" i="2"/>
  <c r="P32" i="2"/>
  <c r="O32" i="2"/>
  <c r="CB32" i="2"/>
  <c r="FA32" i="2"/>
  <c r="FB32" i="2"/>
  <c r="FG32" i="2" s="1"/>
  <c r="ET32" i="2"/>
  <c r="EO32" i="2"/>
  <c r="FE32" i="2"/>
  <c r="EU32" i="2"/>
  <c r="DY32" i="2"/>
  <c r="EK32" i="2"/>
  <c r="EE32" i="2"/>
  <c r="EL32" i="2"/>
  <c r="ER32" i="2" s="1"/>
  <c r="DU32" i="2"/>
  <c r="DO32" i="2"/>
  <c r="DN32" i="2"/>
  <c r="DF32" i="2"/>
  <c r="DL32" i="2" s="1"/>
  <c r="CO32" i="2"/>
  <c r="CI32" i="2"/>
  <c r="BY32" i="2"/>
  <c r="ED32" i="2"/>
  <c r="DI32" i="2"/>
  <c r="CX32" i="2"/>
  <c r="CP32" i="2"/>
  <c r="CV32" i="2" s="1"/>
  <c r="BZ32" i="2"/>
  <c r="CF32" i="2" s="1"/>
  <c r="CS32" i="2"/>
  <c r="CH32" i="2"/>
  <c r="CC32" i="2"/>
  <c r="BS32" i="2"/>
  <c r="DV32" i="2"/>
  <c r="EA32" i="2" s="1"/>
  <c r="DE32" i="2"/>
  <c r="CY32" i="2"/>
  <c r="BM32" i="2"/>
  <c r="BR32" i="2"/>
  <c r="AS32" i="2"/>
  <c r="BC32" i="2"/>
  <c r="AT32" i="2"/>
  <c r="BI32" i="2"/>
  <c r="AM32" i="2"/>
  <c r="BJ32" i="2"/>
  <c r="BP32" i="2" s="1"/>
  <c r="BB32" i="2"/>
  <c r="AW32" i="2"/>
  <c r="AL32" i="2"/>
  <c r="AG32" i="2"/>
  <c r="CW30" i="2"/>
  <c r="CT31" i="2"/>
  <c r="BO32" i="2"/>
  <c r="CE32" i="2"/>
  <c r="DJ31" i="2"/>
  <c r="DM30" i="2"/>
  <c r="EC30" i="2"/>
  <c r="DZ31" i="2"/>
  <c r="CD31" i="2"/>
  <c r="CG30" i="2"/>
  <c r="C15" i="4"/>
  <c r="C12" i="4"/>
  <c r="C11" i="4"/>
  <c r="C14" i="4"/>
  <c r="C13" i="4"/>
  <c r="T31" i="2"/>
  <c r="AD32" i="2"/>
  <c r="W32" i="2"/>
  <c r="V32" i="2"/>
  <c r="AC32" i="2"/>
  <c r="Q32" i="2"/>
  <c r="M32" i="2"/>
  <c r="N32" i="2"/>
  <c r="A33" i="2"/>
  <c r="F32" i="2"/>
  <c r="G32" i="2"/>
  <c r="S31" i="2"/>
  <c r="AJ29" i="2"/>
  <c r="AH29" i="2"/>
  <c r="AK28" i="2"/>
  <c r="AI29" i="2"/>
  <c r="R31" i="2"/>
  <c r="U30" i="2"/>
  <c r="E35" i="2"/>
  <c r="EA33" i="2" l="1"/>
  <c r="ER33" i="2"/>
  <c r="EC31" i="2"/>
  <c r="DZ32" i="2"/>
  <c r="FD33" i="2"/>
  <c r="EN33" i="2"/>
  <c r="FC33" i="2"/>
  <c r="DX33" i="2"/>
  <c r="DW33" i="2"/>
  <c r="EM33" i="2"/>
  <c r="CR33" i="2"/>
  <c r="CB33" i="2"/>
  <c r="DH33" i="2"/>
  <c r="BK33" i="2"/>
  <c r="AF33" i="2"/>
  <c r="BL33" i="2"/>
  <c r="AU33" i="2"/>
  <c r="P33" i="2"/>
  <c r="DG33" i="2"/>
  <c r="CQ33" i="2"/>
  <c r="AE33" i="2"/>
  <c r="CA33" i="2"/>
  <c r="O33" i="2"/>
  <c r="AV33" i="2"/>
  <c r="FE33" i="2"/>
  <c r="FA33" i="2"/>
  <c r="FB33" i="2"/>
  <c r="FG33" i="2" s="1"/>
  <c r="ET33" i="2"/>
  <c r="EO33" i="2"/>
  <c r="ED33" i="2"/>
  <c r="DV33" i="2"/>
  <c r="EU33" i="2"/>
  <c r="DY33" i="2"/>
  <c r="EK33" i="2"/>
  <c r="EE33" i="2"/>
  <c r="DE33" i="2"/>
  <c r="CY33" i="2"/>
  <c r="BM33" i="2"/>
  <c r="DN33" i="2"/>
  <c r="DF33" i="2"/>
  <c r="DL33" i="2" s="1"/>
  <c r="CO33" i="2"/>
  <c r="CI33" i="2"/>
  <c r="BY33" i="2"/>
  <c r="EL33" i="2"/>
  <c r="DU33" i="2"/>
  <c r="DO33" i="2"/>
  <c r="DI33" i="2"/>
  <c r="CX33" i="2"/>
  <c r="CP33" i="2"/>
  <c r="CU33" i="2" s="1"/>
  <c r="BZ33" i="2"/>
  <c r="CE33" i="2" s="1"/>
  <c r="CH33" i="2"/>
  <c r="BR33" i="2"/>
  <c r="CS33" i="2"/>
  <c r="BJ33" i="2"/>
  <c r="BP33" i="2" s="1"/>
  <c r="BB33" i="2"/>
  <c r="AW33" i="2"/>
  <c r="AS33" i="2"/>
  <c r="BC33" i="2"/>
  <c r="AT33" i="2"/>
  <c r="CC33" i="2"/>
  <c r="BS33" i="2"/>
  <c r="BI33" i="2"/>
  <c r="AM33" i="2"/>
  <c r="AL33" i="2"/>
  <c r="AG33" i="2"/>
  <c r="CD32" i="2"/>
  <c r="CG31" i="2"/>
  <c r="EP32" i="2"/>
  <c r="ES31" i="2"/>
  <c r="FF32" i="2"/>
  <c r="FI31" i="2"/>
  <c r="EQ32" i="2"/>
  <c r="EB32" i="2"/>
  <c r="EB33" i="2" s="1"/>
  <c r="FH32" i="2"/>
  <c r="FH33" i="2" s="1"/>
  <c r="DM31" i="2"/>
  <c r="DJ32" i="2"/>
  <c r="CT32" i="2"/>
  <c r="CW31" i="2"/>
  <c r="BQ31" i="2"/>
  <c r="BN32" i="2"/>
  <c r="DK32" i="2"/>
  <c r="DK33" i="2" s="1"/>
  <c r="T32" i="2"/>
  <c r="S32" i="2"/>
  <c r="AC33" i="2"/>
  <c r="V33" i="2"/>
  <c r="AD33" i="2"/>
  <c r="M7" i="4" s="1"/>
  <c r="W33" i="2"/>
  <c r="Q33" i="2"/>
  <c r="M33" i="2"/>
  <c r="G33" i="2"/>
  <c r="A34" i="2"/>
  <c r="N33" i="2"/>
  <c r="M6" i="4" s="1"/>
  <c r="F33" i="2"/>
  <c r="AJ30" i="2"/>
  <c r="AI30" i="2"/>
  <c r="AK29" i="2"/>
  <c r="AH30" i="2"/>
  <c r="R32" i="2"/>
  <c r="U31" i="2"/>
  <c r="E36" i="2"/>
  <c r="CT33" i="2" l="1"/>
  <c r="CW32" i="2"/>
  <c r="ES32" i="2"/>
  <c r="EP33" i="2"/>
  <c r="FF33" i="2"/>
  <c r="FI32" i="2"/>
  <c r="CV33" i="2"/>
  <c r="CV34" i="2" s="1"/>
  <c r="BQ32" i="2"/>
  <c r="BN33" i="2"/>
  <c r="CF33" i="2"/>
  <c r="DJ33" i="2"/>
  <c r="DM32" i="2"/>
  <c r="CG32" i="2"/>
  <c r="CD33" i="2"/>
  <c r="EC32" i="2"/>
  <c r="DZ33" i="2"/>
  <c r="FC34" i="2"/>
  <c r="FD34" i="2"/>
  <c r="EM34" i="2"/>
  <c r="EN34" i="2"/>
  <c r="DH34" i="2"/>
  <c r="DW34" i="2"/>
  <c r="CB34" i="2"/>
  <c r="AV34" i="2"/>
  <c r="CR34" i="2"/>
  <c r="BK34" i="2"/>
  <c r="AF34" i="2"/>
  <c r="CA34" i="2"/>
  <c r="O34" i="2"/>
  <c r="P34" i="2"/>
  <c r="DG34" i="2"/>
  <c r="CQ34" i="2"/>
  <c r="DX34" i="2"/>
  <c r="BL34" i="2"/>
  <c r="AE34" i="2"/>
  <c r="AU34" i="2"/>
  <c r="FB34" i="2"/>
  <c r="FH34" i="2" s="1"/>
  <c r="FE34" i="2"/>
  <c r="EU34" i="2"/>
  <c r="FA34" i="2"/>
  <c r="ET34" i="2"/>
  <c r="EL34" i="2"/>
  <c r="ER34" i="2" s="1"/>
  <c r="DU34" i="2"/>
  <c r="DO34" i="2"/>
  <c r="ED34" i="2"/>
  <c r="DV34" i="2"/>
  <c r="EA34" i="2" s="1"/>
  <c r="DY34" i="2"/>
  <c r="EE34" i="2"/>
  <c r="CS34" i="2"/>
  <c r="CH34" i="2"/>
  <c r="CC34" i="2"/>
  <c r="EK34" i="2"/>
  <c r="DE34" i="2"/>
  <c r="CY34" i="2"/>
  <c r="BM34" i="2"/>
  <c r="DN34" i="2"/>
  <c r="DF34" i="2"/>
  <c r="DL34" i="2" s="1"/>
  <c r="CO34" i="2"/>
  <c r="CI34" i="2"/>
  <c r="BY34" i="2"/>
  <c r="EO34" i="2"/>
  <c r="DI34" i="2"/>
  <c r="BS34" i="2"/>
  <c r="CP34" i="2"/>
  <c r="CU34" i="2" s="1"/>
  <c r="CX34" i="2"/>
  <c r="BZ34" i="2"/>
  <c r="CE34" i="2" s="1"/>
  <c r="BR34" i="2"/>
  <c r="BI34" i="2"/>
  <c r="AM34" i="2"/>
  <c r="BJ34" i="2"/>
  <c r="BP34" i="2" s="1"/>
  <c r="BB34" i="2"/>
  <c r="AW34" i="2"/>
  <c r="AS34" i="2"/>
  <c r="BC34" i="2"/>
  <c r="AT34" i="2"/>
  <c r="AL34" i="2"/>
  <c r="AG34" i="2"/>
  <c r="EQ33" i="2"/>
  <c r="BO33" i="2"/>
  <c r="S33" i="2"/>
  <c r="N7" i="4"/>
  <c r="N6" i="4"/>
  <c r="AC34" i="2"/>
  <c r="V34" i="2"/>
  <c r="AD34" i="2"/>
  <c r="W34" i="2"/>
  <c r="A35" i="2"/>
  <c r="G34" i="2"/>
  <c r="Q34" i="2"/>
  <c r="M34" i="2"/>
  <c r="N34" i="2"/>
  <c r="F34" i="2"/>
  <c r="T33" i="2"/>
  <c r="AI31" i="2"/>
  <c r="AJ31" i="2"/>
  <c r="AK30" i="2"/>
  <c r="AH31" i="2"/>
  <c r="R33" i="2"/>
  <c r="U32" i="2"/>
  <c r="E37" i="2"/>
  <c r="BO34" i="2" l="1"/>
  <c r="EQ34" i="2"/>
  <c r="CD34" i="2"/>
  <c r="CG33" i="2"/>
  <c r="CF34" i="2"/>
  <c r="EB34" i="2"/>
  <c r="BN34" i="2"/>
  <c r="BQ33" i="2"/>
  <c r="L9" i="4" s="1"/>
  <c r="DK34" i="2"/>
  <c r="FG34" i="2"/>
  <c r="EC33" i="2"/>
  <c r="DZ34" i="2"/>
  <c r="CT34" i="2"/>
  <c r="CW33" i="2"/>
  <c r="EN35" i="2"/>
  <c r="FC35" i="2"/>
  <c r="FD35" i="2"/>
  <c r="EM35" i="2"/>
  <c r="DX35" i="2"/>
  <c r="DG35" i="2"/>
  <c r="DH35" i="2"/>
  <c r="CQ35" i="2"/>
  <c r="CA35" i="2"/>
  <c r="CB35" i="2"/>
  <c r="AV35" i="2"/>
  <c r="BL35" i="2"/>
  <c r="AU35" i="2"/>
  <c r="O35" i="2"/>
  <c r="DW35" i="2"/>
  <c r="CR35" i="2"/>
  <c r="BK35" i="2"/>
  <c r="AF35" i="2"/>
  <c r="P35" i="2"/>
  <c r="AE35" i="2"/>
  <c r="FB35" i="2"/>
  <c r="FH35" i="2" s="1"/>
  <c r="FE35" i="2"/>
  <c r="EO35" i="2"/>
  <c r="EU35" i="2"/>
  <c r="FA35" i="2"/>
  <c r="ET35" i="2"/>
  <c r="EK35" i="2"/>
  <c r="EE35" i="2"/>
  <c r="EL35" i="2"/>
  <c r="ER35" i="2" s="1"/>
  <c r="DU35" i="2"/>
  <c r="DO35" i="2"/>
  <c r="ED35" i="2"/>
  <c r="DV35" i="2"/>
  <c r="EA35" i="2" s="1"/>
  <c r="DI35" i="2"/>
  <c r="CX35" i="2"/>
  <c r="CP35" i="2"/>
  <c r="CU35" i="2" s="1"/>
  <c r="BZ35" i="2"/>
  <c r="CE35" i="2" s="1"/>
  <c r="DY35" i="2"/>
  <c r="CS35" i="2"/>
  <c r="CH35" i="2"/>
  <c r="CC35" i="2"/>
  <c r="BS35" i="2"/>
  <c r="DE35" i="2"/>
  <c r="CY35" i="2"/>
  <c r="BM35" i="2"/>
  <c r="DN35" i="2"/>
  <c r="CO35" i="2"/>
  <c r="BY35" i="2"/>
  <c r="DF35" i="2"/>
  <c r="DL35" i="2" s="1"/>
  <c r="CI35" i="2"/>
  <c r="BC35" i="2"/>
  <c r="AT35" i="2"/>
  <c r="BI35" i="2"/>
  <c r="AM35" i="2"/>
  <c r="BR35" i="2"/>
  <c r="BJ35" i="2"/>
  <c r="BP35" i="2" s="1"/>
  <c r="BB35" i="2"/>
  <c r="AW35" i="2"/>
  <c r="AS35" i="2"/>
  <c r="AL35" i="2"/>
  <c r="AG35" i="2"/>
  <c r="DJ34" i="2"/>
  <c r="DM33" i="2"/>
  <c r="FF34" i="2"/>
  <c r="FI33" i="2"/>
  <c r="ES33" i="2"/>
  <c r="EP34" i="2"/>
  <c r="S34" i="2"/>
  <c r="T34" i="2"/>
  <c r="AD35" i="2"/>
  <c r="AC35" i="2"/>
  <c r="V35" i="2"/>
  <c r="W35" i="2"/>
  <c r="Q35" i="2"/>
  <c r="N35" i="2"/>
  <c r="G35" i="2"/>
  <c r="A36" i="2"/>
  <c r="M35" i="2"/>
  <c r="F35" i="2"/>
  <c r="AJ32" i="2"/>
  <c r="AI32" i="2"/>
  <c r="AK31" i="2"/>
  <c r="AH32" i="2"/>
  <c r="R34" i="2"/>
  <c r="U33" i="2"/>
  <c r="K6" i="4" s="1"/>
  <c r="E38" i="2"/>
  <c r="EC34" i="2" l="1"/>
  <c r="DZ35" i="2"/>
  <c r="DK35" i="2"/>
  <c r="EB35" i="2"/>
  <c r="CF35" i="2"/>
  <c r="EQ35" i="2"/>
  <c r="ES34" i="2"/>
  <c r="EP35" i="2"/>
  <c r="FF35" i="2"/>
  <c r="FI34" i="2"/>
  <c r="FC36" i="2"/>
  <c r="FD36" i="2"/>
  <c r="EN36" i="2"/>
  <c r="DX36" i="2"/>
  <c r="CR36" i="2"/>
  <c r="DG36" i="2"/>
  <c r="CQ36" i="2"/>
  <c r="EM36" i="2"/>
  <c r="BL36" i="2"/>
  <c r="AU36" i="2"/>
  <c r="DH36" i="2"/>
  <c r="CA36" i="2"/>
  <c r="CB36" i="2"/>
  <c r="BK36" i="2"/>
  <c r="AV36" i="2"/>
  <c r="AF36" i="2"/>
  <c r="AE36" i="2"/>
  <c r="DW36" i="2"/>
  <c r="P36" i="2"/>
  <c r="O36" i="2"/>
  <c r="FA36" i="2"/>
  <c r="FB36" i="2"/>
  <c r="FH36" i="2" s="1"/>
  <c r="ET36" i="2"/>
  <c r="EO36" i="2"/>
  <c r="EU36" i="2"/>
  <c r="DY36" i="2"/>
  <c r="FE36" i="2"/>
  <c r="EK36" i="2"/>
  <c r="EE36" i="2"/>
  <c r="EL36" i="2"/>
  <c r="ER36" i="2" s="1"/>
  <c r="DU36" i="2"/>
  <c r="DO36" i="2"/>
  <c r="DV36" i="2"/>
  <c r="EA36" i="2" s="1"/>
  <c r="DN36" i="2"/>
  <c r="DF36" i="2"/>
  <c r="DL36" i="2" s="1"/>
  <c r="CO36" i="2"/>
  <c r="CI36" i="2"/>
  <c r="BY36" i="2"/>
  <c r="DI36" i="2"/>
  <c r="CX36" i="2"/>
  <c r="CP36" i="2"/>
  <c r="CU36" i="2" s="1"/>
  <c r="BZ36" i="2"/>
  <c r="CE36" i="2" s="1"/>
  <c r="ED36" i="2"/>
  <c r="CS36" i="2"/>
  <c r="CH36" i="2"/>
  <c r="CC36" i="2"/>
  <c r="BS36" i="2"/>
  <c r="DE36" i="2"/>
  <c r="CY36" i="2"/>
  <c r="BR36" i="2"/>
  <c r="BM36" i="2"/>
  <c r="AS36" i="2"/>
  <c r="BC36" i="2"/>
  <c r="AT36" i="2"/>
  <c r="BI36" i="2"/>
  <c r="AM36" i="2"/>
  <c r="BJ36" i="2"/>
  <c r="BP36" i="2" s="1"/>
  <c r="BB36" i="2"/>
  <c r="AW36" i="2"/>
  <c r="AL36" i="2"/>
  <c r="AG36" i="2"/>
  <c r="DM34" i="2"/>
  <c r="DJ35" i="2"/>
  <c r="CT35" i="2"/>
  <c r="CW34" i="2"/>
  <c r="CV35" i="2"/>
  <c r="CV36" i="2" s="1"/>
  <c r="FG35" i="2"/>
  <c r="FG36" i="2" s="1"/>
  <c r="BN35" i="2"/>
  <c r="BQ34" i="2"/>
  <c r="CD35" i="2"/>
  <c r="CG34" i="2"/>
  <c r="BO35" i="2"/>
  <c r="BO36" i="2" s="1"/>
  <c r="S35" i="2"/>
  <c r="V36" i="2"/>
  <c r="AC36" i="2"/>
  <c r="W36" i="2"/>
  <c r="AD36" i="2"/>
  <c r="G36" i="2"/>
  <c r="F36" i="2"/>
  <c r="Q36" i="2"/>
  <c r="A37" i="2"/>
  <c r="M36" i="2"/>
  <c r="N36" i="2"/>
  <c r="T35" i="2"/>
  <c r="AJ33" i="2"/>
  <c r="AJ34" i="2" s="1"/>
  <c r="AH33" i="2"/>
  <c r="AK32" i="2"/>
  <c r="AI33" i="2"/>
  <c r="R35" i="2"/>
  <c r="U34" i="2"/>
  <c r="E39" i="2"/>
  <c r="FD37" i="2" l="1"/>
  <c r="EN37" i="2"/>
  <c r="FC37" i="2"/>
  <c r="EM37" i="2"/>
  <c r="DX37" i="2"/>
  <c r="DW37" i="2"/>
  <c r="CR37" i="2"/>
  <c r="DH37" i="2"/>
  <c r="DG37" i="2"/>
  <c r="CB37" i="2"/>
  <c r="BK37" i="2"/>
  <c r="AF37" i="2"/>
  <c r="CQ37" i="2"/>
  <c r="BL37" i="2"/>
  <c r="AU37" i="2"/>
  <c r="P37" i="2"/>
  <c r="CA37" i="2"/>
  <c r="AV37" i="2"/>
  <c r="AE37" i="2"/>
  <c r="O37" i="2"/>
  <c r="FE37" i="2"/>
  <c r="FA37" i="2"/>
  <c r="ET37" i="2"/>
  <c r="FB37" i="2"/>
  <c r="FH37" i="2" s="1"/>
  <c r="EO37" i="2"/>
  <c r="ED37" i="2"/>
  <c r="DV37" i="2"/>
  <c r="EA37" i="2" s="1"/>
  <c r="DY37" i="2"/>
  <c r="EU37" i="2"/>
  <c r="EK37" i="2"/>
  <c r="EE37" i="2"/>
  <c r="DE37" i="2"/>
  <c r="CY37" i="2"/>
  <c r="BM37" i="2"/>
  <c r="DN37" i="2"/>
  <c r="DF37" i="2"/>
  <c r="DL37" i="2" s="1"/>
  <c r="CO37" i="2"/>
  <c r="CI37" i="2"/>
  <c r="BY37" i="2"/>
  <c r="DI37" i="2"/>
  <c r="CX37" i="2"/>
  <c r="CP37" i="2"/>
  <c r="CU37" i="2" s="1"/>
  <c r="BZ37" i="2"/>
  <c r="CE37" i="2" s="1"/>
  <c r="EL37" i="2"/>
  <c r="ER37" i="2" s="1"/>
  <c r="DU37" i="2"/>
  <c r="DO37" i="2"/>
  <c r="CS37" i="2"/>
  <c r="CC37" i="2"/>
  <c r="CH37" i="2"/>
  <c r="BS37" i="2"/>
  <c r="BR37" i="2"/>
  <c r="BJ37" i="2"/>
  <c r="BP37" i="2" s="1"/>
  <c r="BB37" i="2"/>
  <c r="AW37" i="2"/>
  <c r="AS37" i="2"/>
  <c r="BC37" i="2"/>
  <c r="AT37" i="2"/>
  <c r="BI37" i="2"/>
  <c r="AM37" i="2"/>
  <c r="AL37" i="2"/>
  <c r="AG37" i="2"/>
  <c r="CW35" i="2"/>
  <c r="CT36" i="2"/>
  <c r="FF36" i="2"/>
  <c r="FI35" i="2"/>
  <c r="EQ36" i="2"/>
  <c r="EQ37" i="2" s="1"/>
  <c r="CF36" i="2"/>
  <c r="CF37" i="2" s="1"/>
  <c r="BO37" i="2"/>
  <c r="BN36" i="2"/>
  <c r="BQ35" i="2"/>
  <c r="CV37" i="2"/>
  <c r="ES35" i="2"/>
  <c r="EP36" i="2"/>
  <c r="EB36" i="2"/>
  <c r="EB37" i="2" s="1"/>
  <c r="CG35" i="2"/>
  <c r="CD36" i="2"/>
  <c r="FG37" i="2"/>
  <c r="DJ36" i="2"/>
  <c r="DM35" i="2"/>
  <c r="DK36" i="2"/>
  <c r="DK37" i="2" s="1"/>
  <c r="DZ36" i="2"/>
  <c r="EC35" i="2"/>
  <c r="S36" i="2"/>
  <c r="AI34" i="2"/>
  <c r="AI35" i="2" s="1"/>
  <c r="AD37" i="2"/>
  <c r="W37" i="2"/>
  <c r="V37" i="2"/>
  <c r="AC37" i="2"/>
  <c r="A38" i="2"/>
  <c r="M37" i="2"/>
  <c r="Q37" i="2"/>
  <c r="N37" i="2"/>
  <c r="G37" i="2"/>
  <c r="F37" i="2"/>
  <c r="T36" i="2"/>
  <c r="AH34" i="2"/>
  <c r="AK33" i="2"/>
  <c r="L6" i="4"/>
  <c r="R36" i="2"/>
  <c r="U35" i="2"/>
  <c r="EC36" i="2" l="1"/>
  <c r="DZ37" i="2"/>
  <c r="DM36" i="2"/>
  <c r="DJ37" i="2"/>
  <c r="FF37" i="2"/>
  <c r="FI36" i="2"/>
  <c r="EP37" i="2"/>
  <c r="ES36" i="2"/>
  <c r="BQ36" i="2"/>
  <c r="BN37" i="2"/>
  <c r="FC38" i="2"/>
  <c r="FD38" i="2"/>
  <c r="EM38" i="2"/>
  <c r="EN38" i="2"/>
  <c r="DH38" i="2"/>
  <c r="DX38" i="2"/>
  <c r="DW38" i="2"/>
  <c r="CR38" i="2"/>
  <c r="DG38" i="2"/>
  <c r="AV38" i="2"/>
  <c r="BK38" i="2"/>
  <c r="AF38" i="2"/>
  <c r="O38" i="2"/>
  <c r="CB38" i="2"/>
  <c r="BL38" i="2"/>
  <c r="AU38" i="2"/>
  <c r="P38" i="2"/>
  <c r="CA38" i="2"/>
  <c r="AE38" i="2"/>
  <c r="CQ38" i="2"/>
  <c r="FB38" i="2"/>
  <c r="FH38" i="2" s="1"/>
  <c r="FE38" i="2"/>
  <c r="EU38" i="2"/>
  <c r="ET38" i="2"/>
  <c r="EO38" i="2"/>
  <c r="EL38" i="2"/>
  <c r="ER38" i="2" s="1"/>
  <c r="DU38" i="2"/>
  <c r="DO38" i="2"/>
  <c r="ED38" i="2"/>
  <c r="DV38" i="2"/>
  <c r="EB38" i="2" s="1"/>
  <c r="DY38" i="2"/>
  <c r="CS38" i="2"/>
  <c r="CH38" i="2"/>
  <c r="CC38" i="2"/>
  <c r="EE38" i="2"/>
  <c r="DE38" i="2"/>
  <c r="CY38" i="2"/>
  <c r="BM38" i="2"/>
  <c r="EK38" i="2"/>
  <c r="DN38" i="2"/>
  <c r="DF38" i="2"/>
  <c r="DK38" i="2" s="1"/>
  <c r="CO38" i="2"/>
  <c r="CI38" i="2"/>
  <c r="BY38" i="2"/>
  <c r="FA38" i="2"/>
  <c r="CX38" i="2"/>
  <c r="DI38" i="2"/>
  <c r="CP38" i="2"/>
  <c r="CU38" i="2" s="1"/>
  <c r="BR38" i="2"/>
  <c r="BI38" i="2"/>
  <c r="AM38" i="2"/>
  <c r="BJ38" i="2"/>
  <c r="BP38" i="2" s="1"/>
  <c r="BB38" i="2"/>
  <c r="AW38" i="2"/>
  <c r="BZ38" i="2"/>
  <c r="CE38" i="2" s="1"/>
  <c r="AS38" i="2"/>
  <c r="BC38" i="2"/>
  <c r="AT38" i="2"/>
  <c r="AL38" i="2"/>
  <c r="AG38" i="2"/>
  <c r="BS38" i="2"/>
  <c r="CD37" i="2"/>
  <c r="CG36" i="2"/>
  <c r="BO38" i="2"/>
  <c r="CW36" i="2"/>
  <c r="CT37" i="2"/>
  <c r="S37" i="2"/>
  <c r="K7" i="4"/>
  <c r="L7" i="4" s="1"/>
  <c r="T37" i="2"/>
  <c r="AC38" i="2"/>
  <c r="V38" i="2"/>
  <c r="AD38" i="2"/>
  <c r="W38" i="2"/>
  <c r="M38" i="2"/>
  <c r="N38" i="2"/>
  <c r="G38" i="2"/>
  <c r="F38" i="2"/>
  <c r="A39" i="2"/>
  <c r="Q38" i="2"/>
  <c r="AI36" i="2"/>
  <c r="AJ35" i="2"/>
  <c r="AJ36" i="2" s="1"/>
  <c r="AH35" i="2"/>
  <c r="AK34" i="2"/>
  <c r="R37" i="2"/>
  <c r="U36" i="2"/>
  <c r="E40" i="2"/>
  <c r="EQ38" i="2" l="1"/>
  <c r="EP38" i="2"/>
  <c r="ES37" i="2"/>
  <c r="FG38" i="2"/>
  <c r="FF38" i="2"/>
  <c r="FI37" i="2"/>
  <c r="EA38" i="2"/>
  <c r="DL38" i="2"/>
  <c r="BQ37" i="2"/>
  <c r="BN38" i="2"/>
  <c r="CF38" i="2"/>
  <c r="EC37" i="2"/>
  <c r="DZ38" i="2"/>
  <c r="CV38" i="2"/>
  <c r="EN39" i="2"/>
  <c r="FC39" i="2"/>
  <c r="FD39" i="2"/>
  <c r="EM39" i="2"/>
  <c r="DG39" i="2"/>
  <c r="DH39" i="2"/>
  <c r="DX39" i="2"/>
  <c r="DW39" i="2"/>
  <c r="CB39" i="2"/>
  <c r="CA39" i="2"/>
  <c r="AV39" i="2"/>
  <c r="CQ39" i="2"/>
  <c r="AU39" i="2"/>
  <c r="BK39" i="2"/>
  <c r="AF39" i="2"/>
  <c r="O39" i="2"/>
  <c r="BL39" i="2"/>
  <c r="AE39" i="2"/>
  <c r="CR39" i="2"/>
  <c r="P39" i="2"/>
  <c r="FB39" i="2"/>
  <c r="FH39" i="2" s="1"/>
  <c r="FE39" i="2"/>
  <c r="FA39" i="2"/>
  <c r="EO39" i="2"/>
  <c r="EU39" i="2"/>
  <c r="EK39" i="2"/>
  <c r="EE39" i="2"/>
  <c r="ET39" i="2"/>
  <c r="EL39" i="2"/>
  <c r="ER39" i="2" s="1"/>
  <c r="DU39" i="2"/>
  <c r="DO39" i="2"/>
  <c r="ED39" i="2"/>
  <c r="DV39" i="2"/>
  <c r="EB39" i="2" s="1"/>
  <c r="DI39" i="2"/>
  <c r="CX39" i="2"/>
  <c r="CP39" i="2"/>
  <c r="CU39" i="2" s="1"/>
  <c r="BZ39" i="2"/>
  <c r="CE39" i="2" s="1"/>
  <c r="CS39" i="2"/>
  <c r="CH39" i="2"/>
  <c r="CC39" i="2"/>
  <c r="DY39" i="2"/>
  <c r="DE39" i="2"/>
  <c r="CY39" i="2"/>
  <c r="BM39" i="2"/>
  <c r="DN39" i="2"/>
  <c r="CO39" i="2"/>
  <c r="BY39" i="2"/>
  <c r="DF39" i="2"/>
  <c r="DK39" i="2" s="1"/>
  <c r="BS39" i="2"/>
  <c r="CI39" i="2"/>
  <c r="BC39" i="2"/>
  <c r="AT39" i="2"/>
  <c r="BI39" i="2"/>
  <c r="AM39" i="2"/>
  <c r="BJ39" i="2"/>
  <c r="BP39" i="2" s="1"/>
  <c r="BB39" i="2"/>
  <c r="AW39" i="2"/>
  <c r="BR39" i="2"/>
  <c r="AS39" i="2"/>
  <c r="AL39" i="2"/>
  <c r="AG39" i="2"/>
  <c r="CW37" i="2"/>
  <c r="CT38" i="2"/>
  <c r="CG37" i="2"/>
  <c r="CD38" i="2"/>
  <c r="DM37" i="2"/>
  <c r="DJ38" i="2"/>
  <c r="S38" i="2"/>
  <c r="AD39" i="2"/>
  <c r="AC39" i="2"/>
  <c r="V39" i="2"/>
  <c r="W39" i="2"/>
  <c r="A40" i="2"/>
  <c r="M39" i="2"/>
  <c r="N39" i="2"/>
  <c r="F39" i="2"/>
  <c r="G39" i="2"/>
  <c r="Q39" i="2"/>
  <c r="T38" i="2"/>
  <c r="AK35" i="2"/>
  <c r="AH36" i="2"/>
  <c r="R38" i="2"/>
  <c r="U37" i="2"/>
  <c r="E42" i="2"/>
  <c r="E41" i="2"/>
  <c r="FH40" i="2" l="1"/>
  <c r="FC40" i="2"/>
  <c r="EN40" i="2"/>
  <c r="DX40" i="2"/>
  <c r="FD40" i="2"/>
  <c r="EM40" i="2"/>
  <c r="CR40" i="2"/>
  <c r="DG40" i="2"/>
  <c r="CQ40" i="2"/>
  <c r="DW40" i="2"/>
  <c r="DH40" i="2"/>
  <c r="BL40" i="2"/>
  <c r="AU40" i="2"/>
  <c r="CB40" i="2"/>
  <c r="CE40" i="2" s="1"/>
  <c r="CA40" i="2"/>
  <c r="AE40" i="2"/>
  <c r="AF40" i="2"/>
  <c r="BK40" i="2"/>
  <c r="AV40" i="2"/>
  <c r="P40" i="2"/>
  <c r="O40" i="2"/>
  <c r="FA40" i="2"/>
  <c r="FB40" i="2"/>
  <c r="FE40" i="2"/>
  <c r="ET40" i="2"/>
  <c r="EO40" i="2"/>
  <c r="EU40" i="2"/>
  <c r="DY40" i="2"/>
  <c r="EK40" i="2"/>
  <c r="EE40" i="2"/>
  <c r="EL40" i="2"/>
  <c r="ER40" i="2" s="1"/>
  <c r="DU40" i="2"/>
  <c r="DO40" i="2"/>
  <c r="DN40" i="2"/>
  <c r="DF40" i="2"/>
  <c r="DK40" i="2" s="1"/>
  <c r="CO40" i="2"/>
  <c r="CI40" i="2"/>
  <c r="BY40" i="2"/>
  <c r="DV40" i="2"/>
  <c r="EB40" i="2" s="1"/>
  <c r="DI40" i="2"/>
  <c r="CX40" i="2"/>
  <c r="CP40" i="2"/>
  <c r="CU40" i="2" s="1"/>
  <c r="BZ40" i="2"/>
  <c r="BS40" i="2"/>
  <c r="CS40" i="2"/>
  <c r="CH40" i="2"/>
  <c r="CC40" i="2"/>
  <c r="ED40" i="2"/>
  <c r="BR40" i="2"/>
  <c r="DE40" i="2"/>
  <c r="CY40" i="2"/>
  <c r="BM40" i="2"/>
  <c r="AS40" i="2"/>
  <c r="BC40" i="2"/>
  <c r="AT40" i="2"/>
  <c r="BI40" i="2"/>
  <c r="AM40" i="2"/>
  <c r="BJ40" i="2"/>
  <c r="BP40" i="2" s="1"/>
  <c r="BB40" i="2"/>
  <c r="AW40" i="2"/>
  <c r="AG40" i="2"/>
  <c r="AL40" i="2"/>
  <c r="DJ39" i="2"/>
  <c r="DM38" i="2"/>
  <c r="CG38" i="2"/>
  <c r="CD39" i="2"/>
  <c r="DL39" i="2"/>
  <c r="DL40" i="2" s="1"/>
  <c r="CV39" i="2"/>
  <c r="CV40" i="2" s="1"/>
  <c r="CF39" i="2"/>
  <c r="CF40" i="2" s="1"/>
  <c r="BN39" i="2"/>
  <c r="BQ38" i="2"/>
  <c r="EA39" i="2"/>
  <c r="EA40" i="2" s="1"/>
  <c r="ES38" i="2"/>
  <c r="EP39" i="2"/>
  <c r="CT39" i="2"/>
  <c r="CW38" i="2"/>
  <c r="FG39" i="2"/>
  <c r="FG40" i="2" s="1"/>
  <c r="EQ39" i="2"/>
  <c r="EQ40" i="2" s="1"/>
  <c r="EC38" i="2"/>
  <c r="DZ39" i="2"/>
  <c r="BO39" i="2"/>
  <c r="BO40" i="2" s="1"/>
  <c r="FF39" i="2"/>
  <c r="FI38" i="2"/>
  <c r="S39" i="2"/>
  <c r="AD40" i="2"/>
  <c r="W40" i="2"/>
  <c r="AC40" i="2"/>
  <c r="V40" i="2"/>
  <c r="Q40" i="2"/>
  <c r="M40" i="2"/>
  <c r="N40" i="2"/>
  <c r="A41" i="2"/>
  <c r="F40" i="2"/>
  <c r="G40" i="2"/>
  <c r="T39" i="2"/>
  <c r="AI37" i="2"/>
  <c r="AJ37" i="2"/>
  <c r="AK36" i="2"/>
  <c r="AH37" i="2"/>
  <c r="R39" i="2"/>
  <c r="U38" i="2"/>
  <c r="E43" i="2"/>
  <c r="FD41" i="2" l="1"/>
  <c r="EN41" i="2"/>
  <c r="FC41" i="2"/>
  <c r="DX41" i="2"/>
  <c r="DW41" i="2"/>
  <c r="CR41" i="2"/>
  <c r="CB41" i="2"/>
  <c r="DG41" i="2"/>
  <c r="CQ41" i="2"/>
  <c r="BK41" i="2"/>
  <c r="AF41" i="2"/>
  <c r="BL41" i="2"/>
  <c r="AU41" i="2"/>
  <c r="EM41" i="2"/>
  <c r="P41" i="2"/>
  <c r="AE41" i="2"/>
  <c r="AV41" i="2"/>
  <c r="CA41" i="2"/>
  <c r="O41" i="2"/>
  <c r="DH41" i="2"/>
  <c r="FE41" i="2"/>
  <c r="FA41" i="2"/>
  <c r="ET41" i="2"/>
  <c r="EO41" i="2"/>
  <c r="FB41" i="2"/>
  <c r="ED41" i="2"/>
  <c r="DV41" i="2"/>
  <c r="DY41" i="2"/>
  <c r="EB41" i="2" s="1"/>
  <c r="EK41" i="2"/>
  <c r="EE41" i="2"/>
  <c r="EL41" i="2"/>
  <c r="ER41" i="2" s="1"/>
  <c r="DU41" i="2"/>
  <c r="DO41" i="2"/>
  <c r="DE41" i="2"/>
  <c r="CY41" i="2"/>
  <c r="BM41" i="2"/>
  <c r="DN41" i="2"/>
  <c r="DF41" i="2"/>
  <c r="DK41" i="2" s="1"/>
  <c r="CO41" i="2"/>
  <c r="CI41" i="2"/>
  <c r="BY41" i="2"/>
  <c r="DI41" i="2"/>
  <c r="CX41" i="2"/>
  <c r="CP41" i="2"/>
  <c r="CU41" i="2" s="1"/>
  <c r="BZ41" i="2"/>
  <c r="CE41" i="2" s="1"/>
  <c r="BS41" i="2"/>
  <c r="EU41" i="2"/>
  <c r="CS41" i="2"/>
  <c r="CC41" i="2"/>
  <c r="BR41" i="2"/>
  <c r="CH41" i="2"/>
  <c r="BJ41" i="2"/>
  <c r="BP41" i="2" s="1"/>
  <c r="BB41" i="2"/>
  <c r="AW41" i="2"/>
  <c r="AS41" i="2"/>
  <c r="BC41" i="2"/>
  <c r="AT41" i="2"/>
  <c r="BI41" i="2"/>
  <c r="AM41" i="2"/>
  <c r="AL41" i="2"/>
  <c r="AG41" i="2"/>
  <c r="EC39" i="2"/>
  <c r="DZ40" i="2"/>
  <c r="EQ41" i="2"/>
  <c r="BQ39" i="2"/>
  <c r="BN40" i="2"/>
  <c r="CD40" i="2"/>
  <c r="CG39" i="2"/>
  <c r="CT40" i="2"/>
  <c r="CW39" i="2"/>
  <c r="EP40" i="2"/>
  <c r="ES39" i="2"/>
  <c r="DJ40" i="2"/>
  <c r="DM39" i="2"/>
  <c r="FF40" i="2"/>
  <c r="FI39" i="2"/>
  <c r="FG41" i="2"/>
  <c r="EA41" i="2"/>
  <c r="BO41" i="2"/>
  <c r="DL41" i="2"/>
  <c r="FH41" i="2"/>
  <c r="S40" i="2"/>
  <c r="T40" i="2"/>
  <c r="AJ38" i="2"/>
  <c r="AC41" i="2"/>
  <c r="V41" i="2"/>
  <c r="AD41" i="2"/>
  <c r="W41" i="2"/>
  <c r="F41" i="2"/>
  <c r="G41" i="2"/>
  <c r="Q41" i="2"/>
  <c r="M41" i="2"/>
  <c r="N41" i="2"/>
  <c r="A42" i="2"/>
  <c r="AI38" i="2"/>
  <c r="AH38" i="2"/>
  <c r="AK37" i="2"/>
  <c r="R40" i="2"/>
  <c r="U39" i="2"/>
  <c r="E44" i="2"/>
  <c r="FC42" i="2" l="1"/>
  <c r="FD42" i="2"/>
  <c r="EM42" i="2"/>
  <c r="EN42" i="2"/>
  <c r="DH42" i="2"/>
  <c r="DW42" i="2"/>
  <c r="DX42" i="2"/>
  <c r="CR42" i="2"/>
  <c r="AV42" i="2"/>
  <c r="DG42" i="2"/>
  <c r="CQ42" i="2"/>
  <c r="BK42" i="2"/>
  <c r="AF42" i="2"/>
  <c r="CA42" i="2"/>
  <c r="O42" i="2"/>
  <c r="P42" i="2"/>
  <c r="CB42" i="2"/>
  <c r="AU42" i="2"/>
  <c r="BL42" i="2"/>
  <c r="AE42" i="2"/>
  <c r="FB42" i="2"/>
  <c r="FE42" i="2"/>
  <c r="EU42" i="2"/>
  <c r="FA42" i="2"/>
  <c r="ET42" i="2"/>
  <c r="EL42" i="2"/>
  <c r="DU42" i="2"/>
  <c r="DO42" i="2"/>
  <c r="EO42" i="2"/>
  <c r="ER42" i="2" s="1"/>
  <c r="ED42" i="2"/>
  <c r="DV42" i="2"/>
  <c r="EB42" i="2" s="1"/>
  <c r="DY42" i="2"/>
  <c r="CS42" i="2"/>
  <c r="CH42" i="2"/>
  <c r="CC42" i="2"/>
  <c r="DE42" i="2"/>
  <c r="CY42" i="2"/>
  <c r="BM42" i="2"/>
  <c r="EE42" i="2"/>
  <c r="DN42" i="2"/>
  <c r="DF42" i="2"/>
  <c r="DK42" i="2" s="1"/>
  <c r="CO42" i="2"/>
  <c r="CI42" i="2"/>
  <c r="BY42" i="2"/>
  <c r="EK42" i="2"/>
  <c r="CP42" i="2"/>
  <c r="CU42" i="2" s="1"/>
  <c r="CX42" i="2"/>
  <c r="BZ42" i="2"/>
  <c r="CE42" i="2" s="1"/>
  <c r="DI42" i="2"/>
  <c r="BR42" i="2"/>
  <c r="BS42" i="2"/>
  <c r="BI42" i="2"/>
  <c r="AM42" i="2"/>
  <c r="BJ42" i="2"/>
  <c r="BP42" i="2" s="1"/>
  <c r="BB42" i="2"/>
  <c r="AW42" i="2"/>
  <c r="AS42" i="2"/>
  <c r="BC42" i="2"/>
  <c r="AT42" i="2"/>
  <c r="AL42" i="2"/>
  <c r="AG42" i="2"/>
  <c r="BO42" i="2"/>
  <c r="CV41" i="2"/>
  <c r="CW40" i="2"/>
  <c r="CT41" i="2"/>
  <c r="CF41" i="2"/>
  <c r="CF42" i="2" s="1"/>
  <c r="EC40" i="2"/>
  <c r="DZ41" i="2"/>
  <c r="FF41" i="2"/>
  <c r="FI40" i="2"/>
  <c r="BQ40" i="2"/>
  <c r="BN41" i="2"/>
  <c r="EA42" i="2"/>
  <c r="EP41" i="2"/>
  <c r="ES40" i="2"/>
  <c r="FH42" i="2"/>
  <c r="DL42" i="2"/>
  <c r="FG42" i="2"/>
  <c r="DJ41" i="2"/>
  <c r="DM40" i="2"/>
  <c r="CD41" i="2"/>
  <c r="CG40" i="2"/>
  <c r="EQ42" i="2"/>
  <c r="V42" i="2"/>
  <c r="AC42" i="2"/>
  <c r="AD42" i="2"/>
  <c r="W42" i="2"/>
  <c r="Q42" i="2"/>
  <c r="M42" i="2"/>
  <c r="N42" i="2"/>
  <c r="F42" i="2"/>
  <c r="G42" i="2"/>
  <c r="A43" i="2"/>
  <c r="T41" i="2"/>
  <c r="S41" i="2"/>
  <c r="AI39" i="2"/>
  <c r="AI40" i="2" s="1"/>
  <c r="AH39" i="2"/>
  <c r="AK38" i="2"/>
  <c r="AJ39" i="2"/>
  <c r="R41" i="2"/>
  <c r="U40" i="2"/>
  <c r="E45" i="2"/>
  <c r="BQ41" i="2" l="1"/>
  <c r="BN42" i="2"/>
  <c r="CV42" i="2"/>
  <c r="DJ42" i="2"/>
  <c r="DM41" i="2"/>
  <c r="EP42" i="2"/>
  <c r="ES41" i="2"/>
  <c r="FC43" i="2"/>
  <c r="FD43" i="2"/>
  <c r="EM43" i="2"/>
  <c r="DX43" i="2"/>
  <c r="EA43" i="2" s="1"/>
  <c r="DG43" i="2"/>
  <c r="EN43" i="2"/>
  <c r="DH43" i="2"/>
  <c r="DW43" i="2"/>
  <c r="CA43" i="2"/>
  <c r="CR43" i="2"/>
  <c r="AV43" i="2"/>
  <c r="BL43" i="2"/>
  <c r="AU43" i="2"/>
  <c r="CQ43" i="2"/>
  <c r="O43" i="2"/>
  <c r="CB43" i="2"/>
  <c r="BK43" i="2"/>
  <c r="P43" i="2"/>
  <c r="AF43" i="2"/>
  <c r="AE43" i="2"/>
  <c r="FB43" i="2"/>
  <c r="FH43" i="2" s="1"/>
  <c r="FE43" i="2"/>
  <c r="EO43" i="2"/>
  <c r="EU43" i="2"/>
  <c r="FA43" i="2"/>
  <c r="EK43" i="2"/>
  <c r="EE43" i="2"/>
  <c r="EL43" i="2"/>
  <c r="ER43" i="2" s="1"/>
  <c r="DU43" i="2"/>
  <c r="DO43" i="2"/>
  <c r="ET43" i="2"/>
  <c r="ED43" i="2"/>
  <c r="DV43" i="2"/>
  <c r="EB43" i="2" s="1"/>
  <c r="DI43" i="2"/>
  <c r="CX43" i="2"/>
  <c r="CP43" i="2"/>
  <c r="CU43" i="2" s="1"/>
  <c r="BZ43" i="2"/>
  <c r="CE43" i="2" s="1"/>
  <c r="CS43" i="2"/>
  <c r="CH43" i="2"/>
  <c r="CC43" i="2"/>
  <c r="DE43" i="2"/>
  <c r="CY43" i="2"/>
  <c r="BM43" i="2"/>
  <c r="DY43" i="2"/>
  <c r="DN43" i="2"/>
  <c r="DF43" i="2"/>
  <c r="DK43" i="2" s="1"/>
  <c r="CI43" i="2"/>
  <c r="CO43" i="2"/>
  <c r="BY43" i="2"/>
  <c r="BR43" i="2"/>
  <c r="BC43" i="2"/>
  <c r="AT43" i="2"/>
  <c r="BI43" i="2"/>
  <c r="AM43" i="2"/>
  <c r="BJ43" i="2"/>
  <c r="BP43" i="2" s="1"/>
  <c r="BB43" i="2"/>
  <c r="AW43" i="2"/>
  <c r="AS43" i="2"/>
  <c r="BS43" i="2"/>
  <c r="AL43" i="2"/>
  <c r="AG43" i="2"/>
  <c r="FG43" i="2"/>
  <c r="CT42" i="2"/>
  <c r="CW41" i="2"/>
  <c r="CD42" i="2"/>
  <c r="CG41" i="2"/>
  <c r="DL43" i="2"/>
  <c r="FF42" i="2"/>
  <c r="FI41" i="2"/>
  <c r="EC41" i="2"/>
  <c r="DZ42" i="2"/>
  <c r="T42" i="2"/>
  <c r="AD43" i="2"/>
  <c r="AC43" i="2"/>
  <c r="W43" i="2"/>
  <c r="V43" i="2"/>
  <c r="N43" i="2"/>
  <c r="M43" i="2"/>
  <c r="F43" i="2"/>
  <c r="G43" i="2"/>
  <c r="A44" i="2"/>
  <c r="Q43" i="2"/>
  <c r="S42" i="2"/>
  <c r="AH40" i="2"/>
  <c r="AK39" i="2"/>
  <c r="AJ40" i="2"/>
  <c r="R42" i="2"/>
  <c r="U41" i="2"/>
  <c r="E46" i="2"/>
  <c r="DZ43" i="2" l="1"/>
  <c r="EC42" i="2"/>
  <c r="CG42" i="2"/>
  <c r="CD43" i="2"/>
  <c r="BO43" i="2"/>
  <c r="EQ43" i="2"/>
  <c r="FF43" i="2"/>
  <c r="FI42" i="2"/>
  <c r="CF43" i="2"/>
  <c r="ES42" i="2"/>
  <c r="EP43" i="2"/>
  <c r="CV43" i="2"/>
  <c r="BN43" i="2"/>
  <c r="BQ42" i="2"/>
  <c r="CW42" i="2"/>
  <c r="CT43" i="2"/>
  <c r="FC44" i="2"/>
  <c r="FD44" i="2"/>
  <c r="DX44" i="2"/>
  <c r="EM44" i="2"/>
  <c r="CR44" i="2"/>
  <c r="DG44" i="2"/>
  <c r="CQ44" i="2"/>
  <c r="CB44" i="2"/>
  <c r="BL44" i="2"/>
  <c r="AU44" i="2"/>
  <c r="DW44" i="2"/>
  <c r="CA44" i="2"/>
  <c r="DH44" i="2"/>
  <c r="BK44" i="2"/>
  <c r="AV44" i="2"/>
  <c r="AF44" i="2"/>
  <c r="AE44" i="2"/>
  <c r="EN44" i="2"/>
  <c r="O44" i="2"/>
  <c r="P44" i="2"/>
  <c r="FA44" i="2"/>
  <c r="FB44" i="2"/>
  <c r="FH44" i="2" s="1"/>
  <c r="ET44" i="2"/>
  <c r="FE44" i="2"/>
  <c r="EO44" i="2"/>
  <c r="EU44" i="2"/>
  <c r="DY44" i="2"/>
  <c r="EK44" i="2"/>
  <c r="EE44" i="2"/>
  <c r="EL44" i="2"/>
  <c r="ER44" i="2" s="1"/>
  <c r="DU44" i="2"/>
  <c r="DO44" i="2"/>
  <c r="ED44" i="2"/>
  <c r="DN44" i="2"/>
  <c r="DF44" i="2"/>
  <c r="DK44" i="2" s="1"/>
  <c r="CO44" i="2"/>
  <c r="CI44" i="2"/>
  <c r="BY44" i="2"/>
  <c r="DI44" i="2"/>
  <c r="CX44" i="2"/>
  <c r="CP44" i="2"/>
  <c r="CU44" i="2" s="1"/>
  <c r="BZ44" i="2"/>
  <c r="CE44" i="2" s="1"/>
  <c r="DV44" i="2"/>
  <c r="EB44" i="2" s="1"/>
  <c r="CS44" i="2"/>
  <c r="CH44" i="2"/>
  <c r="CC44" i="2"/>
  <c r="BS44" i="2"/>
  <c r="BR44" i="2"/>
  <c r="DE44" i="2"/>
  <c r="CY44" i="2"/>
  <c r="AS44" i="2"/>
  <c r="BC44" i="2"/>
  <c r="AT44" i="2"/>
  <c r="BM44" i="2"/>
  <c r="BI44" i="2"/>
  <c r="AM44" i="2"/>
  <c r="BJ44" i="2"/>
  <c r="BP44" i="2" s="1"/>
  <c r="BB44" i="2"/>
  <c r="AW44" i="2"/>
  <c r="AL44" i="2"/>
  <c r="AG44" i="2"/>
  <c r="DM42" i="2"/>
  <c r="DJ43" i="2"/>
  <c r="S43" i="2"/>
  <c r="AD44" i="2"/>
  <c r="AC44" i="2"/>
  <c r="W44" i="2"/>
  <c r="V44" i="2"/>
  <c r="G44" i="2"/>
  <c r="N44" i="2"/>
  <c r="A45" i="2"/>
  <c r="M44" i="2"/>
  <c r="Q44" i="2"/>
  <c r="F44" i="2"/>
  <c r="T43" i="2"/>
  <c r="AI41" i="2"/>
  <c r="AK40" i="2"/>
  <c r="AH41" i="2"/>
  <c r="AJ41" i="2"/>
  <c r="R43" i="2"/>
  <c r="U42" i="2"/>
  <c r="E47" i="2"/>
  <c r="CU45" i="2" l="1"/>
  <c r="FD45" i="2"/>
  <c r="EN45" i="2"/>
  <c r="EM45" i="2"/>
  <c r="DX45" i="2"/>
  <c r="DW45" i="2"/>
  <c r="CR45" i="2"/>
  <c r="DH45" i="2"/>
  <c r="DG45" i="2"/>
  <c r="CB45" i="2"/>
  <c r="BK45" i="2"/>
  <c r="AF45" i="2"/>
  <c r="BL45" i="2"/>
  <c r="AU45" i="2"/>
  <c r="P45" i="2"/>
  <c r="FC45" i="2"/>
  <c r="CA45" i="2"/>
  <c r="AV45" i="2"/>
  <c r="AE45" i="2"/>
  <c r="CQ45" i="2"/>
  <c r="O45" i="2"/>
  <c r="FE45" i="2"/>
  <c r="FB45" i="2"/>
  <c r="FH45" i="2" s="1"/>
  <c r="ET45" i="2"/>
  <c r="EO45" i="2"/>
  <c r="FA45" i="2"/>
  <c r="EU45" i="2"/>
  <c r="ED45" i="2"/>
  <c r="DV45" i="2"/>
  <c r="DY45" i="2"/>
  <c r="EB45" i="2" s="1"/>
  <c r="EK45" i="2"/>
  <c r="EE45" i="2"/>
  <c r="DE45" i="2"/>
  <c r="CY45" i="2"/>
  <c r="BM45" i="2"/>
  <c r="EL45" i="2"/>
  <c r="ER45" i="2" s="1"/>
  <c r="DU45" i="2"/>
  <c r="DO45" i="2"/>
  <c r="DN45" i="2"/>
  <c r="DF45" i="2"/>
  <c r="DK45" i="2" s="1"/>
  <c r="CO45" i="2"/>
  <c r="CI45" i="2"/>
  <c r="BY45" i="2"/>
  <c r="BS45" i="2"/>
  <c r="DI45" i="2"/>
  <c r="CX45" i="2"/>
  <c r="CP45" i="2"/>
  <c r="BZ45" i="2"/>
  <c r="CE45" i="2" s="1"/>
  <c r="CS45" i="2"/>
  <c r="BR45" i="2"/>
  <c r="CC45" i="2"/>
  <c r="BJ45" i="2"/>
  <c r="BP45" i="2" s="1"/>
  <c r="BB45" i="2"/>
  <c r="AW45" i="2"/>
  <c r="AS45" i="2"/>
  <c r="BC45" i="2"/>
  <c r="AT45" i="2"/>
  <c r="CH45" i="2"/>
  <c r="BI45" i="2"/>
  <c r="AM45" i="2"/>
  <c r="AL45" i="2"/>
  <c r="AG45" i="2"/>
  <c r="DJ44" i="2"/>
  <c r="DM43" i="2"/>
  <c r="CW43" i="2"/>
  <c r="CT44" i="2"/>
  <c r="CV44" i="2"/>
  <c r="CV45" i="2" s="1"/>
  <c r="FG44" i="2"/>
  <c r="FG45" i="2" s="1"/>
  <c r="EA44" i="2"/>
  <c r="EA45" i="2" s="1"/>
  <c r="CF44" i="2"/>
  <c r="CF45" i="2" s="1"/>
  <c r="EQ44" i="2"/>
  <c r="EQ45" i="2" s="1"/>
  <c r="BO44" i="2"/>
  <c r="BO45" i="2" s="1"/>
  <c r="CG43" i="2"/>
  <c r="CD44" i="2"/>
  <c r="DL44" i="2"/>
  <c r="DL45" i="2" s="1"/>
  <c r="BN44" i="2"/>
  <c r="BQ43" i="2"/>
  <c r="ES43" i="2"/>
  <c r="EP44" i="2"/>
  <c r="FF44" i="2"/>
  <c r="FI43" i="2"/>
  <c r="EC43" i="2"/>
  <c r="DZ44" i="2"/>
  <c r="T44" i="2"/>
  <c r="AD45" i="2"/>
  <c r="W45" i="2"/>
  <c r="V45" i="2"/>
  <c r="AC45" i="2"/>
  <c r="M45" i="2"/>
  <c r="N45" i="2"/>
  <c r="G45" i="2"/>
  <c r="F45" i="2"/>
  <c r="A46" i="2"/>
  <c r="Q45" i="2"/>
  <c r="AJ42" i="2"/>
  <c r="AJ43" i="2" s="1"/>
  <c r="S44" i="2"/>
  <c r="AI42" i="2"/>
  <c r="AK41" i="2"/>
  <c r="AH42" i="2"/>
  <c r="R44" i="2"/>
  <c r="U43" i="2"/>
  <c r="E48" i="2"/>
  <c r="ES44" i="2" l="1"/>
  <c r="EP45" i="2"/>
  <c r="CG44" i="2"/>
  <c r="CD45" i="2"/>
  <c r="DM44" i="2"/>
  <c r="DJ45" i="2"/>
  <c r="DZ45" i="2"/>
  <c r="EC44" i="2"/>
  <c r="FF45" i="2"/>
  <c r="FI44" i="2"/>
  <c r="FC46" i="2"/>
  <c r="FD46" i="2"/>
  <c r="EM46" i="2"/>
  <c r="EN46" i="2"/>
  <c r="DH46" i="2"/>
  <c r="DX46" i="2"/>
  <c r="DW46" i="2"/>
  <c r="CR46" i="2"/>
  <c r="CU46" i="2" s="1"/>
  <c r="DG46" i="2"/>
  <c r="CQ46" i="2"/>
  <c r="AV46" i="2"/>
  <c r="CB46" i="2"/>
  <c r="BK46" i="2"/>
  <c r="AF46" i="2"/>
  <c r="O46" i="2"/>
  <c r="CA46" i="2"/>
  <c r="BL46" i="2"/>
  <c r="AU46" i="2"/>
  <c r="P46" i="2"/>
  <c r="AE46" i="2"/>
  <c r="FB46" i="2"/>
  <c r="FH46" i="2" s="1"/>
  <c r="FE46" i="2"/>
  <c r="FA46" i="2"/>
  <c r="EU46" i="2"/>
  <c r="ET46" i="2"/>
  <c r="EL46" i="2"/>
  <c r="ER46" i="2" s="1"/>
  <c r="DU46" i="2"/>
  <c r="DO46" i="2"/>
  <c r="ED46" i="2"/>
  <c r="DV46" i="2"/>
  <c r="EB46" i="2" s="1"/>
  <c r="EO46" i="2"/>
  <c r="DY46" i="2"/>
  <c r="EK46" i="2"/>
  <c r="CS46" i="2"/>
  <c r="CH46" i="2"/>
  <c r="CC46" i="2"/>
  <c r="DE46" i="2"/>
  <c r="CY46" i="2"/>
  <c r="BM46" i="2"/>
  <c r="DN46" i="2"/>
  <c r="DF46" i="2"/>
  <c r="DK46" i="2" s="1"/>
  <c r="CO46" i="2"/>
  <c r="CI46" i="2"/>
  <c r="BY46" i="2"/>
  <c r="BS46" i="2"/>
  <c r="EE46" i="2"/>
  <c r="CP46" i="2"/>
  <c r="CV46" i="2" s="1"/>
  <c r="CX46" i="2"/>
  <c r="BZ46" i="2"/>
  <c r="CE46" i="2" s="1"/>
  <c r="DI46" i="2"/>
  <c r="BR46" i="2"/>
  <c r="BI46" i="2"/>
  <c r="AM46" i="2"/>
  <c r="BJ46" i="2"/>
  <c r="BO46" i="2" s="1"/>
  <c r="BB46" i="2"/>
  <c r="AW46" i="2"/>
  <c r="AS46" i="2"/>
  <c r="BC46" i="2"/>
  <c r="AT46" i="2"/>
  <c r="AL46" i="2"/>
  <c r="AG46" i="2"/>
  <c r="BQ44" i="2"/>
  <c r="BN45" i="2"/>
  <c r="DL46" i="2"/>
  <c r="EA46" i="2"/>
  <c r="FG46" i="2"/>
  <c r="CW44" i="2"/>
  <c r="CT45" i="2"/>
  <c r="T45" i="2"/>
  <c r="S45" i="2"/>
  <c r="AC46" i="2"/>
  <c r="V46" i="2"/>
  <c r="AD46" i="2"/>
  <c r="W46" i="2"/>
  <c r="A47" i="2"/>
  <c r="Q46" i="2"/>
  <c r="M46" i="2"/>
  <c r="N46" i="2"/>
  <c r="G46" i="2"/>
  <c r="F46" i="2"/>
  <c r="AI43" i="2"/>
  <c r="AI44" i="2" s="1"/>
  <c r="AH43" i="2"/>
  <c r="AK42" i="2"/>
  <c r="R45" i="2"/>
  <c r="U44" i="2"/>
  <c r="E49" i="2"/>
  <c r="CT46" i="2" l="1"/>
  <c r="CW45" i="2"/>
  <c r="EQ46" i="2"/>
  <c r="BP46" i="2"/>
  <c r="FC47" i="2"/>
  <c r="FD47" i="2"/>
  <c r="EM47" i="2"/>
  <c r="EN47" i="2"/>
  <c r="DG47" i="2"/>
  <c r="DH47" i="2"/>
  <c r="DW47" i="2"/>
  <c r="DX47" i="2"/>
  <c r="CA47" i="2"/>
  <c r="CQ47" i="2"/>
  <c r="AV47" i="2"/>
  <c r="CR47" i="2"/>
  <c r="CB47" i="2"/>
  <c r="BL47" i="2"/>
  <c r="BK47" i="2"/>
  <c r="AF47" i="2"/>
  <c r="O47" i="2"/>
  <c r="AU47" i="2"/>
  <c r="AE47" i="2"/>
  <c r="P47" i="2"/>
  <c r="FB47" i="2"/>
  <c r="FH47" i="2" s="1"/>
  <c r="FE47" i="2"/>
  <c r="EO47" i="2"/>
  <c r="FA47" i="2"/>
  <c r="EU47" i="2"/>
  <c r="EK47" i="2"/>
  <c r="EE47" i="2"/>
  <c r="EL47" i="2"/>
  <c r="ER47" i="2" s="1"/>
  <c r="DU47" i="2"/>
  <c r="DO47" i="2"/>
  <c r="ED47" i="2"/>
  <c r="DV47" i="2"/>
  <c r="EB47" i="2" s="1"/>
  <c r="DY47" i="2"/>
  <c r="DI47" i="2"/>
  <c r="CX47" i="2"/>
  <c r="CP47" i="2"/>
  <c r="CV47" i="2" s="1"/>
  <c r="BZ47" i="2"/>
  <c r="CE47" i="2" s="1"/>
  <c r="CS47" i="2"/>
  <c r="CH47" i="2"/>
  <c r="CC47" i="2"/>
  <c r="ET47" i="2"/>
  <c r="DE47" i="2"/>
  <c r="CY47" i="2"/>
  <c r="BM47" i="2"/>
  <c r="DN47" i="2"/>
  <c r="DF47" i="2"/>
  <c r="DK47" i="2" s="1"/>
  <c r="CI47" i="2"/>
  <c r="BS47" i="2"/>
  <c r="CO47" i="2"/>
  <c r="BC47" i="2"/>
  <c r="AT47" i="2"/>
  <c r="BY47" i="2"/>
  <c r="BR47" i="2"/>
  <c r="BI47" i="2"/>
  <c r="AM47" i="2"/>
  <c r="BJ47" i="2"/>
  <c r="BO47" i="2" s="1"/>
  <c r="BB47" i="2"/>
  <c r="AW47" i="2"/>
  <c r="AS47" i="2"/>
  <c r="AL47" i="2"/>
  <c r="AG47" i="2"/>
  <c r="CF46" i="2"/>
  <c r="CF47" i="2" s="1"/>
  <c r="DZ46" i="2"/>
  <c r="EC45" i="2"/>
  <c r="DJ46" i="2"/>
  <c r="DM45" i="2"/>
  <c r="ES45" i="2"/>
  <c r="EP46" i="2"/>
  <c r="FG47" i="2"/>
  <c r="BN46" i="2"/>
  <c r="BQ45" i="2"/>
  <c r="FF46" i="2"/>
  <c r="FI45" i="2"/>
  <c r="CG45" i="2"/>
  <c r="CD46" i="2"/>
  <c r="AD47" i="2"/>
  <c r="V47" i="2"/>
  <c r="AC47" i="2"/>
  <c r="W47" i="2"/>
  <c r="G47" i="2"/>
  <c r="A48" i="2"/>
  <c r="Q47" i="2"/>
  <c r="M47" i="2"/>
  <c r="N47" i="2"/>
  <c r="F47" i="2"/>
  <c r="T46" i="2"/>
  <c r="S46" i="2"/>
  <c r="AH44" i="2"/>
  <c r="AK43" i="2"/>
  <c r="AI45" i="2"/>
  <c r="AJ44" i="2"/>
  <c r="R46" i="2"/>
  <c r="U45" i="2"/>
  <c r="E50" i="2"/>
  <c r="DK48" i="2" l="1"/>
  <c r="FF47" i="2"/>
  <c r="FI46" i="2"/>
  <c r="FC48" i="2"/>
  <c r="FD48" i="2"/>
  <c r="DX48" i="2"/>
  <c r="EN48" i="2"/>
  <c r="EM48" i="2"/>
  <c r="CR48" i="2"/>
  <c r="DG48" i="2"/>
  <c r="CQ48" i="2"/>
  <c r="DW48" i="2"/>
  <c r="DH48" i="2"/>
  <c r="BL48" i="2"/>
  <c r="AU48" i="2"/>
  <c r="CA48" i="2"/>
  <c r="AE48" i="2"/>
  <c r="BK48" i="2"/>
  <c r="AV48" i="2"/>
  <c r="CB48" i="2"/>
  <c r="AF48" i="2"/>
  <c r="P48" i="2"/>
  <c r="O48" i="2"/>
  <c r="FB48" i="2"/>
  <c r="FH48" i="2" s="1"/>
  <c r="ET48" i="2"/>
  <c r="EO48" i="2"/>
  <c r="FE48" i="2"/>
  <c r="FA48" i="2"/>
  <c r="EU48" i="2"/>
  <c r="DY48" i="2"/>
  <c r="EK48" i="2"/>
  <c r="EE48" i="2"/>
  <c r="EL48" i="2"/>
  <c r="ER48" i="2" s="1"/>
  <c r="DU48" i="2"/>
  <c r="DO48" i="2"/>
  <c r="DN48" i="2"/>
  <c r="DF48" i="2"/>
  <c r="CO48" i="2"/>
  <c r="CI48" i="2"/>
  <c r="BY48" i="2"/>
  <c r="ED48" i="2"/>
  <c r="DI48" i="2"/>
  <c r="CX48" i="2"/>
  <c r="CP48" i="2"/>
  <c r="CV48" i="2" s="1"/>
  <c r="BZ48" i="2"/>
  <c r="CE48" i="2" s="1"/>
  <c r="CS48" i="2"/>
  <c r="CH48" i="2"/>
  <c r="CC48" i="2"/>
  <c r="CF48" i="2" s="1"/>
  <c r="DV48" i="2"/>
  <c r="EB48" i="2" s="1"/>
  <c r="DE48" i="2"/>
  <c r="CY48" i="2"/>
  <c r="BM48" i="2"/>
  <c r="BR48" i="2"/>
  <c r="AS48" i="2"/>
  <c r="BC48" i="2"/>
  <c r="AT48" i="2"/>
  <c r="BI48" i="2"/>
  <c r="AM48" i="2"/>
  <c r="BJ48" i="2"/>
  <c r="BO48" i="2" s="1"/>
  <c r="BB48" i="2"/>
  <c r="AW48" i="2"/>
  <c r="BS48" i="2"/>
  <c r="AG48" i="2"/>
  <c r="AL48" i="2"/>
  <c r="CD47" i="2"/>
  <c r="CG46" i="2"/>
  <c r="DL47" i="2"/>
  <c r="EC46" i="2"/>
  <c r="DZ47" i="2"/>
  <c r="CW46" i="2"/>
  <c r="CT47" i="2"/>
  <c r="CU47" i="2"/>
  <c r="CU48" i="2" s="1"/>
  <c r="BN47" i="2"/>
  <c r="BQ46" i="2"/>
  <c r="DM46" i="2"/>
  <c r="DJ47" i="2"/>
  <c r="BP47" i="2"/>
  <c r="EA47" i="2"/>
  <c r="EA48" i="2" s="1"/>
  <c r="ES46" i="2"/>
  <c r="EP47" i="2"/>
  <c r="EQ47" i="2"/>
  <c r="EQ48" i="2" s="1"/>
  <c r="S47" i="2"/>
  <c r="T47" i="2"/>
  <c r="AD48" i="2"/>
  <c r="W48" i="2"/>
  <c r="V48" i="2"/>
  <c r="AC48" i="2"/>
  <c r="Q48" i="2"/>
  <c r="M48" i="2"/>
  <c r="N48" i="2"/>
  <c r="F48" i="2"/>
  <c r="G48" i="2"/>
  <c r="A49" i="2"/>
  <c r="AH45" i="2"/>
  <c r="AK44" i="2"/>
  <c r="AJ45" i="2"/>
  <c r="R47" i="2"/>
  <c r="U46" i="2"/>
  <c r="E51" i="2"/>
  <c r="CW47" i="2" l="1"/>
  <c r="CT48" i="2"/>
  <c r="FG48" i="2"/>
  <c r="DL48" i="2"/>
  <c r="FF48" i="2"/>
  <c r="FI47" i="2"/>
  <c r="FD49" i="2"/>
  <c r="FC49" i="2"/>
  <c r="EN49" i="2"/>
  <c r="DX49" i="2"/>
  <c r="DW49" i="2"/>
  <c r="EM49" i="2"/>
  <c r="CR49" i="2"/>
  <c r="CB49" i="2"/>
  <c r="DH49" i="2"/>
  <c r="BK49" i="2"/>
  <c r="AF49" i="2"/>
  <c r="BL49" i="2"/>
  <c r="AU49" i="2"/>
  <c r="P49" i="2"/>
  <c r="AE49" i="2"/>
  <c r="DG49" i="2"/>
  <c r="AV49" i="2"/>
  <c r="CQ49" i="2"/>
  <c r="O49" i="2"/>
  <c r="CA49" i="2"/>
  <c r="FE49" i="2"/>
  <c r="FB49" i="2"/>
  <c r="FH49" i="2" s="1"/>
  <c r="ET49" i="2"/>
  <c r="EO49" i="2"/>
  <c r="ED49" i="2"/>
  <c r="DV49" i="2"/>
  <c r="EB49" i="2" s="1"/>
  <c r="FA49" i="2"/>
  <c r="EU49" i="2"/>
  <c r="DY49" i="2"/>
  <c r="EK49" i="2"/>
  <c r="EE49" i="2"/>
  <c r="DE49" i="2"/>
  <c r="CY49" i="2"/>
  <c r="BM49" i="2"/>
  <c r="DN49" i="2"/>
  <c r="DF49" i="2"/>
  <c r="DK49" i="2" s="1"/>
  <c r="CO49" i="2"/>
  <c r="CI49" i="2"/>
  <c r="BY49" i="2"/>
  <c r="EL49" i="2"/>
  <c r="ER49" i="2" s="1"/>
  <c r="DU49" i="2"/>
  <c r="DO49" i="2"/>
  <c r="DI49" i="2"/>
  <c r="CX49" i="2"/>
  <c r="CP49" i="2"/>
  <c r="CV49" i="2" s="1"/>
  <c r="BZ49" i="2"/>
  <c r="CF49" i="2" s="1"/>
  <c r="CH49" i="2"/>
  <c r="BR49" i="2"/>
  <c r="CS49" i="2"/>
  <c r="BS49" i="2"/>
  <c r="CC49" i="2"/>
  <c r="BJ49" i="2"/>
  <c r="BO49" i="2" s="1"/>
  <c r="BB49" i="2"/>
  <c r="AW49" i="2"/>
  <c r="AS49" i="2"/>
  <c r="BC49" i="2"/>
  <c r="AT49" i="2"/>
  <c r="BI49" i="2"/>
  <c r="AM49" i="2"/>
  <c r="AL49" i="2"/>
  <c r="AG49" i="2"/>
  <c r="EP48" i="2"/>
  <c r="ES47" i="2"/>
  <c r="BP48" i="2"/>
  <c r="DJ48" i="2"/>
  <c r="DM47" i="2"/>
  <c r="BN48" i="2"/>
  <c r="BQ47" i="2"/>
  <c r="DZ48" i="2"/>
  <c r="EC47" i="2"/>
  <c r="CG47" i="2"/>
  <c r="CD48" i="2"/>
  <c r="T48" i="2"/>
  <c r="AC49" i="2"/>
  <c r="V49" i="2"/>
  <c r="AD49" i="2"/>
  <c r="W49" i="2"/>
  <c r="N49" i="2"/>
  <c r="F49" i="2"/>
  <c r="G49" i="2"/>
  <c r="A50" i="2"/>
  <c r="Q49" i="2"/>
  <c r="M49" i="2"/>
  <c r="S48" i="2"/>
  <c r="AI46" i="2"/>
  <c r="AJ46" i="2"/>
  <c r="AH46" i="2"/>
  <c r="AK45" i="2"/>
  <c r="R48" i="2"/>
  <c r="U47" i="2"/>
  <c r="E52" i="2"/>
  <c r="BP49" i="2" l="1"/>
  <c r="FG49" i="2"/>
  <c r="CU49" i="2"/>
  <c r="CE49" i="2"/>
  <c r="CE50" i="2" s="1"/>
  <c r="FC50" i="2"/>
  <c r="FD50" i="2"/>
  <c r="EM50" i="2"/>
  <c r="EN50" i="2"/>
  <c r="DH50" i="2"/>
  <c r="DW50" i="2"/>
  <c r="CB50" i="2"/>
  <c r="AV50" i="2"/>
  <c r="DX50" i="2"/>
  <c r="BK50" i="2"/>
  <c r="AF50" i="2"/>
  <c r="DG50" i="2"/>
  <c r="CQ50" i="2"/>
  <c r="CA50" i="2"/>
  <c r="O50" i="2"/>
  <c r="CR50" i="2"/>
  <c r="P50" i="2"/>
  <c r="AU50" i="2"/>
  <c r="AE50" i="2"/>
  <c r="BL50" i="2"/>
  <c r="FB50" i="2"/>
  <c r="FH50" i="2" s="1"/>
  <c r="FE50" i="2"/>
  <c r="FA50" i="2"/>
  <c r="EU50" i="2"/>
  <c r="ET50" i="2"/>
  <c r="EL50" i="2"/>
  <c r="ER50" i="2" s="1"/>
  <c r="DU50" i="2"/>
  <c r="DO50" i="2"/>
  <c r="ED50" i="2"/>
  <c r="DV50" i="2"/>
  <c r="EB50" i="2" s="1"/>
  <c r="DY50" i="2"/>
  <c r="EO50" i="2"/>
  <c r="EE50" i="2"/>
  <c r="CS50" i="2"/>
  <c r="CH50" i="2"/>
  <c r="CC50" i="2"/>
  <c r="EK50" i="2"/>
  <c r="DE50" i="2"/>
  <c r="CY50" i="2"/>
  <c r="BM50" i="2"/>
  <c r="BS50" i="2"/>
  <c r="DN50" i="2"/>
  <c r="DF50" i="2"/>
  <c r="DK50" i="2" s="1"/>
  <c r="CO50" i="2"/>
  <c r="CI50" i="2"/>
  <c r="BY50" i="2"/>
  <c r="DI50" i="2"/>
  <c r="CP50" i="2"/>
  <c r="CV50" i="2" s="1"/>
  <c r="CX50" i="2"/>
  <c r="BZ50" i="2"/>
  <c r="CF50" i="2" s="1"/>
  <c r="BR50" i="2"/>
  <c r="BI50" i="2"/>
  <c r="AM50" i="2"/>
  <c r="BJ50" i="2"/>
  <c r="BO50" i="2" s="1"/>
  <c r="BB50" i="2"/>
  <c r="AW50" i="2"/>
  <c r="AS50" i="2"/>
  <c r="BC50" i="2"/>
  <c r="AT50" i="2"/>
  <c r="AL50" i="2"/>
  <c r="AG50" i="2"/>
  <c r="BN49" i="2"/>
  <c r="BQ48" i="2"/>
  <c r="EQ49" i="2"/>
  <c r="EQ50" i="2" s="1"/>
  <c r="EA49" i="2"/>
  <c r="EA50" i="2" s="1"/>
  <c r="DZ49" i="2"/>
  <c r="EC48" i="2"/>
  <c r="EP49" i="2"/>
  <c r="ES48" i="2"/>
  <c r="FF49" i="2"/>
  <c r="FI48" i="2"/>
  <c r="CW48" i="2"/>
  <c r="CT49" i="2"/>
  <c r="CD49" i="2"/>
  <c r="CG48" i="2"/>
  <c r="DJ49" i="2"/>
  <c r="DM48" i="2"/>
  <c r="DL49" i="2"/>
  <c r="DL50" i="2" s="1"/>
  <c r="T49" i="2"/>
  <c r="S49" i="2"/>
  <c r="AC50" i="2"/>
  <c r="V50" i="2"/>
  <c r="AD50" i="2"/>
  <c r="W50" i="2"/>
  <c r="Q50" i="2"/>
  <c r="M50" i="2"/>
  <c r="N50" i="2"/>
  <c r="F50" i="2"/>
  <c r="G50" i="2"/>
  <c r="A51" i="2"/>
  <c r="AI47" i="2"/>
  <c r="AI48" i="2" s="1"/>
  <c r="AH47" i="2"/>
  <c r="AK46" i="2"/>
  <c r="AJ47" i="2"/>
  <c r="AJ48" i="2" s="1"/>
  <c r="R49" i="2"/>
  <c r="U48" i="2"/>
  <c r="E53" i="2"/>
  <c r="EP50" i="2" l="1"/>
  <c r="ES49" i="2"/>
  <c r="BN50" i="2"/>
  <c r="BQ49" i="2"/>
  <c r="CU50" i="2"/>
  <c r="FG50" i="2"/>
  <c r="FG51" i="2" s="1"/>
  <c r="FC51" i="2"/>
  <c r="FD51" i="2"/>
  <c r="EM51" i="2"/>
  <c r="DX51" i="2"/>
  <c r="DG51" i="2"/>
  <c r="DH51" i="2"/>
  <c r="EN51" i="2"/>
  <c r="CR51" i="2"/>
  <c r="CQ51" i="2"/>
  <c r="CA51" i="2"/>
  <c r="CB51" i="2"/>
  <c r="AV51" i="2"/>
  <c r="DW51" i="2"/>
  <c r="BL51" i="2"/>
  <c r="AU51" i="2"/>
  <c r="O51" i="2"/>
  <c r="AF51" i="2"/>
  <c r="BK51" i="2"/>
  <c r="P51" i="2"/>
  <c r="AE51" i="2"/>
  <c r="FB51" i="2"/>
  <c r="FH51" i="2" s="1"/>
  <c r="FE51" i="2"/>
  <c r="EO51" i="2"/>
  <c r="ER51" i="2" s="1"/>
  <c r="FA51" i="2"/>
  <c r="EU51" i="2"/>
  <c r="ET51" i="2"/>
  <c r="EK51" i="2"/>
  <c r="EE51" i="2"/>
  <c r="EL51" i="2"/>
  <c r="DU51" i="2"/>
  <c r="DO51" i="2"/>
  <c r="ED51" i="2"/>
  <c r="DV51" i="2"/>
  <c r="EB51" i="2" s="1"/>
  <c r="DI51" i="2"/>
  <c r="CX51" i="2"/>
  <c r="CP51" i="2"/>
  <c r="CV51" i="2" s="1"/>
  <c r="BZ51" i="2"/>
  <c r="CF51" i="2" s="1"/>
  <c r="DY51" i="2"/>
  <c r="CS51" i="2"/>
  <c r="CH51" i="2"/>
  <c r="CC51" i="2"/>
  <c r="DE51" i="2"/>
  <c r="CY51" i="2"/>
  <c r="BM51" i="2"/>
  <c r="BS51" i="2"/>
  <c r="DN51" i="2"/>
  <c r="CO51" i="2"/>
  <c r="BY51" i="2"/>
  <c r="DF51" i="2"/>
  <c r="DK51" i="2" s="1"/>
  <c r="CI51" i="2"/>
  <c r="BC51" i="2"/>
  <c r="AT51" i="2"/>
  <c r="BI51" i="2"/>
  <c r="AM51" i="2"/>
  <c r="BR51" i="2"/>
  <c r="BJ51" i="2"/>
  <c r="BO51" i="2" s="1"/>
  <c r="BB51" i="2"/>
  <c r="AW51" i="2"/>
  <c r="AS51" i="2"/>
  <c r="AL51" i="2"/>
  <c r="AG51" i="2"/>
  <c r="BP50" i="2"/>
  <c r="BP51" i="2" s="1"/>
  <c r="CD50" i="2"/>
  <c r="CG49" i="2"/>
  <c r="FF50" i="2"/>
  <c r="FI49" i="2"/>
  <c r="EC49" i="2"/>
  <c r="DZ50" i="2"/>
  <c r="EQ51" i="2"/>
  <c r="DM49" i="2"/>
  <c r="DJ50" i="2"/>
  <c r="CT50" i="2"/>
  <c r="CW49" i="2"/>
  <c r="EA51" i="2"/>
  <c r="CE51" i="2"/>
  <c r="E14" i="4"/>
  <c r="I14" i="4" s="1"/>
  <c r="J14" i="4" s="1"/>
  <c r="O14" i="4" s="1"/>
  <c r="E13" i="4"/>
  <c r="I13" i="4" s="1"/>
  <c r="J13" i="4" s="1"/>
  <c r="O13" i="4" s="1"/>
  <c r="E12" i="4"/>
  <c r="I12" i="4" s="1"/>
  <c r="J12" i="4" s="1"/>
  <c r="O12" i="4" s="1"/>
  <c r="E11" i="4"/>
  <c r="I11" i="4" s="1"/>
  <c r="J11" i="4" s="1"/>
  <c r="O11" i="4" s="1"/>
  <c r="T50" i="2"/>
  <c r="AD51" i="2"/>
  <c r="AC51" i="2"/>
  <c r="V51" i="2"/>
  <c r="W51" i="2"/>
  <c r="N51" i="2"/>
  <c r="M51" i="2"/>
  <c r="F51" i="2"/>
  <c r="G51" i="2"/>
  <c r="A52" i="2"/>
  <c r="Q51" i="2"/>
  <c r="S50" i="2"/>
  <c r="AJ49" i="2"/>
  <c r="AH48" i="2"/>
  <c r="AK47" i="2"/>
  <c r="R50" i="2"/>
  <c r="U49" i="2"/>
  <c r="E54" i="2"/>
  <c r="CF52" i="2" l="1"/>
  <c r="FC52" i="2"/>
  <c r="DX52" i="2"/>
  <c r="FD52" i="2"/>
  <c r="EN52" i="2"/>
  <c r="CR52" i="2"/>
  <c r="DG52" i="2"/>
  <c r="CQ52" i="2"/>
  <c r="BL52" i="2"/>
  <c r="AU52" i="2"/>
  <c r="DH52" i="2"/>
  <c r="CA52" i="2"/>
  <c r="BK52" i="2"/>
  <c r="AV52" i="2"/>
  <c r="AF52" i="2"/>
  <c r="AE52" i="2"/>
  <c r="EM52" i="2"/>
  <c r="DW52" i="2"/>
  <c r="CB52" i="2"/>
  <c r="P52" i="2"/>
  <c r="O52" i="2"/>
  <c r="FB52" i="2"/>
  <c r="FH52" i="2" s="1"/>
  <c r="ET52" i="2"/>
  <c r="EO52" i="2"/>
  <c r="FA52" i="2"/>
  <c r="EU52" i="2"/>
  <c r="DY52" i="2"/>
  <c r="EK52" i="2"/>
  <c r="EE52" i="2"/>
  <c r="FE52" i="2"/>
  <c r="EL52" i="2"/>
  <c r="ER52" i="2" s="1"/>
  <c r="DU52" i="2"/>
  <c r="DO52" i="2"/>
  <c r="DV52" i="2"/>
  <c r="EB52" i="2" s="1"/>
  <c r="DN52" i="2"/>
  <c r="DF52" i="2"/>
  <c r="DK52" i="2" s="1"/>
  <c r="CO52" i="2"/>
  <c r="CI52" i="2"/>
  <c r="BY52" i="2"/>
  <c r="DI52" i="2"/>
  <c r="CX52" i="2"/>
  <c r="CP52" i="2"/>
  <c r="CV52" i="2" s="1"/>
  <c r="BZ52" i="2"/>
  <c r="ED52" i="2"/>
  <c r="CS52" i="2"/>
  <c r="CH52" i="2"/>
  <c r="CC52" i="2"/>
  <c r="DE52" i="2"/>
  <c r="CY52" i="2"/>
  <c r="BR52" i="2"/>
  <c r="BM52" i="2"/>
  <c r="AS52" i="2"/>
  <c r="BS52" i="2"/>
  <c r="BC52" i="2"/>
  <c r="AT52" i="2"/>
  <c r="BI52" i="2"/>
  <c r="AM52" i="2"/>
  <c r="BJ52" i="2"/>
  <c r="BO52" i="2" s="1"/>
  <c r="BB52" i="2"/>
  <c r="AW52" i="2"/>
  <c r="AL52" i="2"/>
  <c r="AG52" i="2"/>
  <c r="DJ51" i="2"/>
  <c r="DM50" i="2"/>
  <c r="DZ51" i="2"/>
  <c r="EC50" i="2"/>
  <c r="BQ50" i="2"/>
  <c r="BN51" i="2"/>
  <c r="EA52" i="2"/>
  <c r="CD51" i="2"/>
  <c r="CG50" i="2"/>
  <c r="CU51" i="2"/>
  <c r="CU52" i="2" s="1"/>
  <c r="CE52" i="2"/>
  <c r="BP52" i="2"/>
  <c r="FG52" i="2"/>
  <c r="EP51" i="2"/>
  <c r="ES50" i="2"/>
  <c r="CW50" i="2"/>
  <c r="CT51" i="2"/>
  <c r="EQ52" i="2"/>
  <c r="FF51" i="2"/>
  <c r="FI50" i="2"/>
  <c r="DL51" i="2"/>
  <c r="DL52" i="2" s="1"/>
  <c r="S51" i="2"/>
  <c r="AD52" i="2"/>
  <c r="W52" i="2"/>
  <c r="AC52" i="2"/>
  <c r="V52" i="2"/>
  <c r="M52" i="2"/>
  <c r="N52" i="2"/>
  <c r="Q52" i="2"/>
  <c r="G52" i="2"/>
  <c r="F52" i="2"/>
  <c r="A53" i="2"/>
  <c r="T51" i="2"/>
  <c r="AI49" i="2"/>
  <c r="AJ50" i="2"/>
  <c r="AH49" i="2"/>
  <c r="AK48" i="2"/>
  <c r="R51" i="2"/>
  <c r="U50" i="2"/>
  <c r="E55" i="2"/>
  <c r="FD53" i="2" l="1"/>
  <c r="EN53" i="2"/>
  <c r="FC53" i="2"/>
  <c r="EM53" i="2"/>
  <c r="DX53" i="2"/>
  <c r="DW53" i="2"/>
  <c r="CR53" i="2"/>
  <c r="DH53" i="2"/>
  <c r="DG53" i="2"/>
  <c r="CB53" i="2"/>
  <c r="BK53" i="2"/>
  <c r="AF53" i="2"/>
  <c r="CQ53" i="2"/>
  <c r="BL53" i="2"/>
  <c r="AU53" i="2"/>
  <c r="P53" i="2"/>
  <c r="CA53" i="2"/>
  <c r="AV53" i="2"/>
  <c r="AE53" i="2"/>
  <c r="O53" i="2"/>
  <c r="FE53" i="2"/>
  <c r="ET53" i="2"/>
  <c r="FB53" i="2"/>
  <c r="FH53" i="2" s="1"/>
  <c r="EO53" i="2"/>
  <c r="ED53" i="2"/>
  <c r="DV53" i="2"/>
  <c r="EB53" i="2" s="1"/>
  <c r="DY53" i="2"/>
  <c r="FA53" i="2"/>
  <c r="EU53" i="2"/>
  <c r="EK53" i="2"/>
  <c r="EE53" i="2"/>
  <c r="DE53" i="2"/>
  <c r="CY53" i="2"/>
  <c r="BM53" i="2"/>
  <c r="BP53" i="2" s="1"/>
  <c r="DN53" i="2"/>
  <c r="DF53" i="2"/>
  <c r="DK53" i="2" s="1"/>
  <c r="CO53" i="2"/>
  <c r="CI53" i="2"/>
  <c r="BY53" i="2"/>
  <c r="DI53" i="2"/>
  <c r="CX53" i="2"/>
  <c r="CP53" i="2"/>
  <c r="CV53" i="2" s="1"/>
  <c r="BZ53" i="2"/>
  <c r="EL53" i="2"/>
  <c r="ER53" i="2" s="1"/>
  <c r="DU53" i="2"/>
  <c r="DO53" i="2"/>
  <c r="CS53" i="2"/>
  <c r="CC53" i="2"/>
  <c r="CH53" i="2"/>
  <c r="BR53" i="2"/>
  <c r="BJ53" i="2"/>
  <c r="BO53" i="2" s="1"/>
  <c r="BB53" i="2"/>
  <c r="AW53" i="2"/>
  <c r="AS53" i="2"/>
  <c r="BC53" i="2"/>
  <c r="AT53" i="2"/>
  <c r="BI53" i="2"/>
  <c r="AM53" i="2"/>
  <c r="AL53" i="2"/>
  <c r="AG53" i="2"/>
  <c r="BS53" i="2"/>
  <c r="FF52" i="2"/>
  <c r="FI51" i="2"/>
  <c r="CG51" i="2"/>
  <c r="CD52" i="2"/>
  <c r="DL53" i="2"/>
  <c r="EQ53" i="2"/>
  <c r="DJ52" i="2"/>
  <c r="DM51" i="2"/>
  <c r="CT52" i="2"/>
  <c r="CW51" i="2"/>
  <c r="EP52" i="2"/>
  <c r="ES51" i="2"/>
  <c r="CU53" i="2"/>
  <c r="BN52" i="2"/>
  <c r="BQ51" i="2"/>
  <c r="CE53" i="2"/>
  <c r="DZ52" i="2"/>
  <c r="EC51" i="2"/>
  <c r="CF53" i="2"/>
  <c r="S52" i="2"/>
  <c r="T52" i="2"/>
  <c r="AD53" i="2"/>
  <c r="W53" i="2"/>
  <c r="AC53" i="2"/>
  <c r="V53" i="2"/>
  <c r="Q53" i="2"/>
  <c r="M53" i="2"/>
  <c r="F53" i="2"/>
  <c r="A54" i="2"/>
  <c r="N53" i="2"/>
  <c r="G53" i="2"/>
  <c r="AI50" i="2"/>
  <c r="AK49" i="2"/>
  <c r="AH50" i="2"/>
  <c r="R52" i="2"/>
  <c r="U51" i="2"/>
  <c r="E56" i="2"/>
  <c r="EC52" i="2" l="1"/>
  <c r="DZ53" i="2"/>
  <c r="CT53" i="2"/>
  <c r="CW52" i="2"/>
  <c r="EA53" i="2"/>
  <c r="FG53" i="2"/>
  <c r="FC54" i="2"/>
  <c r="FD54" i="2"/>
  <c r="EM54" i="2"/>
  <c r="EN54" i="2"/>
  <c r="DH54" i="2"/>
  <c r="DX54" i="2"/>
  <c r="DW54" i="2"/>
  <c r="CR54" i="2"/>
  <c r="DG54" i="2"/>
  <c r="AV54" i="2"/>
  <c r="BK54" i="2"/>
  <c r="AF54" i="2"/>
  <c r="O54" i="2"/>
  <c r="CQ54" i="2"/>
  <c r="BL54" i="2"/>
  <c r="AU54" i="2"/>
  <c r="P54" i="2"/>
  <c r="CA54" i="2"/>
  <c r="AE54" i="2"/>
  <c r="CB54" i="2"/>
  <c r="FB54" i="2"/>
  <c r="FH54" i="2" s="1"/>
  <c r="FE54" i="2"/>
  <c r="FA54" i="2"/>
  <c r="EU54" i="2"/>
  <c r="ET54" i="2"/>
  <c r="EO54" i="2"/>
  <c r="EL54" i="2"/>
  <c r="EQ54" i="2" s="1"/>
  <c r="DU54" i="2"/>
  <c r="DO54" i="2"/>
  <c r="ED54" i="2"/>
  <c r="DV54" i="2"/>
  <c r="EB54" i="2" s="1"/>
  <c r="DY54" i="2"/>
  <c r="CS54" i="2"/>
  <c r="CH54" i="2"/>
  <c r="CC54" i="2"/>
  <c r="EE54" i="2"/>
  <c r="DE54" i="2"/>
  <c r="CY54" i="2"/>
  <c r="BM54" i="2"/>
  <c r="EK54" i="2"/>
  <c r="DN54" i="2"/>
  <c r="DF54" i="2"/>
  <c r="DK54" i="2" s="1"/>
  <c r="CO54" i="2"/>
  <c r="CI54" i="2"/>
  <c r="BY54" i="2"/>
  <c r="CX54" i="2"/>
  <c r="DI54" i="2"/>
  <c r="BS54" i="2"/>
  <c r="CP54" i="2"/>
  <c r="CV54" i="2" s="1"/>
  <c r="BR54" i="2"/>
  <c r="BI54" i="2"/>
  <c r="AM54" i="2"/>
  <c r="BJ54" i="2"/>
  <c r="BP54" i="2" s="1"/>
  <c r="BB54" i="2"/>
  <c r="AW54" i="2"/>
  <c r="AS54" i="2"/>
  <c r="BZ54" i="2"/>
  <c r="CE54" i="2" s="1"/>
  <c r="BC54" i="2"/>
  <c r="AT54" i="2"/>
  <c r="AL54" i="2"/>
  <c r="AG54" i="2"/>
  <c r="BN53" i="2"/>
  <c r="BQ52" i="2"/>
  <c r="ES52" i="2"/>
  <c r="EP53" i="2"/>
  <c r="DM52" i="2"/>
  <c r="DJ53" i="2"/>
  <c r="DL54" i="2"/>
  <c r="CD53" i="2"/>
  <c r="CG52" i="2"/>
  <c r="FF53" i="2"/>
  <c r="FI52" i="2"/>
  <c r="T53" i="2"/>
  <c r="S53" i="2"/>
  <c r="AC54" i="2"/>
  <c r="V54" i="2"/>
  <c r="W54" i="2"/>
  <c r="AD54" i="2"/>
  <c r="A55" i="2"/>
  <c r="G54" i="2"/>
  <c r="Q54" i="2"/>
  <c r="F54" i="2"/>
  <c r="M54" i="2"/>
  <c r="N54" i="2"/>
  <c r="AI51" i="2"/>
  <c r="AI52" i="2" s="1"/>
  <c r="AK50" i="2"/>
  <c r="AH51" i="2"/>
  <c r="AJ51" i="2"/>
  <c r="AJ52" i="2" s="1"/>
  <c r="R53" i="2"/>
  <c r="U52" i="2"/>
  <c r="E57" i="2"/>
  <c r="EA54" i="2" l="1"/>
  <c r="CU54" i="2"/>
  <c r="ER54" i="2"/>
  <c r="FF54" i="2"/>
  <c r="FI53" i="2"/>
  <c r="DM53" i="2"/>
  <c r="DJ54" i="2"/>
  <c r="DZ54" i="2"/>
  <c r="EC53" i="2"/>
  <c r="BO54" i="2"/>
  <c r="BO55" i="2" s="1"/>
  <c r="FC55" i="2"/>
  <c r="FD55" i="2"/>
  <c r="EM55" i="2"/>
  <c r="EN55" i="2"/>
  <c r="DG55" i="2"/>
  <c r="DH55" i="2"/>
  <c r="DX55" i="2"/>
  <c r="DW55" i="2"/>
  <c r="CB55" i="2"/>
  <c r="CA55" i="2"/>
  <c r="CR55" i="2"/>
  <c r="AV55" i="2"/>
  <c r="BK55" i="2"/>
  <c r="AF55" i="2"/>
  <c r="O55" i="2"/>
  <c r="CQ55" i="2"/>
  <c r="BL55" i="2"/>
  <c r="AU55" i="2"/>
  <c r="AE55" i="2"/>
  <c r="P55" i="2"/>
  <c r="FB55" i="2"/>
  <c r="FH55" i="2" s="1"/>
  <c r="FE55" i="2"/>
  <c r="EO55" i="2"/>
  <c r="FA55" i="2"/>
  <c r="EU55" i="2"/>
  <c r="EK55" i="2"/>
  <c r="EE55" i="2"/>
  <c r="ET55" i="2"/>
  <c r="EL55" i="2"/>
  <c r="EQ55" i="2" s="1"/>
  <c r="DU55" i="2"/>
  <c r="DO55" i="2"/>
  <c r="ED55" i="2"/>
  <c r="DV55" i="2"/>
  <c r="EB55" i="2" s="1"/>
  <c r="DI55" i="2"/>
  <c r="CX55" i="2"/>
  <c r="CP55" i="2"/>
  <c r="CV55" i="2" s="1"/>
  <c r="BZ55" i="2"/>
  <c r="CE55" i="2" s="1"/>
  <c r="CS55" i="2"/>
  <c r="CH55" i="2"/>
  <c r="CC55" i="2"/>
  <c r="BS55" i="2"/>
  <c r="DY55" i="2"/>
  <c r="DE55" i="2"/>
  <c r="CY55" i="2"/>
  <c r="BM55" i="2"/>
  <c r="DN55" i="2"/>
  <c r="CO55" i="2"/>
  <c r="BY55" i="2"/>
  <c r="DF55" i="2"/>
  <c r="DL55" i="2" s="1"/>
  <c r="BC55" i="2"/>
  <c r="AT55" i="2"/>
  <c r="CI55" i="2"/>
  <c r="BI55" i="2"/>
  <c r="AM55" i="2"/>
  <c r="BJ55" i="2"/>
  <c r="BP55" i="2" s="1"/>
  <c r="BB55" i="2"/>
  <c r="AW55" i="2"/>
  <c r="BR55" i="2"/>
  <c r="AS55" i="2"/>
  <c r="AL55" i="2"/>
  <c r="AG55" i="2"/>
  <c r="BQ53" i="2"/>
  <c r="BN54" i="2"/>
  <c r="CT54" i="2"/>
  <c r="CW53" i="2"/>
  <c r="CG53" i="2"/>
  <c r="CD54" i="2"/>
  <c r="EP54" i="2"/>
  <c r="ES53" i="2"/>
  <c r="CF54" i="2"/>
  <c r="CF55" i="2" s="1"/>
  <c r="FG54" i="2"/>
  <c r="FG55" i="2" s="1"/>
  <c r="S54" i="2"/>
  <c r="AD55" i="2"/>
  <c r="W55" i="2"/>
  <c r="V55" i="2"/>
  <c r="AC55" i="2"/>
  <c r="A56" i="2"/>
  <c r="Q55" i="2"/>
  <c r="N55" i="2"/>
  <c r="F55" i="2"/>
  <c r="G55" i="2"/>
  <c r="M55" i="2"/>
  <c r="T54" i="2"/>
  <c r="AJ53" i="2"/>
  <c r="AH52" i="2"/>
  <c r="AK51" i="2"/>
  <c r="R54" i="2"/>
  <c r="U53" i="2"/>
  <c r="E58" i="2"/>
  <c r="CW54" i="2" l="1"/>
  <c r="CT55" i="2"/>
  <c r="CU55" i="2"/>
  <c r="ES54" i="2"/>
  <c r="EP55" i="2"/>
  <c r="CD55" i="2"/>
  <c r="CG54" i="2"/>
  <c r="BQ54" i="2"/>
  <c r="BN55" i="2"/>
  <c r="FF55" i="2"/>
  <c r="FI54" i="2"/>
  <c r="DK55" i="2"/>
  <c r="FC56" i="2"/>
  <c r="DX56" i="2"/>
  <c r="EN56" i="2"/>
  <c r="EM56" i="2"/>
  <c r="CR56" i="2"/>
  <c r="FD56" i="2"/>
  <c r="DG56" i="2"/>
  <c r="CQ56" i="2"/>
  <c r="DW56" i="2"/>
  <c r="DH56" i="2"/>
  <c r="BL56" i="2"/>
  <c r="AU56" i="2"/>
  <c r="CB56" i="2"/>
  <c r="CA56" i="2"/>
  <c r="AE56" i="2"/>
  <c r="AF56" i="2"/>
  <c r="BK56" i="2"/>
  <c r="AV56" i="2"/>
  <c r="P56" i="2"/>
  <c r="O56" i="2"/>
  <c r="FB56" i="2"/>
  <c r="FH56" i="2" s="1"/>
  <c r="FE56" i="2"/>
  <c r="ET56" i="2"/>
  <c r="EO56" i="2"/>
  <c r="FA56" i="2"/>
  <c r="EU56" i="2"/>
  <c r="DY56" i="2"/>
  <c r="EK56" i="2"/>
  <c r="EE56" i="2"/>
  <c r="EL56" i="2"/>
  <c r="EQ56" i="2" s="1"/>
  <c r="DU56" i="2"/>
  <c r="DO56" i="2"/>
  <c r="DN56" i="2"/>
  <c r="DF56" i="2"/>
  <c r="DL56" i="2" s="1"/>
  <c r="CO56" i="2"/>
  <c r="CI56" i="2"/>
  <c r="BY56" i="2"/>
  <c r="DV56" i="2"/>
  <c r="EB56" i="2" s="1"/>
  <c r="DI56" i="2"/>
  <c r="CX56" i="2"/>
  <c r="CP56" i="2"/>
  <c r="CV56" i="2" s="1"/>
  <c r="BZ56" i="2"/>
  <c r="CE56" i="2" s="1"/>
  <c r="CS56" i="2"/>
  <c r="CH56" i="2"/>
  <c r="CC56" i="2"/>
  <c r="BS56" i="2"/>
  <c r="ED56" i="2"/>
  <c r="BR56" i="2"/>
  <c r="DE56" i="2"/>
  <c r="CY56" i="2"/>
  <c r="BM56" i="2"/>
  <c r="AS56" i="2"/>
  <c r="BC56" i="2"/>
  <c r="AT56" i="2"/>
  <c r="BI56" i="2"/>
  <c r="AM56" i="2"/>
  <c r="BJ56" i="2"/>
  <c r="BP56" i="2" s="1"/>
  <c r="BB56" i="2"/>
  <c r="AW56" i="2"/>
  <c r="AG56" i="2"/>
  <c r="AL56" i="2"/>
  <c r="FG56" i="2"/>
  <c r="CF56" i="2"/>
  <c r="EC54" i="2"/>
  <c r="DZ55" i="2"/>
  <c r="DJ55" i="2"/>
  <c r="DM54" i="2"/>
  <c r="ER55" i="2"/>
  <c r="ER56" i="2" s="1"/>
  <c r="EA55" i="2"/>
  <c r="EA56" i="2" s="1"/>
  <c r="S55" i="2"/>
  <c r="AD56" i="2"/>
  <c r="W56" i="2"/>
  <c r="AC56" i="2"/>
  <c r="V56" i="2"/>
  <c r="G56" i="2"/>
  <c r="Q56" i="2"/>
  <c r="A57" i="2"/>
  <c r="M56" i="2"/>
  <c r="N56" i="2"/>
  <c r="F56" i="2"/>
  <c r="T55" i="2"/>
  <c r="AI53" i="2"/>
  <c r="AJ54" i="2"/>
  <c r="AK52" i="2"/>
  <c r="AH53" i="2"/>
  <c r="R55" i="2"/>
  <c r="U54" i="2"/>
  <c r="E59" i="2"/>
  <c r="FF56" i="2" l="1"/>
  <c r="FI55" i="2"/>
  <c r="BN56" i="2"/>
  <c r="BQ55" i="2"/>
  <c r="BO56" i="2"/>
  <c r="DJ56" i="2"/>
  <c r="DM55" i="2"/>
  <c r="ES55" i="2"/>
  <c r="EP56" i="2"/>
  <c r="CW55" i="2"/>
  <c r="CT56" i="2"/>
  <c r="FD57" i="2"/>
  <c r="EN57" i="2"/>
  <c r="DX57" i="2"/>
  <c r="FC57" i="2"/>
  <c r="DW57" i="2"/>
  <c r="CR57" i="2"/>
  <c r="EM57" i="2"/>
  <c r="CB57" i="2"/>
  <c r="DG57" i="2"/>
  <c r="CQ57" i="2"/>
  <c r="BK57" i="2"/>
  <c r="AF57" i="2"/>
  <c r="BL57" i="2"/>
  <c r="AU57" i="2"/>
  <c r="P57" i="2"/>
  <c r="DH57" i="2"/>
  <c r="AE57" i="2"/>
  <c r="CA57" i="2"/>
  <c r="AV57" i="2"/>
  <c r="O57" i="2"/>
  <c r="FE57" i="2"/>
  <c r="ET57" i="2"/>
  <c r="EO57" i="2"/>
  <c r="ED57" i="2"/>
  <c r="DV57" i="2"/>
  <c r="EB57" i="2" s="1"/>
  <c r="FB57" i="2"/>
  <c r="FG57" i="2" s="1"/>
  <c r="DY57" i="2"/>
  <c r="EK57" i="2"/>
  <c r="EE57" i="2"/>
  <c r="FA57" i="2"/>
  <c r="EU57" i="2"/>
  <c r="EL57" i="2"/>
  <c r="EQ57" i="2" s="1"/>
  <c r="DU57" i="2"/>
  <c r="DO57" i="2"/>
  <c r="DE57" i="2"/>
  <c r="CY57" i="2"/>
  <c r="BM57" i="2"/>
  <c r="DN57" i="2"/>
  <c r="DF57" i="2"/>
  <c r="DL57" i="2" s="1"/>
  <c r="CO57" i="2"/>
  <c r="CI57" i="2"/>
  <c r="BY57" i="2"/>
  <c r="DI57" i="2"/>
  <c r="CX57" i="2"/>
  <c r="CP57" i="2"/>
  <c r="CV57" i="2" s="1"/>
  <c r="BZ57" i="2"/>
  <c r="CE57" i="2" s="1"/>
  <c r="CS57" i="2"/>
  <c r="CC57" i="2"/>
  <c r="BS57" i="2"/>
  <c r="BR57" i="2"/>
  <c r="CH57" i="2"/>
  <c r="BJ57" i="2"/>
  <c r="BP57" i="2" s="1"/>
  <c r="BB57" i="2"/>
  <c r="AW57" i="2"/>
  <c r="AS57" i="2"/>
  <c r="BC57" i="2"/>
  <c r="AT57" i="2"/>
  <c r="BI57" i="2"/>
  <c r="AM57" i="2"/>
  <c r="AL57" i="2"/>
  <c r="AG57" i="2"/>
  <c r="DZ56" i="2"/>
  <c r="EC55" i="2"/>
  <c r="DK56" i="2"/>
  <c r="CU56" i="2"/>
  <c r="CU57" i="2" s="1"/>
  <c r="CF57" i="2"/>
  <c r="CG55" i="2"/>
  <c r="CD56" i="2"/>
  <c r="S56" i="2"/>
  <c r="AC57" i="2"/>
  <c r="V57" i="2"/>
  <c r="AD57" i="2"/>
  <c r="W57" i="2"/>
  <c r="G57" i="2"/>
  <c r="A58" i="2"/>
  <c r="N57" i="2"/>
  <c r="Q57" i="2"/>
  <c r="F57" i="2"/>
  <c r="M57" i="2"/>
  <c r="T56" i="2"/>
  <c r="AI54" i="2"/>
  <c r="AK53" i="2"/>
  <c r="AH54" i="2"/>
  <c r="AJ55" i="2"/>
  <c r="R56" i="2"/>
  <c r="U55" i="2"/>
  <c r="E60" i="2"/>
  <c r="BO57" i="2" l="1"/>
  <c r="FC58" i="2"/>
  <c r="FD58" i="2"/>
  <c r="EM58" i="2"/>
  <c r="EN58" i="2"/>
  <c r="DH58" i="2"/>
  <c r="DW58" i="2"/>
  <c r="DX58" i="2"/>
  <c r="AV58" i="2"/>
  <c r="DG58" i="2"/>
  <c r="CQ58" i="2"/>
  <c r="BK58" i="2"/>
  <c r="AF58" i="2"/>
  <c r="CB58" i="2"/>
  <c r="CA58" i="2"/>
  <c r="O58" i="2"/>
  <c r="P58" i="2"/>
  <c r="CR58" i="2"/>
  <c r="BL58" i="2"/>
  <c r="AU58" i="2"/>
  <c r="AE58" i="2"/>
  <c r="FB58" i="2"/>
  <c r="FG58" i="2" s="1"/>
  <c r="FE58" i="2"/>
  <c r="FA58" i="2"/>
  <c r="EU58" i="2"/>
  <c r="ET58" i="2"/>
  <c r="EL58" i="2"/>
  <c r="EQ58" i="2" s="1"/>
  <c r="DU58" i="2"/>
  <c r="DO58" i="2"/>
  <c r="EO58" i="2"/>
  <c r="ED58" i="2"/>
  <c r="DV58" i="2"/>
  <c r="EB58" i="2" s="1"/>
  <c r="DY58" i="2"/>
  <c r="CS58" i="2"/>
  <c r="CH58" i="2"/>
  <c r="CC58" i="2"/>
  <c r="DE58" i="2"/>
  <c r="CY58" i="2"/>
  <c r="BM58" i="2"/>
  <c r="EE58" i="2"/>
  <c r="DN58" i="2"/>
  <c r="DF58" i="2"/>
  <c r="DL58" i="2" s="1"/>
  <c r="CO58" i="2"/>
  <c r="CI58" i="2"/>
  <c r="BY58" i="2"/>
  <c r="EK58" i="2"/>
  <c r="CP58" i="2"/>
  <c r="CV58" i="2" s="1"/>
  <c r="CX58" i="2"/>
  <c r="BZ58" i="2"/>
  <c r="CE58" i="2" s="1"/>
  <c r="DI58" i="2"/>
  <c r="BR58" i="2"/>
  <c r="BI58" i="2"/>
  <c r="AM58" i="2"/>
  <c r="BJ58" i="2"/>
  <c r="BP58" i="2" s="1"/>
  <c r="BB58" i="2"/>
  <c r="AW58" i="2"/>
  <c r="AS58" i="2"/>
  <c r="BC58" i="2"/>
  <c r="AT58" i="2"/>
  <c r="AL58" i="2"/>
  <c r="AG58" i="2"/>
  <c r="BS58" i="2"/>
  <c r="ES56" i="2"/>
  <c r="EP57" i="2"/>
  <c r="ER57" i="2"/>
  <c r="EC56" i="2"/>
  <c r="DZ57" i="2"/>
  <c r="CW56" i="2"/>
  <c r="CT57" i="2"/>
  <c r="BQ56" i="2"/>
  <c r="BN57" i="2"/>
  <c r="FH57" i="2"/>
  <c r="FH58" i="2" s="1"/>
  <c r="CF58" i="2"/>
  <c r="EA57" i="2"/>
  <c r="EA58" i="2" s="1"/>
  <c r="DJ57" i="2"/>
  <c r="DM56" i="2"/>
  <c r="FF57" i="2"/>
  <c r="FI56" i="2"/>
  <c r="CU58" i="2"/>
  <c r="CG56" i="2"/>
  <c r="CD57" i="2"/>
  <c r="DK57" i="2"/>
  <c r="DK58" i="2" s="1"/>
  <c r="S57" i="2"/>
  <c r="T57" i="2"/>
  <c r="AC58" i="2"/>
  <c r="V58" i="2"/>
  <c r="AD58" i="2"/>
  <c r="W58" i="2"/>
  <c r="N58" i="2"/>
  <c r="M58" i="2"/>
  <c r="F58" i="2"/>
  <c r="G58" i="2"/>
  <c r="A59" i="2"/>
  <c r="Q58" i="2"/>
  <c r="AI55" i="2"/>
  <c r="AK54" i="2"/>
  <c r="AH55" i="2"/>
  <c r="R57" i="2"/>
  <c r="U56" i="2"/>
  <c r="E61" i="2"/>
  <c r="DZ58" i="2" l="1"/>
  <c r="EC57" i="2"/>
  <c r="ES57" i="2"/>
  <c r="EP58" i="2"/>
  <c r="CT58" i="2"/>
  <c r="CW57" i="2"/>
  <c r="BO58" i="2"/>
  <c r="CD58" i="2"/>
  <c r="CG57" i="2"/>
  <c r="FC59" i="2"/>
  <c r="FD59" i="2"/>
  <c r="EM59" i="2"/>
  <c r="DX59" i="2"/>
  <c r="DG59" i="2"/>
  <c r="EN59" i="2"/>
  <c r="DH59" i="2"/>
  <c r="DK59" i="2" s="1"/>
  <c r="DW59" i="2"/>
  <c r="CA59" i="2"/>
  <c r="AV59" i="2"/>
  <c r="BL59" i="2"/>
  <c r="AU59" i="2"/>
  <c r="CB59" i="2"/>
  <c r="O59" i="2"/>
  <c r="CR59" i="2"/>
  <c r="AF59" i="2"/>
  <c r="P59" i="2"/>
  <c r="CQ59" i="2"/>
  <c r="AE59" i="2"/>
  <c r="BK59" i="2"/>
  <c r="FB59" i="2"/>
  <c r="FH59" i="2" s="1"/>
  <c r="FE59" i="2"/>
  <c r="EO59" i="2"/>
  <c r="FA59" i="2"/>
  <c r="EU59" i="2"/>
  <c r="EK59" i="2"/>
  <c r="EE59" i="2"/>
  <c r="EL59" i="2"/>
  <c r="EQ59" i="2" s="1"/>
  <c r="DU59" i="2"/>
  <c r="DO59" i="2"/>
  <c r="ET59" i="2"/>
  <c r="ED59" i="2"/>
  <c r="DV59" i="2"/>
  <c r="EB59" i="2" s="1"/>
  <c r="DI59" i="2"/>
  <c r="CX59" i="2"/>
  <c r="CP59" i="2"/>
  <c r="CV59" i="2" s="1"/>
  <c r="BZ59" i="2"/>
  <c r="CE59" i="2" s="1"/>
  <c r="CS59" i="2"/>
  <c r="CH59" i="2"/>
  <c r="CC59" i="2"/>
  <c r="DE59" i="2"/>
  <c r="CY59" i="2"/>
  <c r="BM59" i="2"/>
  <c r="DY59" i="2"/>
  <c r="DN59" i="2"/>
  <c r="DF59" i="2"/>
  <c r="DL59" i="2" s="1"/>
  <c r="CI59" i="2"/>
  <c r="CO59" i="2"/>
  <c r="BY59" i="2"/>
  <c r="BS59" i="2"/>
  <c r="BR59" i="2"/>
  <c r="BC59" i="2"/>
  <c r="AT59" i="2"/>
  <c r="BI59" i="2"/>
  <c r="AM59" i="2"/>
  <c r="BJ59" i="2"/>
  <c r="BP59" i="2" s="1"/>
  <c r="BB59" i="2"/>
  <c r="AW59" i="2"/>
  <c r="AS59" i="2"/>
  <c r="AL59" i="2"/>
  <c r="AG59" i="2"/>
  <c r="FF58" i="2"/>
  <c r="FI57" i="2"/>
  <c r="DM57" i="2"/>
  <c r="DJ58" i="2"/>
  <c r="CF59" i="2"/>
  <c r="BN58" i="2"/>
  <c r="BQ57" i="2"/>
  <c r="ER58" i="2"/>
  <c r="T58" i="2"/>
  <c r="S58" i="2"/>
  <c r="AD59" i="2"/>
  <c r="AC59" i="2"/>
  <c r="V59" i="2"/>
  <c r="W59" i="2"/>
  <c r="G59" i="2"/>
  <c r="A60" i="2"/>
  <c r="Q59" i="2"/>
  <c r="M59" i="2"/>
  <c r="F59" i="2"/>
  <c r="N59" i="2"/>
  <c r="AJ56" i="2"/>
  <c r="AI56" i="2"/>
  <c r="AK55" i="2"/>
  <c r="AH56" i="2"/>
  <c r="R58" i="2"/>
  <c r="U57" i="2"/>
  <c r="E62" i="2"/>
  <c r="BQ58" i="2" l="1"/>
  <c r="BN59" i="2"/>
  <c r="CW58" i="2"/>
  <c r="CT59" i="2"/>
  <c r="DJ59" i="2"/>
  <c r="DM58" i="2"/>
  <c r="EA59" i="2"/>
  <c r="FG59" i="2"/>
  <c r="BO59" i="2"/>
  <c r="FC60" i="2"/>
  <c r="FD60" i="2"/>
  <c r="DX60" i="2"/>
  <c r="EM60" i="2"/>
  <c r="CR60" i="2"/>
  <c r="DG60" i="2"/>
  <c r="EN60" i="2"/>
  <c r="CQ60" i="2"/>
  <c r="CB60" i="2"/>
  <c r="BL60" i="2"/>
  <c r="AU60" i="2"/>
  <c r="DW60" i="2"/>
  <c r="CA60" i="2"/>
  <c r="BK60" i="2"/>
  <c r="AV60" i="2"/>
  <c r="AF60" i="2"/>
  <c r="AE60" i="2"/>
  <c r="DH60" i="2"/>
  <c r="P60" i="2"/>
  <c r="O60" i="2"/>
  <c r="FB60" i="2"/>
  <c r="FH60" i="2" s="1"/>
  <c r="ET60" i="2"/>
  <c r="FE60" i="2"/>
  <c r="EO60" i="2"/>
  <c r="FA60" i="2"/>
  <c r="EU60" i="2"/>
  <c r="DY60" i="2"/>
  <c r="EK60" i="2"/>
  <c r="EE60" i="2"/>
  <c r="EL60" i="2"/>
  <c r="EQ60" i="2" s="1"/>
  <c r="DU60" i="2"/>
  <c r="DO60" i="2"/>
  <c r="ED60" i="2"/>
  <c r="DN60" i="2"/>
  <c r="DF60" i="2"/>
  <c r="DL60" i="2" s="1"/>
  <c r="CO60" i="2"/>
  <c r="CI60" i="2"/>
  <c r="BY60" i="2"/>
  <c r="DI60" i="2"/>
  <c r="CX60" i="2"/>
  <c r="CP60" i="2"/>
  <c r="CV60" i="2" s="1"/>
  <c r="BZ60" i="2"/>
  <c r="CE60" i="2" s="1"/>
  <c r="BS60" i="2"/>
  <c r="DV60" i="2"/>
  <c r="EB60" i="2" s="1"/>
  <c r="CS60" i="2"/>
  <c r="CH60" i="2"/>
  <c r="CC60" i="2"/>
  <c r="CF60" i="2" s="1"/>
  <c r="BR60" i="2"/>
  <c r="DE60" i="2"/>
  <c r="CY60" i="2"/>
  <c r="AS60" i="2"/>
  <c r="BC60" i="2"/>
  <c r="AT60" i="2"/>
  <c r="BI60" i="2"/>
  <c r="AM60" i="2"/>
  <c r="BM60" i="2"/>
  <c r="BJ60" i="2"/>
  <c r="BP60" i="2" s="1"/>
  <c r="BB60" i="2"/>
  <c r="AW60" i="2"/>
  <c r="AL60" i="2"/>
  <c r="AG60" i="2"/>
  <c r="CD59" i="2"/>
  <c r="CG58" i="2"/>
  <c r="CU59" i="2"/>
  <c r="CU60" i="2" s="1"/>
  <c r="ES58" i="2"/>
  <c r="EP59" i="2"/>
  <c r="EC58" i="2"/>
  <c r="DZ59" i="2"/>
  <c r="ER59" i="2"/>
  <c r="ER60" i="2" s="1"/>
  <c r="FF59" i="2"/>
  <c r="FI58" i="2"/>
  <c r="S59" i="2"/>
  <c r="AC60" i="2"/>
  <c r="V60" i="2"/>
  <c r="AD60" i="2"/>
  <c r="W60" i="2"/>
  <c r="M60" i="2"/>
  <c r="N60" i="2"/>
  <c r="G60" i="2"/>
  <c r="F60" i="2"/>
  <c r="A61" i="2"/>
  <c r="Q60" i="2"/>
  <c r="T59" i="2"/>
  <c r="AJ57" i="2"/>
  <c r="AI57" i="2"/>
  <c r="AK56" i="2"/>
  <c r="AH57" i="2"/>
  <c r="R59" i="2"/>
  <c r="U58" i="2"/>
  <c r="E63" i="2"/>
  <c r="ES59" i="2" l="1"/>
  <c r="EP60" i="2"/>
  <c r="CD60" i="2"/>
  <c r="CG59" i="2"/>
  <c r="CW59" i="2"/>
  <c r="CT60" i="2"/>
  <c r="FD61" i="2"/>
  <c r="EN61" i="2"/>
  <c r="FC61" i="2"/>
  <c r="EM61" i="2"/>
  <c r="DX61" i="2"/>
  <c r="DW61" i="2"/>
  <c r="CR61" i="2"/>
  <c r="DH61" i="2"/>
  <c r="DG61" i="2"/>
  <c r="CB61" i="2"/>
  <c r="BK61" i="2"/>
  <c r="AF61" i="2"/>
  <c r="BL61" i="2"/>
  <c r="AU61" i="2"/>
  <c r="CQ61" i="2"/>
  <c r="P61" i="2"/>
  <c r="CA61" i="2"/>
  <c r="AV61" i="2"/>
  <c r="AE61" i="2"/>
  <c r="O61" i="2"/>
  <c r="FE61" i="2"/>
  <c r="FB61" i="2"/>
  <c r="FH61" i="2" s="1"/>
  <c r="ET61" i="2"/>
  <c r="EO61" i="2"/>
  <c r="FA61" i="2"/>
  <c r="EU61" i="2"/>
  <c r="ED61" i="2"/>
  <c r="DV61" i="2"/>
  <c r="EB61" i="2" s="1"/>
  <c r="DY61" i="2"/>
  <c r="EK61" i="2"/>
  <c r="EE61" i="2"/>
  <c r="DE61" i="2"/>
  <c r="CY61" i="2"/>
  <c r="BM61" i="2"/>
  <c r="EL61" i="2"/>
  <c r="EQ61" i="2" s="1"/>
  <c r="DU61" i="2"/>
  <c r="DO61" i="2"/>
  <c r="DN61" i="2"/>
  <c r="DF61" i="2"/>
  <c r="DL61" i="2" s="1"/>
  <c r="CO61" i="2"/>
  <c r="CI61" i="2"/>
  <c r="BY61" i="2"/>
  <c r="DI61" i="2"/>
  <c r="CX61" i="2"/>
  <c r="CP61" i="2"/>
  <c r="CV61" i="2" s="1"/>
  <c r="BZ61" i="2"/>
  <c r="CE61" i="2" s="1"/>
  <c r="BS61" i="2"/>
  <c r="CS61" i="2"/>
  <c r="BR61" i="2"/>
  <c r="CC61" i="2"/>
  <c r="CH61" i="2"/>
  <c r="BJ61" i="2"/>
  <c r="BP61" i="2" s="1"/>
  <c r="BB61" i="2"/>
  <c r="AW61" i="2"/>
  <c r="AS61" i="2"/>
  <c r="BC61" i="2"/>
  <c r="AT61" i="2"/>
  <c r="BI61" i="2"/>
  <c r="AM61" i="2"/>
  <c r="AL61" i="2"/>
  <c r="AG61" i="2"/>
  <c r="BO60" i="2"/>
  <c r="BO61" i="2" s="1"/>
  <c r="DM59" i="2"/>
  <c r="DJ60" i="2"/>
  <c r="DK60" i="2"/>
  <c r="DK61" i="2" s="1"/>
  <c r="FF60" i="2"/>
  <c r="FI59" i="2"/>
  <c r="DZ60" i="2"/>
  <c r="EC59" i="2"/>
  <c r="FG60" i="2"/>
  <c r="FG61" i="2" s="1"/>
  <c r="EA60" i="2"/>
  <c r="EA61" i="2" s="1"/>
  <c r="BN60" i="2"/>
  <c r="BQ59" i="2"/>
  <c r="T60" i="2"/>
  <c r="S60" i="2"/>
  <c r="AI58" i="2"/>
  <c r="AI59" i="2" s="1"/>
  <c r="AD61" i="2"/>
  <c r="W61" i="2"/>
  <c r="AC61" i="2"/>
  <c r="V61" i="2"/>
  <c r="F61" i="2"/>
  <c r="Q61" i="2"/>
  <c r="N61" i="2"/>
  <c r="G61" i="2"/>
  <c r="A62" i="2"/>
  <c r="M61" i="2"/>
  <c r="AJ58" i="2"/>
  <c r="AK57" i="2"/>
  <c r="AH58" i="2"/>
  <c r="R60" i="2"/>
  <c r="U59" i="2"/>
  <c r="E64" i="2"/>
  <c r="FF61" i="2" l="1"/>
  <c r="FI60" i="2"/>
  <c r="DM60" i="2"/>
  <c r="DJ61" i="2"/>
  <c r="ES60" i="2"/>
  <c r="EP61" i="2"/>
  <c r="FC62" i="2"/>
  <c r="FD62" i="2"/>
  <c r="EM62" i="2"/>
  <c r="EN62" i="2"/>
  <c r="DH62" i="2"/>
  <c r="DX62" i="2"/>
  <c r="DW62" i="2"/>
  <c r="CR62" i="2"/>
  <c r="DG62" i="2"/>
  <c r="CQ62" i="2"/>
  <c r="AV62" i="2"/>
  <c r="CB62" i="2"/>
  <c r="BK62" i="2"/>
  <c r="AF62" i="2"/>
  <c r="O62" i="2"/>
  <c r="CA62" i="2"/>
  <c r="BL62" i="2"/>
  <c r="AU62" i="2"/>
  <c r="P62" i="2"/>
  <c r="AE62" i="2"/>
  <c r="FB62" i="2"/>
  <c r="FH62" i="2" s="1"/>
  <c r="FE62" i="2"/>
  <c r="FA62" i="2"/>
  <c r="EU62" i="2"/>
  <c r="ET62" i="2"/>
  <c r="EL62" i="2"/>
  <c r="EQ62" i="2" s="1"/>
  <c r="DU62" i="2"/>
  <c r="DO62" i="2"/>
  <c r="ED62" i="2"/>
  <c r="DV62" i="2"/>
  <c r="EB62" i="2" s="1"/>
  <c r="EO62" i="2"/>
  <c r="DY62" i="2"/>
  <c r="EK62" i="2"/>
  <c r="CS62" i="2"/>
  <c r="CH62" i="2"/>
  <c r="CC62" i="2"/>
  <c r="DE62" i="2"/>
  <c r="CY62" i="2"/>
  <c r="BM62" i="2"/>
  <c r="DN62" i="2"/>
  <c r="DF62" i="2"/>
  <c r="DL62" i="2" s="1"/>
  <c r="CO62" i="2"/>
  <c r="CI62" i="2"/>
  <c r="BY62" i="2"/>
  <c r="EE62" i="2"/>
  <c r="CP62" i="2"/>
  <c r="CV62" i="2" s="1"/>
  <c r="CX62" i="2"/>
  <c r="BZ62" i="2"/>
  <c r="CE62" i="2" s="1"/>
  <c r="DI62" i="2"/>
  <c r="BR62" i="2"/>
  <c r="BI62" i="2"/>
  <c r="AM62" i="2"/>
  <c r="BJ62" i="2"/>
  <c r="BP62" i="2" s="1"/>
  <c r="BB62" i="2"/>
  <c r="AW62" i="2"/>
  <c r="BS62" i="2"/>
  <c r="AS62" i="2"/>
  <c r="BC62" i="2"/>
  <c r="AT62" i="2"/>
  <c r="AL62" i="2"/>
  <c r="AG62" i="2"/>
  <c r="FG62" i="2"/>
  <c r="DK62" i="2"/>
  <c r="CF61" i="2"/>
  <c r="CF62" i="2" s="1"/>
  <c r="BQ60" i="2"/>
  <c r="BN61" i="2"/>
  <c r="EC60" i="2"/>
  <c r="DZ61" i="2"/>
  <c r="CD61" i="2"/>
  <c r="CG60" i="2"/>
  <c r="ER61" i="2"/>
  <c r="ER62" i="2" s="1"/>
  <c r="CT61" i="2"/>
  <c r="CW60" i="2"/>
  <c r="CU61" i="2"/>
  <c r="CU62" i="2" s="1"/>
  <c r="S61" i="2"/>
  <c r="AC62" i="2"/>
  <c r="V62" i="2"/>
  <c r="AD62" i="2"/>
  <c r="W62" i="2"/>
  <c r="M62" i="2"/>
  <c r="N62" i="2"/>
  <c r="G62" i="2"/>
  <c r="A63" i="2"/>
  <c r="Q62" i="2"/>
  <c r="F62" i="2"/>
  <c r="T61" i="2"/>
  <c r="AJ59" i="2"/>
  <c r="AK58" i="2"/>
  <c r="AH59" i="2"/>
  <c r="R61" i="2"/>
  <c r="U60" i="2"/>
  <c r="E65" i="2"/>
  <c r="CT62" i="2" l="1"/>
  <c r="CW61" i="2"/>
  <c r="DZ62" i="2"/>
  <c r="EC61" i="2"/>
  <c r="ES61" i="2"/>
  <c r="EP62" i="2"/>
  <c r="DM61" i="2"/>
  <c r="DJ62" i="2"/>
  <c r="EA62" i="2"/>
  <c r="FC63" i="2"/>
  <c r="FD63" i="2"/>
  <c r="EM63" i="2"/>
  <c r="EN63" i="2"/>
  <c r="DG63" i="2"/>
  <c r="DH63" i="2"/>
  <c r="DW63" i="2"/>
  <c r="CR63" i="2"/>
  <c r="CA63" i="2"/>
  <c r="CQ63" i="2"/>
  <c r="AV63" i="2"/>
  <c r="DX63" i="2"/>
  <c r="AU63" i="2"/>
  <c r="BK63" i="2"/>
  <c r="AF63" i="2"/>
  <c r="O63" i="2"/>
  <c r="CB63" i="2"/>
  <c r="BL63" i="2"/>
  <c r="AE63" i="2"/>
  <c r="P63" i="2"/>
  <c r="FB63" i="2"/>
  <c r="FH63" i="2" s="1"/>
  <c r="FE63" i="2"/>
  <c r="EO63" i="2"/>
  <c r="FA63" i="2"/>
  <c r="EU63" i="2"/>
  <c r="EK63" i="2"/>
  <c r="EE63" i="2"/>
  <c r="EL63" i="2"/>
  <c r="EQ63" i="2" s="1"/>
  <c r="DU63" i="2"/>
  <c r="DO63" i="2"/>
  <c r="ED63" i="2"/>
  <c r="DV63" i="2"/>
  <c r="EB63" i="2" s="1"/>
  <c r="DY63" i="2"/>
  <c r="DI63" i="2"/>
  <c r="CX63" i="2"/>
  <c r="CP63" i="2"/>
  <c r="CV63" i="2" s="1"/>
  <c r="BZ63" i="2"/>
  <c r="CF63" i="2" s="1"/>
  <c r="CS63" i="2"/>
  <c r="CH63" i="2"/>
  <c r="CC63" i="2"/>
  <c r="DE63" i="2"/>
  <c r="CY63" i="2"/>
  <c r="BM63" i="2"/>
  <c r="ET63" i="2"/>
  <c r="DN63" i="2"/>
  <c r="DF63" i="2"/>
  <c r="DL63" i="2" s="1"/>
  <c r="CI63" i="2"/>
  <c r="CO63" i="2"/>
  <c r="BC63" i="2"/>
  <c r="AT63" i="2"/>
  <c r="BR63" i="2"/>
  <c r="BI63" i="2"/>
  <c r="AM63" i="2"/>
  <c r="BY63" i="2"/>
  <c r="BJ63" i="2"/>
  <c r="BP63" i="2" s="1"/>
  <c r="BB63" i="2"/>
  <c r="AW63" i="2"/>
  <c r="AS63" i="2"/>
  <c r="BS63" i="2"/>
  <c r="AL63" i="2"/>
  <c r="AG63" i="2"/>
  <c r="DK63" i="2"/>
  <c r="CG61" i="2"/>
  <c r="CD62" i="2"/>
  <c r="BQ61" i="2"/>
  <c r="BN62" i="2"/>
  <c r="FG63" i="2"/>
  <c r="BO62" i="2"/>
  <c r="BO63" i="2" s="1"/>
  <c r="FF62" i="2"/>
  <c r="FI61" i="2"/>
  <c r="S62" i="2"/>
  <c r="T62" i="2"/>
  <c r="AD63" i="2"/>
  <c r="AC63" i="2"/>
  <c r="V63" i="2"/>
  <c r="W63" i="2"/>
  <c r="N63" i="2"/>
  <c r="F63" i="2"/>
  <c r="M63" i="2"/>
  <c r="G63" i="2"/>
  <c r="A64" i="2"/>
  <c r="Q63" i="2"/>
  <c r="AJ60" i="2"/>
  <c r="AI60" i="2"/>
  <c r="AH60" i="2"/>
  <c r="AK59" i="2"/>
  <c r="R62" i="2"/>
  <c r="U61" i="2"/>
  <c r="E66" i="2"/>
  <c r="FF63" i="2" l="1"/>
  <c r="FI62" i="2"/>
  <c r="CG62" i="2"/>
  <c r="CD63" i="2"/>
  <c r="DM62" i="2"/>
  <c r="DJ63" i="2"/>
  <c r="ER63" i="2"/>
  <c r="CE63" i="2"/>
  <c r="CU63" i="2"/>
  <c r="EP63" i="2"/>
  <c r="ES62" i="2"/>
  <c r="BQ62" i="2"/>
  <c r="BN63" i="2"/>
  <c r="CW62" i="2"/>
  <c r="CT63" i="2"/>
  <c r="FC64" i="2"/>
  <c r="FD64" i="2"/>
  <c r="DX64" i="2"/>
  <c r="EN64" i="2"/>
  <c r="EM64" i="2"/>
  <c r="CR64" i="2"/>
  <c r="DG64" i="2"/>
  <c r="CQ64" i="2"/>
  <c r="DW64" i="2"/>
  <c r="DH64" i="2"/>
  <c r="BL64" i="2"/>
  <c r="AU64" i="2"/>
  <c r="CA64" i="2"/>
  <c r="AE64" i="2"/>
  <c r="BK64" i="2"/>
  <c r="AV64" i="2"/>
  <c r="AF64" i="2"/>
  <c r="P64" i="2"/>
  <c r="O64" i="2"/>
  <c r="CB64" i="2"/>
  <c r="FB64" i="2"/>
  <c r="FH64" i="2" s="1"/>
  <c r="ET64" i="2"/>
  <c r="EO64" i="2"/>
  <c r="FE64" i="2"/>
  <c r="FA64" i="2"/>
  <c r="EU64" i="2"/>
  <c r="DY64" i="2"/>
  <c r="EK64" i="2"/>
  <c r="EE64" i="2"/>
  <c r="EL64" i="2"/>
  <c r="EQ64" i="2" s="1"/>
  <c r="DU64" i="2"/>
  <c r="DO64" i="2"/>
  <c r="DN64" i="2"/>
  <c r="DF64" i="2"/>
  <c r="DK64" i="2" s="1"/>
  <c r="CO64" i="2"/>
  <c r="CI64" i="2"/>
  <c r="BY64" i="2"/>
  <c r="ED64" i="2"/>
  <c r="DI64" i="2"/>
  <c r="CX64" i="2"/>
  <c r="CP64" i="2"/>
  <c r="CV64" i="2" s="1"/>
  <c r="BZ64" i="2"/>
  <c r="CF64" i="2" s="1"/>
  <c r="CS64" i="2"/>
  <c r="CH64" i="2"/>
  <c r="CC64" i="2"/>
  <c r="DV64" i="2"/>
  <c r="EB64" i="2" s="1"/>
  <c r="DE64" i="2"/>
  <c r="CY64" i="2"/>
  <c r="BM64" i="2"/>
  <c r="BS64" i="2"/>
  <c r="BR64" i="2"/>
  <c r="AS64" i="2"/>
  <c r="BC64" i="2"/>
  <c r="AT64" i="2"/>
  <c r="BI64" i="2"/>
  <c r="AM64" i="2"/>
  <c r="BJ64" i="2"/>
  <c r="BP64" i="2" s="1"/>
  <c r="BB64" i="2"/>
  <c r="AW64" i="2"/>
  <c r="AG64" i="2"/>
  <c r="AL64" i="2"/>
  <c r="EA63" i="2"/>
  <c r="EA64" i="2" s="1"/>
  <c r="EC62" i="2"/>
  <c r="DZ63" i="2"/>
  <c r="S63" i="2"/>
  <c r="AD64" i="2"/>
  <c r="W64" i="2"/>
  <c r="AC64" i="2"/>
  <c r="V64" i="2"/>
  <c r="N64" i="2"/>
  <c r="F64" i="2"/>
  <c r="G64" i="2"/>
  <c r="M64" i="2"/>
  <c r="Q64" i="2"/>
  <c r="A65" i="2"/>
  <c r="AI61" i="2"/>
  <c r="AI62" i="2" s="1"/>
  <c r="T63" i="2"/>
  <c r="AJ61" i="2"/>
  <c r="AH61" i="2"/>
  <c r="AK60" i="2"/>
  <c r="R63" i="2"/>
  <c r="U62" i="2"/>
  <c r="E67" i="2"/>
  <c r="CV65" i="2" l="1"/>
  <c r="EQ65" i="2"/>
  <c r="FD65" i="2"/>
  <c r="FC65" i="2"/>
  <c r="EN65" i="2"/>
  <c r="DX65" i="2"/>
  <c r="DW65" i="2"/>
  <c r="EM65" i="2"/>
  <c r="CB65" i="2"/>
  <c r="DH65" i="2"/>
  <c r="BK65" i="2"/>
  <c r="AF65" i="2"/>
  <c r="CR65" i="2"/>
  <c r="BL65" i="2"/>
  <c r="AU65" i="2"/>
  <c r="P65" i="2"/>
  <c r="DG65" i="2"/>
  <c r="CQ65" i="2"/>
  <c r="AE65" i="2"/>
  <c r="CA65" i="2"/>
  <c r="O65" i="2"/>
  <c r="AV65" i="2"/>
  <c r="FE65" i="2"/>
  <c r="FB65" i="2"/>
  <c r="FH65" i="2" s="1"/>
  <c r="ET65" i="2"/>
  <c r="EO65" i="2"/>
  <c r="ED65" i="2"/>
  <c r="DV65" i="2"/>
  <c r="EB65" i="2" s="1"/>
  <c r="FA65" i="2"/>
  <c r="EU65" i="2"/>
  <c r="DY65" i="2"/>
  <c r="EK65" i="2"/>
  <c r="EE65" i="2"/>
  <c r="DE65" i="2"/>
  <c r="CY65" i="2"/>
  <c r="BM65" i="2"/>
  <c r="DN65" i="2"/>
  <c r="DF65" i="2"/>
  <c r="DK65" i="2" s="1"/>
  <c r="CO65" i="2"/>
  <c r="CI65" i="2"/>
  <c r="BY65" i="2"/>
  <c r="BS65" i="2"/>
  <c r="EL65" i="2"/>
  <c r="DU65" i="2"/>
  <c r="DO65" i="2"/>
  <c r="DI65" i="2"/>
  <c r="CX65" i="2"/>
  <c r="CP65" i="2"/>
  <c r="BZ65" i="2"/>
  <c r="CF65" i="2" s="1"/>
  <c r="CH65" i="2"/>
  <c r="BR65" i="2"/>
  <c r="CS65" i="2"/>
  <c r="BJ65" i="2"/>
  <c r="BP65" i="2" s="1"/>
  <c r="BB65" i="2"/>
  <c r="AW65" i="2"/>
  <c r="CC65" i="2"/>
  <c r="AS65" i="2"/>
  <c r="BC65" i="2"/>
  <c r="AT65" i="2"/>
  <c r="BI65" i="2"/>
  <c r="AM65" i="2"/>
  <c r="AL65" i="2"/>
  <c r="AG65" i="2"/>
  <c r="EC63" i="2"/>
  <c r="DZ64" i="2"/>
  <c r="FG64" i="2"/>
  <c r="FG65" i="2" s="1"/>
  <c r="DJ64" i="2"/>
  <c r="DM63" i="2"/>
  <c r="DL64" i="2"/>
  <c r="DL65" i="2" s="1"/>
  <c r="CT64" i="2"/>
  <c r="CW63" i="2"/>
  <c r="BQ63" i="2"/>
  <c r="BN64" i="2"/>
  <c r="BO64" i="2"/>
  <c r="BO65" i="2" s="1"/>
  <c r="FF64" i="2"/>
  <c r="FI63" i="2"/>
  <c r="ES63" i="2"/>
  <c r="EP64" i="2"/>
  <c r="CU64" i="2"/>
  <c r="CU65" i="2" s="1"/>
  <c r="CE64" i="2"/>
  <c r="CE65" i="2" s="1"/>
  <c r="CD64" i="2"/>
  <c r="CG63" i="2"/>
  <c r="EA65" i="2"/>
  <c r="ER64" i="2"/>
  <c r="ER65" i="2" s="1"/>
  <c r="T64" i="2"/>
  <c r="S64" i="2"/>
  <c r="AC65" i="2"/>
  <c r="V65" i="2"/>
  <c r="AD65" i="2"/>
  <c r="W65" i="2"/>
  <c r="F65" i="2"/>
  <c r="A66" i="2"/>
  <c r="Q65" i="2"/>
  <c r="G65" i="2"/>
  <c r="N65" i="2"/>
  <c r="M65" i="2"/>
  <c r="AK61" i="2"/>
  <c r="AH62" i="2"/>
  <c r="AJ62" i="2"/>
  <c r="R64" i="2"/>
  <c r="U63" i="2"/>
  <c r="E68" i="2"/>
  <c r="FC66" i="2" l="1"/>
  <c r="FD66" i="2"/>
  <c r="EM66" i="2"/>
  <c r="EN66" i="2"/>
  <c r="DH66" i="2"/>
  <c r="DW66" i="2"/>
  <c r="CB66" i="2"/>
  <c r="AV66" i="2"/>
  <c r="BK66" i="2"/>
  <c r="AF66" i="2"/>
  <c r="CR66" i="2"/>
  <c r="CA66" i="2"/>
  <c r="O66" i="2"/>
  <c r="DX66" i="2"/>
  <c r="P66" i="2"/>
  <c r="DG66" i="2"/>
  <c r="CQ66" i="2"/>
  <c r="BL66" i="2"/>
  <c r="AE66" i="2"/>
  <c r="AU66" i="2"/>
  <c r="FB66" i="2"/>
  <c r="FH66" i="2" s="1"/>
  <c r="FE66" i="2"/>
  <c r="FA66" i="2"/>
  <c r="EU66" i="2"/>
  <c r="ET66" i="2"/>
  <c r="EL66" i="2"/>
  <c r="DU66" i="2"/>
  <c r="DO66" i="2"/>
  <c r="ED66" i="2"/>
  <c r="DV66" i="2"/>
  <c r="EB66" i="2" s="1"/>
  <c r="DY66" i="2"/>
  <c r="EE66" i="2"/>
  <c r="CS66" i="2"/>
  <c r="CH66" i="2"/>
  <c r="CC66" i="2"/>
  <c r="EO66" i="2"/>
  <c r="EK66" i="2"/>
  <c r="DE66" i="2"/>
  <c r="CY66" i="2"/>
  <c r="BM66" i="2"/>
  <c r="DN66" i="2"/>
  <c r="DF66" i="2"/>
  <c r="DK66" i="2" s="1"/>
  <c r="CO66" i="2"/>
  <c r="CI66" i="2"/>
  <c r="BY66" i="2"/>
  <c r="BS66" i="2"/>
  <c r="DI66" i="2"/>
  <c r="CP66" i="2"/>
  <c r="CX66" i="2"/>
  <c r="BZ66" i="2"/>
  <c r="CF66" i="2" s="1"/>
  <c r="BR66" i="2"/>
  <c r="BI66" i="2"/>
  <c r="AM66" i="2"/>
  <c r="BJ66" i="2"/>
  <c r="BP66" i="2" s="1"/>
  <c r="BB66" i="2"/>
  <c r="AW66" i="2"/>
  <c r="AS66" i="2"/>
  <c r="BC66" i="2"/>
  <c r="AT66" i="2"/>
  <c r="AL66" i="2"/>
  <c r="AG66" i="2"/>
  <c r="ER66" i="2"/>
  <c r="ES64" i="2"/>
  <c r="EP65" i="2"/>
  <c r="DL66" i="2"/>
  <c r="DZ65" i="2"/>
  <c r="EC64" i="2"/>
  <c r="CD65" i="2"/>
  <c r="CG64" i="2"/>
  <c r="CE66" i="2"/>
  <c r="BQ64" i="2"/>
  <c r="BN65" i="2"/>
  <c r="CT65" i="2"/>
  <c r="CW64" i="2"/>
  <c r="FG66" i="2"/>
  <c r="EA66" i="2"/>
  <c r="CU66" i="2"/>
  <c r="FF65" i="2"/>
  <c r="FI64" i="2"/>
  <c r="DJ65" i="2"/>
  <c r="DM64" i="2"/>
  <c r="BO66" i="2"/>
  <c r="EQ66" i="2"/>
  <c r="CV66" i="2"/>
  <c r="V66" i="2"/>
  <c r="AC66" i="2"/>
  <c r="AD66" i="2"/>
  <c r="W66" i="2"/>
  <c r="A67" i="2"/>
  <c r="G66" i="2"/>
  <c r="Q66" i="2"/>
  <c r="M66" i="2"/>
  <c r="N66" i="2"/>
  <c r="F66" i="2"/>
  <c r="T65" i="2"/>
  <c r="S65" i="2"/>
  <c r="AJ63" i="2"/>
  <c r="AI63" i="2"/>
  <c r="AH63" i="2"/>
  <c r="AK62" i="2"/>
  <c r="R65" i="2"/>
  <c r="U64" i="2"/>
  <c r="E69" i="2"/>
  <c r="ES65" i="2" l="1"/>
  <c r="EP66" i="2"/>
  <c r="FC67" i="2"/>
  <c r="FD67" i="2"/>
  <c r="EM67" i="2"/>
  <c r="DX67" i="2"/>
  <c r="EA67" i="2" s="1"/>
  <c r="DG67" i="2"/>
  <c r="DH67" i="2"/>
  <c r="CR67" i="2"/>
  <c r="EN67" i="2"/>
  <c r="CQ67" i="2"/>
  <c r="CA67" i="2"/>
  <c r="CB67" i="2"/>
  <c r="AV67" i="2"/>
  <c r="BL67" i="2"/>
  <c r="AU67" i="2"/>
  <c r="O67" i="2"/>
  <c r="DW67" i="2"/>
  <c r="BK67" i="2"/>
  <c r="AF67" i="2"/>
  <c r="P67" i="2"/>
  <c r="AE67" i="2"/>
  <c r="FB67" i="2"/>
  <c r="FH67" i="2" s="1"/>
  <c r="FE67" i="2"/>
  <c r="EO67" i="2"/>
  <c r="FA67" i="2"/>
  <c r="EU67" i="2"/>
  <c r="ET67" i="2"/>
  <c r="EK67" i="2"/>
  <c r="EE67" i="2"/>
  <c r="EL67" i="2"/>
  <c r="EQ67" i="2" s="1"/>
  <c r="DU67" i="2"/>
  <c r="DO67" i="2"/>
  <c r="ED67" i="2"/>
  <c r="DV67" i="2"/>
  <c r="EB67" i="2" s="1"/>
  <c r="DI67" i="2"/>
  <c r="CX67" i="2"/>
  <c r="CP67" i="2"/>
  <c r="CU67" i="2" s="1"/>
  <c r="BZ67" i="2"/>
  <c r="CE67" i="2" s="1"/>
  <c r="DY67" i="2"/>
  <c r="CS67" i="2"/>
  <c r="CH67" i="2"/>
  <c r="CC67" i="2"/>
  <c r="DE67" i="2"/>
  <c r="CY67" i="2"/>
  <c r="BM67" i="2"/>
  <c r="DN67" i="2"/>
  <c r="CO67" i="2"/>
  <c r="BY67" i="2"/>
  <c r="DF67" i="2"/>
  <c r="DK67" i="2" s="1"/>
  <c r="BS67" i="2"/>
  <c r="CI67" i="2"/>
  <c r="BC67" i="2"/>
  <c r="AT67" i="2"/>
  <c r="BI67" i="2"/>
  <c r="AM67" i="2"/>
  <c r="BR67" i="2"/>
  <c r="BJ67" i="2"/>
  <c r="BO67" i="2" s="1"/>
  <c r="BB67" i="2"/>
  <c r="AW67" i="2"/>
  <c r="AS67" i="2"/>
  <c r="AL67" i="2"/>
  <c r="AG67" i="2"/>
  <c r="FF66" i="2"/>
  <c r="FI65" i="2"/>
  <c r="CT66" i="2"/>
  <c r="CW65" i="2"/>
  <c r="BN66" i="2"/>
  <c r="BQ65" i="2"/>
  <c r="CD66" i="2"/>
  <c r="CG65" i="2"/>
  <c r="EC65" i="2"/>
  <c r="DZ66" i="2"/>
  <c r="ER67" i="2"/>
  <c r="DJ66" i="2"/>
  <c r="DM65" i="2"/>
  <c r="FG67" i="2"/>
  <c r="S66" i="2"/>
  <c r="T66" i="2"/>
  <c r="AD67" i="2"/>
  <c r="AC67" i="2"/>
  <c r="W67" i="2"/>
  <c r="V67" i="2"/>
  <c r="A68" i="2"/>
  <c r="Q67" i="2"/>
  <c r="N67" i="2"/>
  <c r="F67" i="2"/>
  <c r="M67" i="2"/>
  <c r="G67" i="2"/>
  <c r="AI64" i="2"/>
  <c r="AJ64" i="2"/>
  <c r="AK63" i="2"/>
  <c r="AH64" i="2"/>
  <c r="R66" i="2"/>
  <c r="U65" i="2"/>
  <c r="E70" i="2"/>
  <c r="DK68" i="2" l="1"/>
  <c r="DZ67" i="2"/>
  <c r="EC66" i="2"/>
  <c r="CW66" i="2"/>
  <c r="CT67" i="2"/>
  <c r="CV67" i="2"/>
  <c r="CD67" i="2"/>
  <c r="CG66" i="2"/>
  <c r="CF67" i="2"/>
  <c r="ES66" i="2"/>
  <c r="EP67" i="2"/>
  <c r="BP67" i="2"/>
  <c r="DL67" i="2"/>
  <c r="DJ67" i="2"/>
  <c r="DM66" i="2"/>
  <c r="BN67" i="2"/>
  <c r="BQ66" i="2"/>
  <c r="FC68" i="2"/>
  <c r="FD68" i="2"/>
  <c r="DX68" i="2"/>
  <c r="EN68" i="2"/>
  <c r="DG68" i="2"/>
  <c r="CQ68" i="2"/>
  <c r="EM68" i="2"/>
  <c r="BL68" i="2"/>
  <c r="AU68" i="2"/>
  <c r="DH68" i="2"/>
  <c r="CA68" i="2"/>
  <c r="CB68" i="2"/>
  <c r="BK68" i="2"/>
  <c r="AV68" i="2"/>
  <c r="AF68" i="2"/>
  <c r="AE68" i="2"/>
  <c r="CR68" i="2"/>
  <c r="DW68" i="2"/>
  <c r="P68" i="2"/>
  <c r="O68" i="2"/>
  <c r="FB68" i="2"/>
  <c r="FH68" i="2" s="1"/>
  <c r="ET68" i="2"/>
  <c r="EO68" i="2"/>
  <c r="FA68" i="2"/>
  <c r="EU68" i="2"/>
  <c r="DY68" i="2"/>
  <c r="EK68" i="2"/>
  <c r="EE68" i="2"/>
  <c r="EL68" i="2"/>
  <c r="ER68" i="2" s="1"/>
  <c r="DU68" i="2"/>
  <c r="DO68" i="2"/>
  <c r="FE68" i="2"/>
  <c r="DV68" i="2"/>
  <c r="EB68" i="2" s="1"/>
  <c r="DN68" i="2"/>
  <c r="DF68" i="2"/>
  <c r="CO68" i="2"/>
  <c r="CI68" i="2"/>
  <c r="BY68" i="2"/>
  <c r="DI68" i="2"/>
  <c r="CX68" i="2"/>
  <c r="CP68" i="2"/>
  <c r="CU68" i="2" s="1"/>
  <c r="BZ68" i="2"/>
  <c r="CE68" i="2" s="1"/>
  <c r="ED68" i="2"/>
  <c r="CS68" i="2"/>
  <c r="CH68" i="2"/>
  <c r="CC68" i="2"/>
  <c r="DE68" i="2"/>
  <c r="CY68" i="2"/>
  <c r="BR68" i="2"/>
  <c r="BM68" i="2"/>
  <c r="AS68" i="2"/>
  <c r="BC68" i="2"/>
  <c r="AT68" i="2"/>
  <c r="BI68" i="2"/>
  <c r="AM68" i="2"/>
  <c r="BJ68" i="2"/>
  <c r="BO68" i="2" s="1"/>
  <c r="BB68" i="2"/>
  <c r="AW68" i="2"/>
  <c r="BS68" i="2"/>
  <c r="AL68" i="2"/>
  <c r="AG68" i="2"/>
  <c r="FF67" i="2"/>
  <c r="FI66" i="2"/>
  <c r="W68" i="2"/>
  <c r="AC68" i="2"/>
  <c r="AD68" i="2"/>
  <c r="V68" i="2"/>
  <c r="F68" i="2"/>
  <c r="A69" i="2"/>
  <c r="Q68" i="2"/>
  <c r="M68" i="2"/>
  <c r="N68" i="2"/>
  <c r="G68" i="2"/>
  <c r="T67" i="2"/>
  <c r="S67" i="2"/>
  <c r="AJ65" i="2"/>
  <c r="AI65" i="2"/>
  <c r="AK64" i="2"/>
  <c r="AH65" i="2"/>
  <c r="R67" i="2"/>
  <c r="U66" i="2"/>
  <c r="E71" i="2"/>
  <c r="BQ67" i="2" l="1"/>
  <c r="BN68" i="2"/>
  <c r="EQ68" i="2"/>
  <c r="EP68" i="2"/>
  <c r="ES67" i="2"/>
  <c r="EA68" i="2"/>
  <c r="FF68" i="2"/>
  <c r="FI67" i="2"/>
  <c r="DJ68" i="2"/>
  <c r="DM67" i="2"/>
  <c r="CF68" i="2"/>
  <c r="CF69" i="2" s="1"/>
  <c r="CV68" i="2"/>
  <c r="DZ68" i="2"/>
  <c r="EC67" i="2"/>
  <c r="CG67" i="2"/>
  <c r="CD68" i="2"/>
  <c r="FD69" i="2"/>
  <c r="EN69" i="2"/>
  <c r="FC69" i="2"/>
  <c r="EM69" i="2"/>
  <c r="DX69" i="2"/>
  <c r="DW69" i="2"/>
  <c r="DH69" i="2"/>
  <c r="DG69" i="2"/>
  <c r="CB69" i="2"/>
  <c r="CR69" i="2"/>
  <c r="BK69" i="2"/>
  <c r="AF69" i="2"/>
  <c r="CQ69" i="2"/>
  <c r="BL69" i="2"/>
  <c r="AU69" i="2"/>
  <c r="P69" i="2"/>
  <c r="CA69" i="2"/>
  <c r="AV69" i="2"/>
  <c r="AE69" i="2"/>
  <c r="O69" i="2"/>
  <c r="FE69" i="2"/>
  <c r="ET69" i="2"/>
  <c r="FB69" i="2"/>
  <c r="FH69" i="2" s="1"/>
  <c r="EO69" i="2"/>
  <c r="ED69" i="2"/>
  <c r="DV69" i="2"/>
  <c r="EB69" i="2" s="1"/>
  <c r="DY69" i="2"/>
  <c r="FA69" i="2"/>
  <c r="EU69" i="2"/>
  <c r="EK69" i="2"/>
  <c r="EE69" i="2"/>
  <c r="DE69" i="2"/>
  <c r="CY69" i="2"/>
  <c r="BM69" i="2"/>
  <c r="DN69" i="2"/>
  <c r="DF69" i="2"/>
  <c r="DK69" i="2" s="1"/>
  <c r="CO69" i="2"/>
  <c r="CI69" i="2"/>
  <c r="BY69" i="2"/>
  <c r="DI69" i="2"/>
  <c r="CX69" i="2"/>
  <c r="CP69" i="2"/>
  <c r="CU69" i="2" s="1"/>
  <c r="BZ69" i="2"/>
  <c r="CE69" i="2" s="1"/>
  <c r="EL69" i="2"/>
  <c r="ER69" i="2" s="1"/>
  <c r="DU69" i="2"/>
  <c r="DO69" i="2"/>
  <c r="CS69" i="2"/>
  <c r="CC69" i="2"/>
  <c r="CH69" i="2"/>
  <c r="BR69" i="2"/>
  <c r="BS69" i="2"/>
  <c r="BJ69" i="2"/>
  <c r="BO69" i="2" s="1"/>
  <c r="BB69" i="2"/>
  <c r="AW69" i="2"/>
  <c r="AS69" i="2"/>
  <c r="BC69" i="2"/>
  <c r="AT69" i="2"/>
  <c r="BI69" i="2"/>
  <c r="AM69" i="2"/>
  <c r="AL69" i="2"/>
  <c r="AG69" i="2"/>
  <c r="FG68" i="2"/>
  <c r="FG69" i="2" s="1"/>
  <c r="DL68" i="2"/>
  <c r="BP68" i="2"/>
  <c r="BP69" i="2" s="1"/>
  <c r="CW67" i="2"/>
  <c r="CT68" i="2"/>
  <c r="S68" i="2"/>
  <c r="T68" i="2"/>
  <c r="AD69" i="2"/>
  <c r="W69" i="2"/>
  <c r="V69" i="2"/>
  <c r="AC69" i="2"/>
  <c r="M69" i="2"/>
  <c r="N69" i="2"/>
  <c r="G69" i="2"/>
  <c r="F69" i="2"/>
  <c r="A70" i="2"/>
  <c r="Q69" i="2"/>
  <c r="AJ66" i="2"/>
  <c r="AJ67" i="2" s="1"/>
  <c r="AH66" i="2"/>
  <c r="AK65" i="2"/>
  <c r="AI66" i="2"/>
  <c r="R68" i="2"/>
  <c r="U67" i="2"/>
  <c r="E72" i="2"/>
  <c r="FF69" i="2" l="1"/>
  <c r="FI68" i="2"/>
  <c r="EQ69" i="2"/>
  <c r="DL69" i="2"/>
  <c r="DM68" i="2"/>
  <c r="DJ69" i="2"/>
  <c r="EA69" i="2"/>
  <c r="FC70" i="2"/>
  <c r="FD70" i="2"/>
  <c r="EM70" i="2"/>
  <c r="EN70" i="2"/>
  <c r="DH70" i="2"/>
  <c r="DX70" i="2"/>
  <c r="DW70" i="2"/>
  <c r="DG70" i="2"/>
  <c r="AV70" i="2"/>
  <c r="CR70" i="2"/>
  <c r="BK70" i="2"/>
  <c r="AF70" i="2"/>
  <c r="O70" i="2"/>
  <c r="CB70" i="2"/>
  <c r="BL70" i="2"/>
  <c r="AU70" i="2"/>
  <c r="P70" i="2"/>
  <c r="CA70" i="2"/>
  <c r="CQ70" i="2"/>
  <c r="AE70" i="2"/>
  <c r="FB70" i="2"/>
  <c r="FH70" i="2" s="1"/>
  <c r="FE70" i="2"/>
  <c r="FA70" i="2"/>
  <c r="EU70" i="2"/>
  <c r="ET70" i="2"/>
  <c r="EO70" i="2"/>
  <c r="EL70" i="2"/>
  <c r="ER70" i="2" s="1"/>
  <c r="DU70" i="2"/>
  <c r="DO70" i="2"/>
  <c r="ED70" i="2"/>
  <c r="DV70" i="2"/>
  <c r="EB70" i="2" s="1"/>
  <c r="DY70" i="2"/>
  <c r="CS70" i="2"/>
  <c r="CH70" i="2"/>
  <c r="CC70" i="2"/>
  <c r="EE70" i="2"/>
  <c r="DE70" i="2"/>
  <c r="CY70" i="2"/>
  <c r="BM70" i="2"/>
  <c r="BS70" i="2"/>
  <c r="EK70" i="2"/>
  <c r="DN70" i="2"/>
  <c r="DF70" i="2"/>
  <c r="DK70" i="2" s="1"/>
  <c r="CO70" i="2"/>
  <c r="CI70" i="2"/>
  <c r="BY70" i="2"/>
  <c r="CX70" i="2"/>
  <c r="DI70" i="2"/>
  <c r="CP70" i="2"/>
  <c r="CU70" i="2" s="1"/>
  <c r="BR70" i="2"/>
  <c r="BZ70" i="2"/>
  <c r="CF70" i="2" s="1"/>
  <c r="BI70" i="2"/>
  <c r="AM70" i="2"/>
  <c r="BJ70" i="2"/>
  <c r="BO70" i="2" s="1"/>
  <c r="BB70" i="2"/>
  <c r="AW70" i="2"/>
  <c r="AS70" i="2"/>
  <c r="BC70" i="2"/>
  <c r="AT70" i="2"/>
  <c r="AL70" i="2"/>
  <c r="AG70" i="2"/>
  <c r="BN69" i="2"/>
  <c r="BQ68" i="2"/>
  <c r="CW68" i="2"/>
  <c r="CT69" i="2"/>
  <c r="CV69" i="2"/>
  <c r="CV70" i="2" s="1"/>
  <c r="CD69" i="2"/>
  <c r="CG68" i="2"/>
  <c r="EC68" i="2"/>
  <c r="DZ69" i="2"/>
  <c r="EP69" i="2"/>
  <c r="ES68" i="2"/>
  <c r="AC70" i="2"/>
  <c r="V70" i="2"/>
  <c r="W70" i="2"/>
  <c r="AD70" i="2"/>
  <c r="A71" i="2"/>
  <c r="Q70" i="2"/>
  <c r="F70" i="2"/>
  <c r="M70" i="2"/>
  <c r="N70" i="2"/>
  <c r="G70" i="2"/>
  <c r="T69" i="2"/>
  <c r="S69" i="2"/>
  <c r="AJ68" i="2"/>
  <c r="AI67" i="2"/>
  <c r="AI68" i="2" s="1"/>
  <c r="AK66" i="2"/>
  <c r="AH67" i="2"/>
  <c r="R69" i="2"/>
  <c r="U68" i="2"/>
  <c r="E73" i="2"/>
  <c r="CG69" i="2" l="1"/>
  <c r="CD70" i="2"/>
  <c r="CW69" i="2"/>
  <c r="CT70" i="2"/>
  <c r="BQ69" i="2"/>
  <c r="BN70" i="2"/>
  <c r="BP70" i="2"/>
  <c r="EA70" i="2"/>
  <c r="DL70" i="2"/>
  <c r="CE70" i="2"/>
  <c r="DM69" i="2"/>
  <c r="DJ70" i="2"/>
  <c r="EQ70" i="2"/>
  <c r="ES69" i="2"/>
  <c r="EP70" i="2"/>
  <c r="EC69" i="2"/>
  <c r="DZ70" i="2"/>
  <c r="FC71" i="2"/>
  <c r="FD71" i="2"/>
  <c r="EM71" i="2"/>
  <c r="EN71" i="2"/>
  <c r="DG71" i="2"/>
  <c r="DH71" i="2"/>
  <c r="DX71" i="2"/>
  <c r="DW71" i="2"/>
  <c r="CR71" i="2"/>
  <c r="CB71" i="2"/>
  <c r="CA71" i="2"/>
  <c r="AV71" i="2"/>
  <c r="CQ71" i="2"/>
  <c r="BL71" i="2"/>
  <c r="BK71" i="2"/>
  <c r="AF71" i="2"/>
  <c r="O71" i="2"/>
  <c r="AU71" i="2"/>
  <c r="AE71" i="2"/>
  <c r="P71" i="2"/>
  <c r="FB71" i="2"/>
  <c r="FH71" i="2" s="1"/>
  <c r="FE71" i="2"/>
  <c r="EO71" i="2"/>
  <c r="FA71" i="2"/>
  <c r="EU71" i="2"/>
  <c r="EK71" i="2"/>
  <c r="EE71" i="2"/>
  <c r="ET71" i="2"/>
  <c r="EL71" i="2"/>
  <c r="ER71" i="2" s="1"/>
  <c r="DU71" i="2"/>
  <c r="DO71" i="2"/>
  <c r="ED71" i="2"/>
  <c r="DV71" i="2"/>
  <c r="EB71" i="2" s="1"/>
  <c r="DI71" i="2"/>
  <c r="CX71" i="2"/>
  <c r="CP71" i="2"/>
  <c r="CV71" i="2" s="1"/>
  <c r="BZ71" i="2"/>
  <c r="CF71" i="2" s="1"/>
  <c r="CS71" i="2"/>
  <c r="CH71" i="2"/>
  <c r="CC71" i="2"/>
  <c r="DY71" i="2"/>
  <c r="DE71" i="2"/>
  <c r="CY71" i="2"/>
  <c r="BM71" i="2"/>
  <c r="BS71" i="2"/>
  <c r="DN71" i="2"/>
  <c r="CO71" i="2"/>
  <c r="BY71" i="2"/>
  <c r="DF71" i="2"/>
  <c r="DK71" i="2" s="1"/>
  <c r="BC71" i="2"/>
  <c r="AT71" i="2"/>
  <c r="BI71" i="2"/>
  <c r="AM71" i="2"/>
  <c r="CI71" i="2"/>
  <c r="BJ71" i="2"/>
  <c r="BO71" i="2" s="1"/>
  <c r="BB71" i="2"/>
  <c r="AW71" i="2"/>
  <c r="BR71" i="2"/>
  <c r="AS71" i="2"/>
  <c r="AL71" i="2"/>
  <c r="AG71" i="2"/>
  <c r="FG70" i="2"/>
  <c r="FG71" i="2" s="1"/>
  <c r="FF70" i="2"/>
  <c r="FI69" i="2"/>
  <c r="S70" i="2"/>
  <c r="T70" i="2"/>
  <c r="AD71" i="2"/>
  <c r="AC71" i="2"/>
  <c r="V71" i="2"/>
  <c r="W71" i="2"/>
  <c r="M71" i="2"/>
  <c r="N71" i="2"/>
  <c r="F71" i="2"/>
  <c r="G71" i="2"/>
  <c r="A72" i="2"/>
  <c r="Q71" i="2"/>
  <c r="AK67" i="2"/>
  <c r="AH68" i="2"/>
  <c r="AI69" i="2"/>
  <c r="R70" i="2"/>
  <c r="U69" i="2"/>
  <c r="E74" i="2"/>
  <c r="EC70" i="2" l="1"/>
  <c r="DZ71" i="2"/>
  <c r="CW70" i="2"/>
  <c r="CT71" i="2"/>
  <c r="FC72" i="2"/>
  <c r="DX72" i="2"/>
  <c r="FD72" i="2"/>
  <c r="FG72" i="2" s="1"/>
  <c r="EN72" i="2"/>
  <c r="EM72" i="2"/>
  <c r="DG72" i="2"/>
  <c r="CQ72" i="2"/>
  <c r="DW72" i="2"/>
  <c r="DH72" i="2"/>
  <c r="BL72" i="2"/>
  <c r="AU72" i="2"/>
  <c r="CB72" i="2"/>
  <c r="CA72" i="2"/>
  <c r="AE72" i="2"/>
  <c r="AF72" i="2"/>
  <c r="CR72" i="2"/>
  <c r="BK72" i="2"/>
  <c r="AV72" i="2"/>
  <c r="P72" i="2"/>
  <c r="O72" i="2"/>
  <c r="FB72" i="2"/>
  <c r="FH72" i="2" s="1"/>
  <c r="FE72" i="2"/>
  <c r="ET72" i="2"/>
  <c r="EO72" i="2"/>
  <c r="FA72" i="2"/>
  <c r="EU72" i="2"/>
  <c r="DY72" i="2"/>
  <c r="EK72" i="2"/>
  <c r="EE72" i="2"/>
  <c r="EL72" i="2"/>
  <c r="ER72" i="2" s="1"/>
  <c r="DU72" i="2"/>
  <c r="DO72" i="2"/>
  <c r="DN72" i="2"/>
  <c r="DF72" i="2"/>
  <c r="DK72" i="2" s="1"/>
  <c r="CO72" i="2"/>
  <c r="CI72" i="2"/>
  <c r="BY72" i="2"/>
  <c r="DV72" i="2"/>
  <c r="EB72" i="2" s="1"/>
  <c r="DI72" i="2"/>
  <c r="CX72" i="2"/>
  <c r="CP72" i="2"/>
  <c r="CV72" i="2" s="1"/>
  <c r="BZ72" i="2"/>
  <c r="CF72" i="2" s="1"/>
  <c r="CS72" i="2"/>
  <c r="CH72" i="2"/>
  <c r="CC72" i="2"/>
  <c r="ED72" i="2"/>
  <c r="BR72" i="2"/>
  <c r="DE72" i="2"/>
  <c r="CY72" i="2"/>
  <c r="BM72" i="2"/>
  <c r="AS72" i="2"/>
  <c r="BC72" i="2"/>
  <c r="AT72" i="2"/>
  <c r="BI72" i="2"/>
  <c r="AM72" i="2"/>
  <c r="BS72" i="2"/>
  <c r="BJ72" i="2"/>
  <c r="BO72" i="2" s="1"/>
  <c r="BB72" i="2"/>
  <c r="AW72" i="2"/>
  <c r="AG72" i="2"/>
  <c r="AL72" i="2"/>
  <c r="FF71" i="2"/>
  <c r="FI70" i="2"/>
  <c r="CE71" i="2"/>
  <c r="CE72" i="2" s="1"/>
  <c r="EA71" i="2"/>
  <c r="EA72" i="2" s="1"/>
  <c r="BP71" i="2"/>
  <c r="BP72" i="2" s="1"/>
  <c r="CU71" i="2"/>
  <c r="CU72" i="2" s="1"/>
  <c r="EP71" i="2"/>
  <c r="ES70" i="2"/>
  <c r="EQ71" i="2"/>
  <c r="EQ72" i="2" s="1"/>
  <c r="DJ71" i="2"/>
  <c r="DM70" i="2"/>
  <c r="BN71" i="2"/>
  <c r="BQ70" i="2"/>
  <c r="DL71" i="2"/>
  <c r="DL72" i="2" s="1"/>
  <c r="CG70" i="2"/>
  <c r="CD71" i="2"/>
  <c r="T71" i="2"/>
  <c r="S71" i="2"/>
  <c r="AD72" i="2"/>
  <c r="W72" i="2"/>
  <c r="AC72" i="2"/>
  <c r="V72" i="2"/>
  <c r="A73" i="2"/>
  <c r="G72" i="2"/>
  <c r="Q72" i="2"/>
  <c r="M72" i="2"/>
  <c r="N72" i="2"/>
  <c r="F72" i="2"/>
  <c r="AJ69" i="2"/>
  <c r="AK68" i="2"/>
  <c r="AH69" i="2"/>
  <c r="R71" i="2"/>
  <c r="U70" i="2"/>
  <c r="E75" i="2"/>
  <c r="CG71" i="2" l="1"/>
  <c r="CD72" i="2"/>
  <c r="ES71" i="2"/>
  <c r="EP72" i="2"/>
  <c r="DJ72" i="2"/>
  <c r="DM71" i="2"/>
  <c r="FF72" i="2"/>
  <c r="FI71" i="2"/>
  <c r="FD73" i="2"/>
  <c r="EN73" i="2"/>
  <c r="FC73" i="2"/>
  <c r="DX73" i="2"/>
  <c r="DW73" i="2"/>
  <c r="CB73" i="2"/>
  <c r="EM73" i="2"/>
  <c r="DG73" i="2"/>
  <c r="CQ73" i="2"/>
  <c r="BK73" i="2"/>
  <c r="AF73" i="2"/>
  <c r="BL73" i="2"/>
  <c r="AU73" i="2"/>
  <c r="P73" i="2"/>
  <c r="AE73" i="2"/>
  <c r="DH73" i="2"/>
  <c r="AV73" i="2"/>
  <c r="CR73" i="2"/>
  <c r="CA73" i="2"/>
  <c r="O73" i="2"/>
  <c r="FE73" i="2"/>
  <c r="ET73" i="2"/>
  <c r="EO73" i="2"/>
  <c r="ED73" i="2"/>
  <c r="DV73" i="2"/>
  <c r="EB73" i="2" s="1"/>
  <c r="DY73" i="2"/>
  <c r="FB73" i="2"/>
  <c r="FG73" i="2" s="1"/>
  <c r="EK73" i="2"/>
  <c r="EE73" i="2"/>
  <c r="EL73" i="2"/>
  <c r="ER73" i="2" s="1"/>
  <c r="DU73" i="2"/>
  <c r="DO73" i="2"/>
  <c r="DE73" i="2"/>
  <c r="CY73" i="2"/>
  <c r="BM73" i="2"/>
  <c r="BP73" i="2" s="1"/>
  <c r="FA73" i="2"/>
  <c r="EU73" i="2"/>
  <c r="DN73" i="2"/>
  <c r="DF73" i="2"/>
  <c r="DK73" i="2" s="1"/>
  <c r="CO73" i="2"/>
  <c r="CI73" i="2"/>
  <c r="BY73" i="2"/>
  <c r="DI73" i="2"/>
  <c r="CX73" i="2"/>
  <c r="CP73" i="2"/>
  <c r="CV73" i="2" s="1"/>
  <c r="BZ73" i="2"/>
  <c r="CF73" i="2" s="1"/>
  <c r="CS73" i="2"/>
  <c r="BS73" i="2"/>
  <c r="CC73" i="2"/>
  <c r="BR73" i="2"/>
  <c r="CH73" i="2"/>
  <c r="BJ73" i="2"/>
  <c r="BO73" i="2" s="1"/>
  <c r="BB73" i="2"/>
  <c r="AW73" i="2"/>
  <c r="AS73" i="2"/>
  <c r="BC73" i="2"/>
  <c r="AT73" i="2"/>
  <c r="BI73" i="2"/>
  <c r="AM73" i="2"/>
  <c r="AL73" i="2"/>
  <c r="AG73" i="2"/>
  <c r="BQ71" i="2"/>
  <c r="BN72" i="2"/>
  <c r="CT72" i="2"/>
  <c r="CW71" i="2"/>
  <c r="DZ72" i="2"/>
  <c r="EC71" i="2"/>
  <c r="S72" i="2"/>
  <c r="AC73" i="2"/>
  <c r="V73" i="2"/>
  <c r="AD73" i="2"/>
  <c r="W73" i="2"/>
  <c r="Q73" i="2"/>
  <c r="M73" i="2"/>
  <c r="N73" i="2"/>
  <c r="G73" i="2"/>
  <c r="F73" i="2"/>
  <c r="A74" i="2"/>
  <c r="T72" i="2"/>
  <c r="AJ70" i="2"/>
  <c r="AH70" i="2"/>
  <c r="AK69" i="2"/>
  <c r="AI70" i="2"/>
  <c r="R72" i="2"/>
  <c r="U71" i="2"/>
  <c r="E76" i="2"/>
  <c r="BQ72" i="2" l="1"/>
  <c r="BN73" i="2"/>
  <c r="CU73" i="2"/>
  <c r="FH73" i="2"/>
  <c r="EC72" i="2"/>
  <c r="DZ73" i="2"/>
  <c r="CT73" i="2"/>
  <c r="CW72" i="2"/>
  <c r="DL73" i="2"/>
  <c r="EQ73" i="2"/>
  <c r="FF73" i="2"/>
  <c r="FI72" i="2"/>
  <c r="DM72" i="2"/>
  <c r="DJ73" i="2"/>
  <c r="CE73" i="2"/>
  <c r="CG72" i="2"/>
  <c r="CD73" i="2"/>
  <c r="FC74" i="2"/>
  <c r="FD74" i="2"/>
  <c r="EM74" i="2"/>
  <c r="EN74" i="2"/>
  <c r="DH74" i="2"/>
  <c r="DW74" i="2"/>
  <c r="DX74" i="2"/>
  <c r="CR74" i="2"/>
  <c r="AV74" i="2"/>
  <c r="DG74" i="2"/>
  <c r="CQ74" i="2"/>
  <c r="BK74" i="2"/>
  <c r="AF74" i="2"/>
  <c r="CA74" i="2"/>
  <c r="O74" i="2"/>
  <c r="P74" i="2"/>
  <c r="CB74" i="2"/>
  <c r="AU74" i="2"/>
  <c r="BL74" i="2"/>
  <c r="AE74" i="2"/>
  <c r="FB74" i="2"/>
  <c r="FG74" i="2" s="1"/>
  <c r="FE74" i="2"/>
  <c r="FA74" i="2"/>
  <c r="EU74" i="2"/>
  <c r="ET74" i="2"/>
  <c r="EL74" i="2"/>
  <c r="ER74" i="2" s="1"/>
  <c r="DU74" i="2"/>
  <c r="DO74" i="2"/>
  <c r="EO74" i="2"/>
  <c r="ED74" i="2"/>
  <c r="DV74" i="2"/>
  <c r="EB74" i="2" s="1"/>
  <c r="DY74" i="2"/>
  <c r="CS74" i="2"/>
  <c r="CH74" i="2"/>
  <c r="CC74" i="2"/>
  <c r="DE74" i="2"/>
  <c r="CY74" i="2"/>
  <c r="BM74" i="2"/>
  <c r="BS74" i="2"/>
  <c r="EE74" i="2"/>
  <c r="DN74" i="2"/>
  <c r="DF74" i="2"/>
  <c r="DK74" i="2" s="1"/>
  <c r="CO74" i="2"/>
  <c r="CI74" i="2"/>
  <c r="BY74" i="2"/>
  <c r="EK74" i="2"/>
  <c r="CP74" i="2"/>
  <c r="CV74" i="2" s="1"/>
  <c r="CX74" i="2"/>
  <c r="BZ74" i="2"/>
  <c r="CF74" i="2" s="1"/>
  <c r="DI74" i="2"/>
  <c r="BR74" i="2"/>
  <c r="BI74" i="2"/>
  <c r="AM74" i="2"/>
  <c r="BJ74" i="2"/>
  <c r="BO74" i="2" s="1"/>
  <c r="BB74" i="2"/>
  <c r="AW74" i="2"/>
  <c r="AS74" i="2"/>
  <c r="BC74" i="2"/>
  <c r="AT74" i="2"/>
  <c r="AL74" i="2"/>
  <c r="AG74" i="2"/>
  <c r="EA73" i="2"/>
  <c r="EA74" i="2" s="1"/>
  <c r="ES72" i="2"/>
  <c r="EP73" i="2"/>
  <c r="T73" i="2"/>
  <c r="S73" i="2"/>
  <c r="AC74" i="2"/>
  <c r="V74" i="2"/>
  <c r="AD74" i="2"/>
  <c r="W74" i="2"/>
  <c r="Q74" i="2"/>
  <c r="M74" i="2"/>
  <c r="N74" i="2"/>
  <c r="F74" i="2"/>
  <c r="A75" i="2"/>
  <c r="G74" i="2"/>
  <c r="AJ71" i="2"/>
  <c r="AI71" i="2"/>
  <c r="AH71" i="2"/>
  <c r="AK70" i="2"/>
  <c r="R73" i="2"/>
  <c r="U72" i="2"/>
  <c r="E77" i="2"/>
  <c r="FF74" i="2" l="1"/>
  <c r="FI73" i="2"/>
  <c r="DL74" i="2"/>
  <c r="BN74" i="2"/>
  <c r="BQ73" i="2"/>
  <c r="FC75" i="2"/>
  <c r="FD75" i="2"/>
  <c r="EM75" i="2"/>
  <c r="DX75" i="2"/>
  <c r="DG75" i="2"/>
  <c r="EN75" i="2"/>
  <c r="DH75" i="2"/>
  <c r="CR75" i="2"/>
  <c r="DW75" i="2"/>
  <c r="CA75" i="2"/>
  <c r="AV75" i="2"/>
  <c r="BL75" i="2"/>
  <c r="AU75" i="2"/>
  <c r="CQ75" i="2"/>
  <c r="O75" i="2"/>
  <c r="BK75" i="2"/>
  <c r="AE75" i="2"/>
  <c r="P75" i="2"/>
  <c r="CB75" i="2"/>
  <c r="AF75" i="2"/>
  <c r="FB75" i="2"/>
  <c r="FG75" i="2" s="1"/>
  <c r="FE75" i="2"/>
  <c r="EO75" i="2"/>
  <c r="FA75" i="2"/>
  <c r="EU75" i="2"/>
  <c r="EK75" i="2"/>
  <c r="EE75" i="2"/>
  <c r="EL75" i="2"/>
  <c r="ER75" i="2" s="1"/>
  <c r="DU75" i="2"/>
  <c r="DO75" i="2"/>
  <c r="ET75" i="2"/>
  <c r="ED75" i="2"/>
  <c r="DV75" i="2"/>
  <c r="EB75" i="2" s="1"/>
  <c r="DI75" i="2"/>
  <c r="CX75" i="2"/>
  <c r="CP75" i="2"/>
  <c r="CV75" i="2" s="1"/>
  <c r="BZ75" i="2"/>
  <c r="CF75" i="2" s="1"/>
  <c r="CS75" i="2"/>
  <c r="CH75" i="2"/>
  <c r="CC75" i="2"/>
  <c r="DE75" i="2"/>
  <c r="CY75" i="2"/>
  <c r="BM75" i="2"/>
  <c r="BS75" i="2"/>
  <c r="DY75" i="2"/>
  <c r="DN75" i="2"/>
  <c r="DF75" i="2"/>
  <c r="DK75" i="2" s="1"/>
  <c r="CI75" i="2"/>
  <c r="CO75" i="2"/>
  <c r="BY75" i="2"/>
  <c r="BR75" i="2"/>
  <c r="BC75" i="2"/>
  <c r="AT75" i="2"/>
  <c r="BI75" i="2"/>
  <c r="AM75" i="2"/>
  <c r="BJ75" i="2"/>
  <c r="BO75" i="2" s="1"/>
  <c r="BB75" i="2"/>
  <c r="AW75" i="2"/>
  <c r="AS75" i="2"/>
  <c r="AL75" i="2"/>
  <c r="AG75" i="2"/>
  <c r="CD74" i="2"/>
  <c r="CG73" i="2"/>
  <c r="DM73" i="2"/>
  <c r="DJ74" i="2"/>
  <c r="CT74" i="2"/>
  <c r="CW73" i="2"/>
  <c r="FH74" i="2"/>
  <c r="FH75" i="2" s="1"/>
  <c r="BP74" i="2"/>
  <c r="BP75" i="2" s="1"/>
  <c r="ES73" i="2"/>
  <c r="EP74" i="2"/>
  <c r="EA75" i="2"/>
  <c r="CE74" i="2"/>
  <c r="CE75" i="2" s="1"/>
  <c r="EQ74" i="2"/>
  <c r="EQ75" i="2" s="1"/>
  <c r="DZ74" i="2"/>
  <c r="EC73" i="2"/>
  <c r="CU74" i="2"/>
  <c r="CU75" i="2" s="1"/>
  <c r="T74" i="2"/>
  <c r="AI72" i="2"/>
  <c r="S74" i="2"/>
  <c r="AD75" i="2"/>
  <c r="AC75" i="2"/>
  <c r="V75" i="2"/>
  <c r="W75" i="2"/>
  <c r="N75" i="2"/>
  <c r="Q75" i="2"/>
  <c r="M75" i="2"/>
  <c r="F75" i="2"/>
  <c r="G75" i="2"/>
  <c r="A76" i="2"/>
  <c r="AJ72" i="2"/>
  <c r="AH72" i="2"/>
  <c r="AK71" i="2"/>
  <c r="R74" i="2"/>
  <c r="U73" i="2"/>
  <c r="E78" i="2"/>
  <c r="CT75" i="2" l="1"/>
  <c r="CW74" i="2"/>
  <c r="BN75" i="2"/>
  <c r="BQ74" i="2"/>
  <c r="FF75" i="2"/>
  <c r="FI74" i="2"/>
  <c r="DJ75" i="2"/>
  <c r="DM74" i="2"/>
  <c r="FC76" i="2"/>
  <c r="FD76" i="2"/>
  <c r="DX76" i="2"/>
  <c r="EM76" i="2"/>
  <c r="DG76" i="2"/>
  <c r="CQ76" i="2"/>
  <c r="CB76" i="2"/>
  <c r="BL76" i="2"/>
  <c r="AU76" i="2"/>
  <c r="EN76" i="2"/>
  <c r="DW76" i="2"/>
  <c r="CR76" i="2"/>
  <c r="CA76" i="2"/>
  <c r="DH76" i="2"/>
  <c r="BK76" i="2"/>
  <c r="AV76" i="2"/>
  <c r="AF76" i="2"/>
  <c r="AE76" i="2"/>
  <c r="P76" i="2"/>
  <c r="O76" i="2"/>
  <c r="FB76" i="2"/>
  <c r="FG76" i="2" s="1"/>
  <c r="ET76" i="2"/>
  <c r="FE76" i="2"/>
  <c r="EO76" i="2"/>
  <c r="FA76" i="2"/>
  <c r="EU76" i="2"/>
  <c r="DY76" i="2"/>
  <c r="EK76" i="2"/>
  <c r="EE76" i="2"/>
  <c r="EL76" i="2"/>
  <c r="ER76" i="2" s="1"/>
  <c r="DU76" i="2"/>
  <c r="DO76" i="2"/>
  <c r="ED76" i="2"/>
  <c r="DN76" i="2"/>
  <c r="DF76" i="2"/>
  <c r="DK76" i="2" s="1"/>
  <c r="CO76" i="2"/>
  <c r="CI76" i="2"/>
  <c r="BY76" i="2"/>
  <c r="DI76" i="2"/>
  <c r="CX76" i="2"/>
  <c r="CP76" i="2"/>
  <c r="CV76" i="2" s="1"/>
  <c r="BZ76" i="2"/>
  <c r="CE76" i="2" s="1"/>
  <c r="DV76" i="2"/>
  <c r="EB76" i="2" s="1"/>
  <c r="CS76" i="2"/>
  <c r="CH76" i="2"/>
  <c r="CC76" i="2"/>
  <c r="BR76" i="2"/>
  <c r="BS76" i="2"/>
  <c r="DE76" i="2"/>
  <c r="CY76" i="2"/>
  <c r="BM76" i="2"/>
  <c r="AS76" i="2"/>
  <c r="BC76" i="2"/>
  <c r="AT76" i="2"/>
  <c r="BI76" i="2"/>
  <c r="AM76" i="2"/>
  <c r="BJ76" i="2"/>
  <c r="BO76" i="2" s="1"/>
  <c r="BB76" i="2"/>
  <c r="AW76" i="2"/>
  <c r="AL76" i="2"/>
  <c r="AG76" i="2"/>
  <c r="FH76" i="2"/>
  <c r="CG74" i="2"/>
  <c r="CD75" i="2"/>
  <c r="DL75" i="2"/>
  <c r="DL76" i="2" s="1"/>
  <c r="DZ75" i="2"/>
  <c r="EC74" i="2"/>
  <c r="EQ76" i="2"/>
  <c r="ES74" i="2"/>
  <c r="EP75" i="2"/>
  <c r="T75" i="2"/>
  <c r="S75" i="2"/>
  <c r="AD76" i="2"/>
  <c r="AC76" i="2"/>
  <c r="V76" i="2"/>
  <c r="W76" i="2"/>
  <c r="G76" i="2"/>
  <c r="F76" i="2"/>
  <c r="Q76" i="2"/>
  <c r="M76" i="2"/>
  <c r="N76" i="2"/>
  <c r="A77" i="2"/>
  <c r="AJ73" i="2"/>
  <c r="AI73" i="2"/>
  <c r="AH73" i="2"/>
  <c r="AK72" i="2"/>
  <c r="R75" i="2"/>
  <c r="U74" i="2"/>
  <c r="E79" i="2"/>
  <c r="BP76" i="2" l="1"/>
  <c r="CT76" i="2"/>
  <c r="CW75" i="2"/>
  <c r="CF76" i="2"/>
  <c r="CU76" i="2"/>
  <c r="EP76" i="2"/>
  <c r="ES75" i="2"/>
  <c r="DZ76" i="2"/>
  <c r="EC75" i="2"/>
  <c r="EA76" i="2"/>
  <c r="FD77" i="2"/>
  <c r="EN77" i="2"/>
  <c r="EM77" i="2"/>
  <c r="DX77" i="2"/>
  <c r="DW77" i="2"/>
  <c r="FC77" i="2"/>
  <c r="DH77" i="2"/>
  <c r="DG77" i="2"/>
  <c r="CB77" i="2"/>
  <c r="BK77" i="2"/>
  <c r="AF77" i="2"/>
  <c r="BL77" i="2"/>
  <c r="AU77" i="2"/>
  <c r="CR77" i="2"/>
  <c r="P77" i="2"/>
  <c r="CA77" i="2"/>
  <c r="AV77" i="2"/>
  <c r="AE77" i="2"/>
  <c r="CQ77" i="2"/>
  <c r="O77" i="2"/>
  <c r="FE77" i="2"/>
  <c r="FB77" i="2"/>
  <c r="FH77" i="2" s="1"/>
  <c r="ET77" i="2"/>
  <c r="EO77" i="2"/>
  <c r="FA77" i="2"/>
  <c r="EU77" i="2"/>
  <c r="ED77" i="2"/>
  <c r="DV77" i="2"/>
  <c r="EB77" i="2" s="1"/>
  <c r="DY77" i="2"/>
  <c r="EK77" i="2"/>
  <c r="EE77" i="2"/>
  <c r="DE77" i="2"/>
  <c r="CY77" i="2"/>
  <c r="BM77" i="2"/>
  <c r="EL77" i="2"/>
  <c r="EQ77" i="2" s="1"/>
  <c r="DU77" i="2"/>
  <c r="DO77" i="2"/>
  <c r="DN77" i="2"/>
  <c r="DF77" i="2"/>
  <c r="DK77" i="2" s="1"/>
  <c r="CO77" i="2"/>
  <c r="CI77" i="2"/>
  <c r="BY77" i="2"/>
  <c r="DI77" i="2"/>
  <c r="CX77" i="2"/>
  <c r="CP77" i="2"/>
  <c r="CV77" i="2" s="1"/>
  <c r="BZ77" i="2"/>
  <c r="CE77" i="2" s="1"/>
  <c r="CS77" i="2"/>
  <c r="BR77" i="2"/>
  <c r="CC77" i="2"/>
  <c r="BS77" i="2"/>
  <c r="BJ77" i="2"/>
  <c r="BO77" i="2" s="1"/>
  <c r="BB77" i="2"/>
  <c r="AW77" i="2"/>
  <c r="CH77" i="2"/>
  <c r="AS77" i="2"/>
  <c r="BC77" i="2"/>
  <c r="AT77" i="2"/>
  <c r="BI77" i="2"/>
  <c r="AM77" i="2"/>
  <c r="AL77" i="2"/>
  <c r="AG77" i="2"/>
  <c r="CG75" i="2"/>
  <c r="CD76" i="2"/>
  <c r="DJ76" i="2"/>
  <c r="DM75" i="2"/>
  <c r="FF76" i="2"/>
  <c r="FI75" i="2"/>
  <c r="BN76" i="2"/>
  <c r="BQ75" i="2"/>
  <c r="T76" i="2"/>
  <c r="AD77" i="2"/>
  <c r="W77" i="2"/>
  <c r="AC77" i="2"/>
  <c r="V77" i="2"/>
  <c r="G77" i="2"/>
  <c r="F77" i="2"/>
  <c r="A78" i="2"/>
  <c r="Q77" i="2"/>
  <c r="M77" i="2"/>
  <c r="N77" i="2"/>
  <c r="S76" i="2"/>
  <c r="AJ74" i="2"/>
  <c r="AK73" i="2"/>
  <c r="AH74" i="2"/>
  <c r="AI74" i="2"/>
  <c r="AI75" i="2" s="1"/>
  <c r="R76" i="2"/>
  <c r="U75" i="2"/>
  <c r="E80" i="2"/>
  <c r="BQ76" i="2" l="1"/>
  <c r="BN77" i="2"/>
  <c r="DM76" i="2"/>
  <c r="DJ77" i="2"/>
  <c r="ES76" i="2"/>
  <c r="EP77" i="2"/>
  <c r="CW76" i="2"/>
  <c r="CT77" i="2"/>
  <c r="FG77" i="2"/>
  <c r="ER77" i="2"/>
  <c r="CG76" i="2"/>
  <c r="CD77" i="2"/>
  <c r="EA77" i="2"/>
  <c r="EA78" i="2" s="1"/>
  <c r="CF77" i="2"/>
  <c r="BP77" i="2"/>
  <c r="FC78" i="2"/>
  <c r="FD78" i="2"/>
  <c r="EM78" i="2"/>
  <c r="EN78" i="2"/>
  <c r="DH78" i="2"/>
  <c r="DX78" i="2"/>
  <c r="DW78" i="2"/>
  <c r="DG78" i="2"/>
  <c r="CQ78" i="2"/>
  <c r="AV78" i="2"/>
  <c r="CB78" i="2"/>
  <c r="BK78" i="2"/>
  <c r="AF78" i="2"/>
  <c r="O78" i="2"/>
  <c r="CR78" i="2"/>
  <c r="BL78" i="2"/>
  <c r="AU78" i="2"/>
  <c r="P78" i="2"/>
  <c r="CA78" i="2"/>
  <c r="AE78" i="2"/>
  <c r="FB78" i="2"/>
  <c r="FH78" i="2" s="1"/>
  <c r="FE78" i="2"/>
  <c r="FA78" i="2"/>
  <c r="EU78" i="2"/>
  <c r="ET78" i="2"/>
  <c r="EL78" i="2"/>
  <c r="EQ78" i="2" s="1"/>
  <c r="DU78" i="2"/>
  <c r="DO78" i="2"/>
  <c r="ED78" i="2"/>
  <c r="DV78" i="2"/>
  <c r="EB78" i="2" s="1"/>
  <c r="EO78" i="2"/>
  <c r="DY78" i="2"/>
  <c r="EK78" i="2"/>
  <c r="CS78" i="2"/>
  <c r="CH78" i="2"/>
  <c r="CC78" i="2"/>
  <c r="DE78" i="2"/>
  <c r="CY78" i="2"/>
  <c r="BM78" i="2"/>
  <c r="BS78" i="2"/>
  <c r="DN78" i="2"/>
  <c r="DF78" i="2"/>
  <c r="DK78" i="2" s="1"/>
  <c r="CO78" i="2"/>
  <c r="CI78" i="2"/>
  <c r="BY78" i="2"/>
  <c r="EE78" i="2"/>
  <c r="CP78" i="2"/>
  <c r="CV78" i="2" s="1"/>
  <c r="CX78" i="2"/>
  <c r="BZ78" i="2"/>
  <c r="CE78" i="2" s="1"/>
  <c r="DI78" i="2"/>
  <c r="BR78" i="2"/>
  <c r="BI78" i="2"/>
  <c r="AM78" i="2"/>
  <c r="BJ78" i="2"/>
  <c r="BO78" i="2" s="1"/>
  <c r="BB78" i="2"/>
  <c r="AW78" i="2"/>
  <c r="AS78" i="2"/>
  <c r="BC78" i="2"/>
  <c r="AT78" i="2"/>
  <c r="AL78" i="2"/>
  <c r="AG78" i="2"/>
  <c r="FF77" i="2"/>
  <c r="FI76" i="2"/>
  <c r="EC76" i="2"/>
  <c r="DZ77" i="2"/>
  <c r="CU77" i="2"/>
  <c r="CU78" i="2" s="1"/>
  <c r="DL77" i="2"/>
  <c r="DL78" i="2" s="1"/>
  <c r="S77" i="2"/>
  <c r="T77" i="2"/>
  <c r="AC78" i="2"/>
  <c r="V78" i="2"/>
  <c r="AD78" i="2"/>
  <c r="W78" i="2"/>
  <c r="M78" i="2"/>
  <c r="N78" i="2"/>
  <c r="A79" i="2"/>
  <c r="Q78" i="2"/>
  <c r="F78" i="2"/>
  <c r="G78" i="2"/>
  <c r="AJ75" i="2"/>
  <c r="AK74" i="2"/>
  <c r="AH75" i="2"/>
  <c r="R77" i="2"/>
  <c r="U76" i="2"/>
  <c r="E81" i="2"/>
  <c r="FG78" i="2" l="1"/>
  <c r="DJ78" i="2"/>
  <c r="DM77" i="2"/>
  <c r="FF78" i="2"/>
  <c r="FI77" i="2"/>
  <c r="CF78" i="2"/>
  <c r="CD78" i="2"/>
  <c r="CG77" i="2"/>
  <c r="BP78" i="2"/>
  <c r="BN78" i="2"/>
  <c r="BQ77" i="2"/>
  <c r="FC79" i="2"/>
  <c r="FD79" i="2"/>
  <c r="EM79" i="2"/>
  <c r="EN79" i="2"/>
  <c r="DG79" i="2"/>
  <c r="DH79" i="2"/>
  <c r="DW79" i="2"/>
  <c r="CR79" i="2"/>
  <c r="DX79" i="2"/>
  <c r="CA79" i="2"/>
  <c r="CQ79" i="2"/>
  <c r="AV79" i="2"/>
  <c r="CB79" i="2"/>
  <c r="AU79" i="2"/>
  <c r="BK79" i="2"/>
  <c r="AF79" i="2"/>
  <c r="O79" i="2"/>
  <c r="BL79" i="2"/>
  <c r="AE79" i="2"/>
  <c r="P79" i="2"/>
  <c r="FB79" i="2"/>
  <c r="FH79" i="2" s="1"/>
  <c r="FE79" i="2"/>
  <c r="EO79" i="2"/>
  <c r="FA79" i="2"/>
  <c r="EU79" i="2"/>
  <c r="EK79" i="2"/>
  <c r="EE79" i="2"/>
  <c r="EL79" i="2"/>
  <c r="EQ79" i="2" s="1"/>
  <c r="DU79" i="2"/>
  <c r="DO79" i="2"/>
  <c r="ED79" i="2"/>
  <c r="DV79" i="2"/>
  <c r="EA79" i="2" s="1"/>
  <c r="ET79" i="2"/>
  <c r="DY79" i="2"/>
  <c r="DI79" i="2"/>
  <c r="CX79" i="2"/>
  <c r="CP79" i="2"/>
  <c r="CV79" i="2" s="1"/>
  <c r="BZ79" i="2"/>
  <c r="CE79" i="2" s="1"/>
  <c r="CS79" i="2"/>
  <c r="CH79" i="2"/>
  <c r="CC79" i="2"/>
  <c r="DE79" i="2"/>
  <c r="CY79" i="2"/>
  <c r="BM79" i="2"/>
  <c r="BS79" i="2"/>
  <c r="DN79" i="2"/>
  <c r="DF79" i="2"/>
  <c r="DK79" i="2" s="1"/>
  <c r="CI79" i="2"/>
  <c r="CO79" i="2"/>
  <c r="BC79" i="2"/>
  <c r="AT79" i="2"/>
  <c r="BR79" i="2"/>
  <c r="BI79" i="2"/>
  <c r="AM79" i="2"/>
  <c r="BJ79" i="2"/>
  <c r="BO79" i="2" s="1"/>
  <c r="BB79" i="2"/>
  <c r="AW79" i="2"/>
  <c r="BY79" i="2"/>
  <c r="AS79" i="2"/>
  <c r="AL79" i="2"/>
  <c r="AG79" i="2"/>
  <c r="EC77" i="2"/>
  <c r="DZ78" i="2"/>
  <c r="ER78" i="2"/>
  <c r="ER79" i="2" s="1"/>
  <c r="CW77" i="2"/>
  <c r="CT78" i="2"/>
  <c r="EP78" i="2"/>
  <c r="ES77" i="2"/>
  <c r="S78" i="2"/>
  <c r="AD79" i="2"/>
  <c r="W79" i="2"/>
  <c r="AC79" i="2"/>
  <c r="V79" i="2"/>
  <c r="Q79" i="2"/>
  <c r="G79" i="2"/>
  <c r="A80" i="2"/>
  <c r="M79" i="2"/>
  <c r="N79" i="2"/>
  <c r="F79" i="2"/>
  <c r="T78" i="2"/>
  <c r="AJ76" i="2"/>
  <c r="AJ77" i="2" s="1"/>
  <c r="AH76" i="2"/>
  <c r="AK75" i="2"/>
  <c r="AI76" i="2"/>
  <c r="R78" i="2"/>
  <c r="U77" i="2"/>
  <c r="E82" i="2"/>
  <c r="CF79" i="2" l="1"/>
  <c r="CU79" i="2"/>
  <c r="DZ79" i="2"/>
  <c r="EC78" i="2"/>
  <c r="FF79" i="2"/>
  <c r="FI78" i="2"/>
  <c r="DL79" i="2"/>
  <c r="EP79" i="2"/>
  <c r="ES78" i="2"/>
  <c r="FC80" i="2"/>
  <c r="FD80" i="2"/>
  <c r="DX80" i="2"/>
  <c r="EN80" i="2"/>
  <c r="EM80" i="2"/>
  <c r="DG80" i="2"/>
  <c r="CQ80" i="2"/>
  <c r="DW80" i="2"/>
  <c r="DH80" i="2"/>
  <c r="CR80" i="2"/>
  <c r="BL80" i="2"/>
  <c r="AU80" i="2"/>
  <c r="CA80" i="2"/>
  <c r="AE80" i="2"/>
  <c r="BK80" i="2"/>
  <c r="CB80" i="2"/>
  <c r="AV80" i="2"/>
  <c r="AF80" i="2"/>
  <c r="P80" i="2"/>
  <c r="O80" i="2"/>
  <c r="FB80" i="2"/>
  <c r="FH80" i="2" s="1"/>
  <c r="ET80" i="2"/>
  <c r="EO80" i="2"/>
  <c r="FE80" i="2"/>
  <c r="FA80" i="2"/>
  <c r="EU80" i="2"/>
  <c r="DY80" i="2"/>
  <c r="EK80" i="2"/>
  <c r="EE80" i="2"/>
  <c r="EL80" i="2"/>
  <c r="EQ80" i="2" s="1"/>
  <c r="DU80" i="2"/>
  <c r="DO80" i="2"/>
  <c r="DN80" i="2"/>
  <c r="DF80" i="2"/>
  <c r="DK80" i="2" s="1"/>
  <c r="CO80" i="2"/>
  <c r="CI80" i="2"/>
  <c r="BY80" i="2"/>
  <c r="ED80" i="2"/>
  <c r="DI80" i="2"/>
  <c r="CX80" i="2"/>
  <c r="CP80" i="2"/>
  <c r="CV80" i="2" s="1"/>
  <c r="BZ80" i="2"/>
  <c r="CE80" i="2" s="1"/>
  <c r="CS80" i="2"/>
  <c r="CH80" i="2"/>
  <c r="CC80" i="2"/>
  <c r="DV80" i="2"/>
  <c r="EA80" i="2" s="1"/>
  <c r="DE80" i="2"/>
  <c r="CY80" i="2"/>
  <c r="BM80" i="2"/>
  <c r="BR80" i="2"/>
  <c r="BS80" i="2"/>
  <c r="AS80" i="2"/>
  <c r="BC80" i="2"/>
  <c r="AT80" i="2"/>
  <c r="BI80" i="2"/>
  <c r="AM80" i="2"/>
  <c r="BJ80" i="2"/>
  <c r="BO80" i="2" s="1"/>
  <c r="BB80" i="2"/>
  <c r="AW80" i="2"/>
  <c r="AL80" i="2"/>
  <c r="AG80" i="2"/>
  <c r="BP79" i="2"/>
  <c r="BP80" i="2" s="1"/>
  <c r="CG78" i="2"/>
  <c r="CD79" i="2"/>
  <c r="FG79" i="2"/>
  <c r="FG80" i="2" s="1"/>
  <c r="EB79" i="2"/>
  <c r="EB80" i="2" s="1"/>
  <c r="CT79" i="2"/>
  <c r="CW78" i="2"/>
  <c r="ER80" i="2"/>
  <c r="BN79" i="2"/>
  <c r="BQ78" i="2"/>
  <c r="DM78" i="2"/>
  <c r="DJ79" i="2"/>
  <c r="T79" i="2"/>
  <c r="AD80" i="2"/>
  <c r="W80" i="2"/>
  <c r="AC80" i="2"/>
  <c r="V80" i="2"/>
  <c r="A81" i="2"/>
  <c r="Q80" i="2"/>
  <c r="M80" i="2"/>
  <c r="N80" i="2"/>
  <c r="G80" i="2"/>
  <c r="F80" i="2"/>
  <c r="AI77" i="2"/>
  <c r="AI78" i="2" s="1"/>
  <c r="S79" i="2"/>
  <c r="AK76" i="2"/>
  <c r="AH77" i="2"/>
  <c r="R79" i="2"/>
  <c r="U78" i="2"/>
  <c r="E83" i="2"/>
  <c r="DM79" i="2" l="1"/>
  <c r="DJ80" i="2"/>
  <c r="FF80" i="2"/>
  <c r="FI79" i="2"/>
  <c r="DZ80" i="2"/>
  <c r="EC79" i="2"/>
  <c r="CW79" i="2"/>
  <c r="CT80" i="2"/>
  <c r="CD80" i="2"/>
  <c r="CG79" i="2"/>
  <c r="EP80" i="2"/>
  <c r="ES79" i="2"/>
  <c r="BQ79" i="2"/>
  <c r="BN80" i="2"/>
  <c r="DL80" i="2"/>
  <c r="CU80" i="2"/>
  <c r="CF80" i="2"/>
  <c r="FD81" i="2"/>
  <c r="FC81" i="2"/>
  <c r="EN81" i="2"/>
  <c r="DX81" i="2"/>
  <c r="DW81" i="2"/>
  <c r="EM81" i="2"/>
  <c r="CB81" i="2"/>
  <c r="DH81" i="2"/>
  <c r="BK81" i="2"/>
  <c r="AF81" i="2"/>
  <c r="CR81" i="2"/>
  <c r="BL81" i="2"/>
  <c r="AU81" i="2"/>
  <c r="P81" i="2"/>
  <c r="AE81" i="2"/>
  <c r="CQ81" i="2"/>
  <c r="AV81" i="2"/>
  <c r="DG81" i="2"/>
  <c r="O81" i="2"/>
  <c r="CA81" i="2"/>
  <c r="FE81" i="2"/>
  <c r="FB81" i="2"/>
  <c r="FG81" i="2" s="1"/>
  <c r="ET81" i="2"/>
  <c r="EO81" i="2"/>
  <c r="ED81" i="2"/>
  <c r="DV81" i="2"/>
  <c r="EA81" i="2" s="1"/>
  <c r="FA81" i="2"/>
  <c r="EU81" i="2"/>
  <c r="DY81" i="2"/>
  <c r="EK81" i="2"/>
  <c r="EE81" i="2"/>
  <c r="DE81" i="2"/>
  <c r="CY81" i="2"/>
  <c r="BM81" i="2"/>
  <c r="DN81" i="2"/>
  <c r="DF81" i="2"/>
  <c r="DK81" i="2" s="1"/>
  <c r="CO81" i="2"/>
  <c r="CI81" i="2"/>
  <c r="BY81" i="2"/>
  <c r="EL81" i="2"/>
  <c r="EQ81" i="2" s="1"/>
  <c r="DU81" i="2"/>
  <c r="DO81" i="2"/>
  <c r="DI81" i="2"/>
  <c r="CX81" i="2"/>
  <c r="CP81" i="2"/>
  <c r="CV81" i="2" s="1"/>
  <c r="BZ81" i="2"/>
  <c r="CE81" i="2" s="1"/>
  <c r="CH81" i="2"/>
  <c r="BS81" i="2"/>
  <c r="BR81" i="2"/>
  <c r="CS81" i="2"/>
  <c r="BJ81" i="2"/>
  <c r="BP81" i="2" s="1"/>
  <c r="BB81" i="2"/>
  <c r="AW81" i="2"/>
  <c r="AS81" i="2"/>
  <c r="CC81" i="2"/>
  <c r="BC81" i="2"/>
  <c r="AT81" i="2"/>
  <c r="BI81" i="2"/>
  <c r="AM81" i="2"/>
  <c r="AL81" i="2"/>
  <c r="AG81" i="2"/>
  <c r="EB81" i="2"/>
  <c r="S80" i="2"/>
  <c r="T80" i="2"/>
  <c r="AC81" i="2"/>
  <c r="V81" i="2"/>
  <c r="AD81" i="2"/>
  <c r="W81" i="2"/>
  <c r="Q81" i="2"/>
  <c r="G81" i="2"/>
  <c r="F81" i="2"/>
  <c r="A82" i="2"/>
  <c r="M81" i="2"/>
  <c r="N81" i="2"/>
  <c r="AJ78" i="2"/>
  <c r="AK77" i="2"/>
  <c r="AH78" i="2"/>
  <c r="R80" i="2"/>
  <c r="U79" i="2"/>
  <c r="E84" i="2"/>
  <c r="CE82" i="2" l="1"/>
  <c r="FC82" i="2"/>
  <c r="FD82" i="2"/>
  <c r="EM82" i="2"/>
  <c r="EN82" i="2"/>
  <c r="DH82" i="2"/>
  <c r="DW82" i="2"/>
  <c r="CB82" i="2"/>
  <c r="AV82" i="2"/>
  <c r="DX82" i="2"/>
  <c r="BK82" i="2"/>
  <c r="AF82" i="2"/>
  <c r="DG82" i="2"/>
  <c r="CQ82" i="2"/>
  <c r="CA82" i="2"/>
  <c r="O82" i="2"/>
  <c r="P82" i="2"/>
  <c r="CR82" i="2"/>
  <c r="AU82" i="2"/>
  <c r="AE82" i="2"/>
  <c r="BL82" i="2"/>
  <c r="FB82" i="2"/>
  <c r="FG82" i="2" s="1"/>
  <c r="FE82" i="2"/>
  <c r="FA82" i="2"/>
  <c r="EU82" i="2"/>
  <c r="ET82" i="2"/>
  <c r="EL82" i="2"/>
  <c r="EQ82" i="2" s="1"/>
  <c r="DU82" i="2"/>
  <c r="DO82" i="2"/>
  <c r="ED82" i="2"/>
  <c r="DV82" i="2"/>
  <c r="EA82" i="2" s="1"/>
  <c r="DY82" i="2"/>
  <c r="EE82" i="2"/>
  <c r="CS82" i="2"/>
  <c r="CH82" i="2"/>
  <c r="CC82" i="2"/>
  <c r="EK82" i="2"/>
  <c r="DE82" i="2"/>
  <c r="CY82" i="2"/>
  <c r="BM82" i="2"/>
  <c r="BS82" i="2"/>
  <c r="EO82" i="2"/>
  <c r="DN82" i="2"/>
  <c r="DF82" i="2"/>
  <c r="DK82" i="2" s="1"/>
  <c r="CO82" i="2"/>
  <c r="CI82" i="2"/>
  <c r="BY82" i="2"/>
  <c r="DI82" i="2"/>
  <c r="CP82" i="2"/>
  <c r="CV82" i="2" s="1"/>
  <c r="CX82" i="2"/>
  <c r="BZ82" i="2"/>
  <c r="BR82" i="2"/>
  <c r="BI82" i="2"/>
  <c r="AM82" i="2"/>
  <c r="BJ82" i="2"/>
  <c r="BP82" i="2" s="1"/>
  <c r="BB82" i="2"/>
  <c r="AW82" i="2"/>
  <c r="AS82" i="2"/>
  <c r="BC82" i="2"/>
  <c r="AT82" i="2"/>
  <c r="AL82" i="2"/>
  <c r="AG82" i="2"/>
  <c r="EB82" i="2"/>
  <c r="CU81" i="2"/>
  <c r="CU82" i="2" s="1"/>
  <c r="BQ80" i="2"/>
  <c r="BN81" i="2"/>
  <c r="CT81" i="2"/>
  <c r="CW80" i="2"/>
  <c r="ER81" i="2"/>
  <c r="ER82" i="2" s="1"/>
  <c r="ES80" i="2"/>
  <c r="EP81" i="2"/>
  <c r="EC80" i="2"/>
  <c r="DZ81" i="2"/>
  <c r="FH81" i="2"/>
  <c r="FH82" i="2" s="1"/>
  <c r="CF81" i="2"/>
  <c r="CF82" i="2" s="1"/>
  <c r="DL81" i="2"/>
  <c r="DL82" i="2" s="1"/>
  <c r="BO81" i="2"/>
  <c r="BO82" i="2" s="1"/>
  <c r="CG80" i="2"/>
  <c r="CD81" i="2"/>
  <c r="FF81" i="2"/>
  <c r="FI80" i="2"/>
  <c r="DM80" i="2"/>
  <c r="DJ81" i="2"/>
  <c r="S81" i="2"/>
  <c r="V82" i="2"/>
  <c r="AC82" i="2"/>
  <c r="AD82" i="2"/>
  <c r="W82" i="2"/>
  <c r="A83" i="2"/>
  <c r="F82" i="2"/>
  <c r="G82" i="2"/>
  <c r="Q82" i="2"/>
  <c r="N82" i="2"/>
  <c r="M82" i="2"/>
  <c r="T81" i="2"/>
  <c r="AJ79" i="2"/>
  <c r="AI79" i="2"/>
  <c r="AI80" i="2" s="1"/>
  <c r="AH79" i="2"/>
  <c r="AK78" i="2"/>
  <c r="R81" i="2"/>
  <c r="U80" i="2"/>
  <c r="E85" i="2"/>
  <c r="FF82" i="2" l="1"/>
  <c r="FI81" i="2"/>
  <c r="EC81" i="2"/>
  <c r="DZ82" i="2"/>
  <c r="ES81" i="2"/>
  <c r="EP82" i="2"/>
  <c r="CT82" i="2"/>
  <c r="CW81" i="2"/>
  <c r="BN82" i="2"/>
  <c r="BQ81" i="2"/>
  <c r="CD82" i="2"/>
  <c r="CG81" i="2"/>
  <c r="FC83" i="2"/>
  <c r="FD83" i="2"/>
  <c r="EM83" i="2"/>
  <c r="DX83" i="2"/>
  <c r="DG83" i="2"/>
  <c r="DH83" i="2"/>
  <c r="CR83" i="2"/>
  <c r="CQ83" i="2"/>
  <c r="CA83" i="2"/>
  <c r="CB83" i="2"/>
  <c r="AV83" i="2"/>
  <c r="EN83" i="2"/>
  <c r="DW83" i="2"/>
  <c r="BL83" i="2"/>
  <c r="AU83" i="2"/>
  <c r="O83" i="2"/>
  <c r="AF83" i="2"/>
  <c r="BK83" i="2"/>
  <c r="P83" i="2"/>
  <c r="AE83" i="2"/>
  <c r="FB83" i="2"/>
  <c r="FG83" i="2" s="1"/>
  <c r="FE83" i="2"/>
  <c r="EO83" i="2"/>
  <c r="FA83" i="2"/>
  <c r="EU83" i="2"/>
  <c r="ET83" i="2"/>
  <c r="EK83" i="2"/>
  <c r="EE83" i="2"/>
  <c r="EL83" i="2"/>
  <c r="EQ83" i="2" s="1"/>
  <c r="DU83" i="2"/>
  <c r="DO83" i="2"/>
  <c r="ED83" i="2"/>
  <c r="DV83" i="2"/>
  <c r="EB83" i="2" s="1"/>
  <c r="DI83" i="2"/>
  <c r="CX83" i="2"/>
  <c r="CP83" i="2"/>
  <c r="CU83" i="2" s="1"/>
  <c r="BZ83" i="2"/>
  <c r="DY83" i="2"/>
  <c r="CS83" i="2"/>
  <c r="CH83" i="2"/>
  <c r="CC83" i="2"/>
  <c r="DE83" i="2"/>
  <c r="CY83" i="2"/>
  <c r="BM83" i="2"/>
  <c r="BS83" i="2"/>
  <c r="DN83" i="2"/>
  <c r="CO83" i="2"/>
  <c r="BY83" i="2"/>
  <c r="DF83" i="2"/>
  <c r="DK83" i="2" s="1"/>
  <c r="CI83" i="2"/>
  <c r="BC83" i="2"/>
  <c r="AT83" i="2"/>
  <c r="BI83" i="2"/>
  <c r="AM83" i="2"/>
  <c r="BR83" i="2"/>
  <c r="BJ83" i="2"/>
  <c r="BP83" i="2" s="1"/>
  <c r="BB83" i="2"/>
  <c r="AW83" i="2"/>
  <c r="AS83" i="2"/>
  <c r="AL83" i="2"/>
  <c r="AG83" i="2"/>
  <c r="DM81" i="2"/>
  <c r="DJ82" i="2"/>
  <c r="BO83" i="2"/>
  <c r="CF83" i="2"/>
  <c r="CE83" i="2"/>
  <c r="T82" i="2"/>
  <c r="S82" i="2"/>
  <c r="AC83" i="2"/>
  <c r="AD83" i="2"/>
  <c r="W83" i="2"/>
  <c r="V83" i="2"/>
  <c r="M83" i="2"/>
  <c r="G83" i="2"/>
  <c r="F83" i="2"/>
  <c r="Q83" i="2"/>
  <c r="A84" i="2"/>
  <c r="N83" i="2"/>
  <c r="AJ80" i="2"/>
  <c r="AI81" i="2"/>
  <c r="AH80" i="2"/>
  <c r="AK79" i="2"/>
  <c r="R82" i="2"/>
  <c r="U81" i="2"/>
  <c r="E86" i="2"/>
  <c r="ER83" i="2" l="1"/>
  <c r="FF83" i="2"/>
  <c r="FI82" i="2"/>
  <c r="EA83" i="2"/>
  <c r="FH83" i="2"/>
  <c r="BN83" i="2"/>
  <c r="BQ82" i="2"/>
  <c r="ES82" i="2"/>
  <c r="EP83" i="2"/>
  <c r="DL83" i="2"/>
  <c r="CV83" i="2"/>
  <c r="DM82" i="2"/>
  <c r="DJ83" i="2"/>
  <c r="FC84" i="2"/>
  <c r="DX84" i="2"/>
  <c r="EN84" i="2"/>
  <c r="DG84" i="2"/>
  <c r="FD84" i="2"/>
  <c r="CQ84" i="2"/>
  <c r="BL84" i="2"/>
  <c r="AU84" i="2"/>
  <c r="EM84" i="2"/>
  <c r="DH84" i="2"/>
  <c r="CA84" i="2"/>
  <c r="BK84" i="2"/>
  <c r="AV84" i="2"/>
  <c r="AF84" i="2"/>
  <c r="AE84" i="2"/>
  <c r="DW84" i="2"/>
  <c r="CB84" i="2"/>
  <c r="CR84" i="2"/>
  <c r="P84" i="2"/>
  <c r="O84" i="2"/>
  <c r="FB84" i="2"/>
  <c r="FG84" i="2" s="1"/>
  <c r="ET84" i="2"/>
  <c r="EO84" i="2"/>
  <c r="FA84" i="2"/>
  <c r="EU84" i="2"/>
  <c r="FE84" i="2"/>
  <c r="DY84" i="2"/>
  <c r="EK84" i="2"/>
  <c r="EE84" i="2"/>
  <c r="EL84" i="2"/>
  <c r="EQ84" i="2" s="1"/>
  <c r="DU84" i="2"/>
  <c r="DO84" i="2"/>
  <c r="DV84" i="2"/>
  <c r="EB84" i="2" s="1"/>
  <c r="DN84" i="2"/>
  <c r="DF84" i="2"/>
  <c r="DK84" i="2" s="1"/>
  <c r="CO84" i="2"/>
  <c r="CI84" i="2"/>
  <c r="BY84" i="2"/>
  <c r="DI84" i="2"/>
  <c r="CX84" i="2"/>
  <c r="CP84" i="2"/>
  <c r="CU84" i="2" s="1"/>
  <c r="BZ84" i="2"/>
  <c r="CE84" i="2" s="1"/>
  <c r="ED84" i="2"/>
  <c r="CS84" i="2"/>
  <c r="CH84" i="2"/>
  <c r="CC84" i="2"/>
  <c r="DE84" i="2"/>
  <c r="CY84" i="2"/>
  <c r="BR84" i="2"/>
  <c r="BM84" i="2"/>
  <c r="BS84" i="2"/>
  <c r="AS84" i="2"/>
  <c r="BC84" i="2"/>
  <c r="AT84" i="2"/>
  <c r="BI84" i="2"/>
  <c r="AM84" i="2"/>
  <c r="BJ84" i="2"/>
  <c r="BP84" i="2" s="1"/>
  <c r="BB84" i="2"/>
  <c r="AW84" i="2"/>
  <c r="AG84" i="2"/>
  <c r="AL84" i="2"/>
  <c r="CG82" i="2"/>
  <c r="CD83" i="2"/>
  <c r="CW82" i="2"/>
  <c r="CT83" i="2"/>
  <c r="EC82" i="2"/>
  <c r="DZ83" i="2"/>
  <c r="T83" i="2"/>
  <c r="V84" i="2"/>
  <c r="AD84" i="2"/>
  <c r="W84" i="2"/>
  <c r="AC84" i="2"/>
  <c r="F84" i="2"/>
  <c r="Q84" i="2"/>
  <c r="M84" i="2"/>
  <c r="G84" i="2"/>
  <c r="A85" i="2"/>
  <c r="N84" i="2"/>
  <c r="S83" i="2"/>
  <c r="AJ81" i="2"/>
  <c r="AH81" i="2"/>
  <c r="AK80" i="2"/>
  <c r="R83" i="2"/>
  <c r="U82" i="2"/>
  <c r="E87" i="2"/>
  <c r="DL84" i="2" l="1"/>
  <c r="BN84" i="2"/>
  <c r="BQ83" i="2"/>
  <c r="CF84" i="2"/>
  <c r="DM83" i="2"/>
  <c r="DJ84" i="2"/>
  <c r="EP84" i="2"/>
  <c r="ES83" i="2"/>
  <c r="FF84" i="2"/>
  <c r="FI83" i="2"/>
  <c r="FD85" i="2"/>
  <c r="EN85" i="2"/>
  <c r="FC85" i="2"/>
  <c r="EM85" i="2"/>
  <c r="DX85" i="2"/>
  <c r="DW85" i="2"/>
  <c r="DH85" i="2"/>
  <c r="DG85" i="2"/>
  <c r="CB85" i="2"/>
  <c r="CR85" i="2"/>
  <c r="BK85" i="2"/>
  <c r="AF85" i="2"/>
  <c r="CQ85" i="2"/>
  <c r="BL85" i="2"/>
  <c r="AU85" i="2"/>
  <c r="P85" i="2"/>
  <c r="CA85" i="2"/>
  <c r="AV85" i="2"/>
  <c r="AE85" i="2"/>
  <c r="O85" i="2"/>
  <c r="FE85" i="2"/>
  <c r="ET85" i="2"/>
  <c r="FB85" i="2"/>
  <c r="FG85" i="2" s="1"/>
  <c r="EO85" i="2"/>
  <c r="ED85" i="2"/>
  <c r="DV85" i="2"/>
  <c r="EB85" i="2" s="1"/>
  <c r="DY85" i="2"/>
  <c r="FA85" i="2"/>
  <c r="EU85" i="2"/>
  <c r="EK85" i="2"/>
  <c r="EE85" i="2"/>
  <c r="DE85" i="2"/>
  <c r="CY85" i="2"/>
  <c r="BM85" i="2"/>
  <c r="DN85" i="2"/>
  <c r="DF85" i="2"/>
  <c r="DK85" i="2" s="1"/>
  <c r="CO85" i="2"/>
  <c r="CI85" i="2"/>
  <c r="BY85" i="2"/>
  <c r="DI85" i="2"/>
  <c r="CX85" i="2"/>
  <c r="CP85" i="2"/>
  <c r="CU85" i="2" s="1"/>
  <c r="BZ85" i="2"/>
  <c r="CE85" i="2" s="1"/>
  <c r="EL85" i="2"/>
  <c r="EQ85" i="2" s="1"/>
  <c r="DU85" i="2"/>
  <c r="DO85" i="2"/>
  <c r="CS85" i="2"/>
  <c r="CC85" i="2"/>
  <c r="CH85" i="2"/>
  <c r="BR85" i="2"/>
  <c r="BS85" i="2"/>
  <c r="BJ85" i="2"/>
  <c r="BP85" i="2" s="1"/>
  <c r="BB85" i="2"/>
  <c r="AW85" i="2"/>
  <c r="AS85" i="2"/>
  <c r="BC85" i="2"/>
  <c r="AT85" i="2"/>
  <c r="BI85" i="2"/>
  <c r="AM85" i="2"/>
  <c r="AL85" i="2"/>
  <c r="AG85" i="2"/>
  <c r="CT84" i="2"/>
  <c r="CW83" i="2"/>
  <c r="CG83" i="2"/>
  <c r="CD84" i="2"/>
  <c r="FH84" i="2"/>
  <c r="FH85" i="2" s="1"/>
  <c r="BO84" i="2"/>
  <c r="BO85" i="2" s="1"/>
  <c r="ER84" i="2"/>
  <c r="ER85" i="2" s="1"/>
  <c r="EC83" i="2"/>
  <c r="DZ84" i="2"/>
  <c r="CV84" i="2"/>
  <c r="CV85" i="2" s="1"/>
  <c r="EA84" i="2"/>
  <c r="EA85" i="2" s="1"/>
  <c r="S84" i="2"/>
  <c r="T84" i="2"/>
  <c r="AD85" i="2"/>
  <c r="W85" i="2"/>
  <c r="V85" i="2"/>
  <c r="AC85" i="2"/>
  <c r="G85" i="2"/>
  <c r="F85" i="2"/>
  <c r="A86" i="2"/>
  <c r="N85" i="2"/>
  <c r="Q85" i="2"/>
  <c r="M85" i="2"/>
  <c r="AJ82" i="2"/>
  <c r="AK81" i="2"/>
  <c r="AH82" i="2"/>
  <c r="AI82" i="2"/>
  <c r="R84" i="2"/>
  <c r="U83" i="2"/>
  <c r="E88" i="2"/>
  <c r="CU86" i="2" l="1"/>
  <c r="FC86" i="2"/>
  <c r="FD86" i="2"/>
  <c r="EM86" i="2"/>
  <c r="EN86" i="2"/>
  <c r="DH86" i="2"/>
  <c r="DX86" i="2"/>
  <c r="DW86" i="2"/>
  <c r="DG86" i="2"/>
  <c r="AV86" i="2"/>
  <c r="CR86" i="2"/>
  <c r="BK86" i="2"/>
  <c r="AF86" i="2"/>
  <c r="O86" i="2"/>
  <c r="CA86" i="2"/>
  <c r="CQ86" i="2"/>
  <c r="BL86" i="2"/>
  <c r="AU86" i="2"/>
  <c r="P86" i="2"/>
  <c r="CB86" i="2"/>
  <c r="AE86" i="2"/>
  <c r="FB86" i="2"/>
  <c r="FG86" i="2" s="1"/>
  <c r="FE86" i="2"/>
  <c r="FA86" i="2"/>
  <c r="EU86" i="2"/>
  <c r="ET86" i="2"/>
  <c r="EO86" i="2"/>
  <c r="EL86" i="2"/>
  <c r="ER86" i="2" s="1"/>
  <c r="DU86" i="2"/>
  <c r="DO86" i="2"/>
  <c r="ED86" i="2"/>
  <c r="DV86" i="2"/>
  <c r="EB86" i="2" s="1"/>
  <c r="DY86" i="2"/>
  <c r="CS86" i="2"/>
  <c r="CH86" i="2"/>
  <c r="CC86" i="2"/>
  <c r="EE86" i="2"/>
  <c r="DE86" i="2"/>
  <c r="CY86" i="2"/>
  <c r="BM86" i="2"/>
  <c r="BS86" i="2"/>
  <c r="EK86" i="2"/>
  <c r="DN86" i="2"/>
  <c r="DF86" i="2"/>
  <c r="DK86" i="2" s="1"/>
  <c r="CO86" i="2"/>
  <c r="CI86" i="2"/>
  <c r="BY86" i="2"/>
  <c r="CX86" i="2"/>
  <c r="DI86" i="2"/>
  <c r="CP86" i="2"/>
  <c r="BR86" i="2"/>
  <c r="BI86" i="2"/>
  <c r="AM86" i="2"/>
  <c r="BZ86" i="2"/>
  <c r="CE86" i="2" s="1"/>
  <c r="BJ86" i="2"/>
  <c r="BP86" i="2" s="1"/>
  <c r="BB86" i="2"/>
  <c r="AW86" i="2"/>
  <c r="AS86" i="2"/>
  <c r="BC86" i="2"/>
  <c r="AT86" i="2"/>
  <c r="AL86" i="2"/>
  <c r="AG86" i="2"/>
  <c r="CT85" i="2"/>
  <c r="CW84" i="2"/>
  <c r="DL85" i="2"/>
  <c r="FH86" i="2"/>
  <c r="CG84" i="2"/>
  <c r="CD85" i="2"/>
  <c r="FF85" i="2"/>
  <c r="FI84" i="2"/>
  <c r="CF85" i="2"/>
  <c r="CV86" i="2"/>
  <c r="EP85" i="2"/>
  <c r="ES84" i="2"/>
  <c r="DZ85" i="2"/>
  <c r="EC84" i="2"/>
  <c r="BO86" i="2"/>
  <c r="DM84" i="2"/>
  <c r="DJ85" i="2"/>
  <c r="BN85" i="2"/>
  <c r="BQ84" i="2"/>
  <c r="S85" i="2"/>
  <c r="AC86" i="2"/>
  <c r="V86" i="2"/>
  <c r="AD86" i="2"/>
  <c r="W86" i="2"/>
  <c r="N86" i="2"/>
  <c r="G86" i="2"/>
  <c r="F86" i="2"/>
  <c r="M86" i="2"/>
  <c r="A87" i="2"/>
  <c r="Q86" i="2"/>
  <c r="T85" i="2"/>
  <c r="AJ83" i="2"/>
  <c r="AK82" i="2"/>
  <c r="AH83" i="2"/>
  <c r="AI83" i="2"/>
  <c r="AI84" i="2" s="1"/>
  <c r="R85" i="2"/>
  <c r="U84" i="2"/>
  <c r="E89" i="2"/>
  <c r="CT86" i="2" l="1"/>
  <c r="CW85" i="2"/>
  <c r="EQ86" i="2"/>
  <c r="BQ85" i="2"/>
  <c r="BN86" i="2"/>
  <c r="DL86" i="2"/>
  <c r="FC87" i="2"/>
  <c r="FD87" i="2"/>
  <c r="EM87" i="2"/>
  <c r="EN87" i="2"/>
  <c r="DG87" i="2"/>
  <c r="DH87" i="2"/>
  <c r="DX87" i="2"/>
  <c r="DW87" i="2"/>
  <c r="CR87" i="2"/>
  <c r="CB87" i="2"/>
  <c r="CA87" i="2"/>
  <c r="AV87" i="2"/>
  <c r="BL87" i="2"/>
  <c r="BK87" i="2"/>
  <c r="AF87" i="2"/>
  <c r="O87" i="2"/>
  <c r="CQ87" i="2"/>
  <c r="AU87" i="2"/>
  <c r="AE87" i="2"/>
  <c r="P87" i="2"/>
  <c r="FB87" i="2"/>
  <c r="FH87" i="2" s="1"/>
  <c r="FE87" i="2"/>
  <c r="EO87" i="2"/>
  <c r="FA87" i="2"/>
  <c r="EU87" i="2"/>
  <c r="EK87" i="2"/>
  <c r="EE87" i="2"/>
  <c r="ET87" i="2"/>
  <c r="EL87" i="2"/>
  <c r="ER87" i="2" s="1"/>
  <c r="DU87" i="2"/>
  <c r="DO87" i="2"/>
  <c r="ED87" i="2"/>
  <c r="DV87" i="2"/>
  <c r="EB87" i="2" s="1"/>
  <c r="DI87" i="2"/>
  <c r="CX87" i="2"/>
  <c r="CP87" i="2"/>
  <c r="CU87" i="2" s="1"/>
  <c r="BZ87" i="2"/>
  <c r="CE87" i="2" s="1"/>
  <c r="CS87" i="2"/>
  <c r="CH87" i="2"/>
  <c r="CC87" i="2"/>
  <c r="DY87" i="2"/>
  <c r="DE87" i="2"/>
  <c r="CY87" i="2"/>
  <c r="BM87" i="2"/>
  <c r="BS87" i="2"/>
  <c r="DN87" i="2"/>
  <c r="CO87" i="2"/>
  <c r="BY87" i="2"/>
  <c r="DF87" i="2"/>
  <c r="DK87" i="2" s="1"/>
  <c r="BC87" i="2"/>
  <c r="AT87" i="2"/>
  <c r="BI87" i="2"/>
  <c r="AM87" i="2"/>
  <c r="BJ87" i="2"/>
  <c r="BP87" i="2" s="1"/>
  <c r="BB87" i="2"/>
  <c r="AW87" i="2"/>
  <c r="CI87" i="2"/>
  <c r="BR87" i="2"/>
  <c r="AS87" i="2"/>
  <c r="AL87" i="2"/>
  <c r="AG87" i="2"/>
  <c r="EC85" i="2"/>
  <c r="DZ86" i="2"/>
  <c r="ES85" i="2"/>
  <c r="EP86" i="2"/>
  <c r="FF86" i="2"/>
  <c r="FI85" i="2"/>
  <c r="CD86" i="2"/>
  <c r="CG85" i="2"/>
  <c r="DJ86" i="2"/>
  <c r="DM85" i="2"/>
  <c r="EA86" i="2"/>
  <c r="EA87" i="2" s="1"/>
  <c r="CF86" i="2"/>
  <c r="CF87" i="2" s="1"/>
  <c r="T86" i="2"/>
  <c r="S86" i="2"/>
  <c r="AD87" i="2"/>
  <c r="AC87" i="2"/>
  <c r="V87" i="2"/>
  <c r="W87" i="2"/>
  <c r="G87" i="2"/>
  <c r="A88" i="2"/>
  <c r="N87" i="2"/>
  <c r="F87" i="2"/>
  <c r="Q87" i="2"/>
  <c r="M87" i="2"/>
  <c r="AJ84" i="2"/>
  <c r="AK83" i="2"/>
  <c r="AH84" i="2"/>
  <c r="AI85" i="2"/>
  <c r="R86" i="2"/>
  <c r="U85" i="2"/>
  <c r="E90" i="2"/>
  <c r="FF87" i="2" l="1"/>
  <c r="FI86" i="2"/>
  <c r="DZ87" i="2"/>
  <c r="EC86" i="2"/>
  <c r="BQ86" i="2"/>
  <c r="BN87" i="2"/>
  <c r="EQ87" i="2"/>
  <c r="FG87" i="2"/>
  <c r="CV87" i="2"/>
  <c r="FC88" i="2"/>
  <c r="DX88" i="2"/>
  <c r="EN88" i="2"/>
  <c r="EM88" i="2"/>
  <c r="DG88" i="2"/>
  <c r="CQ88" i="2"/>
  <c r="FD88" i="2"/>
  <c r="DW88" i="2"/>
  <c r="DH88" i="2"/>
  <c r="BL88" i="2"/>
  <c r="AU88" i="2"/>
  <c r="CB88" i="2"/>
  <c r="CA88" i="2"/>
  <c r="CR88" i="2"/>
  <c r="AE88" i="2"/>
  <c r="AV88" i="2"/>
  <c r="BK88" i="2"/>
  <c r="AF88" i="2"/>
  <c r="P88" i="2"/>
  <c r="O88" i="2"/>
  <c r="FB88" i="2"/>
  <c r="FH88" i="2" s="1"/>
  <c r="FE88" i="2"/>
  <c r="ET88" i="2"/>
  <c r="EO88" i="2"/>
  <c r="FA88" i="2"/>
  <c r="EU88" i="2"/>
  <c r="DY88" i="2"/>
  <c r="EK88" i="2"/>
  <c r="EE88" i="2"/>
  <c r="EL88" i="2"/>
  <c r="ER88" i="2" s="1"/>
  <c r="DU88" i="2"/>
  <c r="DO88" i="2"/>
  <c r="DN88" i="2"/>
  <c r="DF88" i="2"/>
  <c r="DK88" i="2" s="1"/>
  <c r="CO88" i="2"/>
  <c r="CI88" i="2"/>
  <c r="BY88" i="2"/>
  <c r="DV88" i="2"/>
  <c r="EA88" i="2" s="1"/>
  <c r="DI88" i="2"/>
  <c r="CX88" i="2"/>
  <c r="CP88" i="2"/>
  <c r="CU88" i="2" s="1"/>
  <c r="BZ88" i="2"/>
  <c r="CF88" i="2" s="1"/>
  <c r="CS88" i="2"/>
  <c r="CH88" i="2"/>
  <c r="CC88" i="2"/>
  <c r="ED88" i="2"/>
  <c r="BR88" i="2"/>
  <c r="DE88" i="2"/>
  <c r="CY88" i="2"/>
  <c r="BM88" i="2"/>
  <c r="AS88" i="2"/>
  <c r="BS88" i="2"/>
  <c r="BC88" i="2"/>
  <c r="AT88" i="2"/>
  <c r="BI88" i="2"/>
  <c r="AM88" i="2"/>
  <c r="BJ88" i="2"/>
  <c r="BP88" i="2" s="1"/>
  <c r="BB88" i="2"/>
  <c r="AW88" i="2"/>
  <c r="AL88" i="2"/>
  <c r="AG88" i="2"/>
  <c r="CD87" i="2"/>
  <c r="CG86" i="2"/>
  <c r="ES86" i="2"/>
  <c r="EP87" i="2"/>
  <c r="DL87" i="2"/>
  <c r="DL88" i="2" s="1"/>
  <c r="BO87" i="2"/>
  <c r="BO88" i="2" s="1"/>
  <c r="CW86" i="2"/>
  <c r="CT87" i="2"/>
  <c r="DM86" i="2"/>
  <c r="DJ87" i="2"/>
  <c r="S87" i="2"/>
  <c r="T87" i="2"/>
  <c r="AD88" i="2"/>
  <c r="W88" i="2"/>
  <c r="AC88" i="2"/>
  <c r="V88" i="2"/>
  <c r="Q88" i="2"/>
  <c r="M88" i="2"/>
  <c r="F88" i="2"/>
  <c r="N88" i="2"/>
  <c r="A89" i="2"/>
  <c r="G88" i="2"/>
  <c r="AJ85" i="2"/>
  <c r="AK84" i="2"/>
  <c r="AH85" i="2"/>
  <c r="R87" i="2"/>
  <c r="U86" i="2"/>
  <c r="E91" i="2"/>
  <c r="ES87" i="2" l="1"/>
  <c r="EP88" i="2"/>
  <c r="FG88" i="2"/>
  <c r="EC87" i="2"/>
  <c r="DZ88" i="2"/>
  <c r="CE88" i="2"/>
  <c r="EQ88" i="2"/>
  <c r="EB88" i="2"/>
  <c r="CT88" i="2"/>
  <c r="CW87" i="2"/>
  <c r="CV88" i="2"/>
  <c r="BN88" i="2"/>
  <c r="BQ87" i="2"/>
  <c r="FF88" i="2"/>
  <c r="FI87" i="2"/>
  <c r="FD89" i="2"/>
  <c r="EN89" i="2"/>
  <c r="DX89" i="2"/>
  <c r="DW89" i="2"/>
  <c r="EM89" i="2"/>
  <c r="CB89" i="2"/>
  <c r="FC89" i="2"/>
  <c r="DG89" i="2"/>
  <c r="CQ89" i="2"/>
  <c r="BK89" i="2"/>
  <c r="AF89" i="2"/>
  <c r="BL89" i="2"/>
  <c r="AU89" i="2"/>
  <c r="P89" i="2"/>
  <c r="DH89" i="2"/>
  <c r="CR89" i="2"/>
  <c r="AE89" i="2"/>
  <c r="CA89" i="2"/>
  <c r="AV89" i="2"/>
  <c r="O89" i="2"/>
  <c r="FE89" i="2"/>
  <c r="ET89" i="2"/>
  <c r="EO89" i="2"/>
  <c r="ED89" i="2"/>
  <c r="DV89" i="2"/>
  <c r="EA89" i="2" s="1"/>
  <c r="DY89" i="2"/>
  <c r="EK89" i="2"/>
  <c r="EE89" i="2"/>
  <c r="FB89" i="2"/>
  <c r="FH89" i="2" s="1"/>
  <c r="EL89" i="2"/>
  <c r="ER89" i="2" s="1"/>
  <c r="DU89" i="2"/>
  <c r="DO89" i="2"/>
  <c r="DE89" i="2"/>
  <c r="CY89" i="2"/>
  <c r="BM89" i="2"/>
  <c r="DN89" i="2"/>
  <c r="DF89" i="2"/>
  <c r="DL89" i="2" s="1"/>
  <c r="CO89" i="2"/>
  <c r="CI89" i="2"/>
  <c r="BY89" i="2"/>
  <c r="FA89" i="2"/>
  <c r="EU89" i="2"/>
  <c r="DI89" i="2"/>
  <c r="CX89" i="2"/>
  <c r="CP89" i="2"/>
  <c r="CU89" i="2" s="1"/>
  <c r="BZ89" i="2"/>
  <c r="CF89" i="2" s="1"/>
  <c r="CS89" i="2"/>
  <c r="BS89" i="2"/>
  <c r="CC89" i="2"/>
  <c r="BR89" i="2"/>
  <c r="CH89" i="2"/>
  <c r="BJ89" i="2"/>
  <c r="BP89" i="2" s="1"/>
  <c r="BB89" i="2"/>
  <c r="AW89" i="2"/>
  <c r="AS89" i="2"/>
  <c r="BC89" i="2"/>
  <c r="AT89" i="2"/>
  <c r="BI89" i="2"/>
  <c r="AM89" i="2"/>
  <c r="AL89" i="2"/>
  <c r="AG89" i="2"/>
  <c r="DJ88" i="2"/>
  <c r="DM87" i="2"/>
  <c r="BO89" i="2"/>
  <c r="CD88" i="2"/>
  <c r="CG87" i="2"/>
  <c r="T88" i="2"/>
  <c r="S88" i="2"/>
  <c r="AC89" i="2"/>
  <c r="V89" i="2"/>
  <c r="AD89" i="2"/>
  <c r="W89" i="2"/>
  <c r="Q89" i="2"/>
  <c r="M89" i="2"/>
  <c r="N89" i="2"/>
  <c r="F89" i="2"/>
  <c r="G89" i="2"/>
  <c r="A90" i="2"/>
  <c r="AJ86" i="2"/>
  <c r="AI86" i="2"/>
  <c r="AK85" i="2"/>
  <c r="AH86" i="2"/>
  <c r="R88" i="2"/>
  <c r="U87" i="2"/>
  <c r="E92" i="2"/>
  <c r="BQ88" i="2" l="1"/>
  <c r="BN89" i="2"/>
  <c r="CE89" i="2"/>
  <c r="FF89" i="2"/>
  <c r="FI88" i="2"/>
  <c r="CV89" i="2"/>
  <c r="EQ89" i="2"/>
  <c r="EC88" i="2"/>
  <c r="DZ89" i="2"/>
  <c r="DK89" i="2"/>
  <c r="FC90" i="2"/>
  <c r="FD90" i="2"/>
  <c r="EM90" i="2"/>
  <c r="EN90" i="2"/>
  <c r="DH90" i="2"/>
  <c r="DW90" i="2"/>
  <c r="DX90" i="2"/>
  <c r="CR90" i="2"/>
  <c r="AV90" i="2"/>
  <c r="DG90" i="2"/>
  <c r="CQ90" i="2"/>
  <c r="BK90" i="2"/>
  <c r="AF90" i="2"/>
  <c r="CB90" i="2"/>
  <c r="CA90" i="2"/>
  <c r="O90" i="2"/>
  <c r="P90" i="2"/>
  <c r="BL90" i="2"/>
  <c r="AU90" i="2"/>
  <c r="AE90" i="2"/>
  <c r="FB90" i="2"/>
  <c r="FH90" i="2" s="1"/>
  <c r="FE90" i="2"/>
  <c r="FA90" i="2"/>
  <c r="EU90" i="2"/>
  <c r="ET90" i="2"/>
  <c r="EL90" i="2"/>
  <c r="ER90" i="2" s="1"/>
  <c r="DU90" i="2"/>
  <c r="DO90" i="2"/>
  <c r="EO90" i="2"/>
  <c r="ED90" i="2"/>
  <c r="DV90" i="2"/>
  <c r="EA90" i="2" s="1"/>
  <c r="DY90" i="2"/>
  <c r="CS90" i="2"/>
  <c r="CH90" i="2"/>
  <c r="CC90" i="2"/>
  <c r="DE90" i="2"/>
  <c r="CY90" i="2"/>
  <c r="BM90" i="2"/>
  <c r="BS90" i="2"/>
  <c r="EE90" i="2"/>
  <c r="DN90" i="2"/>
  <c r="DF90" i="2"/>
  <c r="DL90" i="2" s="1"/>
  <c r="CO90" i="2"/>
  <c r="CI90" i="2"/>
  <c r="BY90" i="2"/>
  <c r="EK90" i="2"/>
  <c r="CP90" i="2"/>
  <c r="CU90" i="2" s="1"/>
  <c r="CX90" i="2"/>
  <c r="BZ90" i="2"/>
  <c r="CF90" i="2" s="1"/>
  <c r="DI90" i="2"/>
  <c r="BR90" i="2"/>
  <c r="BI90" i="2"/>
  <c r="AM90" i="2"/>
  <c r="BJ90" i="2"/>
  <c r="BP90" i="2" s="1"/>
  <c r="BB90" i="2"/>
  <c r="AW90" i="2"/>
  <c r="AS90" i="2"/>
  <c r="BC90" i="2"/>
  <c r="AT90" i="2"/>
  <c r="AL90" i="2"/>
  <c r="AG90" i="2"/>
  <c r="DJ89" i="2"/>
  <c r="DM88" i="2"/>
  <c r="CT89" i="2"/>
  <c r="CW88" i="2"/>
  <c r="ES88" i="2"/>
  <c r="EP89" i="2"/>
  <c r="CG88" i="2"/>
  <c r="CD89" i="2"/>
  <c r="EB89" i="2"/>
  <c r="EB90" i="2" s="1"/>
  <c r="FG89" i="2"/>
  <c r="FG90" i="2" s="1"/>
  <c r="AC90" i="2"/>
  <c r="V90" i="2"/>
  <c r="AD90" i="2"/>
  <c r="W90" i="2"/>
  <c r="F90" i="2"/>
  <c r="A91" i="2"/>
  <c r="Q90" i="2"/>
  <c r="N90" i="2"/>
  <c r="G90" i="2"/>
  <c r="M90" i="2"/>
  <c r="AJ87" i="2"/>
  <c r="T89" i="2"/>
  <c r="S89" i="2"/>
  <c r="AK86" i="2"/>
  <c r="AH87" i="2"/>
  <c r="AI87" i="2"/>
  <c r="R89" i="2"/>
  <c r="U88" i="2"/>
  <c r="E93" i="2"/>
  <c r="DM89" i="2" l="1"/>
  <c r="DJ90" i="2"/>
  <c r="CD90" i="2"/>
  <c r="CG89" i="2"/>
  <c r="EQ90" i="2"/>
  <c r="FF90" i="2"/>
  <c r="FI89" i="2"/>
  <c r="BO90" i="2"/>
  <c r="CT90" i="2"/>
  <c r="CW89" i="2"/>
  <c r="EC89" i="2"/>
  <c r="DZ90" i="2"/>
  <c r="CE90" i="2"/>
  <c r="BQ89" i="2"/>
  <c r="BN90" i="2"/>
  <c r="FC91" i="2"/>
  <c r="FD91" i="2"/>
  <c r="EM91" i="2"/>
  <c r="DX91" i="2"/>
  <c r="DG91" i="2"/>
  <c r="EN91" i="2"/>
  <c r="DH91" i="2"/>
  <c r="CR91" i="2"/>
  <c r="DW91" i="2"/>
  <c r="CA91" i="2"/>
  <c r="AV91" i="2"/>
  <c r="BL91" i="2"/>
  <c r="AU91" i="2"/>
  <c r="CB91" i="2"/>
  <c r="O91" i="2"/>
  <c r="AF91" i="2"/>
  <c r="CQ91" i="2"/>
  <c r="P91" i="2"/>
  <c r="BK91" i="2"/>
  <c r="AE91" i="2"/>
  <c r="FB91" i="2"/>
  <c r="FH91" i="2" s="1"/>
  <c r="FE91" i="2"/>
  <c r="EO91" i="2"/>
  <c r="FA91" i="2"/>
  <c r="EU91" i="2"/>
  <c r="EK91" i="2"/>
  <c r="EE91" i="2"/>
  <c r="EL91" i="2"/>
  <c r="ER91" i="2" s="1"/>
  <c r="DU91" i="2"/>
  <c r="DO91" i="2"/>
  <c r="ET91" i="2"/>
  <c r="ED91" i="2"/>
  <c r="DV91" i="2"/>
  <c r="EA91" i="2" s="1"/>
  <c r="DI91" i="2"/>
  <c r="CX91" i="2"/>
  <c r="CP91" i="2"/>
  <c r="CU91" i="2" s="1"/>
  <c r="BZ91" i="2"/>
  <c r="CF91" i="2" s="1"/>
  <c r="CS91" i="2"/>
  <c r="CH91" i="2"/>
  <c r="CC91" i="2"/>
  <c r="DE91" i="2"/>
  <c r="CY91" i="2"/>
  <c r="BM91" i="2"/>
  <c r="BS91" i="2"/>
  <c r="DY91" i="2"/>
  <c r="DN91" i="2"/>
  <c r="DF91" i="2"/>
  <c r="DL91" i="2" s="1"/>
  <c r="CI91" i="2"/>
  <c r="CO91" i="2"/>
  <c r="BY91" i="2"/>
  <c r="BR91" i="2"/>
  <c r="BC91" i="2"/>
  <c r="AT91" i="2"/>
  <c r="BI91" i="2"/>
  <c r="AM91" i="2"/>
  <c r="BJ91" i="2"/>
  <c r="BP91" i="2" s="1"/>
  <c r="BB91" i="2"/>
  <c r="AW91" i="2"/>
  <c r="AS91" i="2"/>
  <c r="AL91" i="2"/>
  <c r="AG91" i="2"/>
  <c r="ES89" i="2"/>
  <c r="EP90" i="2"/>
  <c r="DK90" i="2"/>
  <c r="DK91" i="2" s="1"/>
  <c r="CV90" i="2"/>
  <c r="CV91" i="2" s="1"/>
  <c r="S90" i="2"/>
  <c r="T90" i="2"/>
  <c r="AI88" i="2"/>
  <c r="AI89" i="2" s="1"/>
  <c r="AC91" i="2"/>
  <c r="AD91" i="2"/>
  <c r="V91" i="2"/>
  <c r="W91" i="2"/>
  <c r="A92" i="2"/>
  <c r="Q91" i="2"/>
  <c r="F91" i="2"/>
  <c r="N91" i="2"/>
  <c r="M91" i="2"/>
  <c r="G91" i="2"/>
  <c r="AJ88" i="2"/>
  <c r="AH88" i="2"/>
  <c r="AK87" i="2"/>
  <c r="R90" i="2"/>
  <c r="U89" i="2"/>
  <c r="E94" i="2"/>
  <c r="CT91" i="2" l="1"/>
  <c r="CW90" i="2"/>
  <c r="FG91" i="2"/>
  <c r="EP91" i="2"/>
  <c r="ES90" i="2"/>
  <c r="CE91" i="2"/>
  <c r="EC90" i="2"/>
  <c r="DZ91" i="2"/>
  <c r="BO91" i="2"/>
  <c r="EQ91" i="2"/>
  <c r="DM90" i="2"/>
  <c r="DJ91" i="2"/>
  <c r="CD91" i="2"/>
  <c r="CG90" i="2"/>
  <c r="FC92" i="2"/>
  <c r="FD92" i="2"/>
  <c r="DX92" i="2"/>
  <c r="EM92" i="2"/>
  <c r="DG92" i="2"/>
  <c r="EN92" i="2"/>
  <c r="CQ92" i="2"/>
  <c r="CB92" i="2"/>
  <c r="BL92" i="2"/>
  <c r="AU92" i="2"/>
  <c r="DW92" i="2"/>
  <c r="CR92" i="2"/>
  <c r="CA92" i="2"/>
  <c r="BK92" i="2"/>
  <c r="AV92" i="2"/>
  <c r="AF92" i="2"/>
  <c r="AE92" i="2"/>
  <c r="DH92" i="2"/>
  <c r="P92" i="2"/>
  <c r="O92" i="2"/>
  <c r="FB92" i="2"/>
  <c r="FH92" i="2" s="1"/>
  <c r="ET92" i="2"/>
  <c r="FE92" i="2"/>
  <c r="EO92" i="2"/>
  <c r="FA92" i="2"/>
  <c r="EU92" i="2"/>
  <c r="DY92" i="2"/>
  <c r="EK92" i="2"/>
  <c r="EE92" i="2"/>
  <c r="EL92" i="2"/>
  <c r="ER92" i="2" s="1"/>
  <c r="DU92" i="2"/>
  <c r="DO92" i="2"/>
  <c r="ED92" i="2"/>
  <c r="DN92" i="2"/>
  <c r="DF92" i="2"/>
  <c r="DL92" i="2" s="1"/>
  <c r="CO92" i="2"/>
  <c r="CI92" i="2"/>
  <c r="BY92" i="2"/>
  <c r="DI92" i="2"/>
  <c r="CX92" i="2"/>
  <c r="CP92" i="2"/>
  <c r="CV92" i="2" s="1"/>
  <c r="BZ92" i="2"/>
  <c r="CF92" i="2" s="1"/>
  <c r="DV92" i="2"/>
  <c r="EA92" i="2" s="1"/>
  <c r="CS92" i="2"/>
  <c r="CH92" i="2"/>
  <c r="CC92" i="2"/>
  <c r="BR92" i="2"/>
  <c r="BS92" i="2"/>
  <c r="DE92" i="2"/>
  <c r="CY92" i="2"/>
  <c r="AS92" i="2"/>
  <c r="BM92" i="2"/>
  <c r="BC92" i="2"/>
  <c r="AT92" i="2"/>
  <c r="BI92" i="2"/>
  <c r="AM92" i="2"/>
  <c r="BJ92" i="2"/>
  <c r="BP92" i="2" s="1"/>
  <c r="BB92" i="2"/>
  <c r="AW92" i="2"/>
  <c r="AL92" i="2"/>
  <c r="AG92" i="2"/>
  <c r="BQ90" i="2"/>
  <c r="BN91" i="2"/>
  <c r="FF91" i="2"/>
  <c r="FI90" i="2"/>
  <c r="EB91" i="2"/>
  <c r="EB92" i="2" s="1"/>
  <c r="AC92" i="2"/>
  <c r="AD92" i="2"/>
  <c r="V92" i="2"/>
  <c r="W92" i="2"/>
  <c r="F92" i="2"/>
  <c r="G92" i="2"/>
  <c r="N92" i="2"/>
  <c r="A93" i="2"/>
  <c r="M92" i="2"/>
  <c r="Q92" i="2"/>
  <c r="T91" i="2"/>
  <c r="S91" i="2"/>
  <c r="AJ89" i="2"/>
  <c r="AK88" i="2"/>
  <c r="AH89" i="2"/>
  <c r="R91" i="2"/>
  <c r="U90" i="2"/>
  <c r="E95" i="2"/>
  <c r="BN92" i="2" l="1"/>
  <c r="BQ91" i="2"/>
  <c r="CG91" i="2"/>
  <c r="CD92" i="2"/>
  <c r="DK92" i="2"/>
  <c r="DZ92" i="2"/>
  <c r="EC91" i="2"/>
  <c r="EP92" i="2"/>
  <c r="ES91" i="2"/>
  <c r="CU92" i="2"/>
  <c r="FF92" i="2"/>
  <c r="FI91" i="2"/>
  <c r="EQ92" i="2"/>
  <c r="BO92" i="2"/>
  <c r="CW91" i="2"/>
  <c r="CT92" i="2"/>
  <c r="FD93" i="2"/>
  <c r="EN93" i="2"/>
  <c r="FC93" i="2"/>
  <c r="EM93" i="2"/>
  <c r="DX93" i="2"/>
  <c r="DW93" i="2"/>
  <c r="DH93" i="2"/>
  <c r="DG93" i="2"/>
  <c r="CB93" i="2"/>
  <c r="BK93" i="2"/>
  <c r="AF93" i="2"/>
  <c r="BL93" i="2"/>
  <c r="AU93" i="2"/>
  <c r="CQ93" i="2"/>
  <c r="P93" i="2"/>
  <c r="CA93" i="2"/>
  <c r="AV93" i="2"/>
  <c r="AE93" i="2"/>
  <c r="CR93" i="2"/>
  <c r="O93" i="2"/>
  <c r="FE93" i="2"/>
  <c r="FB93" i="2"/>
  <c r="FH93" i="2" s="1"/>
  <c r="ET93" i="2"/>
  <c r="EO93" i="2"/>
  <c r="FA93" i="2"/>
  <c r="EU93" i="2"/>
  <c r="ED93" i="2"/>
  <c r="DV93" i="2"/>
  <c r="EB93" i="2" s="1"/>
  <c r="DY93" i="2"/>
  <c r="EK93" i="2"/>
  <c r="EE93" i="2"/>
  <c r="DE93" i="2"/>
  <c r="CY93" i="2"/>
  <c r="BM93" i="2"/>
  <c r="EL93" i="2"/>
  <c r="ER93" i="2" s="1"/>
  <c r="DU93" i="2"/>
  <c r="DO93" i="2"/>
  <c r="DN93" i="2"/>
  <c r="DF93" i="2"/>
  <c r="DL93" i="2" s="1"/>
  <c r="CO93" i="2"/>
  <c r="CI93" i="2"/>
  <c r="BY93" i="2"/>
  <c r="DI93" i="2"/>
  <c r="CX93" i="2"/>
  <c r="CP93" i="2"/>
  <c r="CV93" i="2" s="1"/>
  <c r="BZ93" i="2"/>
  <c r="CF93" i="2" s="1"/>
  <c r="CS93" i="2"/>
  <c r="BR93" i="2"/>
  <c r="CC93" i="2"/>
  <c r="BS93" i="2"/>
  <c r="BJ93" i="2"/>
  <c r="BP93" i="2" s="1"/>
  <c r="BB93" i="2"/>
  <c r="AW93" i="2"/>
  <c r="AS93" i="2"/>
  <c r="CH93" i="2"/>
  <c r="BC93" i="2"/>
  <c r="AT93" i="2"/>
  <c r="BI93" i="2"/>
  <c r="AM93" i="2"/>
  <c r="AL93" i="2"/>
  <c r="AG93" i="2"/>
  <c r="DM91" i="2"/>
  <c r="DJ92" i="2"/>
  <c r="CE92" i="2"/>
  <c r="CE93" i="2" s="1"/>
  <c r="FG92" i="2"/>
  <c r="FG93" i="2" s="1"/>
  <c r="S92" i="2"/>
  <c r="AD93" i="2"/>
  <c r="W93" i="2"/>
  <c r="AC93" i="2"/>
  <c r="V93" i="2"/>
  <c r="A94" i="2"/>
  <c r="G93" i="2"/>
  <c r="F93" i="2"/>
  <c r="Q93" i="2"/>
  <c r="M93" i="2"/>
  <c r="N93" i="2"/>
  <c r="T92" i="2"/>
  <c r="AJ90" i="2"/>
  <c r="AH90" i="2"/>
  <c r="AK89" i="2"/>
  <c r="AI90" i="2"/>
  <c r="R92" i="2"/>
  <c r="U91" i="2"/>
  <c r="E96" i="2"/>
  <c r="FF93" i="2" l="1"/>
  <c r="FI92" i="2"/>
  <c r="EA93" i="2"/>
  <c r="DM92" i="2"/>
  <c r="DJ93" i="2"/>
  <c r="EC92" i="2"/>
  <c r="DZ93" i="2"/>
  <c r="BQ92" i="2"/>
  <c r="BN93" i="2"/>
  <c r="CT93" i="2"/>
  <c r="CW92" i="2"/>
  <c r="BO93" i="2"/>
  <c r="CU93" i="2"/>
  <c r="FC94" i="2"/>
  <c r="FD94" i="2"/>
  <c r="EM94" i="2"/>
  <c r="EN94" i="2"/>
  <c r="DH94" i="2"/>
  <c r="DX94" i="2"/>
  <c r="DW94" i="2"/>
  <c r="DG94" i="2"/>
  <c r="CQ94" i="2"/>
  <c r="AV94" i="2"/>
  <c r="CB94" i="2"/>
  <c r="CE94" i="2" s="1"/>
  <c r="BK94" i="2"/>
  <c r="AF94" i="2"/>
  <c r="O94" i="2"/>
  <c r="BL94" i="2"/>
  <c r="AU94" i="2"/>
  <c r="P94" i="2"/>
  <c r="CA94" i="2"/>
  <c r="AE94" i="2"/>
  <c r="CR94" i="2"/>
  <c r="FB94" i="2"/>
  <c r="FH94" i="2" s="1"/>
  <c r="FE94" i="2"/>
  <c r="FA94" i="2"/>
  <c r="EU94" i="2"/>
  <c r="ET94" i="2"/>
  <c r="EL94" i="2"/>
  <c r="ER94" i="2" s="1"/>
  <c r="DU94" i="2"/>
  <c r="DO94" i="2"/>
  <c r="ED94" i="2"/>
  <c r="DV94" i="2"/>
  <c r="EB94" i="2" s="1"/>
  <c r="EO94" i="2"/>
  <c r="DY94" i="2"/>
  <c r="EK94" i="2"/>
  <c r="CS94" i="2"/>
  <c r="CH94" i="2"/>
  <c r="CC94" i="2"/>
  <c r="DE94" i="2"/>
  <c r="CY94" i="2"/>
  <c r="BM94" i="2"/>
  <c r="BS94" i="2"/>
  <c r="DN94" i="2"/>
  <c r="DF94" i="2"/>
  <c r="DL94" i="2" s="1"/>
  <c r="CO94" i="2"/>
  <c r="CI94" i="2"/>
  <c r="BY94" i="2"/>
  <c r="EE94" i="2"/>
  <c r="CP94" i="2"/>
  <c r="CV94" i="2" s="1"/>
  <c r="CX94" i="2"/>
  <c r="BZ94" i="2"/>
  <c r="CF94" i="2" s="1"/>
  <c r="DI94" i="2"/>
  <c r="BR94" i="2"/>
  <c r="BI94" i="2"/>
  <c r="AM94" i="2"/>
  <c r="BJ94" i="2"/>
  <c r="BP94" i="2" s="1"/>
  <c r="BB94" i="2"/>
  <c r="AW94" i="2"/>
  <c r="AS94" i="2"/>
  <c r="BC94" i="2"/>
  <c r="AT94" i="2"/>
  <c r="AL94" i="2"/>
  <c r="AG94" i="2"/>
  <c r="EQ93" i="2"/>
  <c r="EQ94" i="2" s="1"/>
  <c r="ES92" i="2"/>
  <c r="EP93" i="2"/>
  <c r="DK93" i="2"/>
  <c r="DK94" i="2" s="1"/>
  <c r="CG92" i="2"/>
  <c r="CD93" i="2"/>
  <c r="T93" i="2"/>
  <c r="AC94" i="2"/>
  <c r="V94" i="2"/>
  <c r="AD94" i="2"/>
  <c r="W94" i="2"/>
  <c r="N94" i="2"/>
  <c r="A95" i="2"/>
  <c r="Q94" i="2"/>
  <c r="G94" i="2"/>
  <c r="F94" i="2"/>
  <c r="M94" i="2"/>
  <c r="S93" i="2"/>
  <c r="AJ91" i="2"/>
  <c r="AJ92" i="2" s="1"/>
  <c r="AK90" i="2"/>
  <c r="AH91" i="2"/>
  <c r="AI91" i="2"/>
  <c r="R93" i="2"/>
  <c r="U92" i="2"/>
  <c r="E97" i="2"/>
  <c r="CG93" i="2" l="1"/>
  <c r="CD94" i="2"/>
  <c r="EP94" i="2"/>
  <c r="ES93" i="2"/>
  <c r="CU94" i="2"/>
  <c r="BO94" i="2"/>
  <c r="FG94" i="2"/>
  <c r="FC95" i="2"/>
  <c r="FD95" i="2"/>
  <c r="EM95" i="2"/>
  <c r="EN95" i="2"/>
  <c r="DG95" i="2"/>
  <c r="DH95" i="2"/>
  <c r="DW95" i="2"/>
  <c r="CR95" i="2"/>
  <c r="CA95" i="2"/>
  <c r="CQ95" i="2"/>
  <c r="AV95" i="2"/>
  <c r="AU95" i="2"/>
  <c r="BK95" i="2"/>
  <c r="AF95" i="2"/>
  <c r="O95" i="2"/>
  <c r="DX95" i="2"/>
  <c r="CB95" i="2"/>
  <c r="BL95" i="2"/>
  <c r="AE95" i="2"/>
  <c r="P95" i="2"/>
  <c r="FB95" i="2"/>
  <c r="FH95" i="2" s="1"/>
  <c r="FE95" i="2"/>
  <c r="EO95" i="2"/>
  <c r="FA95" i="2"/>
  <c r="EU95" i="2"/>
  <c r="EK95" i="2"/>
  <c r="EE95" i="2"/>
  <c r="EL95" i="2"/>
  <c r="ER95" i="2" s="1"/>
  <c r="DU95" i="2"/>
  <c r="DO95" i="2"/>
  <c r="ED95" i="2"/>
  <c r="DV95" i="2"/>
  <c r="EB95" i="2" s="1"/>
  <c r="DY95" i="2"/>
  <c r="DI95" i="2"/>
  <c r="CX95" i="2"/>
  <c r="CP95" i="2"/>
  <c r="CV95" i="2" s="1"/>
  <c r="BZ95" i="2"/>
  <c r="CE95" i="2" s="1"/>
  <c r="ET95" i="2"/>
  <c r="CS95" i="2"/>
  <c r="CH95" i="2"/>
  <c r="CC95" i="2"/>
  <c r="DE95" i="2"/>
  <c r="CY95" i="2"/>
  <c r="BM95" i="2"/>
  <c r="BS95" i="2"/>
  <c r="DN95" i="2"/>
  <c r="DF95" i="2"/>
  <c r="DL95" i="2" s="1"/>
  <c r="CI95" i="2"/>
  <c r="CO95" i="2"/>
  <c r="BY95" i="2"/>
  <c r="BC95" i="2"/>
  <c r="AT95" i="2"/>
  <c r="BR95" i="2"/>
  <c r="BI95" i="2"/>
  <c r="AM95" i="2"/>
  <c r="BJ95" i="2"/>
  <c r="BP95" i="2" s="1"/>
  <c r="BB95" i="2"/>
  <c r="AW95" i="2"/>
  <c r="AS95" i="2"/>
  <c r="AL95" i="2"/>
  <c r="AG95" i="2"/>
  <c r="CT94" i="2"/>
  <c r="CW93" i="2"/>
  <c r="EA94" i="2"/>
  <c r="EA95" i="2" s="1"/>
  <c r="FF94" i="2"/>
  <c r="FI93" i="2"/>
  <c r="BN94" i="2"/>
  <c r="BQ93" i="2"/>
  <c r="EC93" i="2"/>
  <c r="DZ94" i="2"/>
  <c r="DJ94" i="2"/>
  <c r="DM93" i="2"/>
  <c r="S94" i="2"/>
  <c r="T94" i="2"/>
  <c r="AD95" i="2"/>
  <c r="W95" i="2"/>
  <c r="AC95" i="2"/>
  <c r="V95" i="2"/>
  <c r="G95" i="2"/>
  <c r="A96" i="2"/>
  <c r="Q95" i="2"/>
  <c r="F95" i="2"/>
  <c r="M95" i="2"/>
  <c r="N95" i="2"/>
  <c r="AH92" i="2"/>
  <c r="AK91" i="2"/>
  <c r="AI92" i="2"/>
  <c r="AI93" i="2" s="1"/>
  <c r="R94" i="2"/>
  <c r="U93" i="2"/>
  <c r="E98" i="2"/>
  <c r="DZ95" i="2" l="1"/>
  <c r="EC94" i="2"/>
  <c r="FG95" i="2"/>
  <c r="DK95" i="2"/>
  <c r="EQ95" i="2"/>
  <c r="CF95" i="2"/>
  <c r="CD95" i="2"/>
  <c r="CG94" i="2"/>
  <c r="CT95" i="2"/>
  <c r="CW94" i="2"/>
  <c r="BO95" i="2"/>
  <c r="CU95" i="2"/>
  <c r="FC96" i="2"/>
  <c r="FD96" i="2"/>
  <c r="DX96" i="2"/>
  <c r="EA96" i="2" s="1"/>
  <c r="EN96" i="2"/>
  <c r="EM96" i="2"/>
  <c r="DG96" i="2"/>
  <c r="CQ96" i="2"/>
  <c r="DW96" i="2"/>
  <c r="DH96" i="2"/>
  <c r="CR96" i="2"/>
  <c r="BL96" i="2"/>
  <c r="AU96" i="2"/>
  <c r="CA96" i="2"/>
  <c r="AE96" i="2"/>
  <c r="BK96" i="2"/>
  <c r="AV96" i="2"/>
  <c r="AF96" i="2"/>
  <c r="CB96" i="2"/>
  <c r="P96" i="2"/>
  <c r="O96" i="2"/>
  <c r="FB96" i="2"/>
  <c r="FH96" i="2" s="1"/>
  <c r="ET96" i="2"/>
  <c r="EO96" i="2"/>
  <c r="FE96" i="2"/>
  <c r="FA96" i="2"/>
  <c r="EU96" i="2"/>
  <c r="DY96" i="2"/>
  <c r="EK96" i="2"/>
  <c r="EE96" i="2"/>
  <c r="EL96" i="2"/>
  <c r="ER96" i="2" s="1"/>
  <c r="DU96" i="2"/>
  <c r="DO96" i="2"/>
  <c r="DN96" i="2"/>
  <c r="DF96" i="2"/>
  <c r="DL96" i="2" s="1"/>
  <c r="CO96" i="2"/>
  <c r="CI96" i="2"/>
  <c r="BY96" i="2"/>
  <c r="ED96" i="2"/>
  <c r="DI96" i="2"/>
  <c r="CX96" i="2"/>
  <c r="CP96" i="2"/>
  <c r="CV96" i="2" s="1"/>
  <c r="BZ96" i="2"/>
  <c r="CE96" i="2" s="1"/>
  <c r="CS96" i="2"/>
  <c r="CH96" i="2"/>
  <c r="CC96" i="2"/>
  <c r="DV96" i="2"/>
  <c r="EB96" i="2" s="1"/>
  <c r="DE96" i="2"/>
  <c r="CY96" i="2"/>
  <c r="BM96" i="2"/>
  <c r="BR96" i="2"/>
  <c r="AS96" i="2"/>
  <c r="BC96" i="2"/>
  <c r="AT96" i="2"/>
  <c r="BS96" i="2"/>
  <c r="BI96" i="2"/>
  <c r="AM96" i="2"/>
  <c r="BJ96" i="2"/>
  <c r="BP96" i="2" s="1"/>
  <c r="BB96" i="2"/>
  <c r="AW96" i="2"/>
  <c r="AL96" i="2"/>
  <c r="AG96" i="2"/>
  <c r="DJ95" i="2"/>
  <c r="DM94" i="2"/>
  <c r="BQ94" i="2"/>
  <c r="BN95" i="2"/>
  <c r="FF95" i="2"/>
  <c r="FI94" i="2"/>
  <c r="ES94" i="2"/>
  <c r="EP95" i="2"/>
  <c r="AD96" i="2"/>
  <c r="W96" i="2"/>
  <c r="V96" i="2"/>
  <c r="AC96" i="2"/>
  <c r="F96" i="2"/>
  <c r="A97" i="2"/>
  <c r="N96" i="2"/>
  <c r="Q96" i="2"/>
  <c r="M96" i="2"/>
  <c r="G96" i="2"/>
  <c r="S95" i="2"/>
  <c r="T95" i="2"/>
  <c r="AJ93" i="2"/>
  <c r="AK92" i="2"/>
  <c r="AH93" i="2"/>
  <c r="R95" i="2"/>
  <c r="U94" i="2"/>
  <c r="E99" i="2"/>
  <c r="BQ95" i="2" l="1"/>
  <c r="BN96" i="2"/>
  <c r="CD96" i="2"/>
  <c r="CG95" i="2"/>
  <c r="EQ96" i="2"/>
  <c r="EC95" i="2"/>
  <c r="DZ96" i="2"/>
  <c r="BO96" i="2"/>
  <c r="CT96" i="2"/>
  <c r="CW95" i="2"/>
  <c r="FG96" i="2"/>
  <c r="ES95" i="2"/>
  <c r="EP96" i="2"/>
  <c r="FD97" i="2"/>
  <c r="FC97" i="2"/>
  <c r="EN97" i="2"/>
  <c r="DX97" i="2"/>
  <c r="DW97" i="2"/>
  <c r="EM97" i="2"/>
  <c r="CB97" i="2"/>
  <c r="DH97" i="2"/>
  <c r="BK97" i="2"/>
  <c r="AF97" i="2"/>
  <c r="CR97" i="2"/>
  <c r="BL97" i="2"/>
  <c r="AU97" i="2"/>
  <c r="P97" i="2"/>
  <c r="DG97" i="2"/>
  <c r="CQ97" i="2"/>
  <c r="AE97" i="2"/>
  <c r="CA97" i="2"/>
  <c r="O97" i="2"/>
  <c r="AV97" i="2"/>
  <c r="FE97" i="2"/>
  <c r="FB97" i="2"/>
  <c r="FH97" i="2" s="1"/>
  <c r="ET97" i="2"/>
  <c r="EO97" i="2"/>
  <c r="ED97" i="2"/>
  <c r="DV97" i="2"/>
  <c r="EA97" i="2" s="1"/>
  <c r="FA97" i="2"/>
  <c r="EU97" i="2"/>
  <c r="DY97" i="2"/>
  <c r="EK97" i="2"/>
  <c r="EE97" i="2"/>
  <c r="DE97" i="2"/>
  <c r="CY97" i="2"/>
  <c r="BM97" i="2"/>
  <c r="DN97" i="2"/>
  <c r="DF97" i="2"/>
  <c r="DL97" i="2" s="1"/>
  <c r="CO97" i="2"/>
  <c r="CI97" i="2"/>
  <c r="BY97" i="2"/>
  <c r="EL97" i="2"/>
  <c r="ER97" i="2" s="1"/>
  <c r="DU97" i="2"/>
  <c r="DO97" i="2"/>
  <c r="DI97" i="2"/>
  <c r="CX97" i="2"/>
  <c r="CP97" i="2"/>
  <c r="CV97" i="2" s="1"/>
  <c r="BZ97" i="2"/>
  <c r="CE97" i="2" s="1"/>
  <c r="CH97" i="2"/>
  <c r="BS97" i="2"/>
  <c r="BR97" i="2"/>
  <c r="CS97" i="2"/>
  <c r="BJ97" i="2"/>
  <c r="BP97" i="2" s="1"/>
  <c r="BB97" i="2"/>
  <c r="AW97" i="2"/>
  <c r="AS97" i="2"/>
  <c r="BC97" i="2"/>
  <c r="AT97" i="2"/>
  <c r="CC97" i="2"/>
  <c r="BI97" i="2"/>
  <c r="AM97" i="2"/>
  <c r="AL97" i="2"/>
  <c r="AG97" i="2"/>
  <c r="FF96" i="2"/>
  <c r="FI95" i="2"/>
  <c r="DM95" i="2"/>
  <c r="DJ96" i="2"/>
  <c r="CU96" i="2"/>
  <c r="CU97" i="2" s="1"/>
  <c r="CF96" i="2"/>
  <c r="CF97" i="2" s="1"/>
  <c r="DK96" i="2"/>
  <c r="DK97" i="2" s="1"/>
  <c r="T96" i="2"/>
  <c r="S96" i="2"/>
  <c r="AC97" i="2"/>
  <c r="V97" i="2"/>
  <c r="AD97" i="2"/>
  <c r="W97" i="2"/>
  <c r="F97" i="2"/>
  <c r="G97" i="2"/>
  <c r="A98" i="2"/>
  <c r="Q97" i="2"/>
  <c r="N97" i="2"/>
  <c r="M97" i="2"/>
  <c r="AJ94" i="2"/>
  <c r="AK93" i="2"/>
  <c r="AH94" i="2"/>
  <c r="AI94" i="2"/>
  <c r="AI95" i="2" s="1"/>
  <c r="R96" i="2"/>
  <c r="U95" i="2"/>
  <c r="E100" i="2"/>
  <c r="ES96" i="2" l="1"/>
  <c r="EP97" i="2"/>
  <c r="CW96" i="2"/>
  <c r="CT97" i="2"/>
  <c r="BN97" i="2"/>
  <c r="BQ96" i="2"/>
  <c r="BO97" i="2"/>
  <c r="EC96" i="2"/>
  <c r="DZ97" i="2"/>
  <c r="CG96" i="2"/>
  <c r="CD97" i="2"/>
  <c r="FF97" i="2"/>
  <c r="FI96" i="2"/>
  <c r="FC98" i="2"/>
  <c r="FD98" i="2"/>
  <c r="EM98" i="2"/>
  <c r="EN98" i="2"/>
  <c r="DH98" i="2"/>
  <c r="DK98" i="2" s="1"/>
  <c r="DW98" i="2"/>
  <c r="CB98" i="2"/>
  <c r="AV98" i="2"/>
  <c r="BK98" i="2"/>
  <c r="AF98" i="2"/>
  <c r="CR98" i="2"/>
  <c r="CA98" i="2"/>
  <c r="O98" i="2"/>
  <c r="P98" i="2"/>
  <c r="DG98" i="2"/>
  <c r="CQ98" i="2"/>
  <c r="BL98" i="2"/>
  <c r="DX98" i="2"/>
  <c r="AE98" i="2"/>
  <c r="AU98" i="2"/>
  <c r="FB98" i="2"/>
  <c r="FH98" i="2" s="1"/>
  <c r="FE98" i="2"/>
  <c r="FA98" i="2"/>
  <c r="EU98" i="2"/>
  <c r="ET98" i="2"/>
  <c r="EL98" i="2"/>
  <c r="ER98" i="2" s="1"/>
  <c r="DU98" i="2"/>
  <c r="DO98" i="2"/>
  <c r="ED98" i="2"/>
  <c r="DV98" i="2"/>
  <c r="EA98" i="2" s="1"/>
  <c r="DY98" i="2"/>
  <c r="EE98" i="2"/>
  <c r="CS98" i="2"/>
  <c r="CH98" i="2"/>
  <c r="CC98" i="2"/>
  <c r="EK98" i="2"/>
  <c r="DE98" i="2"/>
  <c r="CY98" i="2"/>
  <c r="BM98" i="2"/>
  <c r="BS98" i="2"/>
  <c r="DN98" i="2"/>
  <c r="DF98" i="2"/>
  <c r="DL98" i="2" s="1"/>
  <c r="CO98" i="2"/>
  <c r="CI98" i="2"/>
  <c r="BY98" i="2"/>
  <c r="EO98" i="2"/>
  <c r="DI98" i="2"/>
  <c r="CP98" i="2"/>
  <c r="CV98" i="2" s="1"/>
  <c r="CX98" i="2"/>
  <c r="BZ98" i="2"/>
  <c r="CF98" i="2" s="1"/>
  <c r="BR98" i="2"/>
  <c r="BI98" i="2"/>
  <c r="AM98" i="2"/>
  <c r="BJ98" i="2"/>
  <c r="BP98" i="2" s="1"/>
  <c r="BB98" i="2"/>
  <c r="AW98" i="2"/>
  <c r="AS98" i="2"/>
  <c r="BC98" i="2"/>
  <c r="AT98" i="2"/>
  <c r="AL98" i="2"/>
  <c r="AG98" i="2"/>
  <c r="DJ97" i="2"/>
  <c r="DM96" i="2"/>
  <c r="FG97" i="2"/>
  <c r="FG98" i="2" s="1"/>
  <c r="EQ97" i="2"/>
  <c r="EQ98" i="2" s="1"/>
  <c r="EB97" i="2"/>
  <c r="EB98" i="2" s="1"/>
  <c r="T97" i="2"/>
  <c r="S97" i="2"/>
  <c r="V98" i="2"/>
  <c r="AC98" i="2"/>
  <c r="AD98" i="2"/>
  <c r="W98" i="2"/>
  <c r="F98" i="2"/>
  <c r="A99" i="2"/>
  <c r="G98" i="2"/>
  <c r="Q98" i="2"/>
  <c r="M98" i="2"/>
  <c r="N98" i="2"/>
  <c r="AJ95" i="2"/>
  <c r="AI96" i="2"/>
  <c r="AK94" i="2"/>
  <c r="AH95" i="2"/>
  <c r="R97" i="2"/>
  <c r="U96" i="2"/>
  <c r="E101" i="2"/>
  <c r="FC99" i="2" l="1"/>
  <c r="FD99" i="2"/>
  <c r="EM99" i="2"/>
  <c r="DX99" i="2"/>
  <c r="DG99" i="2"/>
  <c r="DH99" i="2"/>
  <c r="CR99" i="2"/>
  <c r="EN99" i="2"/>
  <c r="CQ99" i="2"/>
  <c r="CA99" i="2"/>
  <c r="CB99" i="2"/>
  <c r="AV99" i="2"/>
  <c r="BL99" i="2"/>
  <c r="AU99" i="2"/>
  <c r="O99" i="2"/>
  <c r="DW99" i="2"/>
  <c r="BK99" i="2"/>
  <c r="AF99" i="2"/>
  <c r="P99" i="2"/>
  <c r="AE99" i="2"/>
  <c r="FB99" i="2"/>
  <c r="FH99" i="2" s="1"/>
  <c r="FE99" i="2"/>
  <c r="EO99" i="2"/>
  <c r="FA99" i="2"/>
  <c r="EU99" i="2"/>
  <c r="ET99" i="2"/>
  <c r="EK99" i="2"/>
  <c r="EE99" i="2"/>
  <c r="EL99" i="2"/>
  <c r="ER99" i="2" s="1"/>
  <c r="DU99" i="2"/>
  <c r="DO99" i="2"/>
  <c r="ED99" i="2"/>
  <c r="DV99" i="2"/>
  <c r="EA99" i="2" s="1"/>
  <c r="DI99" i="2"/>
  <c r="CX99" i="2"/>
  <c r="CP99" i="2"/>
  <c r="CV99" i="2" s="1"/>
  <c r="BZ99" i="2"/>
  <c r="CF99" i="2" s="1"/>
  <c r="DY99" i="2"/>
  <c r="CS99" i="2"/>
  <c r="CH99" i="2"/>
  <c r="CC99" i="2"/>
  <c r="DE99" i="2"/>
  <c r="CY99" i="2"/>
  <c r="BM99" i="2"/>
  <c r="BS99" i="2"/>
  <c r="DN99" i="2"/>
  <c r="CO99" i="2"/>
  <c r="BY99" i="2"/>
  <c r="DF99" i="2"/>
  <c r="DK99" i="2" s="1"/>
  <c r="CI99" i="2"/>
  <c r="BC99" i="2"/>
  <c r="AT99" i="2"/>
  <c r="BI99" i="2"/>
  <c r="AM99" i="2"/>
  <c r="BR99" i="2"/>
  <c r="BJ99" i="2"/>
  <c r="BP99" i="2" s="1"/>
  <c r="BB99" i="2"/>
  <c r="AW99" i="2"/>
  <c r="AS99" i="2"/>
  <c r="AL99" i="2"/>
  <c r="AG99" i="2"/>
  <c r="CU98" i="2"/>
  <c r="CU99" i="2" s="1"/>
  <c r="CT98" i="2"/>
  <c r="CW97" i="2"/>
  <c r="CE98" i="2"/>
  <c r="CE99" i="2" s="1"/>
  <c r="FG99" i="2"/>
  <c r="EB99" i="2"/>
  <c r="EQ99" i="2"/>
  <c r="CD98" i="2"/>
  <c r="CG97" i="2"/>
  <c r="DZ98" i="2"/>
  <c r="EC97" i="2"/>
  <c r="BO98" i="2"/>
  <c r="BO99" i="2" s="1"/>
  <c r="BN98" i="2"/>
  <c r="BQ97" i="2"/>
  <c r="FF98" i="2"/>
  <c r="FI97" i="2"/>
  <c r="ES97" i="2"/>
  <c r="EP98" i="2"/>
  <c r="DM97" i="2"/>
  <c r="DJ98" i="2"/>
  <c r="AC99" i="2"/>
  <c r="AD99" i="2"/>
  <c r="V99" i="2"/>
  <c r="W99" i="2"/>
  <c r="G99" i="2"/>
  <c r="Q99" i="2"/>
  <c r="F99" i="2"/>
  <c r="N99" i="2"/>
  <c r="A100" i="2"/>
  <c r="M99" i="2"/>
  <c r="S98" i="2"/>
  <c r="T98" i="2"/>
  <c r="AJ96" i="2"/>
  <c r="AK95" i="2"/>
  <c r="AH96" i="2"/>
  <c r="R98" i="2"/>
  <c r="U97" i="2"/>
  <c r="E102" i="2"/>
  <c r="ES98" i="2" l="1"/>
  <c r="EP99" i="2"/>
  <c r="FF99" i="2"/>
  <c r="FI98" i="2"/>
  <c r="DZ99" i="2"/>
  <c r="EC98" i="2"/>
  <c r="DL99" i="2"/>
  <c r="CD99" i="2"/>
  <c r="CG98" i="2"/>
  <c r="BQ98" i="2"/>
  <c r="BN99" i="2"/>
  <c r="FC100" i="2"/>
  <c r="FD100" i="2"/>
  <c r="DX100" i="2"/>
  <c r="EN100" i="2"/>
  <c r="DG100" i="2"/>
  <c r="CQ100" i="2"/>
  <c r="EM100" i="2"/>
  <c r="BL100" i="2"/>
  <c r="AU100" i="2"/>
  <c r="DH100" i="2"/>
  <c r="CA100" i="2"/>
  <c r="CB100" i="2"/>
  <c r="BK100" i="2"/>
  <c r="AV100" i="2"/>
  <c r="AF100" i="2"/>
  <c r="AE100" i="2"/>
  <c r="CR100" i="2"/>
  <c r="DW100" i="2"/>
  <c r="P100" i="2"/>
  <c r="O100" i="2"/>
  <c r="FB100" i="2"/>
  <c r="FH100" i="2" s="1"/>
  <c r="ET100" i="2"/>
  <c r="EO100" i="2"/>
  <c r="FA100" i="2"/>
  <c r="EU100" i="2"/>
  <c r="DY100" i="2"/>
  <c r="FE100" i="2"/>
  <c r="EK100" i="2"/>
  <c r="EE100" i="2"/>
  <c r="EL100" i="2"/>
  <c r="ER100" i="2" s="1"/>
  <c r="DU100" i="2"/>
  <c r="DO100" i="2"/>
  <c r="DV100" i="2"/>
  <c r="EA100" i="2" s="1"/>
  <c r="DN100" i="2"/>
  <c r="DF100" i="2"/>
  <c r="DK100" i="2" s="1"/>
  <c r="CO100" i="2"/>
  <c r="CI100" i="2"/>
  <c r="BY100" i="2"/>
  <c r="DI100" i="2"/>
  <c r="CX100" i="2"/>
  <c r="CP100" i="2"/>
  <c r="CU100" i="2" s="1"/>
  <c r="BZ100" i="2"/>
  <c r="CF100" i="2" s="1"/>
  <c r="ED100" i="2"/>
  <c r="CS100" i="2"/>
  <c r="CH100" i="2"/>
  <c r="CC100" i="2"/>
  <c r="DE100" i="2"/>
  <c r="CY100" i="2"/>
  <c r="BR100" i="2"/>
  <c r="BM100" i="2"/>
  <c r="BS100" i="2"/>
  <c r="AS100" i="2"/>
  <c r="BC100" i="2"/>
  <c r="AT100" i="2"/>
  <c r="BI100" i="2"/>
  <c r="AM100" i="2"/>
  <c r="BJ100" i="2"/>
  <c r="BP100" i="2" s="1"/>
  <c r="BB100" i="2"/>
  <c r="AW100" i="2"/>
  <c r="AL100" i="2"/>
  <c r="AG100" i="2"/>
  <c r="DJ99" i="2"/>
  <c r="DM98" i="2"/>
  <c r="EB100" i="2"/>
  <c r="CT99" i="2"/>
  <c r="CW98" i="2"/>
  <c r="S99" i="2"/>
  <c r="AD100" i="2"/>
  <c r="V100" i="2"/>
  <c r="AC100" i="2"/>
  <c r="W100" i="2"/>
  <c r="N100" i="2"/>
  <c r="G100" i="2"/>
  <c r="F100" i="2"/>
  <c r="M100" i="2"/>
  <c r="A101" i="2"/>
  <c r="Q100" i="2"/>
  <c r="T99" i="2"/>
  <c r="AJ97" i="2"/>
  <c r="AH97" i="2"/>
  <c r="AK96" i="2"/>
  <c r="AI97" i="2"/>
  <c r="AI98" i="2" s="1"/>
  <c r="R99" i="2"/>
  <c r="U98" i="2"/>
  <c r="E103" i="2"/>
  <c r="BO100" i="2" l="1"/>
  <c r="EQ100" i="2"/>
  <c r="DL100" i="2"/>
  <c r="FG100" i="2"/>
  <c r="FF100" i="2"/>
  <c r="FI99" i="2"/>
  <c r="FD101" i="2"/>
  <c r="EN101" i="2"/>
  <c r="FC101" i="2"/>
  <c r="EM101" i="2"/>
  <c r="DX101" i="2"/>
  <c r="DW101" i="2"/>
  <c r="DH101" i="2"/>
  <c r="DG101" i="2"/>
  <c r="CR101" i="2"/>
  <c r="BK101" i="2"/>
  <c r="AF101" i="2"/>
  <c r="CQ101" i="2"/>
  <c r="BL101" i="2"/>
  <c r="AU101" i="2"/>
  <c r="P101" i="2"/>
  <c r="CB101" i="2"/>
  <c r="CA101" i="2"/>
  <c r="AV101" i="2"/>
  <c r="AE101" i="2"/>
  <c r="O101" i="2"/>
  <c r="FE101" i="2"/>
  <c r="ET101" i="2"/>
  <c r="FB101" i="2"/>
  <c r="FH101" i="2" s="1"/>
  <c r="EO101" i="2"/>
  <c r="ED101" i="2"/>
  <c r="DV101" i="2"/>
  <c r="EA101" i="2" s="1"/>
  <c r="DY101" i="2"/>
  <c r="FA101" i="2"/>
  <c r="EU101" i="2"/>
  <c r="EK101" i="2"/>
  <c r="EE101" i="2"/>
  <c r="DE101" i="2"/>
  <c r="CY101" i="2"/>
  <c r="BM101" i="2"/>
  <c r="DN101" i="2"/>
  <c r="DF101" i="2"/>
  <c r="DK101" i="2" s="1"/>
  <c r="CO101" i="2"/>
  <c r="CI101" i="2"/>
  <c r="BY101" i="2"/>
  <c r="DI101" i="2"/>
  <c r="CX101" i="2"/>
  <c r="CP101" i="2"/>
  <c r="CU101" i="2" s="1"/>
  <c r="BZ101" i="2"/>
  <c r="CF101" i="2" s="1"/>
  <c r="EL101" i="2"/>
  <c r="ER101" i="2" s="1"/>
  <c r="DU101" i="2"/>
  <c r="DO101" i="2"/>
  <c r="CS101" i="2"/>
  <c r="CC101" i="2"/>
  <c r="CH101" i="2"/>
  <c r="BR101" i="2"/>
  <c r="BS101" i="2"/>
  <c r="BJ101" i="2"/>
  <c r="BP101" i="2" s="1"/>
  <c r="BB101" i="2"/>
  <c r="AW101" i="2"/>
  <c r="AS101" i="2"/>
  <c r="BC101" i="2"/>
  <c r="AT101" i="2"/>
  <c r="BI101" i="2"/>
  <c r="AM101" i="2"/>
  <c r="AL101" i="2"/>
  <c r="AG101" i="2"/>
  <c r="BN100" i="2"/>
  <c r="BQ99" i="2"/>
  <c r="EP100" i="2"/>
  <c r="ES99" i="2"/>
  <c r="CV100" i="2"/>
  <c r="CV101" i="2" s="1"/>
  <c r="CT100" i="2"/>
  <c r="CW99" i="2"/>
  <c r="DM99" i="2"/>
  <c r="DJ100" i="2"/>
  <c r="EC99" i="2"/>
  <c r="DZ100" i="2"/>
  <c r="EB101" i="2"/>
  <c r="CE100" i="2"/>
  <c r="CE101" i="2" s="1"/>
  <c r="CG99" i="2"/>
  <c r="CD100" i="2"/>
  <c r="T100" i="2"/>
  <c r="S100" i="2"/>
  <c r="AD101" i="2"/>
  <c r="W101" i="2"/>
  <c r="V101" i="2"/>
  <c r="AC101" i="2"/>
  <c r="G101" i="2"/>
  <c r="F101" i="2"/>
  <c r="A102" i="2"/>
  <c r="Q101" i="2"/>
  <c r="M101" i="2"/>
  <c r="N101" i="2"/>
  <c r="AJ98" i="2"/>
  <c r="AI99" i="2"/>
  <c r="AH98" i="2"/>
  <c r="AK97" i="2"/>
  <c r="R100" i="2"/>
  <c r="U99" i="2"/>
  <c r="E104" i="2"/>
  <c r="FC102" i="2" l="1"/>
  <c r="FD102" i="2"/>
  <c r="EM102" i="2"/>
  <c r="EN102" i="2"/>
  <c r="DH102" i="2"/>
  <c r="DK102" i="2" s="1"/>
  <c r="DX102" i="2"/>
  <c r="DW102" i="2"/>
  <c r="DG102" i="2"/>
  <c r="CB102" i="2"/>
  <c r="AV102" i="2"/>
  <c r="CR102" i="2"/>
  <c r="BK102" i="2"/>
  <c r="AF102" i="2"/>
  <c r="O102" i="2"/>
  <c r="CA102" i="2"/>
  <c r="BL102" i="2"/>
  <c r="AU102" i="2"/>
  <c r="P102" i="2"/>
  <c r="AE102" i="2"/>
  <c r="CQ102" i="2"/>
  <c r="FB102" i="2"/>
  <c r="FH102" i="2" s="1"/>
  <c r="FE102" i="2"/>
  <c r="FA102" i="2"/>
  <c r="EU102" i="2"/>
  <c r="ET102" i="2"/>
  <c r="EO102" i="2"/>
  <c r="ER102" i="2" s="1"/>
  <c r="EL102" i="2"/>
  <c r="DU102" i="2"/>
  <c r="DO102" i="2"/>
  <c r="ED102" i="2"/>
  <c r="DV102" i="2"/>
  <c r="EA102" i="2" s="1"/>
  <c r="DY102" i="2"/>
  <c r="CS102" i="2"/>
  <c r="CH102" i="2"/>
  <c r="CC102" i="2"/>
  <c r="EE102" i="2"/>
  <c r="DE102" i="2"/>
  <c r="CY102" i="2"/>
  <c r="BM102" i="2"/>
  <c r="BS102" i="2"/>
  <c r="EK102" i="2"/>
  <c r="DN102" i="2"/>
  <c r="DF102" i="2"/>
  <c r="CO102" i="2"/>
  <c r="CI102" i="2"/>
  <c r="BY102" i="2"/>
  <c r="CX102" i="2"/>
  <c r="DI102" i="2"/>
  <c r="CP102" i="2"/>
  <c r="CU102" i="2" s="1"/>
  <c r="BR102" i="2"/>
  <c r="BI102" i="2"/>
  <c r="AM102" i="2"/>
  <c r="BJ102" i="2"/>
  <c r="BP102" i="2" s="1"/>
  <c r="BB102" i="2"/>
  <c r="AW102" i="2"/>
  <c r="BZ102" i="2"/>
  <c r="CF102" i="2" s="1"/>
  <c r="AS102" i="2"/>
  <c r="BC102" i="2"/>
  <c r="AT102" i="2"/>
  <c r="AL102" i="2"/>
  <c r="AG102" i="2"/>
  <c r="DM100" i="2"/>
  <c r="DJ101" i="2"/>
  <c r="BN101" i="2"/>
  <c r="BQ100" i="2"/>
  <c r="CG100" i="2"/>
  <c r="CD101" i="2"/>
  <c r="CE102" i="2"/>
  <c r="EB102" i="2"/>
  <c r="CV102" i="2"/>
  <c r="DZ101" i="2"/>
  <c r="EC100" i="2"/>
  <c r="FF101" i="2"/>
  <c r="FI100" i="2"/>
  <c r="EQ101" i="2"/>
  <c r="EQ102" i="2" s="1"/>
  <c r="CW100" i="2"/>
  <c r="CT101" i="2"/>
  <c r="ES100" i="2"/>
  <c r="EP101" i="2"/>
  <c r="FG101" i="2"/>
  <c r="FG102" i="2" s="1"/>
  <c r="DL101" i="2"/>
  <c r="DL102" i="2" s="1"/>
  <c r="BO101" i="2"/>
  <c r="BO102" i="2" s="1"/>
  <c r="AC102" i="2"/>
  <c r="V102" i="2"/>
  <c r="AD102" i="2"/>
  <c r="W102" i="2"/>
  <c r="A103" i="2"/>
  <c r="Q102" i="2"/>
  <c r="F102" i="2"/>
  <c r="N102" i="2"/>
  <c r="M102" i="2"/>
  <c r="G102" i="2"/>
  <c r="T101" i="2"/>
  <c r="S101" i="2"/>
  <c r="S102" i="2" s="1"/>
  <c r="AJ99" i="2"/>
  <c r="AK98" i="2"/>
  <c r="AH99" i="2"/>
  <c r="R101" i="2"/>
  <c r="U100" i="2"/>
  <c r="E105" i="2"/>
  <c r="EC101" i="2" l="1"/>
  <c r="DZ102" i="2"/>
  <c r="BN102" i="2"/>
  <c r="BQ101" i="2"/>
  <c r="ES101" i="2"/>
  <c r="EP102" i="2"/>
  <c r="FF102" i="2"/>
  <c r="FI101" i="2"/>
  <c r="DJ102" i="2"/>
  <c r="DM101" i="2"/>
  <c r="FC103" i="2"/>
  <c r="FD103" i="2"/>
  <c r="EM103" i="2"/>
  <c r="EN103" i="2"/>
  <c r="DG103" i="2"/>
  <c r="DH103" i="2"/>
  <c r="DX103" i="2"/>
  <c r="DW103" i="2"/>
  <c r="CR103" i="2"/>
  <c r="CA103" i="2"/>
  <c r="CB103" i="2"/>
  <c r="AV103" i="2"/>
  <c r="CQ103" i="2"/>
  <c r="BL103" i="2"/>
  <c r="BK103" i="2"/>
  <c r="AF103" i="2"/>
  <c r="O103" i="2"/>
  <c r="AU103" i="2"/>
  <c r="AE103" i="2"/>
  <c r="P103" i="2"/>
  <c r="FB103" i="2"/>
  <c r="FG103" i="2" s="1"/>
  <c r="FE103" i="2"/>
  <c r="EO103" i="2"/>
  <c r="FA103" i="2"/>
  <c r="EU103" i="2"/>
  <c r="EK103" i="2"/>
  <c r="EE103" i="2"/>
  <c r="ET103" i="2"/>
  <c r="EL103" i="2"/>
  <c r="EQ103" i="2" s="1"/>
  <c r="DU103" i="2"/>
  <c r="DO103" i="2"/>
  <c r="ED103" i="2"/>
  <c r="DV103" i="2"/>
  <c r="EB103" i="2" s="1"/>
  <c r="DI103" i="2"/>
  <c r="CX103" i="2"/>
  <c r="CP103" i="2"/>
  <c r="CU103" i="2" s="1"/>
  <c r="BZ103" i="2"/>
  <c r="CF103" i="2" s="1"/>
  <c r="CS103" i="2"/>
  <c r="CH103" i="2"/>
  <c r="CC103" i="2"/>
  <c r="DY103" i="2"/>
  <c r="DE103" i="2"/>
  <c r="CY103" i="2"/>
  <c r="BM103" i="2"/>
  <c r="BS103" i="2"/>
  <c r="DN103" i="2"/>
  <c r="CO103" i="2"/>
  <c r="BY103" i="2"/>
  <c r="DF103" i="2"/>
  <c r="DK103" i="2" s="1"/>
  <c r="CI103" i="2"/>
  <c r="BC103" i="2"/>
  <c r="AT103" i="2"/>
  <c r="BI103" i="2"/>
  <c r="AM103" i="2"/>
  <c r="BJ103" i="2"/>
  <c r="BP103" i="2" s="1"/>
  <c r="BB103" i="2"/>
  <c r="AW103" i="2"/>
  <c r="BR103" i="2"/>
  <c r="AS103" i="2"/>
  <c r="AL103" i="2"/>
  <c r="AG103" i="2"/>
  <c r="CG101" i="2"/>
  <c r="CD102" i="2"/>
  <c r="BO103" i="2"/>
  <c r="CW101" i="2"/>
  <c r="CT102" i="2"/>
  <c r="CV103" i="2"/>
  <c r="AD103" i="2"/>
  <c r="W103" i="2"/>
  <c r="AC103" i="2"/>
  <c r="V103" i="2"/>
  <c r="M103" i="2"/>
  <c r="N103" i="2"/>
  <c r="F103" i="2"/>
  <c r="G103" i="2"/>
  <c r="Q103" i="2"/>
  <c r="A104" i="2"/>
  <c r="T102" i="2"/>
  <c r="AI100" i="2"/>
  <c r="AH100" i="2"/>
  <c r="AK99" i="2"/>
  <c r="AJ100" i="2"/>
  <c r="R102" i="2"/>
  <c r="U101" i="2"/>
  <c r="E106" i="2"/>
  <c r="S103" i="2" l="1"/>
  <c r="CE103" i="2"/>
  <c r="ES102" i="2"/>
  <c r="EP103" i="2"/>
  <c r="EC102" i="2"/>
  <c r="DZ103" i="2"/>
  <c r="FH103" i="2"/>
  <c r="EA103" i="2"/>
  <c r="BQ102" i="2"/>
  <c r="BN103" i="2"/>
  <c r="CW102" i="2"/>
  <c r="CT103" i="2"/>
  <c r="FF103" i="2"/>
  <c r="FI102" i="2"/>
  <c r="DL103" i="2"/>
  <c r="ER103" i="2"/>
  <c r="FC104" i="2"/>
  <c r="DX104" i="2"/>
  <c r="FD104" i="2"/>
  <c r="EN104" i="2"/>
  <c r="EM104" i="2"/>
  <c r="DG104" i="2"/>
  <c r="CQ104" i="2"/>
  <c r="DW104" i="2"/>
  <c r="DH104" i="2"/>
  <c r="BL104" i="2"/>
  <c r="AU104" i="2"/>
  <c r="CA104" i="2"/>
  <c r="AE104" i="2"/>
  <c r="CR104" i="2"/>
  <c r="CB104" i="2"/>
  <c r="BK104" i="2"/>
  <c r="AV104" i="2"/>
  <c r="AF104" i="2"/>
  <c r="P104" i="2"/>
  <c r="O104" i="2"/>
  <c r="FB104" i="2"/>
  <c r="FG104" i="2" s="1"/>
  <c r="FE104" i="2"/>
  <c r="ET104" i="2"/>
  <c r="EO104" i="2"/>
  <c r="FA104" i="2"/>
  <c r="EU104" i="2"/>
  <c r="DY104" i="2"/>
  <c r="EK104" i="2"/>
  <c r="EE104" i="2"/>
  <c r="EL104" i="2"/>
  <c r="EQ104" i="2" s="1"/>
  <c r="DU104" i="2"/>
  <c r="DO104" i="2"/>
  <c r="DN104" i="2"/>
  <c r="DF104" i="2"/>
  <c r="DK104" i="2" s="1"/>
  <c r="CO104" i="2"/>
  <c r="CI104" i="2"/>
  <c r="BY104" i="2"/>
  <c r="DV104" i="2"/>
  <c r="EB104" i="2" s="1"/>
  <c r="DI104" i="2"/>
  <c r="CX104" i="2"/>
  <c r="CP104" i="2"/>
  <c r="CU104" i="2" s="1"/>
  <c r="BZ104" i="2"/>
  <c r="CF104" i="2" s="1"/>
  <c r="CS104" i="2"/>
  <c r="CH104" i="2"/>
  <c r="CC104" i="2"/>
  <c r="ED104" i="2"/>
  <c r="BR104" i="2"/>
  <c r="DE104" i="2"/>
  <c r="CY104" i="2"/>
  <c r="BM104" i="2"/>
  <c r="AS104" i="2"/>
  <c r="BC104" i="2"/>
  <c r="AT104" i="2"/>
  <c r="BI104" i="2"/>
  <c r="AM104" i="2"/>
  <c r="BS104" i="2"/>
  <c r="BJ104" i="2"/>
  <c r="BP104" i="2" s="1"/>
  <c r="BB104" i="2"/>
  <c r="AW104" i="2"/>
  <c r="AL104" i="2"/>
  <c r="AG104" i="2"/>
  <c r="CG102" i="2"/>
  <c r="CD103" i="2"/>
  <c r="DJ103" i="2"/>
  <c r="DM102" i="2"/>
  <c r="T103" i="2"/>
  <c r="AI101" i="2"/>
  <c r="AI102" i="2" s="1"/>
  <c r="AD104" i="2"/>
  <c r="W104" i="2"/>
  <c r="AC104" i="2"/>
  <c r="V104" i="2"/>
  <c r="N104" i="2"/>
  <c r="A105" i="2"/>
  <c r="M104" i="2"/>
  <c r="F104" i="2"/>
  <c r="G104" i="2"/>
  <c r="Q104" i="2"/>
  <c r="AK100" i="2"/>
  <c r="AH101" i="2"/>
  <c r="AJ101" i="2"/>
  <c r="R103" i="2"/>
  <c r="U102" i="2"/>
  <c r="E107" i="2"/>
  <c r="CD104" i="2" l="1"/>
  <c r="CG103" i="2"/>
  <c r="DL104" i="2"/>
  <c r="FF104" i="2"/>
  <c r="FI103" i="2"/>
  <c r="BQ103" i="2"/>
  <c r="BN104" i="2"/>
  <c r="CV104" i="2"/>
  <c r="CE104" i="2"/>
  <c r="EA104" i="2"/>
  <c r="CW103" i="2"/>
  <c r="CT104" i="2"/>
  <c r="FH104" i="2"/>
  <c r="EP104" i="2"/>
  <c r="ES103" i="2"/>
  <c r="DM103" i="2"/>
  <c r="DJ104" i="2"/>
  <c r="FD105" i="2"/>
  <c r="EN105" i="2"/>
  <c r="FC105" i="2"/>
  <c r="DX105" i="2"/>
  <c r="DW105" i="2"/>
  <c r="DG105" i="2"/>
  <c r="CQ105" i="2"/>
  <c r="BK105" i="2"/>
  <c r="AF105" i="2"/>
  <c r="BL105" i="2"/>
  <c r="AU105" i="2"/>
  <c r="P105" i="2"/>
  <c r="AE105" i="2"/>
  <c r="EM105" i="2"/>
  <c r="CR105" i="2"/>
  <c r="AV105" i="2"/>
  <c r="DH105" i="2"/>
  <c r="CB105" i="2"/>
  <c r="CA105" i="2"/>
  <c r="O105" i="2"/>
  <c r="FE105" i="2"/>
  <c r="ET105" i="2"/>
  <c r="EO105" i="2"/>
  <c r="FB105" i="2"/>
  <c r="FG105" i="2" s="1"/>
  <c r="ED105" i="2"/>
  <c r="DV105" i="2"/>
  <c r="EB105" i="2" s="1"/>
  <c r="DY105" i="2"/>
  <c r="EK105" i="2"/>
  <c r="EE105" i="2"/>
  <c r="EL105" i="2"/>
  <c r="EQ105" i="2" s="1"/>
  <c r="DU105" i="2"/>
  <c r="DO105" i="2"/>
  <c r="DE105" i="2"/>
  <c r="CY105" i="2"/>
  <c r="BM105" i="2"/>
  <c r="DN105" i="2"/>
  <c r="DF105" i="2"/>
  <c r="DK105" i="2" s="1"/>
  <c r="CO105" i="2"/>
  <c r="CI105" i="2"/>
  <c r="BY105" i="2"/>
  <c r="DI105" i="2"/>
  <c r="CX105" i="2"/>
  <c r="CP105" i="2"/>
  <c r="CU105" i="2" s="1"/>
  <c r="BZ105" i="2"/>
  <c r="CF105" i="2" s="1"/>
  <c r="FA105" i="2"/>
  <c r="EU105" i="2"/>
  <c r="CS105" i="2"/>
  <c r="BS105" i="2"/>
  <c r="CC105" i="2"/>
  <c r="BR105" i="2"/>
  <c r="CH105" i="2"/>
  <c r="BJ105" i="2"/>
  <c r="BP105" i="2" s="1"/>
  <c r="BB105" i="2"/>
  <c r="AW105" i="2"/>
  <c r="AS105" i="2"/>
  <c r="BC105" i="2"/>
  <c r="AT105" i="2"/>
  <c r="BI105" i="2"/>
  <c r="AM105" i="2"/>
  <c r="AL105" i="2"/>
  <c r="AG105" i="2"/>
  <c r="ER104" i="2"/>
  <c r="ER105" i="2" s="1"/>
  <c r="DZ104" i="2"/>
  <c r="EC103" i="2"/>
  <c r="BO104" i="2"/>
  <c r="BO105" i="2" s="1"/>
  <c r="T104" i="2"/>
  <c r="AC105" i="2"/>
  <c r="V105" i="2"/>
  <c r="AD105" i="2"/>
  <c r="W105" i="2"/>
  <c r="G105" i="2"/>
  <c r="F105" i="2"/>
  <c r="Q105" i="2"/>
  <c r="A106" i="2"/>
  <c r="M105" i="2"/>
  <c r="N105" i="2"/>
  <c r="S104" i="2"/>
  <c r="AI103" i="2"/>
  <c r="AK101" i="2"/>
  <c r="AH102" i="2"/>
  <c r="AJ102" i="2"/>
  <c r="R104" i="2"/>
  <c r="U103" i="2"/>
  <c r="E108" i="2"/>
  <c r="CW104" i="2" l="1"/>
  <c r="CT105" i="2"/>
  <c r="CE105" i="2"/>
  <c r="CV105" i="2"/>
  <c r="DZ105" i="2"/>
  <c r="EC104" i="2"/>
  <c r="FF105" i="2"/>
  <c r="FI104" i="2"/>
  <c r="CG104" i="2"/>
  <c r="CD105" i="2"/>
  <c r="FC106" i="2"/>
  <c r="FD106" i="2"/>
  <c r="EM106" i="2"/>
  <c r="EN106" i="2"/>
  <c r="DH106" i="2"/>
  <c r="DW106" i="2"/>
  <c r="DX106" i="2"/>
  <c r="CR106" i="2"/>
  <c r="CB106" i="2"/>
  <c r="AV106" i="2"/>
  <c r="DG106" i="2"/>
  <c r="CQ106" i="2"/>
  <c r="BK106" i="2"/>
  <c r="AF106" i="2"/>
  <c r="CA106" i="2"/>
  <c r="O106" i="2"/>
  <c r="P106" i="2"/>
  <c r="AU106" i="2"/>
  <c r="BL106" i="2"/>
  <c r="AE106" i="2"/>
  <c r="FB106" i="2"/>
  <c r="FG106" i="2" s="1"/>
  <c r="FE106" i="2"/>
  <c r="FA106" i="2"/>
  <c r="EU106" i="2"/>
  <c r="ET106" i="2"/>
  <c r="EL106" i="2"/>
  <c r="EQ106" i="2" s="1"/>
  <c r="DU106" i="2"/>
  <c r="DO106" i="2"/>
  <c r="EO106" i="2"/>
  <c r="ER106" i="2" s="1"/>
  <c r="ED106" i="2"/>
  <c r="DV106" i="2"/>
  <c r="EB106" i="2" s="1"/>
  <c r="DY106" i="2"/>
  <c r="CS106" i="2"/>
  <c r="CH106" i="2"/>
  <c r="CC106" i="2"/>
  <c r="DE106" i="2"/>
  <c r="CY106" i="2"/>
  <c r="BM106" i="2"/>
  <c r="BS106" i="2"/>
  <c r="EE106" i="2"/>
  <c r="DN106" i="2"/>
  <c r="DF106" i="2"/>
  <c r="DK106" i="2" s="1"/>
  <c r="CO106" i="2"/>
  <c r="CI106" i="2"/>
  <c r="BY106" i="2"/>
  <c r="EK106" i="2"/>
  <c r="CP106" i="2"/>
  <c r="CU106" i="2" s="1"/>
  <c r="CX106" i="2"/>
  <c r="BZ106" i="2"/>
  <c r="CF106" i="2" s="1"/>
  <c r="DI106" i="2"/>
  <c r="BR106" i="2"/>
  <c r="BI106" i="2"/>
  <c r="AM106" i="2"/>
  <c r="BJ106" i="2"/>
  <c r="BP106" i="2" s="1"/>
  <c r="BB106" i="2"/>
  <c r="AW106" i="2"/>
  <c r="AS106" i="2"/>
  <c r="BC106" i="2"/>
  <c r="AT106" i="2"/>
  <c r="AL106" i="2"/>
  <c r="AG106" i="2"/>
  <c r="DM104" i="2"/>
  <c r="DJ105" i="2"/>
  <c r="ES104" i="2"/>
  <c r="EP105" i="2"/>
  <c r="FH105" i="2"/>
  <c r="FH106" i="2" s="1"/>
  <c r="EA105" i="2"/>
  <c r="EA106" i="2" s="1"/>
  <c r="BN105" i="2"/>
  <c r="BQ104" i="2"/>
  <c r="DL105" i="2"/>
  <c r="DL106" i="2" s="1"/>
  <c r="S105" i="2"/>
  <c r="T105" i="2"/>
  <c r="AC106" i="2"/>
  <c r="V106" i="2"/>
  <c r="AD106" i="2"/>
  <c r="W106" i="2"/>
  <c r="A107" i="2"/>
  <c r="Q106" i="2"/>
  <c r="M106" i="2"/>
  <c r="N106" i="2"/>
  <c r="F106" i="2"/>
  <c r="G106" i="2"/>
  <c r="AJ103" i="2"/>
  <c r="AH103" i="2"/>
  <c r="AK102" i="2"/>
  <c r="AI104" i="2"/>
  <c r="R105" i="2"/>
  <c r="U104" i="2"/>
  <c r="E109" i="2"/>
  <c r="FF106" i="2" l="1"/>
  <c r="FI105" i="2"/>
  <c r="BO106" i="2"/>
  <c r="EP106" i="2"/>
  <c r="ES105" i="2"/>
  <c r="CG105" i="2"/>
  <c r="CD106" i="2"/>
  <c r="CT106" i="2"/>
  <c r="CW105" i="2"/>
  <c r="CV106" i="2"/>
  <c r="CE106" i="2"/>
  <c r="FC107" i="2"/>
  <c r="FD107" i="2"/>
  <c r="EM107" i="2"/>
  <c r="DX107" i="2"/>
  <c r="DG107" i="2"/>
  <c r="EN107" i="2"/>
  <c r="DH107" i="2"/>
  <c r="CR107" i="2"/>
  <c r="DW107" i="2"/>
  <c r="CA107" i="2"/>
  <c r="CB107" i="2"/>
  <c r="AV107" i="2"/>
  <c r="BL107" i="2"/>
  <c r="AU107" i="2"/>
  <c r="CQ107" i="2"/>
  <c r="O107" i="2"/>
  <c r="BK107" i="2"/>
  <c r="P107" i="2"/>
  <c r="AF107" i="2"/>
  <c r="AE107" i="2"/>
  <c r="FB107" i="2"/>
  <c r="FH107" i="2" s="1"/>
  <c r="FE107" i="2"/>
  <c r="EO107" i="2"/>
  <c r="FA107" i="2"/>
  <c r="EU107" i="2"/>
  <c r="EK107" i="2"/>
  <c r="EE107" i="2"/>
  <c r="EL107" i="2"/>
  <c r="ER107" i="2" s="1"/>
  <c r="DU107" i="2"/>
  <c r="DO107" i="2"/>
  <c r="ET107" i="2"/>
  <c r="ED107" i="2"/>
  <c r="DV107" i="2"/>
  <c r="EB107" i="2" s="1"/>
  <c r="DI107" i="2"/>
  <c r="CX107" i="2"/>
  <c r="CP107" i="2"/>
  <c r="CU107" i="2" s="1"/>
  <c r="BZ107" i="2"/>
  <c r="CF107" i="2" s="1"/>
  <c r="CS107" i="2"/>
  <c r="CH107" i="2"/>
  <c r="CC107" i="2"/>
  <c r="DE107" i="2"/>
  <c r="CY107" i="2"/>
  <c r="BM107" i="2"/>
  <c r="BS107" i="2"/>
  <c r="DY107" i="2"/>
  <c r="DN107" i="2"/>
  <c r="DF107" i="2"/>
  <c r="DK107" i="2" s="1"/>
  <c r="CI107" i="2"/>
  <c r="CO107" i="2"/>
  <c r="BY107" i="2"/>
  <c r="BC107" i="2"/>
  <c r="AT107" i="2"/>
  <c r="BR107" i="2"/>
  <c r="BI107" i="2"/>
  <c r="AM107" i="2"/>
  <c r="BJ107" i="2"/>
  <c r="BP107" i="2" s="1"/>
  <c r="BB107" i="2"/>
  <c r="AW107" i="2"/>
  <c r="AS107" i="2"/>
  <c r="AL107" i="2"/>
  <c r="AG107" i="2"/>
  <c r="BQ105" i="2"/>
  <c r="BN106" i="2"/>
  <c r="DJ106" i="2"/>
  <c r="DM105" i="2"/>
  <c r="EC105" i="2"/>
  <c r="DZ106" i="2"/>
  <c r="AC107" i="2"/>
  <c r="W107" i="2"/>
  <c r="AD107" i="2"/>
  <c r="V107" i="2"/>
  <c r="N107" i="2"/>
  <c r="M107" i="2"/>
  <c r="F107" i="2"/>
  <c r="G107" i="2"/>
  <c r="A108" i="2"/>
  <c r="Q107" i="2"/>
  <c r="T106" i="2"/>
  <c r="S106" i="2"/>
  <c r="AI105" i="2"/>
  <c r="AH104" i="2"/>
  <c r="AK103" i="2"/>
  <c r="AJ104" i="2"/>
  <c r="AJ105" i="2" s="1"/>
  <c r="R106" i="2"/>
  <c r="U105" i="2"/>
  <c r="E110" i="2"/>
  <c r="DM106" i="2" l="1"/>
  <c r="DJ107" i="2"/>
  <c r="CV107" i="2"/>
  <c r="EA107" i="2"/>
  <c r="EQ107" i="2"/>
  <c r="BN107" i="2"/>
  <c r="BQ106" i="2"/>
  <c r="DL107" i="2"/>
  <c r="FF107" i="2"/>
  <c r="FI106" i="2"/>
  <c r="DZ107" i="2"/>
  <c r="EC106" i="2"/>
  <c r="CT107" i="2"/>
  <c r="CW106" i="2"/>
  <c r="CG106" i="2"/>
  <c r="CD107" i="2"/>
  <c r="EP107" i="2"/>
  <c r="ES106" i="2"/>
  <c r="BO107" i="2"/>
  <c r="FG107" i="2"/>
  <c r="FC108" i="2"/>
  <c r="FD108" i="2"/>
  <c r="DX108" i="2"/>
  <c r="EM108" i="2"/>
  <c r="DG108" i="2"/>
  <c r="CQ108" i="2"/>
  <c r="BL108" i="2"/>
  <c r="AU108" i="2"/>
  <c r="DW108" i="2"/>
  <c r="CR108" i="2"/>
  <c r="CA108" i="2"/>
  <c r="DH108" i="2"/>
  <c r="CB108" i="2"/>
  <c r="BK108" i="2"/>
  <c r="AV108" i="2"/>
  <c r="AF108" i="2"/>
  <c r="AE108" i="2"/>
  <c r="EN108" i="2"/>
  <c r="P108" i="2"/>
  <c r="O108" i="2"/>
  <c r="FB108" i="2"/>
  <c r="FH108" i="2" s="1"/>
  <c r="ET108" i="2"/>
  <c r="FE108" i="2"/>
  <c r="EO108" i="2"/>
  <c r="FA108" i="2"/>
  <c r="EU108" i="2"/>
  <c r="DY108" i="2"/>
  <c r="EK108" i="2"/>
  <c r="EE108" i="2"/>
  <c r="EL108" i="2"/>
  <c r="ER108" i="2" s="1"/>
  <c r="DU108" i="2"/>
  <c r="DO108" i="2"/>
  <c r="ED108" i="2"/>
  <c r="DN108" i="2"/>
  <c r="DF108" i="2"/>
  <c r="DK108" i="2" s="1"/>
  <c r="CO108" i="2"/>
  <c r="CI108" i="2"/>
  <c r="BY108" i="2"/>
  <c r="DI108" i="2"/>
  <c r="CX108" i="2"/>
  <c r="CP108" i="2"/>
  <c r="CU108" i="2" s="1"/>
  <c r="BZ108" i="2"/>
  <c r="CF108" i="2" s="1"/>
  <c r="DV108" i="2"/>
  <c r="EB108" i="2" s="1"/>
  <c r="CS108" i="2"/>
  <c r="CH108" i="2"/>
  <c r="CC108" i="2"/>
  <c r="BS108" i="2"/>
  <c r="DE108" i="2"/>
  <c r="CY108" i="2"/>
  <c r="AS108" i="2"/>
  <c r="BC108" i="2"/>
  <c r="AT108" i="2"/>
  <c r="BM108" i="2"/>
  <c r="BR108" i="2"/>
  <c r="BI108" i="2"/>
  <c r="AM108" i="2"/>
  <c r="BJ108" i="2"/>
  <c r="BP108" i="2" s="1"/>
  <c r="BB108" i="2"/>
  <c r="AW108" i="2"/>
  <c r="AL108" i="2"/>
  <c r="AG108" i="2"/>
  <c r="CE107" i="2"/>
  <c r="CE108" i="2" s="1"/>
  <c r="S107" i="2"/>
  <c r="T107" i="2"/>
  <c r="V108" i="2"/>
  <c r="AC108" i="2"/>
  <c r="W108" i="2"/>
  <c r="AD108" i="2"/>
  <c r="Q108" i="2"/>
  <c r="M108" i="2"/>
  <c r="N108" i="2"/>
  <c r="F108" i="2"/>
  <c r="G108" i="2"/>
  <c r="A109" i="2"/>
  <c r="AK104" i="2"/>
  <c r="AH105" i="2"/>
  <c r="R107" i="2"/>
  <c r="U106" i="2"/>
  <c r="E111" i="2"/>
  <c r="ER109" i="2" l="1"/>
  <c r="FD109" i="2"/>
  <c r="EN109" i="2"/>
  <c r="EM109" i="2"/>
  <c r="DX109" i="2"/>
  <c r="DW109" i="2"/>
  <c r="FC109" i="2"/>
  <c r="DH109" i="2"/>
  <c r="DG109" i="2"/>
  <c r="BK109" i="2"/>
  <c r="AF109" i="2"/>
  <c r="BL109" i="2"/>
  <c r="AU109" i="2"/>
  <c r="CR109" i="2"/>
  <c r="P109" i="2"/>
  <c r="CB109" i="2"/>
  <c r="CA109" i="2"/>
  <c r="AV109" i="2"/>
  <c r="AE109" i="2"/>
  <c r="CQ109" i="2"/>
  <c r="O109" i="2"/>
  <c r="FE109" i="2"/>
  <c r="FB109" i="2"/>
  <c r="FH109" i="2" s="1"/>
  <c r="ET109" i="2"/>
  <c r="EO109" i="2"/>
  <c r="FA109" i="2"/>
  <c r="EU109" i="2"/>
  <c r="ED109" i="2"/>
  <c r="DV109" i="2"/>
  <c r="EB109" i="2" s="1"/>
  <c r="DY109" i="2"/>
  <c r="EK109" i="2"/>
  <c r="EE109" i="2"/>
  <c r="DE109" i="2"/>
  <c r="CY109" i="2"/>
  <c r="BM109" i="2"/>
  <c r="EL109" i="2"/>
  <c r="DU109" i="2"/>
  <c r="DO109" i="2"/>
  <c r="DN109" i="2"/>
  <c r="DF109" i="2"/>
  <c r="DK109" i="2" s="1"/>
  <c r="CO109" i="2"/>
  <c r="CI109" i="2"/>
  <c r="BY109" i="2"/>
  <c r="DI109" i="2"/>
  <c r="CX109" i="2"/>
  <c r="CP109" i="2"/>
  <c r="CU109" i="2" s="1"/>
  <c r="BZ109" i="2"/>
  <c r="CF109" i="2" s="1"/>
  <c r="CS109" i="2"/>
  <c r="CC109" i="2"/>
  <c r="BS109" i="2"/>
  <c r="BJ109" i="2"/>
  <c r="BP109" i="2" s="1"/>
  <c r="BB109" i="2"/>
  <c r="AW109" i="2"/>
  <c r="AS109" i="2"/>
  <c r="BC109" i="2"/>
  <c r="AT109" i="2"/>
  <c r="CH109" i="2"/>
  <c r="BR109" i="2"/>
  <c r="BI109" i="2"/>
  <c r="AM109" i="2"/>
  <c r="AL109" i="2"/>
  <c r="AG109" i="2"/>
  <c r="CE109" i="2"/>
  <c r="BO108" i="2"/>
  <c r="BO109" i="2" s="1"/>
  <c r="DZ108" i="2"/>
  <c r="EC107" i="2"/>
  <c r="FF108" i="2"/>
  <c r="FI107" i="2"/>
  <c r="BN108" i="2"/>
  <c r="BQ107" i="2"/>
  <c r="CV108" i="2"/>
  <c r="CV109" i="2" s="1"/>
  <c r="FG108" i="2"/>
  <c r="FG109" i="2" s="1"/>
  <c r="CD108" i="2"/>
  <c r="CG107" i="2"/>
  <c r="DL108" i="2"/>
  <c r="DL109" i="2" s="1"/>
  <c r="EQ108" i="2"/>
  <c r="EQ109" i="2" s="1"/>
  <c r="EA108" i="2"/>
  <c r="EA109" i="2" s="1"/>
  <c r="DM107" i="2"/>
  <c r="DJ108" i="2"/>
  <c r="EP108" i="2"/>
  <c r="ES107" i="2"/>
  <c r="CW107" i="2"/>
  <c r="CT108" i="2"/>
  <c r="AD109" i="2"/>
  <c r="W109" i="2"/>
  <c r="V109" i="2"/>
  <c r="AC109" i="2"/>
  <c r="Q109" i="2"/>
  <c r="F109" i="2"/>
  <c r="M109" i="2"/>
  <c r="G109" i="2"/>
  <c r="N109" i="2"/>
  <c r="A110" i="2"/>
  <c r="T108" i="2"/>
  <c r="S108" i="2"/>
  <c r="AI106" i="2"/>
  <c r="AH106" i="2"/>
  <c r="AK105" i="2"/>
  <c r="AJ106" i="2"/>
  <c r="R108" i="2"/>
  <c r="U107" i="2"/>
  <c r="E112" i="2"/>
  <c r="ES108" i="2" l="1"/>
  <c r="EP109" i="2"/>
  <c r="EC108" i="2"/>
  <c r="DZ109" i="2"/>
  <c r="CW108" i="2"/>
  <c r="CT109" i="2"/>
  <c r="DM108" i="2"/>
  <c r="DJ109" i="2"/>
  <c r="FF109" i="2"/>
  <c r="FI108" i="2"/>
  <c r="CD109" i="2"/>
  <c r="CG108" i="2"/>
  <c r="FC110" i="2"/>
  <c r="FD110" i="2"/>
  <c r="EM110" i="2"/>
  <c r="EN110" i="2"/>
  <c r="DH110" i="2"/>
  <c r="DX110" i="2"/>
  <c r="DW110" i="2"/>
  <c r="DG110" i="2"/>
  <c r="CQ110" i="2"/>
  <c r="CB110" i="2"/>
  <c r="AV110" i="2"/>
  <c r="BK110" i="2"/>
  <c r="AF110" i="2"/>
  <c r="O110" i="2"/>
  <c r="CR110" i="2"/>
  <c r="BL110" i="2"/>
  <c r="BO110" i="2" s="1"/>
  <c r="AU110" i="2"/>
  <c r="P110" i="2"/>
  <c r="CA110" i="2"/>
  <c r="AE110" i="2"/>
  <c r="FB110" i="2"/>
  <c r="FH110" i="2" s="1"/>
  <c r="FE110" i="2"/>
  <c r="FA110" i="2"/>
  <c r="EU110" i="2"/>
  <c r="ET110" i="2"/>
  <c r="EL110" i="2"/>
  <c r="EQ110" i="2" s="1"/>
  <c r="DU110" i="2"/>
  <c r="DO110" i="2"/>
  <c r="ED110" i="2"/>
  <c r="DV110" i="2"/>
  <c r="EB110" i="2" s="1"/>
  <c r="EO110" i="2"/>
  <c r="DY110" i="2"/>
  <c r="EK110" i="2"/>
  <c r="CS110" i="2"/>
  <c r="CV110" i="2" s="1"/>
  <c r="CH110" i="2"/>
  <c r="CC110" i="2"/>
  <c r="DE110" i="2"/>
  <c r="CY110" i="2"/>
  <c r="BM110" i="2"/>
  <c r="BS110" i="2"/>
  <c r="DN110" i="2"/>
  <c r="DF110" i="2"/>
  <c r="DL110" i="2" s="1"/>
  <c r="CO110" i="2"/>
  <c r="CI110" i="2"/>
  <c r="BY110" i="2"/>
  <c r="EE110" i="2"/>
  <c r="CP110" i="2"/>
  <c r="CU110" i="2" s="1"/>
  <c r="CX110" i="2"/>
  <c r="BZ110" i="2"/>
  <c r="CF110" i="2" s="1"/>
  <c r="DI110" i="2"/>
  <c r="BR110" i="2"/>
  <c r="BI110" i="2"/>
  <c r="AM110" i="2"/>
  <c r="BJ110" i="2"/>
  <c r="BP110" i="2" s="1"/>
  <c r="BB110" i="2"/>
  <c r="AW110" i="2"/>
  <c r="AS110" i="2"/>
  <c r="BC110" i="2"/>
  <c r="AT110" i="2"/>
  <c r="AL110" i="2"/>
  <c r="AG110" i="2"/>
  <c r="EA110" i="2"/>
  <c r="BQ108" i="2"/>
  <c r="BN109" i="2"/>
  <c r="ER110" i="2"/>
  <c r="T109" i="2"/>
  <c r="S109" i="2"/>
  <c r="AJ107" i="2"/>
  <c r="AJ108" i="2" s="1"/>
  <c r="AC110" i="2"/>
  <c r="V110" i="2"/>
  <c r="W110" i="2"/>
  <c r="AD110" i="2"/>
  <c r="M110" i="2"/>
  <c r="F110" i="2"/>
  <c r="A111" i="2"/>
  <c r="Q110" i="2"/>
  <c r="N110" i="2"/>
  <c r="G110" i="2"/>
  <c r="AI107" i="2"/>
  <c r="AK106" i="2"/>
  <c r="AH107" i="2"/>
  <c r="R109" i="2"/>
  <c r="U108" i="2"/>
  <c r="E113" i="2"/>
  <c r="BQ109" i="2" l="1"/>
  <c r="BN110" i="2"/>
  <c r="CE110" i="2"/>
  <c r="DM109" i="2"/>
  <c r="DJ110" i="2"/>
  <c r="ES109" i="2"/>
  <c r="EP110" i="2"/>
  <c r="DK110" i="2"/>
  <c r="FG110" i="2"/>
  <c r="FF110" i="2"/>
  <c r="FI109" i="2"/>
  <c r="CW109" i="2"/>
  <c r="CT110" i="2"/>
  <c r="EC109" i="2"/>
  <c r="DZ110" i="2"/>
  <c r="FC111" i="2"/>
  <c r="FD111" i="2"/>
  <c r="EM111" i="2"/>
  <c r="EN111" i="2"/>
  <c r="DG111" i="2"/>
  <c r="DH111" i="2"/>
  <c r="DW111" i="2"/>
  <c r="CR111" i="2"/>
  <c r="DX111" i="2"/>
  <c r="CA111" i="2"/>
  <c r="CQ111" i="2"/>
  <c r="CB111" i="2"/>
  <c r="AV111" i="2"/>
  <c r="AU111" i="2"/>
  <c r="BK111" i="2"/>
  <c r="AF111" i="2"/>
  <c r="O111" i="2"/>
  <c r="BL111" i="2"/>
  <c r="AE111" i="2"/>
  <c r="P111" i="2"/>
  <c r="FB111" i="2"/>
  <c r="FH111" i="2" s="1"/>
  <c r="FE111" i="2"/>
  <c r="EO111" i="2"/>
  <c r="FA111" i="2"/>
  <c r="EU111" i="2"/>
  <c r="EK111" i="2"/>
  <c r="EE111" i="2"/>
  <c r="EL111" i="2"/>
  <c r="ER111" i="2" s="1"/>
  <c r="DU111" i="2"/>
  <c r="DO111" i="2"/>
  <c r="ED111" i="2"/>
  <c r="DV111" i="2"/>
  <c r="EB111" i="2" s="1"/>
  <c r="DY111" i="2"/>
  <c r="DI111" i="2"/>
  <c r="CX111" i="2"/>
  <c r="CP111" i="2"/>
  <c r="CV111" i="2" s="1"/>
  <c r="BZ111" i="2"/>
  <c r="CF111" i="2" s="1"/>
  <c r="CS111" i="2"/>
  <c r="CH111" i="2"/>
  <c r="CC111" i="2"/>
  <c r="ET111" i="2"/>
  <c r="DE111" i="2"/>
  <c r="CY111" i="2"/>
  <c r="BM111" i="2"/>
  <c r="BS111" i="2"/>
  <c r="DN111" i="2"/>
  <c r="DF111" i="2"/>
  <c r="DL111" i="2" s="1"/>
  <c r="CI111" i="2"/>
  <c r="CO111" i="2"/>
  <c r="BC111" i="2"/>
  <c r="AT111" i="2"/>
  <c r="BY111" i="2"/>
  <c r="BR111" i="2"/>
  <c r="BI111" i="2"/>
  <c r="AM111" i="2"/>
  <c r="BJ111" i="2"/>
  <c r="BO111" i="2" s="1"/>
  <c r="BB111" i="2"/>
  <c r="AW111" i="2"/>
  <c r="AS111" i="2"/>
  <c r="AL111" i="2"/>
  <c r="AG111" i="2"/>
  <c r="EA111" i="2"/>
  <c r="CG109" i="2"/>
  <c r="CD110" i="2"/>
  <c r="AD111" i="2"/>
  <c r="V111" i="2"/>
  <c r="AC111" i="2"/>
  <c r="W111" i="2"/>
  <c r="M111" i="2"/>
  <c r="N111" i="2"/>
  <c r="F111" i="2"/>
  <c r="G111" i="2"/>
  <c r="A112" i="2"/>
  <c r="Q111" i="2"/>
  <c r="T110" i="2"/>
  <c r="S110" i="2"/>
  <c r="AI108" i="2"/>
  <c r="AK107" i="2"/>
  <c r="AH108" i="2"/>
  <c r="R110" i="2"/>
  <c r="U109" i="2"/>
  <c r="E114" i="2"/>
  <c r="BP111" i="2" l="1"/>
  <c r="CW110" i="2"/>
  <c r="CT111" i="2"/>
  <c r="FF111" i="2"/>
  <c r="FI110" i="2"/>
  <c r="DK111" i="2"/>
  <c r="DM110" i="2"/>
  <c r="DJ111" i="2"/>
  <c r="EQ111" i="2"/>
  <c r="FC112" i="2"/>
  <c r="FD112" i="2"/>
  <c r="DX112" i="2"/>
  <c r="EN112" i="2"/>
  <c r="EM112" i="2"/>
  <c r="DG112" i="2"/>
  <c r="CQ112" i="2"/>
  <c r="DW112" i="2"/>
  <c r="DH112" i="2"/>
  <c r="CR112" i="2"/>
  <c r="BL112" i="2"/>
  <c r="AU112" i="2"/>
  <c r="CA112" i="2"/>
  <c r="AE112" i="2"/>
  <c r="BK112" i="2"/>
  <c r="CB112" i="2"/>
  <c r="AV112" i="2"/>
  <c r="AF112" i="2"/>
  <c r="P112" i="2"/>
  <c r="O112" i="2"/>
  <c r="FB112" i="2"/>
  <c r="FH112" i="2" s="1"/>
  <c r="ET112" i="2"/>
  <c r="EO112" i="2"/>
  <c r="FE112" i="2"/>
  <c r="FA112" i="2"/>
  <c r="EU112" i="2"/>
  <c r="DY112" i="2"/>
  <c r="EK112" i="2"/>
  <c r="EE112" i="2"/>
  <c r="EL112" i="2"/>
  <c r="ER112" i="2" s="1"/>
  <c r="DU112" i="2"/>
  <c r="DO112" i="2"/>
  <c r="DN112" i="2"/>
  <c r="DF112" i="2"/>
  <c r="DL112" i="2" s="1"/>
  <c r="CO112" i="2"/>
  <c r="CI112" i="2"/>
  <c r="BY112" i="2"/>
  <c r="ED112" i="2"/>
  <c r="DI112" i="2"/>
  <c r="CX112" i="2"/>
  <c r="CP112" i="2"/>
  <c r="CV112" i="2" s="1"/>
  <c r="BZ112" i="2"/>
  <c r="CF112" i="2" s="1"/>
  <c r="CS112" i="2"/>
  <c r="CH112" i="2"/>
  <c r="CC112" i="2"/>
  <c r="DV112" i="2"/>
  <c r="EB112" i="2" s="1"/>
  <c r="DE112" i="2"/>
  <c r="CY112" i="2"/>
  <c r="BM112" i="2"/>
  <c r="BS112" i="2"/>
  <c r="AS112" i="2"/>
  <c r="BC112" i="2"/>
  <c r="AT112" i="2"/>
  <c r="BR112" i="2"/>
  <c r="BI112" i="2"/>
  <c r="AM112" i="2"/>
  <c r="BJ112" i="2"/>
  <c r="BO112" i="2" s="1"/>
  <c r="BB112" i="2"/>
  <c r="AW112" i="2"/>
  <c r="AL112" i="2"/>
  <c r="AG112" i="2"/>
  <c r="FG111" i="2"/>
  <c r="FG112" i="2" s="1"/>
  <c r="ES110" i="2"/>
  <c r="EP111" i="2"/>
  <c r="BQ110" i="2"/>
  <c r="BN111" i="2"/>
  <c r="CU111" i="2"/>
  <c r="CU112" i="2" s="1"/>
  <c r="CG110" i="2"/>
  <c r="CD111" i="2"/>
  <c r="EA112" i="2"/>
  <c r="EC110" i="2"/>
  <c r="DZ111" i="2"/>
  <c r="CE111" i="2"/>
  <c r="CE112" i="2" s="1"/>
  <c r="S111" i="2"/>
  <c r="AD112" i="2"/>
  <c r="W112" i="2"/>
  <c r="V112" i="2"/>
  <c r="AC112" i="2"/>
  <c r="Q112" i="2"/>
  <c r="G112" i="2"/>
  <c r="M112" i="2"/>
  <c r="N112" i="2"/>
  <c r="F112" i="2"/>
  <c r="A113" i="2"/>
  <c r="T111" i="2"/>
  <c r="AI109" i="2"/>
  <c r="AK108" i="2"/>
  <c r="AH109" i="2"/>
  <c r="AJ109" i="2"/>
  <c r="R111" i="2"/>
  <c r="U110" i="2"/>
  <c r="E115" i="2"/>
  <c r="CD112" i="2" l="1"/>
  <c r="CG111" i="2"/>
  <c r="EP112" i="2"/>
  <c r="ES111" i="2"/>
  <c r="BP112" i="2"/>
  <c r="FD113" i="2"/>
  <c r="FC113" i="2"/>
  <c r="EN113" i="2"/>
  <c r="DX113" i="2"/>
  <c r="DW113" i="2"/>
  <c r="EM113" i="2"/>
  <c r="DH113" i="2"/>
  <c r="BK113" i="2"/>
  <c r="AF113" i="2"/>
  <c r="CR113" i="2"/>
  <c r="BL113" i="2"/>
  <c r="AU113" i="2"/>
  <c r="P113" i="2"/>
  <c r="AE113" i="2"/>
  <c r="CQ113" i="2"/>
  <c r="AV113" i="2"/>
  <c r="O113" i="2"/>
  <c r="CB113" i="2"/>
  <c r="DG113" i="2"/>
  <c r="CA113" i="2"/>
  <c r="FE113" i="2"/>
  <c r="FB113" i="2"/>
  <c r="FH113" i="2" s="1"/>
  <c r="ET113" i="2"/>
  <c r="EO113" i="2"/>
  <c r="ED113" i="2"/>
  <c r="DV113" i="2"/>
  <c r="EB113" i="2" s="1"/>
  <c r="FA113" i="2"/>
  <c r="EU113" i="2"/>
  <c r="DY113" i="2"/>
  <c r="EK113" i="2"/>
  <c r="EE113" i="2"/>
  <c r="DE113" i="2"/>
  <c r="CY113" i="2"/>
  <c r="BM113" i="2"/>
  <c r="DN113" i="2"/>
  <c r="DF113" i="2"/>
  <c r="DL113" i="2" s="1"/>
  <c r="CO113" i="2"/>
  <c r="CI113" i="2"/>
  <c r="BY113" i="2"/>
  <c r="EL113" i="2"/>
  <c r="ER113" i="2" s="1"/>
  <c r="DU113" i="2"/>
  <c r="DO113" i="2"/>
  <c r="DI113" i="2"/>
  <c r="CX113" i="2"/>
  <c r="CP113" i="2"/>
  <c r="CV113" i="2" s="1"/>
  <c r="BZ113" i="2"/>
  <c r="CF113" i="2" s="1"/>
  <c r="CH113" i="2"/>
  <c r="BS113" i="2"/>
  <c r="CS113" i="2"/>
  <c r="CC113" i="2"/>
  <c r="BJ113" i="2"/>
  <c r="BO113" i="2" s="1"/>
  <c r="BB113" i="2"/>
  <c r="AW113" i="2"/>
  <c r="AS113" i="2"/>
  <c r="BC113" i="2"/>
  <c r="AT113" i="2"/>
  <c r="BR113" i="2"/>
  <c r="BI113" i="2"/>
  <c r="AM113" i="2"/>
  <c r="AL113" i="2"/>
  <c r="AG113" i="2"/>
  <c r="DZ112" i="2"/>
  <c r="EC111" i="2"/>
  <c r="EA113" i="2"/>
  <c r="EQ112" i="2"/>
  <c r="EQ113" i="2" s="1"/>
  <c r="DM111" i="2"/>
  <c r="DJ112" i="2"/>
  <c r="CU113" i="2"/>
  <c r="FF112" i="2"/>
  <c r="FI111" i="2"/>
  <c r="CW111" i="2"/>
  <c r="CT112" i="2"/>
  <c r="BQ111" i="2"/>
  <c r="BN112" i="2"/>
  <c r="DK112" i="2"/>
  <c r="DK113" i="2" s="1"/>
  <c r="S112" i="2"/>
  <c r="T112" i="2"/>
  <c r="AC113" i="2"/>
  <c r="V113" i="2"/>
  <c r="AD113" i="2"/>
  <c r="W113" i="2"/>
  <c r="G113" i="2"/>
  <c r="N113" i="2"/>
  <c r="A114" i="2"/>
  <c r="Q113" i="2"/>
  <c r="F113" i="2"/>
  <c r="M113" i="2"/>
  <c r="AI110" i="2"/>
  <c r="AK109" i="2"/>
  <c r="AH110" i="2"/>
  <c r="AJ110" i="2"/>
  <c r="R112" i="2"/>
  <c r="U111" i="2"/>
  <c r="E116" i="2"/>
  <c r="EC112" i="2" l="1"/>
  <c r="DZ113" i="2"/>
  <c r="CG112" i="2"/>
  <c r="CD113" i="2"/>
  <c r="FF113" i="2"/>
  <c r="FI112" i="2"/>
  <c r="FG113" i="2"/>
  <c r="CW112" i="2"/>
  <c r="CT113" i="2"/>
  <c r="DM112" i="2"/>
  <c r="DJ113" i="2"/>
  <c r="CE113" i="2"/>
  <c r="ES112" i="2"/>
  <c r="EP113" i="2"/>
  <c r="FC114" i="2"/>
  <c r="FD114" i="2"/>
  <c r="EM114" i="2"/>
  <c r="EN114" i="2"/>
  <c r="DH114" i="2"/>
  <c r="DW114" i="2"/>
  <c r="CB114" i="2"/>
  <c r="AV114" i="2"/>
  <c r="DX114" i="2"/>
  <c r="BK114" i="2"/>
  <c r="AF114" i="2"/>
  <c r="DG114" i="2"/>
  <c r="CQ114" i="2"/>
  <c r="CA114" i="2"/>
  <c r="O114" i="2"/>
  <c r="P114" i="2"/>
  <c r="CR114" i="2"/>
  <c r="CU114" i="2" s="1"/>
  <c r="AU114" i="2"/>
  <c r="AE114" i="2"/>
  <c r="BL114" i="2"/>
  <c r="FB114" i="2"/>
  <c r="FH114" i="2" s="1"/>
  <c r="FE114" i="2"/>
  <c r="FA114" i="2"/>
  <c r="EU114" i="2"/>
  <c r="ET114" i="2"/>
  <c r="EL114" i="2"/>
  <c r="ER114" i="2" s="1"/>
  <c r="DU114" i="2"/>
  <c r="DO114" i="2"/>
  <c r="ED114" i="2"/>
  <c r="DV114" i="2"/>
  <c r="EB114" i="2" s="1"/>
  <c r="DY114" i="2"/>
  <c r="EO114" i="2"/>
  <c r="EE114" i="2"/>
  <c r="CS114" i="2"/>
  <c r="CH114" i="2"/>
  <c r="CC114" i="2"/>
  <c r="EK114" i="2"/>
  <c r="DE114" i="2"/>
  <c r="CY114" i="2"/>
  <c r="BM114" i="2"/>
  <c r="BS114" i="2"/>
  <c r="DN114" i="2"/>
  <c r="DF114" i="2"/>
  <c r="DK114" i="2" s="1"/>
  <c r="CO114" i="2"/>
  <c r="CI114" i="2"/>
  <c r="BY114" i="2"/>
  <c r="DI114" i="2"/>
  <c r="CP114" i="2"/>
  <c r="CV114" i="2" s="1"/>
  <c r="CX114" i="2"/>
  <c r="BZ114" i="2"/>
  <c r="CF114" i="2" s="1"/>
  <c r="BR114" i="2"/>
  <c r="BI114" i="2"/>
  <c r="AM114" i="2"/>
  <c r="BJ114" i="2"/>
  <c r="BO114" i="2" s="1"/>
  <c r="BB114" i="2"/>
  <c r="AW114" i="2"/>
  <c r="AS114" i="2"/>
  <c r="BC114" i="2"/>
  <c r="AT114" i="2"/>
  <c r="AL114" i="2"/>
  <c r="AG114" i="2"/>
  <c r="BQ112" i="2"/>
  <c r="BN113" i="2"/>
  <c r="BP113" i="2"/>
  <c r="BP114" i="2" s="1"/>
  <c r="S113" i="2"/>
  <c r="AJ111" i="2"/>
  <c r="T113" i="2"/>
  <c r="V114" i="2"/>
  <c r="AC114" i="2"/>
  <c r="AD114" i="2"/>
  <c r="W114" i="2"/>
  <c r="G114" i="2"/>
  <c r="N114" i="2"/>
  <c r="F114" i="2"/>
  <c r="A115" i="2"/>
  <c r="Q114" i="2"/>
  <c r="M114" i="2"/>
  <c r="AI111" i="2"/>
  <c r="AK110" i="2"/>
  <c r="AH111" i="2"/>
  <c r="R113" i="2"/>
  <c r="U112" i="2"/>
  <c r="E117" i="2"/>
  <c r="BQ113" i="2" l="1"/>
  <c r="BN114" i="2"/>
  <c r="CE114" i="2"/>
  <c r="DJ114" i="2"/>
  <c r="DM113" i="2"/>
  <c r="FF114" i="2"/>
  <c r="FI113" i="2"/>
  <c r="ES113" i="2"/>
  <c r="EP114" i="2"/>
  <c r="FG114" i="2"/>
  <c r="DZ114" i="2"/>
  <c r="EC113" i="2"/>
  <c r="DL114" i="2"/>
  <c r="EA114" i="2"/>
  <c r="CW113" i="2"/>
  <c r="CT114" i="2"/>
  <c r="CD114" i="2"/>
  <c r="CG113" i="2"/>
  <c r="FC115" i="2"/>
  <c r="FD115" i="2"/>
  <c r="EM115" i="2"/>
  <c r="DX115" i="2"/>
  <c r="DG115" i="2"/>
  <c r="DH115" i="2"/>
  <c r="CR115" i="2"/>
  <c r="EN115" i="2"/>
  <c r="CQ115" i="2"/>
  <c r="CA115" i="2"/>
  <c r="CB115" i="2"/>
  <c r="AV115" i="2"/>
  <c r="DW115" i="2"/>
  <c r="BL115" i="2"/>
  <c r="AU115" i="2"/>
  <c r="O115" i="2"/>
  <c r="AF115" i="2"/>
  <c r="BK115" i="2"/>
  <c r="P115" i="2"/>
  <c r="AE115" i="2"/>
  <c r="FB115" i="2"/>
  <c r="FH115" i="2" s="1"/>
  <c r="FE115" i="2"/>
  <c r="EO115" i="2"/>
  <c r="FA115" i="2"/>
  <c r="EU115" i="2"/>
  <c r="ET115" i="2"/>
  <c r="EK115" i="2"/>
  <c r="EE115" i="2"/>
  <c r="EL115" i="2"/>
  <c r="ER115" i="2" s="1"/>
  <c r="DU115" i="2"/>
  <c r="DO115" i="2"/>
  <c r="ED115" i="2"/>
  <c r="DV115" i="2"/>
  <c r="EB115" i="2" s="1"/>
  <c r="DI115" i="2"/>
  <c r="CX115" i="2"/>
  <c r="CP115" i="2"/>
  <c r="CU115" i="2" s="1"/>
  <c r="BZ115" i="2"/>
  <c r="CF115" i="2" s="1"/>
  <c r="DY115" i="2"/>
  <c r="CS115" i="2"/>
  <c r="CH115" i="2"/>
  <c r="CC115" i="2"/>
  <c r="DE115" i="2"/>
  <c r="CY115" i="2"/>
  <c r="BM115" i="2"/>
  <c r="BS115" i="2"/>
  <c r="CO115" i="2"/>
  <c r="DN115" i="2"/>
  <c r="BY115" i="2"/>
  <c r="DF115" i="2"/>
  <c r="DK115" i="2" s="1"/>
  <c r="CI115" i="2"/>
  <c r="BC115" i="2"/>
  <c r="AT115" i="2"/>
  <c r="BR115" i="2"/>
  <c r="BI115" i="2"/>
  <c r="AM115" i="2"/>
  <c r="BJ115" i="2"/>
  <c r="BO115" i="2" s="1"/>
  <c r="BB115" i="2"/>
  <c r="AW115" i="2"/>
  <c r="AS115" i="2"/>
  <c r="AL115" i="2"/>
  <c r="AG115" i="2"/>
  <c r="EQ114" i="2"/>
  <c r="EQ115" i="2" s="1"/>
  <c r="S114" i="2"/>
  <c r="T114" i="2"/>
  <c r="AC115" i="2"/>
  <c r="V115" i="2"/>
  <c r="W115" i="2"/>
  <c r="AD115" i="2"/>
  <c r="G115" i="2"/>
  <c r="A116" i="2"/>
  <c r="Q115" i="2"/>
  <c r="N115" i="2"/>
  <c r="M115" i="2"/>
  <c r="F115" i="2"/>
  <c r="AI112" i="2"/>
  <c r="AH112" i="2"/>
  <c r="AK111" i="2"/>
  <c r="AJ112" i="2"/>
  <c r="AJ113" i="2" s="1"/>
  <c r="R114" i="2"/>
  <c r="U113" i="2"/>
  <c r="E118" i="2"/>
  <c r="DZ115" i="2" l="1"/>
  <c r="EC114" i="2"/>
  <c r="ES114" i="2"/>
  <c r="EP115" i="2"/>
  <c r="FF115" i="2"/>
  <c r="FI114" i="2"/>
  <c r="BQ114" i="2"/>
  <c r="BN115" i="2"/>
  <c r="FC116" i="2"/>
  <c r="DX116" i="2"/>
  <c r="FD116" i="2"/>
  <c r="EN116" i="2"/>
  <c r="DG116" i="2"/>
  <c r="CQ116" i="2"/>
  <c r="BL116" i="2"/>
  <c r="AU116" i="2"/>
  <c r="DH116" i="2"/>
  <c r="CA116" i="2"/>
  <c r="CB116" i="2"/>
  <c r="BK116" i="2"/>
  <c r="AV116" i="2"/>
  <c r="AF116" i="2"/>
  <c r="AE116" i="2"/>
  <c r="DW116" i="2"/>
  <c r="CR116" i="2"/>
  <c r="EM116" i="2"/>
  <c r="P116" i="2"/>
  <c r="O116" i="2"/>
  <c r="FB116" i="2"/>
  <c r="FH116" i="2" s="1"/>
  <c r="ET116" i="2"/>
  <c r="EO116" i="2"/>
  <c r="FA116" i="2"/>
  <c r="EU116" i="2"/>
  <c r="DY116" i="2"/>
  <c r="EK116" i="2"/>
  <c r="EE116" i="2"/>
  <c r="FE116" i="2"/>
  <c r="EL116" i="2"/>
  <c r="EQ116" i="2" s="1"/>
  <c r="DU116" i="2"/>
  <c r="DO116" i="2"/>
  <c r="DV116" i="2"/>
  <c r="EB116" i="2" s="1"/>
  <c r="DN116" i="2"/>
  <c r="DF116" i="2"/>
  <c r="DK116" i="2" s="1"/>
  <c r="CO116" i="2"/>
  <c r="CI116" i="2"/>
  <c r="BY116" i="2"/>
  <c r="DI116" i="2"/>
  <c r="CX116" i="2"/>
  <c r="CP116" i="2"/>
  <c r="CU116" i="2" s="1"/>
  <c r="BZ116" i="2"/>
  <c r="CF116" i="2" s="1"/>
  <c r="ED116" i="2"/>
  <c r="CS116" i="2"/>
  <c r="CH116" i="2"/>
  <c r="CC116" i="2"/>
  <c r="DE116" i="2"/>
  <c r="CY116" i="2"/>
  <c r="BM116" i="2"/>
  <c r="BS116" i="2"/>
  <c r="AS116" i="2"/>
  <c r="BC116" i="2"/>
  <c r="AT116" i="2"/>
  <c r="BR116" i="2"/>
  <c r="BI116" i="2"/>
  <c r="AM116" i="2"/>
  <c r="BJ116" i="2"/>
  <c r="BO116" i="2" s="1"/>
  <c r="BB116" i="2"/>
  <c r="AW116" i="2"/>
  <c r="AL116" i="2"/>
  <c r="AG116" i="2"/>
  <c r="CG114" i="2"/>
  <c r="CD115" i="2"/>
  <c r="EA115" i="2"/>
  <c r="EA116" i="2" s="1"/>
  <c r="BP115" i="2"/>
  <c r="BP116" i="2" s="1"/>
  <c r="CE115" i="2"/>
  <c r="CE116" i="2" s="1"/>
  <c r="DL115" i="2"/>
  <c r="DL116" i="2" s="1"/>
  <c r="FG115" i="2"/>
  <c r="FG116" i="2" s="1"/>
  <c r="CV115" i="2"/>
  <c r="CV116" i="2" s="1"/>
  <c r="CT115" i="2"/>
  <c r="CW114" i="2"/>
  <c r="DM114" i="2"/>
  <c r="DJ115" i="2"/>
  <c r="T115" i="2"/>
  <c r="AD116" i="2"/>
  <c r="W116" i="2"/>
  <c r="AC116" i="2"/>
  <c r="V116" i="2"/>
  <c r="M116" i="2"/>
  <c r="N116" i="2"/>
  <c r="G116" i="2"/>
  <c r="F116" i="2"/>
  <c r="A117" i="2"/>
  <c r="Q116" i="2"/>
  <c r="S115" i="2"/>
  <c r="AI113" i="2"/>
  <c r="AK112" i="2"/>
  <c r="AH113" i="2"/>
  <c r="R115" i="2"/>
  <c r="U114" i="2"/>
  <c r="E119" i="2"/>
  <c r="DK117" i="2" l="1"/>
  <c r="CF117" i="2"/>
  <c r="FD117" i="2"/>
  <c r="FG117" i="2" s="1"/>
  <c r="EN117" i="2"/>
  <c r="FC117" i="2"/>
  <c r="EM117" i="2"/>
  <c r="DX117" i="2"/>
  <c r="DW117" i="2"/>
  <c r="DH117" i="2"/>
  <c r="DG117" i="2"/>
  <c r="CR117" i="2"/>
  <c r="BK117" i="2"/>
  <c r="AF117" i="2"/>
  <c r="CQ117" i="2"/>
  <c r="BL117" i="2"/>
  <c r="AU117" i="2"/>
  <c r="P117" i="2"/>
  <c r="CB117" i="2"/>
  <c r="CA117" i="2"/>
  <c r="AV117" i="2"/>
  <c r="AE117" i="2"/>
  <c r="O117" i="2"/>
  <c r="FE117" i="2"/>
  <c r="ET117" i="2"/>
  <c r="FB117" i="2"/>
  <c r="FH117" i="2" s="1"/>
  <c r="EO117" i="2"/>
  <c r="ED117" i="2"/>
  <c r="DV117" i="2"/>
  <c r="EA117" i="2" s="1"/>
  <c r="DY117" i="2"/>
  <c r="FA117" i="2"/>
  <c r="EU117" i="2"/>
  <c r="EK117" i="2"/>
  <c r="EE117" i="2"/>
  <c r="DE117" i="2"/>
  <c r="CY117" i="2"/>
  <c r="BM117" i="2"/>
  <c r="DN117" i="2"/>
  <c r="DF117" i="2"/>
  <c r="CO117" i="2"/>
  <c r="CI117" i="2"/>
  <c r="BY117" i="2"/>
  <c r="DI117" i="2"/>
  <c r="CX117" i="2"/>
  <c r="CP117" i="2"/>
  <c r="CU117" i="2" s="1"/>
  <c r="BZ117" i="2"/>
  <c r="EL117" i="2"/>
  <c r="EQ117" i="2" s="1"/>
  <c r="DU117" i="2"/>
  <c r="DO117" i="2"/>
  <c r="CS117" i="2"/>
  <c r="CC117" i="2"/>
  <c r="CH117" i="2"/>
  <c r="BS117" i="2"/>
  <c r="BJ117" i="2"/>
  <c r="BO117" i="2" s="1"/>
  <c r="BB117" i="2"/>
  <c r="AW117" i="2"/>
  <c r="AS117" i="2"/>
  <c r="BC117" i="2"/>
  <c r="AT117" i="2"/>
  <c r="BR117" i="2"/>
  <c r="BI117" i="2"/>
  <c r="AM117" i="2"/>
  <c r="AL117" i="2"/>
  <c r="AG117" i="2"/>
  <c r="CT116" i="2"/>
  <c r="CW115" i="2"/>
  <c r="CG115" i="2"/>
  <c r="CD116" i="2"/>
  <c r="DM115" i="2"/>
  <c r="DJ116" i="2"/>
  <c r="DL117" i="2"/>
  <c r="FF116" i="2"/>
  <c r="FI115" i="2"/>
  <c r="EP116" i="2"/>
  <c r="ES115" i="2"/>
  <c r="EC115" i="2"/>
  <c r="DZ116" i="2"/>
  <c r="ER116" i="2"/>
  <c r="ER117" i="2" s="1"/>
  <c r="CV117" i="2"/>
  <c r="CE117" i="2"/>
  <c r="BP117" i="2"/>
  <c r="BN116" i="2"/>
  <c r="BQ115" i="2"/>
  <c r="T116" i="2"/>
  <c r="S116" i="2"/>
  <c r="AD117" i="2"/>
  <c r="W117" i="2"/>
  <c r="AC117" i="2"/>
  <c r="V117" i="2"/>
  <c r="A118" i="2"/>
  <c r="Q117" i="2"/>
  <c r="M117" i="2"/>
  <c r="N117" i="2"/>
  <c r="G117" i="2"/>
  <c r="F117" i="2"/>
  <c r="AI114" i="2"/>
  <c r="AK113" i="2"/>
  <c r="AH114" i="2"/>
  <c r="AJ114" i="2"/>
  <c r="R116" i="2"/>
  <c r="U115" i="2"/>
  <c r="E120" i="2"/>
  <c r="DZ117" i="2" l="1"/>
  <c r="EC116" i="2"/>
  <c r="DJ117" i="2"/>
  <c r="DM116" i="2"/>
  <c r="CT117" i="2"/>
  <c r="CW116" i="2"/>
  <c r="EB117" i="2"/>
  <c r="CV118" i="2"/>
  <c r="FF117" i="2"/>
  <c r="FI116" i="2"/>
  <c r="FC118" i="2"/>
  <c r="FD118" i="2"/>
  <c r="EM118" i="2"/>
  <c r="EN118" i="2"/>
  <c r="DH118" i="2"/>
  <c r="DX118" i="2"/>
  <c r="DW118" i="2"/>
  <c r="DG118" i="2"/>
  <c r="CB118" i="2"/>
  <c r="AV118" i="2"/>
  <c r="CR118" i="2"/>
  <c r="BK118" i="2"/>
  <c r="AF118" i="2"/>
  <c r="O118" i="2"/>
  <c r="CA118" i="2"/>
  <c r="CQ118" i="2"/>
  <c r="BL118" i="2"/>
  <c r="AU118" i="2"/>
  <c r="P118" i="2"/>
  <c r="AE118" i="2"/>
  <c r="FB118" i="2"/>
  <c r="FG118" i="2" s="1"/>
  <c r="FE118" i="2"/>
  <c r="FA118" i="2"/>
  <c r="EU118" i="2"/>
  <c r="ET118" i="2"/>
  <c r="EO118" i="2"/>
  <c r="EL118" i="2"/>
  <c r="EQ118" i="2" s="1"/>
  <c r="DU118" i="2"/>
  <c r="DO118" i="2"/>
  <c r="ED118" i="2"/>
  <c r="DV118" i="2"/>
  <c r="EA118" i="2" s="1"/>
  <c r="DY118" i="2"/>
  <c r="CS118" i="2"/>
  <c r="CH118" i="2"/>
  <c r="CC118" i="2"/>
  <c r="EE118" i="2"/>
  <c r="DE118" i="2"/>
  <c r="CY118" i="2"/>
  <c r="BM118" i="2"/>
  <c r="BS118" i="2"/>
  <c r="EK118" i="2"/>
  <c r="DN118" i="2"/>
  <c r="DF118" i="2"/>
  <c r="DK118" i="2" s="1"/>
  <c r="CO118" i="2"/>
  <c r="CI118" i="2"/>
  <c r="BY118" i="2"/>
  <c r="CX118" i="2"/>
  <c r="DI118" i="2"/>
  <c r="DL118" i="2" s="1"/>
  <c r="CP118" i="2"/>
  <c r="CU118" i="2" s="1"/>
  <c r="BR118" i="2"/>
  <c r="BI118" i="2"/>
  <c r="AM118" i="2"/>
  <c r="BJ118" i="2"/>
  <c r="BO118" i="2" s="1"/>
  <c r="BB118" i="2"/>
  <c r="AW118" i="2"/>
  <c r="AS118" i="2"/>
  <c r="BZ118" i="2"/>
  <c r="CF118" i="2" s="1"/>
  <c r="BC118" i="2"/>
  <c r="AT118" i="2"/>
  <c r="AL118" i="2"/>
  <c r="AG118" i="2"/>
  <c r="BQ116" i="2"/>
  <c r="BN117" i="2"/>
  <c r="ER118" i="2"/>
  <c r="ES116" i="2"/>
  <c r="EP117" i="2"/>
  <c r="CD117" i="2"/>
  <c r="CG116" i="2"/>
  <c r="T117" i="2"/>
  <c r="AC118" i="2"/>
  <c r="V118" i="2"/>
  <c r="AD118" i="2"/>
  <c r="W118" i="2"/>
  <c r="F118" i="2"/>
  <c r="N118" i="2"/>
  <c r="G118" i="2"/>
  <c r="A119" i="2"/>
  <c r="Q118" i="2"/>
  <c r="M118" i="2"/>
  <c r="S117" i="2"/>
  <c r="AJ115" i="2"/>
  <c r="AJ116" i="2" s="1"/>
  <c r="AI115" i="2"/>
  <c r="AK114" i="2"/>
  <c r="AH115" i="2"/>
  <c r="R117" i="2"/>
  <c r="U116" i="2"/>
  <c r="E121" i="2"/>
  <c r="CG117" i="2" l="1"/>
  <c r="CD118" i="2"/>
  <c r="ES117" i="2"/>
  <c r="EP118" i="2"/>
  <c r="CE118" i="2"/>
  <c r="DJ118" i="2"/>
  <c r="DM117" i="2"/>
  <c r="FH118" i="2"/>
  <c r="FC119" i="2"/>
  <c r="FD119" i="2"/>
  <c r="EM119" i="2"/>
  <c r="EN119" i="2"/>
  <c r="DG119" i="2"/>
  <c r="DH119" i="2"/>
  <c r="DX119" i="2"/>
  <c r="DW119" i="2"/>
  <c r="CR119" i="2"/>
  <c r="CA119" i="2"/>
  <c r="CB119" i="2"/>
  <c r="AV119" i="2"/>
  <c r="AU119" i="2"/>
  <c r="BK119" i="2"/>
  <c r="AF119" i="2"/>
  <c r="O119" i="2"/>
  <c r="CQ119" i="2"/>
  <c r="BL119" i="2"/>
  <c r="AE119" i="2"/>
  <c r="P119" i="2"/>
  <c r="FB119" i="2"/>
  <c r="FG119" i="2" s="1"/>
  <c r="FE119" i="2"/>
  <c r="EO119" i="2"/>
  <c r="FA119" i="2"/>
  <c r="EU119" i="2"/>
  <c r="EK119" i="2"/>
  <c r="EE119" i="2"/>
  <c r="ET119" i="2"/>
  <c r="EL119" i="2"/>
  <c r="EQ119" i="2" s="1"/>
  <c r="DU119" i="2"/>
  <c r="DO119" i="2"/>
  <c r="ED119" i="2"/>
  <c r="DV119" i="2"/>
  <c r="EA119" i="2" s="1"/>
  <c r="DI119" i="2"/>
  <c r="CX119" i="2"/>
  <c r="CP119" i="2"/>
  <c r="CU119" i="2" s="1"/>
  <c r="BZ119" i="2"/>
  <c r="CF119" i="2" s="1"/>
  <c r="CS119" i="2"/>
  <c r="CH119" i="2"/>
  <c r="CC119" i="2"/>
  <c r="DY119" i="2"/>
  <c r="DE119" i="2"/>
  <c r="CY119" i="2"/>
  <c r="BM119" i="2"/>
  <c r="BS119" i="2"/>
  <c r="CO119" i="2"/>
  <c r="DN119" i="2"/>
  <c r="BY119" i="2"/>
  <c r="DF119" i="2"/>
  <c r="DL119" i="2" s="1"/>
  <c r="BC119" i="2"/>
  <c r="AT119" i="2"/>
  <c r="CI119" i="2"/>
  <c r="BR119" i="2"/>
  <c r="BI119" i="2"/>
  <c r="AM119" i="2"/>
  <c r="BJ119" i="2"/>
  <c r="BO119" i="2" s="1"/>
  <c r="BB119" i="2"/>
  <c r="AW119" i="2"/>
  <c r="AS119" i="2"/>
  <c r="AL119" i="2"/>
  <c r="AG119" i="2"/>
  <c r="CW117" i="2"/>
  <c r="CT118" i="2"/>
  <c r="EC117" i="2"/>
  <c r="DZ118" i="2"/>
  <c r="BN118" i="2"/>
  <c r="BQ117" i="2"/>
  <c r="FF118" i="2"/>
  <c r="FI117" i="2"/>
  <c r="EB118" i="2"/>
  <c r="EB119" i="2" s="1"/>
  <c r="BP118" i="2"/>
  <c r="BP119" i="2" s="1"/>
  <c r="T118" i="2"/>
  <c r="S118" i="2"/>
  <c r="AD119" i="2"/>
  <c r="AC119" i="2"/>
  <c r="W119" i="2"/>
  <c r="V119" i="2"/>
  <c r="N119" i="2"/>
  <c r="F119" i="2"/>
  <c r="G119" i="2"/>
  <c r="Q119" i="2"/>
  <c r="M119" i="2"/>
  <c r="A120" i="2"/>
  <c r="AI116" i="2"/>
  <c r="AJ117" i="2"/>
  <c r="AH116" i="2"/>
  <c r="AK115" i="2"/>
  <c r="R118" i="2"/>
  <c r="U117" i="2"/>
  <c r="E122" i="2"/>
  <c r="ER119" i="2" l="1"/>
  <c r="DM118" i="2"/>
  <c r="DJ119" i="2"/>
  <c r="CV119" i="2"/>
  <c r="CT119" i="2"/>
  <c r="CW118" i="2"/>
  <c r="CE119" i="2"/>
  <c r="FC120" i="2"/>
  <c r="DX120" i="2"/>
  <c r="EN120" i="2"/>
  <c r="EM120" i="2"/>
  <c r="FD120" i="2"/>
  <c r="DG120" i="2"/>
  <c r="CQ120" i="2"/>
  <c r="DW120" i="2"/>
  <c r="DH120" i="2"/>
  <c r="BL120" i="2"/>
  <c r="AU120" i="2"/>
  <c r="CA120" i="2"/>
  <c r="CR120" i="2"/>
  <c r="AE120" i="2"/>
  <c r="AV120" i="2"/>
  <c r="CB120" i="2"/>
  <c r="BK120" i="2"/>
  <c r="P120" i="2"/>
  <c r="O120" i="2"/>
  <c r="AF120" i="2"/>
  <c r="FB120" i="2"/>
  <c r="FG120" i="2" s="1"/>
  <c r="FE120" i="2"/>
  <c r="ET120" i="2"/>
  <c r="EO120" i="2"/>
  <c r="FA120" i="2"/>
  <c r="EU120" i="2"/>
  <c r="DY120" i="2"/>
  <c r="EK120" i="2"/>
  <c r="EE120" i="2"/>
  <c r="EL120" i="2"/>
  <c r="EQ120" i="2" s="1"/>
  <c r="DU120" i="2"/>
  <c r="DO120" i="2"/>
  <c r="DN120" i="2"/>
  <c r="DF120" i="2"/>
  <c r="DL120" i="2" s="1"/>
  <c r="CO120" i="2"/>
  <c r="CI120" i="2"/>
  <c r="BY120" i="2"/>
  <c r="DV120" i="2"/>
  <c r="EB120" i="2" s="1"/>
  <c r="DI120" i="2"/>
  <c r="CX120" i="2"/>
  <c r="CP120" i="2"/>
  <c r="CU120" i="2" s="1"/>
  <c r="BZ120" i="2"/>
  <c r="CF120" i="2" s="1"/>
  <c r="CS120" i="2"/>
  <c r="CH120" i="2"/>
  <c r="CC120" i="2"/>
  <c r="ED120" i="2"/>
  <c r="DE120" i="2"/>
  <c r="CY120" i="2"/>
  <c r="BM120" i="2"/>
  <c r="AS120" i="2"/>
  <c r="BS120" i="2"/>
  <c r="BC120" i="2"/>
  <c r="AT120" i="2"/>
  <c r="BR120" i="2"/>
  <c r="BI120" i="2"/>
  <c r="AM120" i="2"/>
  <c r="BJ120" i="2"/>
  <c r="BO120" i="2" s="1"/>
  <c r="BB120" i="2"/>
  <c r="AW120" i="2"/>
  <c r="AL120" i="2"/>
  <c r="AG120" i="2"/>
  <c r="FF119" i="2"/>
  <c r="FI118" i="2"/>
  <c r="FH119" i="2"/>
  <c r="FH120" i="2" s="1"/>
  <c r="CD119" i="2"/>
  <c r="CG118" i="2"/>
  <c r="BP120" i="2"/>
  <c r="BN119" i="2"/>
  <c r="BQ118" i="2"/>
  <c r="EC118" i="2"/>
  <c r="DZ119" i="2"/>
  <c r="ES118" i="2"/>
  <c r="EP119" i="2"/>
  <c r="DK119" i="2"/>
  <c r="DK120" i="2" s="1"/>
  <c r="S119" i="2"/>
  <c r="AD120" i="2"/>
  <c r="W120" i="2"/>
  <c r="AC120" i="2"/>
  <c r="V120" i="2"/>
  <c r="G120" i="2"/>
  <c r="A121" i="2"/>
  <c r="Q120" i="2"/>
  <c r="M120" i="2"/>
  <c r="N120" i="2"/>
  <c r="F120" i="2"/>
  <c r="T119" i="2"/>
  <c r="AI117" i="2"/>
  <c r="AK116" i="2"/>
  <c r="AH117" i="2"/>
  <c r="R119" i="2"/>
  <c r="U118" i="2"/>
  <c r="E123" i="2"/>
  <c r="CG119" i="2" l="1"/>
  <c r="CD120" i="2"/>
  <c r="FF120" i="2"/>
  <c r="FI119" i="2"/>
  <c r="CE120" i="2"/>
  <c r="ER120" i="2"/>
  <c r="EA120" i="2"/>
  <c r="ES119" i="2"/>
  <c r="EP120" i="2"/>
  <c r="BQ119" i="2"/>
  <c r="BN120" i="2"/>
  <c r="CW119" i="2"/>
  <c r="CT120" i="2"/>
  <c r="CV120" i="2"/>
  <c r="FD121" i="2"/>
  <c r="EN121" i="2"/>
  <c r="DX121" i="2"/>
  <c r="FC121" i="2"/>
  <c r="DW121" i="2"/>
  <c r="EM121" i="2"/>
  <c r="DG121" i="2"/>
  <c r="CQ121" i="2"/>
  <c r="BK121" i="2"/>
  <c r="AF121" i="2"/>
  <c r="BL121" i="2"/>
  <c r="AU121" i="2"/>
  <c r="P121" i="2"/>
  <c r="DH121" i="2"/>
  <c r="CR121" i="2"/>
  <c r="AE121" i="2"/>
  <c r="CB121" i="2"/>
  <c r="CA121" i="2"/>
  <c r="AV121" i="2"/>
  <c r="O121" i="2"/>
  <c r="FE121" i="2"/>
  <c r="ET121" i="2"/>
  <c r="EO121" i="2"/>
  <c r="ED121" i="2"/>
  <c r="DV121" i="2"/>
  <c r="EB121" i="2" s="1"/>
  <c r="FB121" i="2"/>
  <c r="FG121" i="2" s="1"/>
  <c r="DY121" i="2"/>
  <c r="EK121" i="2"/>
  <c r="EE121" i="2"/>
  <c r="FA121" i="2"/>
  <c r="EU121" i="2"/>
  <c r="EL121" i="2"/>
  <c r="EQ121" i="2" s="1"/>
  <c r="DU121" i="2"/>
  <c r="DO121" i="2"/>
  <c r="DE121" i="2"/>
  <c r="CY121" i="2"/>
  <c r="BM121" i="2"/>
  <c r="DN121" i="2"/>
  <c r="DF121" i="2"/>
  <c r="DL121" i="2" s="1"/>
  <c r="CO121" i="2"/>
  <c r="CI121" i="2"/>
  <c r="BY121" i="2"/>
  <c r="DI121" i="2"/>
  <c r="CX121" i="2"/>
  <c r="CP121" i="2"/>
  <c r="CU121" i="2" s="1"/>
  <c r="BZ121" i="2"/>
  <c r="CF121" i="2" s="1"/>
  <c r="CS121" i="2"/>
  <c r="BS121" i="2"/>
  <c r="CC121" i="2"/>
  <c r="CH121" i="2"/>
  <c r="BJ121" i="2"/>
  <c r="BO121" i="2" s="1"/>
  <c r="BB121" i="2"/>
  <c r="AW121" i="2"/>
  <c r="AS121" i="2"/>
  <c r="BC121" i="2"/>
  <c r="AT121" i="2"/>
  <c r="BR121" i="2"/>
  <c r="BI121" i="2"/>
  <c r="AM121" i="2"/>
  <c r="AL121" i="2"/>
  <c r="AG121" i="2"/>
  <c r="EC119" i="2"/>
  <c r="DZ120" i="2"/>
  <c r="BP121" i="2"/>
  <c r="DJ120" i="2"/>
  <c r="DM119" i="2"/>
  <c r="S120" i="2"/>
  <c r="T120" i="2"/>
  <c r="AC121" i="2"/>
  <c r="V121" i="2"/>
  <c r="AD121" i="2"/>
  <c r="W121" i="2"/>
  <c r="N121" i="2"/>
  <c r="F121" i="2"/>
  <c r="Q121" i="2"/>
  <c r="G121" i="2"/>
  <c r="M121" i="2"/>
  <c r="A122" i="2"/>
  <c r="AJ118" i="2"/>
  <c r="AJ119" i="2" s="1"/>
  <c r="AI118" i="2"/>
  <c r="AK117" i="2"/>
  <c r="AH118" i="2"/>
  <c r="R120" i="2"/>
  <c r="U119" i="2"/>
  <c r="E124" i="2"/>
  <c r="FC122" i="2" l="1"/>
  <c r="FD122" i="2"/>
  <c r="EM122" i="2"/>
  <c r="EN122" i="2"/>
  <c r="DH122" i="2"/>
  <c r="DW122" i="2"/>
  <c r="DX122" i="2"/>
  <c r="CR122" i="2"/>
  <c r="CB122" i="2"/>
  <c r="AV122" i="2"/>
  <c r="DG122" i="2"/>
  <c r="CQ122" i="2"/>
  <c r="BK122" i="2"/>
  <c r="AF122" i="2"/>
  <c r="CA122" i="2"/>
  <c r="O122" i="2"/>
  <c r="P122" i="2"/>
  <c r="BL122" i="2"/>
  <c r="AU122" i="2"/>
  <c r="AE122" i="2"/>
  <c r="FB122" i="2"/>
  <c r="FG122" i="2" s="1"/>
  <c r="FE122" i="2"/>
  <c r="FA122" i="2"/>
  <c r="EU122" i="2"/>
  <c r="ET122" i="2"/>
  <c r="EL122" i="2"/>
  <c r="EQ122" i="2" s="1"/>
  <c r="DU122" i="2"/>
  <c r="DO122" i="2"/>
  <c r="EO122" i="2"/>
  <c r="ED122" i="2"/>
  <c r="DV122" i="2"/>
  <c r="EB122" i="2" s="1"/>
  <c r="DY122" i="2"/>
  <c r="CS122" i="2"/>
  <c r="CH122" i="2"/>
  <c r="CC122" i="2"/>
  <c r="DE122" i="2"/>
  <c r="CY122" i="2"/>
  <c r="BM122" i="2"/>
  <c r="BS122" i="2"/>
  <c r="EE122" i="2"/>
  <c r="DN122" i="2"/>
  <c r="DF122" i="2"/>
  <c r="DL122" i="2" s="1"/>
  <c r="CO122" i="2"/>
  <c r="CI122" i="2"/>
  <c r="BY122" i="2"/>
  <c r="EK122" i="2"/>
  <c r="CP122" i="2"/>
  <c r="CU122" i="2" s="1"/>
  <c r="CX122" i="2"/>
  <c r="BZ122" i="2"/>
  <c r="CF122" i="2" s="1"/>
  <c r="DI122" i="2"/>
  <c r="BR122" i="2"/>
  <c r="BI122" i="2"/>
  <c r="AM122" i="2"/>
  <c r="BJ122" i="2"/>
  <c r="BO122" i="2" s="1"/>
  <c r="BB122" i="2"/>
  <c r="AW122" i="2"/>
  <c r="AS122" i="2"/>
  <c r="BC122" i="2"/>
  <c r="AT122" i="2"/>
  <c r="AL122" i="2"/>
  <c r="AG122" i="2"/>
  <c r="DM120" i="2"/>
  <c r="DJ121" i="2"/>
  <c r="DK121" i="2"/>
  <c r="DK122" i="2" s="1"/>
  <c r="FF121" i="2"/>
  <c r="FI120" i="2"/>
  <c r="BP122" i="2"/>
  <c r="CV121" i="2"/>
  <c r="CV122" i="2" s="1"/>
  <c r="BN121" i="2"/>
  <c r="BQ120" i="2"/>
  <c r="EA121" i="2"/>
  <c r="EA122" i="2" s="1"/>
  <c r="CG120" i="2"/>
  <c r="CD121" i="2"/>
  <c r="DZ121" i="2"/>
  <c r="EC120" i="2"/>
  <c r="CT121" i="2"/>
  <c r="CW120" i="2"/>
  <c r="ER121" i="2"/>
  <c r="ER122" i="2" s="1"/>
  <c r="CE121" i="2"/>
  <c r="CE122" i="2" s="1"/>
  <c r="FH121" i="2"/>
  <c r="FH122" i="2" s="1"/>
  <c r="EP121" i="2"/>
  <c r="ES120" i="2"/>
  <c r="T121" i="2"/>
  <c r="S121" i="2"/>
  <c r="AC122" i="2"/>
  <c r="V122" i="2"/>
  <c r="AD122" i="2"/>
  <c r="W122" i="2"/>
  <c r="M122" i="2"/>
  <c r="N122" i="2"/>
  <c r="F122" i="2"/>
  <c r="G122" i="2"/>
  <c r="A123" i="2"/>
  <c r="Q122" i="2"/>
  <c r="AH119" i="2"/>
  <c r="AK118" i="2"/>
  <c r="AJ120" i="2"/>
  <c r="AI119" i="2"/>
  <c r="AI120" i="2" s="1"/>
  <c r="R121" i="2"/>
  <c r="U120" i="2"/>
  <c r="E125" i="2"/>
  <c r="CU123" i="2" l="1"/>
  <c r="FC123" i="2"/>
  <c r="FD123" i="2"/>
  <c r="EM123" i="2"/>
  <c r="DX123" i="2"/>
  <c r="DG123" i="2"/>
  <c r="EN123" i="2"/>
  <c r="DH123" i="2"/>
  <c r="CR123" i="2"/>
  <c r="DW123" i="2"/>
  <c r="CA123" i="2"/>
  <c r="CB123" i="2"/>
  <c r="AV123" i="2"/>
  <c r="BL123" i="2"/>
  <c r="BO123" i="2" s="1"/>
  <c r="AU123" i="2"/>
  <c r="O123" i="2"/>
  <c r="CQ123" i="2"/>
  <c r="P123" i="2"/>
  <c r="AE123" i="2"/>
  <c r="BK123" i="2"/>
  <c r="AF123" i="2"/>
  <c r="FB123" i="2"/>
  <c r="FH123" i="2" s="1"/>
  <c r="FE123" i="2"/>
  <c r="EO123" i="2"/>
  <c r="FA123" i="2"/>
  <c r="EU123" i="2"/>
  <c r="EK123" i="2"/>
  <c r="EE123" i="2"/>
  <c r="EL123" i="2"/>
  <c r="EQ123" i="2" s="1"/>
  <c r="DU123" i="2"/>
  <c r="DO123" i="2"/>
  <c r="ET123" i="2"/>
  <c r="ED123" i="2"/>
  <c r="DV123" i="2"/>
  <c r="EB123" i="2" s="1"/>
  <c r="DI123" i="2"/>
  <c r="CX123" i="2"/>
  <c r="CP123" i="2"/>
  <c r="BZ123" i="2"/>
  <c r="CF123" i="2" s="1"/>
  <c r="CS123" i="2"/>
  <c r="CH123" i="2"/>
  <c r="CC123" i="2"/>
  <c r="DE123" i="2"/>
  <c r="CY123" i="2"/>
  <c r="BM123" i="2"/>
  <c r="BS123" i="2"/>
  <c r="DY123" i="2"/>
  <c r="DF123" i="2"/>
  <c r="DL123" i="2" s="1"/>
  <c r="CI123" i="2"/>
  <c r="CO123" i="2"/>
  <c r="DN123" i="2"/>
  <c r="BY123" i="2"/>
  <c r="BC123" i="2"/>
  <c r="AT123" i="2"/>
  <c r="BR123" i="2"/>
  <c r="BI123" i="2"/>
  <c r="AM123" i="2"/>
  <c r="BJ123" i="2"/>
  <c r="BB123" i="2"/>
  <c r="AW123" i="2"/>
  <c r="AS123" i="2"/>
  <c r="AL123" i="2"/>
  <c r="AG123" i="2"/>
  <c r="ER123" i="2"/>
  <c r="EC121" i="2"/>
  <c r="DZ122" i="2"/>
  <c r="EA123" i="2"/>
  <c r="CV123" i="2"/>
  <c r="FF122" i="2"/>
  <c r="FI121" i="2"/>
  <c r="CE123" i="2"/>
  <c r="CT122" i="2"/>
  <c r="CW121" i="2"/>
  <c r="BP123" i="2"/>
  <c r="DK123" i="2"/>
  <c r="ES121" i="2"/>
  <c r="EP122" i="2"/>
  <c r="CD122" i="2"/>
  <c r="CG121" i="2"/>
  <c r="BQ121" i="2"/>
  <c r="BN122" i="2"/>
  <c r="DJ122" i="2"/>
  <c r="DM121" i="2"/>
  <c r="T122" i="2"/>
  <c r="AC123" i="2"/>
  <c r="AD123" i="2"/>
  <c r="V123" i="2"/>
  <c r="W123" i="2"/>
  <c r="M123" i="2"/>
  <c r="F123" i="2"/>
  <c r="G123" i="2"/>
  <c r="A124" i="2"/>
  <c r="Q123" i="2"/>
  <c r="N123" i="2"/>
  <c r="S122" i="2"/>
  <c r="AK119" i="2"/>
  <c r="AH120" i="2"/>
  <c r="AJ121" i="2"/>
  <c r="R122" i="2"/>
  <c r="U121" i="2"/>
  <c r="E126" i="2"/>
  <c r="DJ123" i="2" l="1"/>
  <c r="DM122" i="2"/>
  <c r="CT123" i="2"/>
  <c r="CW122" i="2"/>
  <c r="EC122" i="2"/>
  <c r="DZ123" i="2"/>
  <c r="FG123" i="2"/>
  <c r="FC124" i="2"/>
  <c r="FD124" i="2"/>
  <c r="DX124" i="2"/>
  <c r="EM124" i="2"/>
  <c r="DG124" i="2"/>
  <c r="EN124" i="2"/>
  <c r="CQ124" i="2"/>
  <c r="BL124" i="2"/>
  <c r="AU124" i="2"/>
  <c r="DW124" i="2"/>
  <c r="CR124" i="2"/>
  <c r="CA124" i="2"/>
  <c r="CB124" i="2"/>
  <c r="BK124" i="2"/>
  <c r="AV124" i="2"/>
  <c r="AF124" i="2"/>
  <c r="AE124" i="2"/>
  <c r="DH124" i="2"/>
  <c r="O124" i="2"/>
  <c r="P124" i="2"/>
  <c r="FB124" i="2"/>
  <c r="FH124" i="2" s="1"/>
  <c r="ET124" i="2"/>
  <c r="FE124" i="2"/>
  <c r="EO124" i="2"/>
  <c r="FA124" i="2"/>
  <c r="EU124" i="2"/>
  <c r="DY124" i="2"/>
  <c r="EK124" i="2"/>
  <c r="EE124" i="2"/>
  <c r="EL124" i="2"/>
  <c r="EQ124" i="2" s="1"/>
  <c r="DU124" i="2"/>
  <c r="DO124" i="2"/>
  <c r="ED124" i="2"/>
  <c r="DN124" i="2"/>
  <c r="DF124" i="2"/>
  <c r="DL124" i="2" s="1"/>
  <c r="CO124" i="2"/>
  <c r="CI124" i="2"/>
  <c r="BY124" i="2"/>
  <c r="DI124" i="2"/>
  <c r="CX124" i="2"/>
  <c r="CP124" i="2"/>
  <c r="BZ124" i="2"/>
  <c r="CE124" i="2" s="1"/>
  <c r="DV124" i="2"/>
  <c r="EA124" i="2" s="1"/>
  <c r="CS124" i="2"/>
  <c r="CH124" i="2"/>
  <c r="CC124" i="2"/>
  <c r="BS124" i="2"/>
  <c r="DE124" i="2"/>
  <c r="CY124" i="2"/>
  <c r="AS124" i="2"/>
  <c r="BC124" i="2"/>
  <c r="AT124" i="2"/>
  <c r="BR124" i="2"/>
  <c r="BI124" i="2"/>
  <c r="AM124" i="2"/>
  <c r="BM124" i="2"/>
  <c r="BJ124" i="2"/>
  <c r="BO124" i="2" s="1"/>
  <c r="BB124" i="2"/>
  <c r="AW124" i="2"/>
  <c r="AL124" i="2"/>
  <c r="AG124" i="2"/>
  <c r="CG122" i="2"/>
  <c r="CD123" i="2"/>
  <c r="FF123" i="2"/>
  <c r="FI122" i="2"/>
  <c r="BN123" i="2"/>
  <c r="BQ122" i="2"/>
  <c r="ES122" i="2"/>
  <c r="EP123" i="2"/>
  <c r="BP124" i="2"/>
  <c r="CV124" i="2"/>
  <c r="CU124" i="2"/>
  <c r="S123" i="2"/>
  <c r="T123" i="2"/>
  <c r="AC124" i="2"/>
  <c r="AD124" i="2"/>
  <c r="V124" i="2"/>
  <c r="W124" i="2"/>
  <c r="Q124" i="2"/>
  <c r="M124" i="2"/>
  <c r="N124" i="2"/>
  <c r="G124" i="2"/>
  <c r="F124" i="2"/>
  <c r="A125" i="2"/>
  <c r="AI121" i="2"/>
  <c r="AH121" i="2"/>
  <c r="AK120" i="2"/>
  <c r="R123" i="2"/>
  <c r="U122" i="2"/>
  <c r="E127" i="2"/>
  <c r="ER124" i="2" l="1"/>
  <c r="DK124" i="2"/>
  <c r="FG124" i="2"/>
  <c r="DJ124" i="2"/>
  <c r="DM123" i="2"/>
  <c r="BN124" i="2"/>
  <c r="BQ123" i="2"/>
  <c r="CD124" i="2"/>
  <c r="CG123" i="2"/>
  <c r="CT124" i="2"/>
  <c r="CW123" i="2"/>
  <c r="EB124" i="2"/>
  <c r="EP124" i="2"/>
  <c r="ES123" i="2"/>
  <c r="FF124" i="2"/>
  <c r="FI123" i="2"/>
  <c r="DZ124" i="2"/>
  <c r="EC123" i="2"/>
  <c r="CF124" i="2"/>
  <c r="FD125" i="2"/>
  <c r="EN125" i="2"/>
  <c r="FC125" i="2"/>
  <c r="EM125" i="2"/>
  <c r="DX125" i="2"/>
  <c r="DW125" i="2"/>
  <c r="DH125" i="2"/>
  <c r="DG125" i="2"/>
  <c r="BK125" i="2"/>
  <c r="AF125" i="2"/>
  <c r="BL125" i="2"/>
  <c r="AU125" i="2"/>
  <c r="CQ125" i="2"/>
  <c r="P125" i="2"/>
  <c r="CB125" i="2"/>
  <c r="CA125" i="2"/>
  <c r="AV125" i="2"/>
  <c r="AE125" i="2"/>
  <c r="CR125" i="2"/>
  <c r="O125" i="2"/>
  <c r="FE125" i="2"/>
  <c r="FB125" i="2"/>
  <c r="FH125" i="2" s="1"/>
  <c r="ET125" i="2"/>
  <c r="EO125" i="2"/>
  <c r="FA125" i="2"/>
  <c r="EU125" i="2"/>
  <c r="ED125" i="2"/>
  <c r="DV125" i="2"/>
  <c r="EA125" i="2" s="1"/>
  <c r="DY125" i="2"/>
  <c r="EK125" i="2"/>
  <c r="EE125" i="2"/>
  <c r="DE125" i="2"/>
  <c r="CY125" i="2"/>
  <c r="BM125" i="2"/>
  <c r="EL125" i="2"/>
  <c r="EQ125" i="2" s="1"/>
  <c r="DU125" i="2"/>
  <c r="DO125" i="2"/>
  <c r="DN125" i="2"/>
  <c r="DF125" i="2"/>
  <c r="DL125" i="2" s="1"/>
  <c r="CO125" i="2"/>
  <c r="CI125" i="2"/>
  <c r="BY125" i="2"/>
  <c r="DI125" i="2"/>
  <c r="CX125" i="2"/>
  <c r="CP125" i="2"/>
  <c r="CU125" i="2" s="1"/>
  <c r="BZ125" i="2"/>
  <c r="CE125" i="2" s="1"/>
  <c r="CS125" i="2"/>
  <c r="CC125" i="2"/>
  <c r="BS125" i="2"/>
  <c r="CH125" i="2"/>
  <c r="BJ125" i="2"/>
  <c r="BO125" i="2" s="1"/>
  <c r="BB125" i="2"/>
  <c r="AW125" i="2"/>
  <c r="AS125" i="2"/>
  <c r="BC125" i="2"/>
  <c r="AT125" i="2"/>
  <c r="BR125" i="2"/>
  <c r="BI125" i="2"/>
  <c r="AM125" i="2"/>
  <c r="AL125" i="2"/>
  <c r="AG125" i="2"/>
  <c r="S124" i="2"/>
  <c r="T124" i="2"/>
  <c r="AD125" i="2"/>
  <c r="W125" i="2"/>
  <c r="AC125" i="2"/>
  <c r="V125" i="2"/>
  <c r="N125" i="2"/>
  <c r="G125" i="2"/>
  <c r="F125" i="2"/>
  <c r="A126" i="2"/>
  <c r="Q125" i="2"/>
  <c r="M125" i="2"/>
  <c r="AJ122" i="2"/>
  <c r="AJ123" i="2" s="1"/>
  <c r="AI122" i="2"/>
  <c r="AK121" i="2"/>
  <c r="AH122" i="2"/>
  <c r="R124" i="2"/>
  <c r="U123" i="2"/>
  <c r="E128" i="2"/>
  <c r="EB125" i="2" l="1"/>
  <c r="CD125" i="2"/>
  <c r="CG124" i="2"/>
  <c r="FG125" i="2"/>
  <c r="FC126" i="2"/>
  <c r="FD126" i="2"/>
  <c r="EM126" i="2"/>
  <c r="EN126" i="2"/>
  <c r="DH126" i="2"/>
  <c r="DX126" i="2"/>
  <c r="DW126" i="2"/>
  <c r="DG126" i="2"/>
  <c r="CQ126" i="2"/>
  <c r="CB126" i="2"/>
  <c r="AV126" i="2"/>
  <c r="BK126" i="2"/>
  <c r="AF126" i="2"/>
  <c r="O126" i="2"/>
  <c r="BL126" i="2"/>
  <c r="AU126" i="2"/>
  <c r="P126" i="2"/>
  <c r="CA126" i="2"/>
  <c r="CR126" i="2"/>
  <c r="AE126" i="2"/>
  <c r="FB126" i="2"/>
  <c r="FH126" i="2" s="1"/>
  <c r="FE126" i="2"/>
  <c r="FA126" i="2"/>
  <c r="EU126" i="2"/>
  <c r="ET126" i="2"/>
  <c r="EL126" i="2"/>
  <c r="EQ126" i="2" s="1"/>
  <c r="DU126" i="2"/>
  <c r="DO126" i="2"/>
  <c r="ED126" i="2"/>
  <c r="DV126" i="2"/>
  <c r="EA126" i="2" s="1"/>
  <c r="EO126" i="2"/>
  <c r="DY126" i="2"/>
  <c r="EK126" i="2"/>
  <c r="CS126" i="2"/>
  <c r="CH126" i="2"/>
  <c r="CC126" i="2"/>
  <c r="DE126" i="2"/>
  <c r="CY126" i="2"/>
  <c r="BM126" i="2"/>
  <c r="BS126" i="2"/>
  <c r="DN126" i="2"/>
  <c r="DF126" i="2"/>
  <c r="DL126" i="2" s="1"/>
  <c r="CO126" i="2"/>
  <c r="CI126" i="2"/>
  <c r="BY126" i="2"/>
  <c r="EE126" i="2"/>
  <c r="CP126" i="2"/>
  <c r="CU126" i="2" s="1"/>
  <c r="CX126" i="2"/>
  <c r="BZ126" i="2"/>
  <c r="CE126" i="2" s="1"/>
  <c r="DI126" i="2"/>
  <c r="BR126" i="2"/>
  <c r="BI126" i="2"/>
  <c r="AM126" i="2"/>
  <c r="BJ126" i="2"/>
  <c r="BO126" i="2" s="1"/>
  <c r="BB126" i="2"/>
  <c r="AW126" i="2"/>
  <c r="AS126" i="2"/>
  <c r="BC126" i="2"/>
  <c r="AT126" i="2"/>
  <c r="AL126" i="2"/>
  <c r="AG126" i="2"/>
  <c r="DJ125" i="2"/>
  <c r="DM124" i="2"/>
  <c r="DK125" i="2"/>
  <c r="DK126" i="2" s="1"/>
  <c r="CV125" i="2"/>
  <c r="CV126" i="2" s="1"/>
  <c r="EC124" i="2"/>
  <c r="DZ125" i="2"/>
  <c r="CW124" i="2"/>
  <c r="CT125" i="2"/>
  <c r="BQ124" i="2"/>
  <c r="BN125" i="2"/>
  <c r="ER125" i="2"/>
  <c r="ER126" i="2" s="1"/>
  <c r="CF125" i="2"/>
  <c r="CF126" i="2" s="1"/>
  <c r="FF125" i="2"/>
  <c r="FI124" i="2"/>
  <c r="ES124" i="2"/>
  <c r="EP125" i="2"/>
  <c r="BP125" i="2"/>
  <c r="BP126" i="2" s="1"/>
  <c r="S125" i="2"/>
  <c r="AC126" i="2"/>
  <c r="V126" i="2"/>
  <c r="AD126" i="2"/>
  <c r="W126" i="2"/>
  <c r="N126" i="2"/>
  <c r="A127" i="2"/>
  <c r="G126" i="2"/>
  <c r="Q126" i="2"/>
  <c r="F126" i="2"/>
  <c r="M126" i="2"/>
  <c r="T125" i="2"/>
  <c r="AH123" i="2"/>
  <c r="AK122" i="2"/>
  <c r="AJ124" i="2"/>
  <c r="AI123" i="2"/>
  <c r="R125" i="2"/>
  <c r="U124" i="2"/>
  <c r="E129" i="2"/>
  <c r="FG126" i="2" l="1"/>
  <c r="FF126" i="2"/>
  <c r="FI125" i="2"/>
  <c r="ES125" i="2"/>
  <c r="EP126" i="2"/>
  <c r="BN126" i="2"/>
  <c r="BQ125" i="2"/>
  <c r="CW125" i="2"/>
  <c r="CT126" i="2"/>
  <c r="DZ126" i="2"/>
  <c r="EC125" i="2"/>
  <c r="DM125" i="2"/>
  <c r="DJ126" i="2"/>
  <c r="CD126" i="2"/>
  <c r="CG125" i="2"/>
  <c r="EB126" i="2"/>
  <c r="FC127" i="2"/>
  <c r="FD127" i="2"/>
  <c r="EM127" i="2"/>
  <c r="EN127" i="2"/>
  <c r="DG127" i="2"/>
  <c r="DH127" i="2"/>
  <c r="DW127" i="2"/>
  <c r="CR127" i="2"/>
  <c r="CA127" i="2"/>
  <c r="CQ127" i="2"/>
  <c r="CB127" i="2"/>
  <c r="AV127" i="2"/>
  <c r="DX127" i="2"/>
  <c r="BL127" i="2"/>
  <c r="BK127" i="2"/>
  <c r="AF127" i="2"/>
  <c r="O127" i="2"/>
  <c r="AU127" i="2"/>
  <c r="AE127" i="2"/>
  <c r="P127" i="2"/>
  <c r="FB127" i="2"/>
  <c r="FH127" i="2" s="1"/>
  <c r="FE127" i="2"/>
  <c r="EO127" i="2"/>
  <c r="FA127" i="2"/>
  <c r="EU127" i="2"/>
  <c r="EK127" i="2"/>
  <c r="EE127" i="2"/>
  <c r="EL127" i="2"/>
  <c r="ER127" i="2" s="1"/>
  <c r="DU127" i="2"/>
  <c r="DO127" i="2"/>
  <c r="ED127" i="2"/>
  <c r="DV127" i="2"/>
  <c r="EA127" i="2" s="1"/>
  <c r="DY127" i="2"/>
  <c r="DI127" i="2"/>
  <c r="CX127" i="2"/>
  <c r="CP127" i="2"/>
  <c r="CV127" i="2" s="1"/>
  <c r="BZ127" i="2"/>
  <c r="CE127" i="2" s="1"/>
  <c r="CS127" i="2"/>
  <c r="CH127" i="2"/>
  <c r="CC127" i="2"/>
  <c r="DE127" i="2"/>
  <c r="CY127" i="2"/>
  <c r="BM127" i="2"/>
  <c r="BS127" i="2"/>
  <c r="ET127" i="2"/>
  <c r="DN127" i="2"/>
  <c r="DF127" i="2"/>
  <c r="DL127" i="2" s="1"/>
  <c r="CI127" i="2"/>
  <c r="CO127" i="2"/>
  <c r="BC127" i="2"/>
  <c r="AT127" i="2"/>
  <c r="BR127" i="2"/>
  <c r="BI127" i="2"/>
  <c r="AM127" i="2"/>
  <c r="BY127" i="2"/>
  <c r="BJ127" i="2"/>
  <c r="BO127" i="2" s="1"/>
  <c r="BB127" i="2"/>
  <c r="AW127" i="2"/>
  <c r="AS127" i="2"/>
  <c r="AL127" i="2"/>
  <c r="AG127" i="2"/>
  <c r="DK127" i="2"/>
  <c r="S126" i="2"/>
  <c r="T126" i="2"/>
  <c r="AD127" i="2"/>
  <c r="AC127" i="2"/>
  <c r="V127" i="2"/>
  <c r="W127" i="2"/>
  <c r="A128" i="2"/>
  <c r="Q127" i="2"/>
  <c r="M127" i="2"/>
  <c r="N127" i="2"/>
  <c r="F127" i="2"/>
  <c r="G127" i="2"/>
  <c r="AI124" i="2"/>
  <c r="AH124" i="2"/>
  <c r="AK123" i="2"/>
  <c r="AJ125" i="2"/>
  <c r="R126" i="2"/>
  <c r="U125" i="2"/>
  <c r="E130" i="2"/>
  <c r="EB127" i="2" l="1"/>
  <c r="DM126" i="2"/>
  <c r="DJ127" i="2"/>
  <c r="EC126" i="2"/>
  <c r="DZ127" i="2"/>
  <c r="BQ126" i="2"/>
  <c r="BN127" i="2"/>
  <c r="CU127" i="2"/>
  <c r="CW126" i="2"/>
  <c r="CT127" i="2"/>
  <c r="ES126" i="2"/>
  <c r="EP127" i="2"/>
  <c r="CF127" i="2"/>
  <c r="FG127" i="2"/>
  <c r="EQ127" i="2"/>
  <c r="FC128" i="2"/>
  <c r="FD128" i="2"/>
  <c r="DX128" i="2"/>
  <c r="EN128" i="2"/>
  <c r="EM128" i="2"/>
  <c r="DG128" i="2"/>
  <c r="CQ128" i="2"/>
  <c r="DW128" i="2"/>
  <c r="DH128" i="2"/>
  <c r="CR128" i="2"/>
  <c r="BL128" i="2"/>
  <c r="AU128" i="2"/>
  <c r="CA128" i="2"/>
  <c r="AE128" i="2"/>
  <c r="BK128" i="2"/>
  <c r="CB128" i="2"/>
  <c r="AV128" i="2"/>
  <c r="AF128" i="2"/>
  <c r="P128" i="2"/>
  <c r="O128" i="2"/>
  <c r="FB128" i="2"/>
  <c r="FH128" i="2" s="1"/>
  <c r="ET128" i="2"/>
  <c r="EO128" i="2"/>
  <c r="FE128" i="2"/>
  <c r="FA128" i="2"/>
  <c r="EU128" i="2"/>
  <c r="DY128" i="2"/>
  <c r="EK128" i="2"/>
  <c r="EE128" i="2"/>
  <c r="EL128" i="2"/>
  <c r="ER128" i="2" s="1"/>
  <c r="DU128" i="2"/>
  <c r="DO128" i="2"/>
  <c r="DN128" i="2"/>
  <c r="DF128" i="2"/>
  <c r="DK128" i="2" s="1"/>
  <c r="CO128" i="2"/>
  <c r="CI128" i="2"/>
  <c r="BY128" i="2"/>
  <c r="ED128" i="2"/>
  <c r="DI128" i="2"/>
  <c r="CX128" i="2"/>
  <c r="CP128" i="2"/>
  <c r="CV128" i="2" s="1"/>
  <c r="BZ128" i="2"/>
  <c r="CE128" i="2" s="1"/>
  <c r="CS128" i="2"/>
  <c r="CH128" i="2"/>
  <c r="CC128" i="2"/>
  <c r="DV128" i="2"/>
  <c r="EA128" i="2" s="1"/>
  <c r="DE128" i="2"/>
  <c r="CY128" i="2"/>
  <c r="BM128" i="2"/>
  <c r="AS128" i="2"/>
  <c r="BC128" i="2"/>
  <c r="AT128" i="2"/>
  <c r="BS128" i="2"/>
  <c r="BR128" i="2"/>
  <c r="BI128" i="2"/>
  <c r="AM128" i="2"/>
  <c r="BJ128" i="2"/>
  <c r="BO128" i="2" s="1"/>
  <c r="BB128" i="2"/>
  <c r="AW128" i="2"/>
  <c r="AL128" i="2"/>
  <c r="AG128" i="2"/>
  <c r="CG126" i="2"/>
  <c r="CD127" i="2"/>
  <c r="BP127" i="2"/>
  <c r="BP128" i="2" s="1"/>
  <c r="FF127" i="2"/>
  <c r="FI126" i="2"/>
  <c r="S127" i="2"/>
  <c r="T127" i="2"/>
  <c r="AD128" i="2"/>
  <c r="W128" i="2"/>
  <c r="AC128" i="2"/>
  <c r="V128" i="2"/>
  <c r="M128" i="2"/>
  <c r="Q128" i="2"/>
  <c r="N128" i="2"/>
  <c r="F128" i="2"/>
  <c r="A129" i="2"/>
  <c r="G128" i="2"/>
  <c r="AK124" i="2"/>
  <c r="AH125" i="2"/>
  <c r="AI125" i="2"/>
  <c r="AI126" i="2" s="1"/>
  <c r="R127" i="2"/>
  <c r="U126" i="2"/>
  <c r="E131" i="2"/>
  <c r="CG127" i="2" l="1"/>
  <c r="CD128" i="2"/>
  <c r="ES127" i="2"/>
  <c r="EP128" i="2"/>
  <c r="CU128" i="2"/>
  <c r="BN128" i="2"/>
  <c r="BQ127" i="2"/>
  <c r="DM127" i="2"/>
  <c r="DJ128" i="2"/>
  <c r="EB128" i="2"/>
  <c r="DL128" i="2"/>
  <c r="EQ128" i="2"/>
  <c r="CT128" i="2"/>
  <c r="CW127" i="2"/>
  <c r="EC127" i="2"/>
  <c r="DZ128" i="2"/>
  <c r="FD129" i="2"/>
  <c r="FC129" i="2"/>
  <c r="EN129" i="2"/>
  <c r="DX129" i="2"/>
  <c r="DW129" i="2"/>
  <c r="EM129" i="2"/>
  <c r="DH129" i="2"/>
  <c r="BK129" i="2"/>
  <c r="AF129" i="2"/>
  <c r="CR129" i="2"/>
  <c r="BL129" i="2"/>
  <c r="AU129" i="2"/>
  <c r="P129" i="2"/>
  <c r="DG129" i="2"/>
  <c r="CQ129" i="2"/>
  <c r="AE129" i="2"/>
  <c r="CB129" i="2"/>
  <c r="CA129" i="2"/>
  <c r="O129" i="2"/>
  <c r="AV129" i="2"/>
  <c r="FE129" i="2"/>
  <c r="FB129" i="2"/>
  <c r="FH129" i="2" s="1"/>
  <c r="ET129" i="2"/>
  <c r="EO129" i="2"/>
  <c r="ED129" i="2"/>
  <c r="DV129" i="2"/>
  <c r="EA129" i="2" s="1"/>
  <c r="FA129" i="2"/>
  <c r="EU129" i="2"/>
  <c r="DY129" i="2"/>
  <c r="EK129" i="2"/>
  <c r="EE129" i="2"/>
  <c r="DE129" i="2"/>
  <c r="CY129" i="2"/>
  <c r="BM129" i="2"/>
  <c r="DN129" i="2"/>
  <c r="DF129" i="2"/>
  <c r="DK129" i="2" s="1"/>
  <c r="CO129" i="2"/>
  <c r="CI129" i="2"/>
  <c r="BY129" i="2"/>
  <c r="EL129" i="2"/>
  <c r="ER129" i="2" s="1"/>
  <c r="DU129" i="2"/>
  <c r="DO129" i="2"/>
  <c r="DI129" i="2"/>
  <c r="CX129" i="2"/>
  <c r="CP129" i="2"/>
  <c r="CV129" i="2" s="1"/>
  <c r="BZ129" i="2"/>
  <c r="CE129" i="2" s="1"/>
  <c r="CH129" i="2"/>
  <c r="BS129" i="2"/>
  <c r="CS129" i="2"/>
  <c r="BJ129" i="2"/>
  <c r="BO129" i="2" s="1"/>
  <c r="BB129" i="2"/>
  <c r="AW129" i="2"/>
  <c r="CC129" i="2"/>
  <c r="AS129" i="2"/>
  <c r="BC129" i="2"/>
  <c r="AT129" i="2"/>
  <c r="BR129" i="2"/>
  <c r="BI129" i="2"/>
  <c r="AM129" i="2"/>
  <c r="AL129" i="2"/>
  <c r="AG129" i="2"/>
  <c r="FF128" i="2"/>
  <c r="FI127" i="2"/>
  <c r="BP129" i="2"/>
  <c r="FG128" i="2"/>
  <c r="FG129" i="2" s="1"/>
  <c r="CF128" i="2"/>
  <c r="CF129" i="2" s="1"/>
  <c r="S128" i="2"/>
  <c r="AC129" i="2"/>
  <c r="V129" i="2"/>
  <c r="AD129" i="2"/>
  <c r="W129" i="2"/>
  <c r="Q129" i="2"/>
  <c r="M129" i="2"/>
  <c r="N129" i="2"/>
  <c r="F129" i="2"/>
  <c r="G129" i="2"/>
  <c r="A130" i="2"/>
  <c r="T128" i="2"/>
  <c r="AJ126" i="2"/>
  <c r="AK125" i="2"/>
  <c r="AH126" i="2"/>
  <c r="R128" i="2"/>
  <c r="U127" i="2"/>
  <c r="E132" i="2"/>
  <c r="EQ129" i="2" l="1"/>
  <c r="ES128" i="2"/>
  <c r="EP129" i="2"/>
  <c r="EC128" i="2"/>
  <c r="DZ129" i="2"/>
  <c r="EB129" i="2"/>
  <c r="BQ128" i="2"/>
  <c r="BN129" i="2"/>
  <c r="CD129" i="2"/>
  <c r="CG128" i="2"/>
  <c r="CT129" i="2"/>
  <c r="CW128" i="2"/>
  <c r="DL129" i="2"/>
  <c r="DJ129" i="2"/>
  <c r="DM128" i="2"/>
  <c r="FC130" i="2"/>
  <c r="FD130" i="2"/>
  <c r="EM130" i="2"/>
  <c r="EN130" i="2"/>
  <c r="DH130" i="2"/>
  <c r="DW130" i="2"/>
  <c r="CB130" i="2"/>
  <c r="AV130" i="2"/>
  <c r="BK130" i="2"/>
  <c r="AF130" i="2"/>
  <c r="CR130" i="2"/>
  <c r="CA130" i="2"/>
  <c r="O130" i="2"/>
  <c r="DX130" i="2"/>
  <c r="P130" i="2"/>
  <c r="DG130" i="2"/>
  <c r="CQ130" i="2"/>
  <c r="BL130" i="2"/>
  <c r="AE130" i="2"/>
  <c r="AU130" i="2"/>
  <c r="FB130" i="2"/>
  <c r="FH130" i="2" s="1"/>
  <c r="FE130" i="2"/>
  <c r="FA130" i="2"/>
  <c r="EU130" i="2"/>
  <c r="ET130" i="2"/>
  <c r="EL130" i="2"/>
  <c r="ER130" i="2" s="1"/>
  <c r="DU130" i="2"/>
  <c r="DO130" i="2"/>
  <c r="ED130" i="2"/>
  <c r="DV130" i="2"/>
  <c r="EA130" i="2" s="1"/>
  <c r="DY130" i="2"/>
  <c r="EE130" i="2"/>
  <c r="CS130" i="2"/>
  <c r="CH130" i="2"/>
  <c r="CC130" i="2"/>
  <c r="CF130" i="2" s="1"/>
  <c r="EO130" i="2"/>
  <c r="EK130" i="2"/>
  <c r="DE130" i="2"/>
  <c r="CY130" i="2"/>
  <c r="BM130" i="2"/>
  <c r="BS130" i="2"/>
  <c r="DN130" i="2"/>
  <c r="DF130" i="2"/>
  <c r="DK130" i="2" s="1"/>
  <c r="CO130" i="2"/>
  <c r="CI130" i="2"/>
  <c r="BY130" i="2"/>
  <c r="DI130" i="2"/>
  <c r="CP130" i="2"/>
  <c r="CV130" i="2" s="1"/>
  <c r="CX130" i="2"/>
  <c r="BZ130" i="2"/>
  <c r="CE130" i="2" s="1"/>
  <c r="BR130" i="2"/>
  <c r="BI130" i="2"/>
  <c r="BJ130" i="2"/>
  <c r="BO130" i="2" s="1"/>
  <c r="BB130" i="2"/>
  <c r="AW130" i="2"/>
  <c r="AS130" i="2"/>
  <c r="BC130" i="2"/>
  <c r="AT130" i="2"/>
  <c r="AL130" i="2"/>
  <c r="AG130" i="2"/>
  <c r="AM130" i="2"/>
  <c r="FF129" i="2"/>
  <c r="FI128" i="2"/>
  <c r="CU129" i="2"/>
  <c r="CU130" i="2" s="1"/>
  <c r="S129" i="2"/>
  <c r="T129" i="2"/>
  <c r="V130" i="2"/>
  <c r="AC130" i="2"/>
  <c r="AD130" i="2"/>
  <c r="W130" i="2"/>
  <c r="F130" i="2"/>
  <c r="G130" i="2"/>
  <c r="A131" i="2"/>
  <c r="N130" i="2"/>
  <c r="Q130" i="2"/>
  <c r="M130" i="2"/>
  <c r="AI127" i="2"/>
  <c r="AJ127" i="2"/>
  <c r="AK126" i="2"/>
  <c r="AH127" i="2"/>
  <c r="R129" i="2"/>
  <c r="U128" i="2"/>
  <c r="E133" i="2"/>
  <c r="DL130" i="2" l="1"/>
  <c r="CW129" i="2"/>
  <c r="CT130" i="2"/>
  <c r="CG129" i="2"/>
  <c r="CD130" i="2"/>
  <c r="BP130" i="2"/>
  <c r="FD131" i="2"/>
  <c r="FC131" i="2"/>
  <c r="EM131" i="2"/>
  <c r="DX131" i="2"/>
  <c r="DG131" i="2"/>
  <c r="DH131" i="2"/>
  <c r="CR131" i="2"/>
  <c r="EN131" i="2"/>
  <c r="CQ131" i="2"/>
  <c r="CA131" i="2"/>
  <c r="CB131" i="2"/>
  <c r="AV131" i="2"/>
  <c r="BL131" i="2"/>
  <c r="AU131" i="2"/>
  <c r="O131" i="2"/>
  <c r="DW131" i="2"/>
  <c r="BK131" i="2"/>
  <c r="AF131" i="2"/>
  <c r="P131" i="2"/>
  <c r="AE131" i="2"/>
  <c r="FB131" i="2"/>
  <c r="FH131" i="2" s="1"/>
  <c r="FE131" i="2"/>
  <c r="EO131" i="2"/>
  <c r="FA131" i="2"/>
  <c r="EU131" i="2"/>
  <c r="ET131" i="2"/>
  <c r="EK131" i="2"/>
  <c r="EE131" i="2"/>
  <c r="EL131" i="2"/>
  <c r="ER131" i="2" s="1"/>
  <c r="DU131" i="2"/>
  <c r="DO131" i="2"/>
  <c r="ED131" i="2"/>
  <c r="DV131" i="2"/>
  <c r="EA131" i="2" s="1"/>
  <c r="DI131" i="2"/>
  <c r="CX131" i="2"/>
  <c r="CP131" i="2"/>
  <c r="CU131" i="2" s="1"/>
  <c r="BZ131" i="2"/>
  <c r="CF131" i="2" s="1"/>
  <c r="DY131" i="2"/>
  <c r="CS131" i="2"/>
  <c r="CH131" i="2"/>
  <c r="CC131" i="2"/>
  <c r="DE131" i="2"/>
  <c r="CY131" i="2"/>
  <c r="BM131" i="2"/>
  <c r="BS131" i="2"/>
  <c r="CO131" i="2"/>
  <c r="DN131" i="2"/>
  <c r="BY131" i="2"/>
  <c r="DF131" i="2"/>
  <c r="DK131" i="2" s="1"/>
  <c r="CI131" i="2"/>
  <c r="BC131" i="2"/>
  <c r="AT131" i="2"/>
  <c r="BR131" i="2"/>
  <c r="BI131" i="2"/>
  <c r="AM131" i="2"/>
  <c r="BJ131" i="2"/>
  <c r="BO131" i="2" s="1"/>
  <c r="BB131" i="2"/>
  <c r="AW131" i="2"/>
  <c r="AS131" i="2"/>
  <c r="AL131" i="2"/>
  <c r="AG131" i="2"/>
  <c r="FF130" i="2"/>
  <c r="FI129" i="2"/>
  <c r="EB130" i="2"/>
  <c r="EB131" i="2" s="1"/>
  <c r="ES129" i="2"/>
  <c r="EP130" i="2"/>
  <c r="FG130" i="2"/>
  <c r="FG131" i="2" s="1"/>
  <c r="DZ130" i="2"/>
  <c r="EC129" i="2"/>
  <c r="EQ130" i="2"/>
  <c r="EQ131" i="2" s="1"/>
  <c r="DM129" i="2"/>
  <c r="DJ130" i="2"/>
  <c r="BQ129" i="2"/>
  <c r="BN130" i="2"/>
  <c r="T130" i="2"/>
  <c r="AC131" i="2"/>
  <c r="W131" i="2"/>
  <c r="AD131" i="2"/>
  <c r="V131" i="2"/>
  <c r="N131" i="2"/>
  <c r="M131" i="2"/>
  <c r="F131" i="2"/>
  <c r="A132" i="2"/>
  <c r="G131" i="2"/>
  <c r="Q131" i="2"/>
  <c r="S130" i="2"/>
  <c r="AI128" i="2"/>
  <c r="AI129" i="2" s="1"/>
  <c r="AJ128" i="2"/>
  <c r="AJ129" i="2" s="1"/>
  <c r="AK127" i="2"/>
  <c r="AH128" i="2"/>
  <c r="R130" i="2"/>
  <c r="U129" i="2"/>
  <c r="E134" i="2"/>
  <c r="S131" i="2" l="1"/>
  <c r="FC132" i="2"/>
  <c r="FD132" i="2"/>
  <c r="DX132" i="2"/>
  <c r="EN132" i="2"/>
  <c r="DG132" i="2"/>
  <c r="CQ132" i="2"/>
  <c r="EM132" i="2"/>
  <c r="BL132" i="2"/>
  <c r="AU132" i="2"/>
  <c r="DH132" i="2"/>
  <c r="CA132" i="2"/>
  <c r="CB132" i="2"/>
  <c r="BK132" i="2"/>
  <c r="AV132" i="2"/>
  <c r="AF132" i="2"/>
  <c r="AE132" i="2"/>
  <c r="CR132" i="2"/>
  <c r="DW132" i="2"/>
  <c r="P132" i="2"/>
  <c r="O132" i="2"/>
  <c r="FB132" i="2"/>
  <c r="FH132" i="2" s="1"/>
  <c r="ET132" i="2"/>
  <c r="EO132" i="2"/>
  <c r="FA132" i="2"/>
  <c r="EU132" i="2"/>
  <c r="DY132" i="2"/>
  <c r="EK132" i="2"/>
  <c r="EE132" i="2"/>
  <c r="EL132" i="2"/>
  <c r="ER132" i="2" s="1"/>
  <c r="DU132" i="2"/>
  <c r="DO132" i="2"/>
  <c r="DV132" i="2"/>
  <c r="EA132" i="2" s="1"/>
  <c r="DN132" i="2"/>
  <c r="DF132" i="2"/>
  <c r="DK132" i="2" s="1"/>
  <c r="CO132" i="2"/>
  <c r="CI132" i="2"/>
  <c r="BY132" i="2"/>
  <c r="FE132" i="2"/>
  <c r="DI132" i="2"/>
  <c r="CX132" i="2"/>
  <c r="CP132" i="2"/>
  <c r="CU132" i="2" s="1"/>
  <c r="BZ132" i="2"/>
  <c r="CF132" i="2" s="1"/>
  <c r="ED132" i="2"/>
  <c r="CS132" i="2"/>
  <c r="CH132" i="2"/>
  <c r="CC132" i="2"/>
  <c r="DE132" i="2"/>
  <c r="CY132" i="2"/>
  <c r="BM132" i="2"/>
  <c r="BS132" i="2"/>
  <c r="AS132" i="2"/>
  <c r="BC132" i="2"/>
  <c r="AT132" i="2"/>
  <c r="BR132" i="2"/>
  <c r="BI132" i="2"/>
  <c r="AM132" i="2"/>
  <c r="BJ132" i="2"/>
  <c r="BO132" i="2" s="1"/>
  <c r="BB132" i="2"/>
  <c r="AW132" i="2"/>
  <c r="AG132" i="2"/>
  <c r="AL132" i="2"/>
  <c r="DM130" i="2"/>
  <c r="DJ131" i="2"/>
  <c r="CD131" i="2"/>
  <c r="CG130" i="2"/>
  <c r="CV131" i="2"/>
  <c r="CV132" i="2" s="1"/>
  <c r="CT131" i="2"/>
  <c r="CW130" i="2"/>
  <c r="CE131" i="2"/>
  <c r="CE132" i="2" s="1"/>
  <c r="BN131" i="2"/>
  <c r="BQ130" i="2"/>
  <c r="EC130" i="2"/>
  <c r="DZ131" i="2"/>
  <c r="DL131" i="2"/>
  <c r="DL132" i="2" s="1"/>
  <c r="EQ132" i="2"/>
  <c r="FG132" i="2"/>
  <c r="ES130" i="2"/>
  <c r="EP131" i="2"/>
  <c r="EB132" i="2"/>
  <c r="FF131" i="2"/>
  <c r="FI130" i="2"/>
  <c r="BP131" i="2"/>
  <c r="BP132" i="2" s="1"/>
  <c r="T131" i="2"/>
  <c r="W132" i="2"/>
  <c r="AD132" i="2"/>
  <c r="AC132" i="2"/>
  <c r="V132" i="2"/>
  <c r="A133" i="2"/>
  <c r="N132" i="2"/>
  <c r="Q132" i="2"/>
  <c r="M132" i="2"/>
  <c r="G132" i="2"/>
  <c r="F132" i="2"/>
  <c r="AH129" i="2"/>
  <c r="AK128" i="2"/>
  <c r="R131" i="2"/>
  <c r="U130" i="2"/>
  <c r="E135" i="2"/>
  <c r="EC131" i="2" l="1"/>
  <c r="DZ132" i="2"/>
  <c r="DJ132" i="2"/>
  <c r="DM131" i="2"/>
  <c r="FF132" i="2"/>
  <c r="FI131" i="2"/>
  <c r="FD133" i="2"/>
  <c r="EN133" i="2"/>
  <c r="EM133" i="2"/>
  <c r="FC133" i="2"/>
  <c r="DX133" i="2"/>
  <c r="DW133" i="2"/>
  <c r="DH133" i="2"/>
  <c r="DG133" i="2"/>
  <c r="CR133" i="2"/>
  <c r="BK133" i="2"/>
  <c r="AF133" i="2"/>
  <c r="CQ133" i="2"/>
  <c r="BL133" i="2"/>
  <c r="AU133" i="2"/>
  <c r="P133" i="2"/>
  <c r="CB133" i="2"/>
  <c r="CA133" i="2"/>
  <c r="AV133" i="2"/>
  <c r="AE133" i="2"/>
  <c r="O133" i="2"/>
  <c r="FE133" i="2"/>
  <c r="ET133" i="2"/>
  <c r="FB133" i="2"/>
  <c r="FG133" i="2" s="1"/>
  <c r="EO133" i="2"/>
  <c r="ED133" i="2"/>
  <c r="DV133" i="2"/>
  <c r="EA133" i="2" s="1"/>
  <c r="DY133" i="2"/>
  <c r="FA133" i="2"/>
  <c r="EU133" i="2"/>
  <c r="EK133" i="2"/>
  <c r="EE133" i="2"/>
  <c r="DE133" i="2"/>
  <c r="CY133" i="2"/>
  <c r="BM133" i="2"/>
  <c r="DN133" i="2"/>
  <c r="DF133" i="2"/>
  <c r="DL133" i="2" s="1"/>
  <c r="CO133" i="2"/>
  <c r="CI133" i="2"/>
  <c r="BY133" i="2"/>
  <c r="DI133" i="2"/>
  <c r="CX133" i="2"/>
  <c r="CP133" i="2"/>
  <c r="CU133" i="2" s="1"/>
  <c r="BZ133" i="2"/>
  <c r="CF133" i="2" s="1"/>
  <c r="EL133" i="2"/>
  <c r="ER133" i="2" s="1"/>
  <c r="DU133" i="2"/>
  <c r="DO133" i="2"/>
  <c r="CS133" i="2"/>
  <c r="CC133" i="2"/>
  <c r="CH133" i="2"/>
  <c r="BS133" i="2"/>
  <c r="BJ133" i="2"/>
  <c r="BO133" i="2" s="1"/>
  <c r="BB133" i="2"/>
  <c r="AW133" i="2"/>
  <c r="AS133" i="2"/>
  <c r="BC133" i="2"/>
  <c r="AT133" i="2"/>
  <c r="BR133" i="2"/>
  <c r="BI133" i="2"/>
  <c r="AM133" i="2"/>
  <c r="AL133" i="2"/>
  <c r="AG133" i="2"/>
  <c r="EB133" i="2"/>
  <c r="CT132" i="2"/>
  <c r="CW131" i="2"/>
  <c r="CD132" i="2"/>
  <c r="CG131" i="2"/>
  <c r="ES131" i="2"/>
  <c r="EP132" i="2"/>
  <c r="BN132" i="2"/>
  <c r="BQ131" i="2"/>
  <c r="CV133" i="2"/>
  <c r="T132" i="2"/>
  <c r="S132" i="2"/>
  <c r="AD133" i="2"/>
  <c r="W133" i="2"/>
  <c r="V133" i="2"/>
  <c r="AC133" i="2"/>
  <c r="M133" i="2"/>
  <c r="A134" i="2"/>
  <c r="N133" i="2"/>
  <c r="G133" i="2"/>
  <c r="F133" i="2"/>
  <c r="Q133" i="2"/>
  <c r="AI130" i="2"/>
  <c r="AK129" i="2"/>
  <c r="AH130" i="2"/>
  <c r="AJ130" i="2"/>
  <c r="AJ131" i="2" s="1"/>
  <c r="R132" i="2"/>
  <c r="U131" i="2"/>
  <c r="E136" i="2"/>
  <c r="ES132" i="2" l="1"/>
  <c r="EP133" i="2"/>
  <c r="EQ133" i="2"/>
  <c r="FF133" i="2"/>
  <c r="FI132" i="2"/>
  <c r="DM132" i="2"/>
  <c r="DJ133" i="2"/>
  <c r="FH133" i="2"/>
  <c r="FC134" i="2"/>
  <c r="FD134" i="2"/>
  <c r="EM134" i="2"/>
  <c r="EN134" i="2"/>
  <c r="DH134" i="2"/>
  <c r="DX134" i="2"/>
  <c r="DW134" i="2"/>
  <c r="DG134" i="2"/>
  <c r="CB134" i="2"/>
  <c r="AV134" i="2"/>
  <c r="CR134" i="2"/>
  <c r="BK134" i="2"/>
  <c r="AF134" i="2"/>
  <c r="O134" i="2"/>
  <c r="CA134" i="2"/>
  <c r="BL134" i="2"/>
  <c r="AU134" i="2"/>
  <c r="P134" i="2"/>
  <c r="CQ134" i="2"/>
  <c r="AE134" i="2"/>
  <c r="FB134" i="2"/>
  <c r="FG134" i="2" s="1"/>
  <c r="FE134" i="2"/>
  <c r="FA134" i="2"/>
  <c r="EU134" i="2"/>
  <c r="ET134" i="2"/>
  <c r="EO134" i="2"/>
  <c r="EL134" i="2"/>
  <c r="ER134" i="2" s="1"/>
  <c r="DU134" i="2"/>
  <c r="DO134" i="2"/>
  <c r="ED134" i="2"/>
  <c r="DV134" i="2"/>
  <c r="EB134" i="2" s="1"/>
  <c r="DY134" i="2"/>
  <c r="CS134" i="2"/>
  <c r="CH134" i="2"/>
  <c r="CC134" i="2"/>
  <c r="EE134" i="2"/>
  <c r="DE134" i="2"/>
  <c r="CY134" i="2"/>
  <c r="BM134" i="2"/>
  <c r="BS134" i="2"/>
  <c r="EK134" i="2"/>
  <c r="DN134" i="2"/>
  <c r="DF134" i="2"/>
  <c r="DL134" i="2" s="1"/>
  <c r="CO134" i="2"/>
  <c r="CI134" i="2"/>
  <c r="BY134" i="2"/>
  <c r="CX134" i="2"/>
  <c r="DI134" i="2"/>
  <c r="CP134" i="2"/>
  <c r="CU134" i="2" s="1"/>
  <c r="BZ134" i="2"/>
  <c r="CF134" i="2" s="1"/>
  <c r="BR134" i="2"/>
  <c r="BI134" i="2"/>
  <c r="BJ134" i="2"/>
  <c r="BO134" i="2" s="1"/>
  <c r="BB134" i="2"/>
  <c r="AW134" i="2"/>
  <c r="AS134" i="2"/>
  <c r="BC134" i="2"/>
  <c r="AT134" i="2"/>
  <c r="AM134" i="2"/>
  <c r="AL134" i="2"/>
  <c r="AG134" i="2"/>
  <c r="CD133" i="2"/>
  <c r="CG132" i="2"/>
  <c r="CE133" i="2"/>
  <c r="CE134" i="2" s="1"/>
  <c r="BP133" i="2"/>
  <c r="BP134" i="2" s="1"/>
  <c r="EC132" i="2"/>
  <c r="DZ133" i="2"/>
  <c r="DK133" i="2"/>
  <c r="DK134" i="2" s="1"/>
  <c r="BN133" i="2"/>
  <c r="BQ132" i="2"/>
  <c r="CT133" i="2"/>
  <c r="CW132" i="2"/>
  <c r="S133" i="2"/>
  <c r="AC134" i="2"/>
  <c r="V134" i="2"/>
  <c r="W134" i="2"/>
  <c r="AD134" i="2"/>
  <c r="N134" i="2"/>
  <c r="G134" i="2"/>
  <c r="F134" i="2"/>
  <c r="M134" i="2"/>
  <c r="A135" i="2"/>
  <c r="Q134" i="2"/>
  <c r="T133" i="2"/>
  <c r="AI131" i="2"/>
  <c r="AI132" i="2" s="1"/>
  <c r="AJ132" i="2"/>
  <c r="AH131" i="2"/>
  <c r="AK130" i="2"/>
  <c r="R133" i="2"/>
  <c r="U132" i="2"/>
  <c r="E137" i="2"/>
  <c r="BQ133" i="2" l="1"/>
  <c r="BN134" i="2"/>
  <c r="FH134" i="2"/>
  <c r="ES133" i="2"/>
  <c r="EP134" i="2"/>
  <c r="CT134" i="2"/>
  <c r="CW133" i="2"/>
  <c r="EC133" i="2"/>
  <c r="DZ134" i="2"/>
  <c r="CG133" i="2"/>
  <c r="CD134" i="2"/>
  <c r="DJ134" i="2"/>
  <c r="DM133" i="2"/>
  <c r="EA134" i="2"/>
  <c r="FD135" i="2"/>
  <c r="EM135" i="2"/>
  <c r="EN135" i="2"/>
  <c r="DG135" i="2"/>
  <c r="FC135" i="2"/>
  <c r="DH135" i="2"/>
  <c r="DX135" i="2"/>
  <c r="DW135" i="2"/>
  <c r="CR135" i="2"/>
  <c r="CA135" i="2"/>
  <c r="CB135" i="2"/>
  <c r="AV135" i="2"/>
  <c r="CQ135" i="2"/>
  <c r="BK135" i="2"/>
  <c r="AF135" i="2"/>
  <c r="O135" i="2"/>
  <c r="BL135" i="2"/>
  <c r="AU135" i="2"/>
  <c r="AE135" i="2"/>
  <c r="P135" i="2"/>
  <c r="FB135" i="2"/>
  <c r="FG135" i="2" s="1"/>
  <c r="FE135" i="2"/>
  <c r="EO135" i="2"/>
  <c r="FA135" i="2"/>
  <c r="EU135" i="2"/>
  <c r="EK135" i="2"/>
  <c r="EE135" i="2"/>
  <c r="ET135" i="2"/>
  <c r="EL135" i="2"/>
  <c r="ER135" i="2" s="1"/>
  <c r="DU135" i="2"/>
  <c r="DO135" i="2"/>
  <c r="ED135" i="2"/>
  <c r="DV135" i="2"/>
  <c r="EB135" i="2" s="1"/>
  <c r="DI135" i="2"/>
  <c r="CX135" i="2"/>
  <c r="CP135" i="2"/>
  <c r="CU135" i="2" s="1"/>
  <c r="BZ135" i="2"/>
  <c r="CF135" i="2" s="1"/>
  <c r="CS135" i="2"/>
  <c r="CH135" i="2"/>
  <c r="CC135" i="2"/>
  <c r="DY135" i="2"/>
  <c r="DE135" i="2"/>
  <c r="CY135" i="2"/>
  <c r="BM135" i="2"/>
  <c r="BS135" i="2"/>
  <c r="CO135" i="2"/>
  <c r="DN135" i="2"/>
  <c r="BY135" i="2"/>
  <c r="DF135" i="2"/>
  <c r="DL135" i="2" s="1"/>
  <c r="BC135" i="2"/>
  <c r="AT135" i="2"/>
  <c r="BR135" i="2"/>
  <c r="BI135" i="2"/>
  <c r="AM135" i="2"/>
  <c r="CI135" i="2"/>
  <c r="BJ135" i="2"/>
  <c r="BO135" i="2" s="1"/>
  <c r="BB135" i="2"/>
  <c r="AW135" i="2"/>
  <c r="AS135" i="2"/>
  <c r="AL135" i="2"/>
  <c r="AG135" i="2"/>
  <c r="CV134" i="2"/>
  <c r="CV135" i="2" s="1"/>
  <c r="BP135" i="2"/>
  <c r="FF134" i="2"/>
  <c r="FI133" i="2"/>
  <c r="EQ134" i="2"/>
  <c r="EQ135" i="2" s="1"/>
  <c r="T134" i="2"/>
  <c r="S134" i="2"/>
  <c r="AD135" i="2"/>
  <c r="AC135" i="2"/>
  <c r="V135" i="2"/>
  <c r="W135" i="2"/>
  <c r="M135" i="2"/>
  <c r="N135" i="2"/>
  <c r="F135" i="2"/>
  <c r="G135" i="2"/>
  <c r="Q135" i="2"/>
  <c r="A136" i="2"/>
  <c r="AI133" i="2"/>
  <c r="AH132" i="2"/>
  <c r="AK131" i="2"/>
  <c r="R134" i="2"/>
  <c r="U133" i="2"/>
  <c r="E138" i="2"/>
  <c r="CU136" i="2" l="1"/>
  <c r="FC136" i="2"/>
  <c r="DX136" i="2"/>
  <c r="FD136" i="2"/>
  <c r="EN136" i="2"/>
  <c r="EM136" i="2"/>
  <c r="DG136" i="2"/>
  <c r="CQ136" i="2"/>
  <c r="DW136" i="2"/>
  <c r="DH136" i="2"/>
  <c r="BL136" i="2"/>
  <c r="AU136" i="2"/>
  <c r="CA136" i="2"/>
  <c r="AE136" i="2"/>
  <c r="BK136" i="2"/>
  <c r="AV136" i="2"/>
  <c r="CR136" i="2"/>
  <c r="CB136" i="2"/>
  <c r="P136" i="2"/>
  <c r="O136" i="2"/>
  <c r="AF136" i="2"/>
  <c r="FB136" i="2"/>
  <c r="FG136" i="2" s="1"/>
  <c r="FE136" i="2"/>
  <c r="ET136" i="2"/>
  <c r="EO136" i="2"/>
  <c r="FA136" i="2"/>
  <c r="EU136" i="2"/>
  <c r="DY136" i="2"/>
  <c r="EK136" i="2"/>
  <c r="EE136" i="2"/>
  <c r="EL136" i="2"/>
  <c r="ER136" i="2" s="1"/>
  <c r="DU136" i="2"/>
  <c r="DO136" i="2"/>
  <c r="DN136" i="2"/>
  <c r="DF136" i="2"/>
  <c r="DL136" i="2" s="1"/>
  <c r="CO136" i="2"/>
  <c r="CI136" i="2"/>
  <c r="BY136" i="2"/>
  <c r="DV136" i="2"/>
  <c r="EB136" i="2" s="1"/>
  <c r="DI136" i="2"/>
  <c r="CX136" i="2"/>
  <c r="CP136" i="2"/>
  <c r="BZ136" i="2"/>
  <c r="CF136" i="2" s="1"/>
  <c r="CS136" i="2"/>
  <c r="CH136" i="2"/>
  <c r="CC136" i="2"/>
  <c r="ED136" i="2"/>
  <c r="DE136" i="2"/>
  <c r="CY136" i="2"/>
  <c r="BM136" i="2"/>
  <c r="AS136" i="2"/>
  <c r="BC136" i="2"/>
  <c r="AT136" i="2"/>
  <c r="BR136" i="2"/>
  <c r="BI136" i="2"/>
  <c r="AM136" i="2"/>
  <c r="BS136" i="2"/>
  <c r="BJ136" i="2"/>
  <c r="BO136" i="2" s="1"/>
  <c r="BB136" i="2"/>
  <c r="AW136" i="2"/>
  <c r="AL136" i="2"/>
  <c r="AG136" i="2"/>
  <c r="FF135" i="2"/>
  <c r="FI134" i="2"/>
  <c r="CD135" i="2"/>
  <c r="CG134" i="2"/>
  <c r="FH135" i="2"/>
  <c r="FH136" i="2" s="1"/>
  <c r="EA135" i="2"/>
  <c r="EA136" i="2" s="1"/>
  <c r="DM134" i="2"/>
  <c r="DJ135" i="2"/>
  <c r="CW134" i="2"/>
  <c r="CT135" i="2"/>
  <c r="CE135" i="2"/>
  <c r="CE136" i="2" s="1"/>
  <c r="CV136" i="2"/>
  <c r="EC134" i="2"/>
  <c r="DZ135" i="2"/>
  <c r="ES134" i="2"/>
  <c r="EP135" i="2"/>
  <c r="DK135" i="2"/>
  <c r="DK136" i="2" s="1"/>
  <c r="EQ136" i="2"/>
  <c r="BP136" i="2"/>
  <c r="BQ134" i="2"/>
  <c r="BN135" i="2"/>
  <c r="T135" i="2"/>
  <c r="S135" i="2"/>
  <c r="AD136" i="2"/>
  <c r="W136" i="2"/>
  <c r="AC136" i="2"/>
  <c r="V136" i="2"/>
  <c r="Q136" i="2"/>
  <c r="G136" i="2"/>
  <c r="F136" i="2"/>
  <c r="A137" i="2"/>
  <c r="M136" i="2"/>
  <c r="N136" i="2"/>
  <c r="AJ133" i="2"/>
  <c r="AI134" i="2"/>
  <c r="AK132" i="2"/>
  <c r="AH133" i="2"/>
  <c r="R135" i="2"/>
  <c r="U134" i="2"/>
  <c r="E139" i="2"/>
  <c r="EC135" i="2" l="1"/>
  <c r="DZ136" i="2"/>
  <c r="DM135" i="2"/>
  <c r="DJ136" i="2"/>
  <c r="CG135" i="2"/>
  <c r="CD136" i="2"/>
  <c r="CW135" i="2"/>
  <c r="CT136" i="2"/>
  <c r="BN136" i="2"/>
  <c r="BQ135" i="2"/>
  <c r="EQ137" i="2"/>
  <c r="ES135" i="2"/>
  <c r="EP136" i="2"/>
  <c r="CV137" i="2"/>
  <c r="FF136" i="2"/>
  <c r="FI135" i="2"/>
  <c r="FD137" i="2"/>
  <c r="FC137" i="2"/>
  <c r="EN137" i="2"/>
  <c r="DX137" i="2"/>
  <c r="DW137" i="2"/>
  <c r="EM137" i="2"/>
  <c r="DG137" i="2"/>
  <c r="CQ137" i="2"/>
  <c r="BK137" i="2"/>
  <c r="AF137" i="2"/>
  <c r="BL137" i="2"/>
  <c r="AU137" i="2"/>
  <c r="P137" i="2"/>
  <c r="AE137" i="2"/>
  <c r="AV137" i="2"/>
  <c r="DH137" i="2"/>
  <c r="CB137" i="2"/>
  <c r="CE137" i="2" s="1"/>
  <c r="CA137" i="2"/>
  <c r="O137" i="2"/>
  <c r="CR137" i="2"/>
  <c r="FE137" i="2"/>
  <c r="ET137" i="2"/>
  <c r="EO137" i="2"/>
  <c r="ED137" i="2"/>
  <c r="DV137" i="2"/>
  <c r="EB137" i="2" s="1"/>
  <c r="DY137" i="2"/>
  <c r="FB137" i="2"/>
  <c r="FH137" i="2" s="1"/>
  <c r="EK137" i="2"/>
  <c r="EE137" i="2"/>
  <c r="EL137" i="2"/>
  <c r="ER137" i="2" s="1"/>
  <c r="DU137" i="2"/>
  <c r="DO137" i="2"/>
  <c r="DE137" i="2"/>
  <c r="CY137" i="2"/>
  <c r="BM137" i="2"/>
  <c r="FA137" i="2"/>
  <c r="EU137" i="2"/>
  <c r="DN137" i="2"/>
  <c r="DF137" i="2"/>
  <c r="DL137" i="2" s="1"/>
  <c r="CO137" i="2"/>
  <c r="CI137" i="2"/>
  <c r="BY137" i="2"/>
  <c r="DI137" i="2"/>
  <c r="CX137" i="2"/>
  <c r="CP137" i="2"/>
  <c r="CU137" i="2" s="1"/>
  <c r="BZ137" i="2"/>
  <c r="CF137" i="2" s="1"/>
  <c r="CS137" i="2"/>
  <c r="BS137" i="2"/>
  <c r="CC137" i="2"/>
  <c r="CH137" i="2"/>
  <c r="BJ137" i="2"/>
  <c r="BP137" i="2" s="1"/>
  <c r="BB137" i="2"/>
  <c r="AW137" i="2"/>
  <c r="AS137" i="2"/>
  <c r="BC137" i="2"/>
  <c r="AT137" i="2"/>
  <c r="BR137" i="2"/>
  <c r="BI137" i="2"/>
  <c r="AM137" i="2"/>
  <c r="AL137" i="2"/>
  <c r="AG137" i="2"/>
  <c r="AC137" i="2"/>
  <c r="V137" i="2"/>
  <c r="AD137" i="2"/>
  <c r="W137" i="2"/>
  <c r="A138" i="2"/>
  <c r="Q137" i="2"/>
  <c r="M137" i="2"/>
  <c r="N137" i="2"/>
  <c r="F137" i="2"/>
  <c r="G137" i="2"/>
  <c r="S136" i="2"/>
  <c r="T136" i="2"/>
  <c r="AJ134" i="2"/>
  <c r="AJ135" i="2" s="1"/>
  <c r="AH134" i="2"/>
  <c r="AK133" i="2"/>
  <c r="R136" i="2"/>
  <c r="U135" i="2"/>
  <c r="E140" i="2"/>
  <c r="EA137" i="2" l="1"/>
  <c r="CW136" i="2"/>
  <c r="CT137" i="2"/>
  <c r="DJ137" i="2"/>
  <c r="DM136" i="2"/>
  <c r="DK137" i="2"/>
  <c r="BO137" i="2"/>
  <c r="FF137" i="2"/>
  <c r="FI136" i="2"/>
  <c r="EP137" i="2"/>
  <c r="ES136" i="2"/>
  <c r="BQ136" i="2"/>
  <c r="BN137" i="2"/>
  <c r="CD137" i="2"/>
  <c r="CG136" i="2"/>
  <c r="EC136" i="2"/>
  <c r="DZ137" i="2"/>
  <c r="FG137" i="2"/>
  <c r="FC138" i="2"/>
  <c r="FD138" i="2"/>
  <c r="EN138" i="2"/>
  <c r="EM138" i="2"/>
  <c r="DH138" i="2"/>
  <c r="DW138" i="2"/>
  <c r="DX138" i="2"/>
  <c r="CR138" i="2"/>
  <c r="CB138" i="2"/>
  <c r="AV138" i="2"/>
  <c r="DG138" i="2"/>
  <c r="CQ138" i="2"/>
  <c r="BK138" i="2"/>
  <c r="CA138" i="2"/>
  <c r="O138" i="2"/>
  <c r="P138" i="2"/>
  <c r="AU138" i="2"/>
  <c r="BL138" i="2"/>
  <c r="AE138" i="2"/>
  <c r="AF138" i="2"/>
  <c r="FB138" i="2"/>
  <c r="FH138" i="2" s="1"/>
  <c r="FE138" i="2"/>
  <c r="FA138" i="2"/>
  <c r="EU138" i="2"/>
  <c r="ET138" i="2"/>
  <c r="EL138" i="2"/>
  <c r="EQ138" i="2" s="1"/>
  <c r="DU138" i="2"/>
  <c r="DO138" i="2"/>
  <c r="EO138" i="2"/>
  <c r="ED138" i="2"/>
  <c r="DV138" i="2"/>
  <c r="EB138" i="2" s="1"/>
  <c r="DY138" i="2"/>
  <c r="CS138" i="2"/>
  <c r="CH138" i="2"/>
  <c r="CC138" i="2"/>
  <c r="DE138" i="2"/>
  <c r="CY138" i="2"/>
  <c r="BM138" i="2"/>
  <c r="BS138" i="2"/>
  <c r="EE138" i="2"/>
  <c r="DN138" i="2"/>
  <c r="DF138" i="2"/>
  <c r="DL138" i="2" s="1"/>
  <c r="CO138" i="2"/>
  <c r="CI138" i="2"/>
  <c r="BY138" i="2"/>
  <c r="EK138" i="2"/>
  <c r="CP138" i="2"/>
  <c r="CU138" i="2" s="1"/>
  <c r="CX138" i="2"/>
  <c r="BZ138" i="2"/>
  <c r="CE138" i="2" s="1"/>
  <c r="DI138" i="2"/>
  <c r="BR138" i="2"/>
  <c r="BI138" i="2"/>
  <c r="BJ138" i="2"/>
  <c r="BP138" i="2" s="1"/>
  <c r="BB138" i="2"/>
  <c r="AW138" i="2"/>
  <c r="AS138" i="2"/>
  <c r="BC138" i="2"/>
  <c r="AT138" i="2"/>
  <c r="AM138" i="2"/>
  <c r="AL138" i="2"/>
  <c r="AG138" i="2"/>
  <c r="S137" i="2"/>
  <c r="AC138" i="2"/>
  <c r="V138" i="2"/>
  <c r="AD138" i="2"/>
  <c r="W138" i="2"/>
  <c r="Q138" i="2"/>
  <c r="M138" i="2"/>
  <c r="N138" i="2"/>
  <c r="F138" i="2"/>
  <c r="G138" i="2"/>
  <c r="A139" i="2"/>
  <c r="T137" i="2"/>
  <c r="AI135" i="2"/>
  <c r="AH135" i="2"/>
  <c r="AK134" i="2"/>
  <c r="AJ136" i="2"/>
  <c r="R137" i="2"/>
  <c r="U136" i="2"/>
  <c r="E141" i="2"/>
  <c r="BQ137" i="2" l="1"/>
  <c r="BN138" i="2"/>
  <c r="CV138" i="2"/>
  <c r="DK138" i="2"/>
  <c r="ER138" i="2"/>
  <c r="FF138" i="2"/>
  <c r="FI137" i="2"/>
  <c r="BO138" i="2"/>
  <c r="FG138" i="2"/>
  <c r="CD138" i="2"/>
  <c r="CG137" i="2"/>
  <c r="DJ138" i="2"/>
  <c r="DM137" i="2"/>
  <c r="EA138" i="2"/>
  <c r="CF138" i="2"/>
  <c r="FD139" i="2"/>
  <c r="FC139" i="2"/>
  <c r="EM139" i="2"/>
  <c r="DX139" i="2"/>
  <c r="DG139" i="2"/>
  <c r="EN139" i="2"/>
  <c r="DH139" i="2"/>
  <c r="CR139" i="2"/>
  <c r="DW139" i="2"/>
  <c r="CA139" i="2"/>
  <c r="CB139" i="2"/>
  <c r="AV139" i="2"/>
  <c r="BL139" i="2"/>
  <c r="AU139" i="2"/>
  <c r="AF139" i="2"/>
  <c r="CQ139" i="2"/>
  <c r="O139" i="2"/>
  <c r="BK139" i="2"/>
  <c r="P139" i="2"/>
  <c r="AE139" i="2"/>
  <c r="FB139" i="2"/>
  <c r="FH139" i="2" s="1"/>
  <c r="FE139" i="2"/>
  <c r="EO139" i="2"/>
  <c r="FA139" i="2"/>
  <c r="EU139" i="2"/>
  <c r="EK139" i="2"/>
  <c r="EE139" i="2"/>
  <c r="EL139" i="2"/>
  <c r="EQ139" i="2" s="1"/>
  <c r="DU139" i="2"/>
  <c r="DO139" i="2"/>
  <c r="ET139" i="2"/>
  <c r="ED139" i="2"/>
  <c r="DV139" i="2"/>
  <c r="EB139" i="2" s="1"/>
  <c r="DI139" i="2"/>
  <c r="CX139" i="2"/>
  <c r="CP139" i="2"/>
  <c r="CU139" i="2" s="1"/>
  <c r="BZ139" i="2"/>
  <c r="CE139" i="2" s="1"/>
  <c r="CS139" i="2"/>
  <c r="CH139" i="2"/>
  <c r="CC139" i="2"/>
  <c r="DE139" i="2"/>
  <c r="CY139" i="2"/>
  <c r="BM139" i="2"/>
  <c r="BS139" i="2"/>
  <c r="DY139" i="2"/>
  <c r="DF139" i="2"/>
  <c r="DL139" i="2" s="1"/>
  <c r="CI139" i="2"/>
  <c r="CO139" i="2"/>
  <c r="DN139" i="2"/>
  <c r="BY139" i="2"/>
  <c r="BC139" i="2"/>
  <c r="AT139" i="2"/>
  <c r="BR139" i="2"/>
  <c r="BI139" i="2"/>
  <c r="AM139" i="2"/>
  <c r="BJ139" i="2"/>
  <c r="BP139" i="2" s="1"/>
  <c r="BB139" i="2"/>
  <c r="AW139" i="2"/>
  <c r="AS139" i="2"/>
  <c r="AL139" i="2"/>
  <c r="AG139" i="2"/>
  <c r="DZ138" i="2"/>
  <c r="EC137" i="2"/>
  <c r="ES137" i="2"/>
  <c r="EP138" i="2"/>
  <c r="CW137" i="2"/>
  <c r="CT138" i="2"/>
  <c r="S138" i="2"/>
  <c r="T138" i="2"/>
  <c r="AC139" i="2"/>
  <c r="AD139" i="2"/>
  <c r="V139" i="2"/>
  <c r="W139" i="2"/>
  <c r="N139" i="2"/>
  <c r="M139" i="2"/>
  <c r="F139" i="2"/>
  <c r="G139" i="2"/>
  <c r="A140" i="2"/>
  <c r="Q139" i="2"/>
  <c r="AI136" i="2"/>
  <c r="AK135" i="2"/>
  <c r="AH136" i="2"/>
  <c r="R138" i="2"/>
  <c r="U137" i="2"/>
  <c r="E142" i="2"/>
  <c r="FG139" i="2" l="1"/>
  <c r="ER139" i="2"/>
  <c r="CV139" i="2"/>
  <c r="DJ139" i="2"/>
  <c r="DM138" i="2"/>
  <c r="DK139" i="2"/>
  <c r="FC140" i="2"/>
  <c r="FD140" i="2"/>
  <c r="DX140" i="2"/>
  <c r="EM140" i="2"/>
  <c r="DG140" i="2"/>
  <c r="CQ140" i="2"/>
  <c r="BL140" i="2"/>
  <c r="AU140" i="2"/>
  <c r="EN140" i="2"/>
  <c r="DW140" i="2"/>
  <c r="CR140" i="2"/>
  <c r="CA140" i="2"/>
  <c r="DH140" i="2"/>
  <c r="CB140" i="2"/>
  <c r="BK140" i="2"/>
  <c r="AV140" i="2"/>
  <c r="AE140" i="2"/>
  <c r="AF140" i="2"/>
  <c r="O140" i="2"/>
  <c r="P140" i="2"/>
  <c r="FB140" i="2"/>
  <c r="FH140" i="2" s="1"/>
  <c r="ET140" i="2"/>
  <c r="FE140" i="2"/>
  <c r="EO140" i="2"/>
  <c r="FA140" i="2"/>
  <c r="EU140" i="2"/>
  <c r="DY140" i="2"/>
  <c r="EK140" i="2"/>
  <c r="EE140" i="2"/>
  <c r="EL140" i="2"/>
  <c r="EQ140" i="2" s="1"/>
  <c r="DU140" i="2"/>
  <c r="DO140" i="2"/>
  <c r="ED140" i="2"/>
  <c r="DN140" i="2"/>
  <c r="DF140" i="2"/>
  <c r="DL140" i="2" s="1"/>
  <c r="CO140" i="2"/>
  <c r="CI140" i="2"/>
  <c r="BY140" i="2"/>
  <c r="DI140" i="2"/>
  <c r="CX140" i="2"/>
  <c r="CP140" i="2"/>
  <c r="CU140" i="2" s="1"/>
  <c r="BZ140" i="2"/>
  <c r="CE140" i="2" s="1"/>
  <c r="DV140" i="2"/>
  <c r="EB140" i="2" s="1"/>
  <c r="CS140" i="2"/>
  <c r="CH140" i="2"/>
  <c r="CC140" i="2"/>
  <c r="BS140" i="2"/>
  <c r="DE140" i="2"/>
  <c r="CY140" i="2"/>
  <c r="BM140" i="2"/>
  <c r="AS140" i="2"/>
  <c r="BC140" i="2"/>
  <c r="AT140" i="2"/>
  <c r="BR140" i="2"/>
  <c r="BI140" i="2"/>
  <c r="AM140" i="2"/>
  <c r="BJ140" i="2"/>
  <c r="BP140" i="2" s="1"/>
  <c r="BB140" i="2"/>
  <c r="AW140" i="2"/>
  <c r="AG140" i="2"/>
  <c r="AL140" i="2"/>
  <c r="CT139" i="2"/>
  <c r="CW138" i="2"/>
  <c r="EP139" i="2"/>
  <c r="ES138" i="2"/>
  <c r="DZ139" i="2"/>
  <c r="EC138" i="2"/>
  <c r="CF139" i="2"/>
  <c r="CF140" i="2" s="1"/>
  <c r="EA139" i="2"/>
  <c r="EA140" i="2" s="1"/>
  <c r="CG138" i="2"/>
  <c r="CD139" i="2"/>
  <c r="BO139" i="2"/>
  <c r="BO140" i="2" s="1"/>
  <c r="FF139" i="2"/>
  <c r="FI138" i="2"/>
  <c r="BQ138" i="2"/>
  <c r="BN139" i="2"/>
  <c r="S139" i="2"/>
  <c r="T139" i="2"/>
  <c r="AD140" i="2"/>
  <c r="AC140" i="2"/>
  <c r="V140" i="2"/>
  <c r="W140" i="2"/>
  <c r="A141" i="2"/>
  <c r="M140" i="2"/>
  <c r="N140" i="2"/>
  <c r="F140" i="2"/>
  <c r="G140" i="2"/>
  <c r="Q140" i="2"/>
  <c r="AJ137" i="2"/>
  <c r="AJ138" i="2" s="1"/>
  <c r="AK136" i="2"/>
  <c r="AH137" i="2"/>
  <c r="AI137" i="2"/>
  <c r="R139" i="2"/>
  <c r="U138" i="2"/>
  <c r="E143" i="2"/>
  <c r="EP140" i="2" l="1"/>
  <c r="ES139" i="2"/>
  <c r="DK140" i="2"/>
  <c r="BN140" i="2"/>
  <c r="BQ139" i="2"/>
  <c r="FF140" i="2"/>
  <c r="FI139" i="2"/>
  <c r="CD140" i="2"/>
  <c r="CG139" i="2"/>
  <c r="FG140" i="2"/>
  <c r="FD141" i="2"/>
  <c r="EN141" i="2"/>
  <c r="DX141" i="2"/>
  <c r="DW141" i="2"/>
  <c r="EM141" i="2"/>
  <c r="DH141" i="2"/>
  <c r="DG141" i="2"/>
  <c r="FC141" i="2"/>
  <c r="BK141" i="2"/>
  <c r="BL141" i="2"/>
  <c r="AU141" i="2"/>
  <c r="CR141" i="2"/>
  <c r="P141" i="2"/>
  <c r="CB141" i="2"/>
  <c r="CA141" i="2"/>
  <c r="AV141" i="2"/>
  <c r="AE141" i="2"/>
  <c r="CQ141" i="2"/>
  <c r="AF141" i="2"/>
  <c r="O141" i="2"/>
  <c r="FE141" i="2"/>
  <c r="FB141" i="2"/>
  <c r="FH141" i="2" s="1"/>
  <c r="ET141" i="2"/>
  <c r="EO141" i="2"/>
  <c r="FA141" i="2"/>
  <c r="EU141" i="2"/>
  <c r="ED141" i="2"/>
  <c r="DV141" i="2"/>
  <c r="EB141" i="2" s="1"/>
  <c r="DY141" i="2"/>
  <c r="EK141" i="2"/>
  <c r="EE141" i="2"/>
  <c r="DE141" i="2"/>
  <c r="CY141" i="2"/>
  <c r="BM141" i="2"/>
  <c r="EL141" i="2"/>
  <c r="EQ141" i="2" s="1"/>
  <c r="DU141" i="2"/>
  <c r="DO141" i="2"/>
  <c r="DN141" i="2"/>
  <c r="DF141" i="2"/>
  <c r="DL141" i="2" s="1"/>
  <c r="CO141" i="2"/>
  <c r="CI141" i="2"/>
  <c r="BY141" i="2"/>
  <c r="DI141" i="2"/>
  <c r="CX141" i="2"/>
  <c r="CP141" i="2"/>
  <c r="CU141" i="2" s="1"/>
  <c r="BZ141" i="2"/>
  <c r="CF141" i="2" s="1"/>
  <c r="CS141" i="2"/>
  <c r="CC141" i="2"/>
  <c r="BS141" i="2"/>
  <c r="BJ141" i="2"/>
  <c r="BP141" i="2" s="1"/>
  <c r="BB141" i="2"/>
  <c r="AW141" i="2"/>
  <c r="CH141" i="2"/>
  <c r="AS141" i="2"/>
  <c r="BC141" i="2"/>
  <c r="AT141" i="2"/>
  <c r="BR141" i="2"/>
  <c r="BI141" i="2"/>
  <c r="AM141" i="2"/>
  <c r="AL141" i="2"/>
  <c r="AG141" i="2"/>
  <c r="BO141" i="2"/>
  <c r="EA141" i="2"/>
  <c r="DZ140" i="2"/>
  <c r="EC139" i="2"/>
  <c r="CT140" i="2"/>
  <c r="CW139" i="2"/>
  <c r="DJ140" i="2"/>
  <c r="DM139" i="2"/>
  <c r="CV140" i="2"/>
  <c r="CV141" i="2" s="1"/>
  <c r="ER140" i="2"/>
  <c r="ER141" i="2" s="1"/>
  <c r="S140" i="2"/>
  <c r="AD141" i="2"/>
  <c r="W141" i="2"/>
  <c r="AC141" i="2"/>
  <c r="V141" i="2"/>
  <c r="F141" i="2"/>
  <c r="A142" i="2"/>
  <c r="Q141" i="2"/>
  <c r="M141" i="2"/>
  <c r="G141" i="2"/>
  <c r="N141" i="2"/>
  <c r="T140" i="2"/>
  <c r="AK137" i="2"/>
  <c r="AH138" i="2"/>
  <c r="AI138" i="2"/>
  <c r="AI139" i="2" s="1"/>
  <c r="R140" i="2"/>
  <c r="U139" i="2"/>
  <c r="E144" i="2"/>
  <c r="EC140" i="2" l="1"/>
  <c r="DZ141" i="2"/>
  <c r="CD141" i="2"/>
  <c r="CG140" i="2"/>
  <c r="BQ140" i="2"/>
  <c r="BN141" i="2"/>
  <c r="DK141" i="2"/>
  <c r="FG141" i="2"/>
  <c r="ES140" i="2"/>
  <c r="EP141" i="2"/>
  <c r="CE141" i="2"/>
  <c r="DJ141" i="2"/>
  <c r="DM140" i="2"/>
  <c r="CT141" i="2"/>
  <c r="CW140" i="2"/>
  <c r="FF141" i="2"/>
  <c r="FI140" i="2"/>
  <c r="FC142" i="2"/>
  <c r="FD142" i="2"/>
  <c r="EN142" i="2"/>
  <c r="DH142" i="2"/>
  <c r="DX142" i="2"/>
  <c r="DW142" i="2"/>
  <c r="DG142" i="2"/>
  <c r="CQ142" i="2"/>
  <c r="CB142" i="2"/>
  <c r="AV142" i="2"/>
  <c r="EM142" i="2"/>
  <c r="BK142" i="2"/>
  <c r="O142" i="2"/>
  <c r="CA142" i="2"/>
  <c r="CR142" i="2"/>
  <c r="BL142" i="2"/>
  <c r="AU142" i="2"/>
  <c r="P142" i="2"/>
  <c r="AF142" i="2"/>
  <c r="AE142" i="2"/>
  <c r="FB142" i="2"/>
  <c r="FH142" i="2" s="1"/>
  <c r="FE142" i="2"/>
  <c r="FA142" i="2"/>
  <c r="EU142" i="2"/>
  <c r="ET142" i="2"/>
  <c r="EL142" i="2"/>
  <c r="EQ142" i="2" s="1"/>
  <c r="DU142" i="2"/>
  <c r="DO142" i="2"/>
  <c r="ED142" i="2"/>
  <c r="DV142" i="2"/>
  <c r="EA142" i="2" s="1"/>
  <c r="EO142" i="2"/>
  <c r="DY142" i="2"/>
  <c r="EK142" i="2"/>
  <c r="CS142" i="2"/>
  <c r="CH142" i="2"/>
  <c r="CC142" i="2"/>
  <c r="DE142" i="2"/>
  <c r="CY142" i="2"/>
  <c r="BM142" i="2"/>
  <c r="BS142" i="2"/>
  <c r="DN142" i="2"/>
  <c r="DF142" i="2"/>
  <c r="DL142" i="2" s="1"/>
  <c r="CO142" i="2"/>
  <c r="CI142" i="2"/>
  <c r="BY142" i="2"/>
  <c r="EE142" i="2"/>
  <c r="CP142" i="2"/>
  <c r="CV142" i="2" s="1"/>
  <c r="CX142" i="2"/>
  <c r="BZ142" i="2"/>
  <c r="CF142" i="2" s="1"/>
  <c r="DI142" i="2"/>
  <c r="BR142" i="2"/>
  <c r="BI142" i="2"/>
  <c r="BJ142" i="2"/>
  <c r="BP142" i="2" s="1"/>
  <c r="BB142" i="2"/>
  <c r="AW142" i="2"/>
  <c r="AS142" i="2"/>
  <c r="BC142" i="2"/>
  <c r="AT142" i="2"/>
  <c r="AL142" i="2"/>
  <c r="AG142" i="2"/>
  <c r="AM142" i="2"/>
  <c r="S141" i="2"/>
  <c r="T141" i="2"/>
  <c r="AC142" i="2"/>
  <c r="V142" i="2"/>
  <c r="AD142" i="2"/>
  <c r="W142" i="2"/>
  <c r="M142" i="2"/>
  <c r="N142" i="2"/>
  <c r="G142" i="2"/>
  <c r="F142" i="2"/>
  <c r="A143" i="2"/>
  <c r="Q142" i="2"/>
  <c r="AJ139" i="2"/>
  <c r="AI140" i="2"/>
  <c r="AH139" i="2"/>
  <c r="AK138" i="2"/>
  <c r="R141" i="2"/>
  <c r="U140" i="2"/>
  <c r="E145" i="2"/>
  <c r="FD143" i="2" l="1"/>
  <c r="FC143" i="2"/>
  <c r="EN143" i="2"/>
  <c r="EM143" i="2"/>
  <c r="DG143" i="2"/>
  <c r="DH143" i="2"/>
  <c r="DW143" i="2"/>
  <c r="CR143" i="2"/>
  <c r="DX143" i="2"/>
  <c r="CA143" i="2"/>
  <c r="CQ143" i="2"/>
  <c r="CB143" i="2"/>
  <c r="AV143" i="2"/>
  <c r="AF143" i="2"/>
  <c r="BL143" i="2"/>
  <c r="AU143" i="2"/>
  <c r="BK143" i="2"/>
  <c r="O143" i="2"/>
  <c r="AE143" i="2"/>
  <c r="P143" i="2"/>
  <c r="FB143" i="2"/>
  <c r="FE143" i="2"/>
  <c r="FH143" i="2" s="1"/>
  <c r="EO143" i="2"/>
  <c r="FA143" i="2"/>
  <c r="EU143" i="2"/>
  <c r="EK143" i="2"/>
  <c r="EE143" i="2"/>
  <c r="EL143" i="2"/>
  <c r="EQ143" i="2" s="1"/>
  <c r="DU143" i="2"/>
  <c r="DO143" i="2"/>
  <c r="ED143" i="2"/>
  <c r="DV143" i="2"/>
  <c r="EA143" i="2" s="1"/>
  <c r="ET143" i="2"/>
  <c r="DY143" i="2"/>
  <c r="DI143" i="2"/>
  <c r="CX143" i="2"/>
  <c r="CP143" i="2"/>
  <c r="CV143" i="2" s="1"/>
  <c r="BZ143" i="2"/>
  <c r="CF143" i="2" s="1"/>
  <c r="CS143" i="2"/>
  <c r="CH143" i="2"/>
  <c r="CC143" i="2"/>
  <c r="DE143" i="2"/>
  <c r="CY143" i="2"/>
  <c r="BM143" i="2"/>
  <c r="BS143" i="2"/>
  <c r="DN143" i="2"/>
  <c r="DF143" i="2"/>
  <c r="DL143" i="2" s="1"/>
  <c r="CI143" i="2"/>
  <c r="CO143" i="2"/>
  <c r="BC143" i="2"/>
  <c r="AT143" i="2"/>
  <c r="BR143" i="2"/>
  <c r="BI143" i="2"/>
  <c r="AM143" i="2"/>
  <c r="BJ143" i="2"/>
  <c r="BP143" i="2" s="1"/>
  <c r="BB143" i="2"/>
  <c r="AW143" i="2"/>
  <c r="BY143" i="2"/>
  <c r="AS143" i="2"/>
  <c r="AL143" i="2"/>
  <c r="AG143" i="2"/>
  <c r="CW141" i="2"/>
  <c r="CT142" i="2"/>
  <c r="CE142" i="2"/>
  <c r="CE143" i="2" s="1"/>
  <c r="ER142" i="2"/>
  <c r="ER143" i="2" s="1"/>
  <c r="BQ141" i="2"/>
  <c r="BN142" i="2"/>
  <c r="EB142" i="2"/>
  <c r="EB143" i="2" s="1"/>
  <c r="CU142" i="2"/>
  <c r="CU143" i="2" s="1"/>
  <c r="FF142" i="2"/>
  <c r="FI141" i="2"/>
  <c r="DM141" i="2"/>
  <c r="DJ142" i="2"/>
  <c r="EC141" i="2"/>
  <c r="DZ142" i="2"/>
  <c r="ES141" i="2"/>
  <c r="EP142" i="2"/>
  <c r="FG142" i="2"/>
  <c r="FG143" i="2" s="1"/>
  <c r="BO142" i="2"/>
  <c r="BO143" i="2" s="1"/>
  <c r="DK142" i="2"/>
  <c r="DK143" i="2" s="1"/>
  <c r="CG141" i="2"/>
  <c r="CD142" i="2"/>
  <c r="T142" i="2"/>
  <c r="AJ140" i="2"/>
  <c r="AJ141" i="2" s="1"/>
  <c r="AD143" i="2"/>
  <c r="W143" i="2"/>
  <c r="AC143" i="2"/>
  <c r="V143" i="2"/>
  <c r="M143" i="2"/>
  <c r="N143" i="2"/>
  <c r="F143" i="2"/>
  <c r="Q143" i="2"/>
  <c r="G143" i="2"/>
  <c r="A144" i="2"/>
  <c r="S142" i="2"/>
  <c r="AH140" i="2"/>
  <c r="AK139" i="2"/>
  <c r="R142" i="2"/>
  <c r="U141" i="2"/>
  <c r="E146" i="2"/>
  <c r="FC144" i="2" l="1"/>
  <c r="FD144" i="2"/>
  <c r="DX144" i="2"/>
  <c r="EN144" i="2"/>
  <c r="EM144" i="2"/>
  <c r="DG144" i="2"/>
  <c r="CQ144" i="2"/>
  <c r="DW144" i="2"/>
  <c r="DH144" i="2"/>
  <c r="CR144" i="2"/>
  <c r="BL144" i="2"/>
  <c r="AU144" i="2"/>
  <c r="CA144" i="2"/>
  <c r="AE144" i="2"/>
  <c r="AF144" i="2"/>
  <c r="CB144" i="2"/>
  <c r="BK144" i="2"/>
  <c r="AV144" i="2"/>
  <c r="P144" i="2"/>
  <c r="O144" i="2"/>
  <c r="FB144" i="2"/>
  <c r="FH144" i="2" s="1"/>
  <c r="ET144" i="2"/>
  <c r="EO144" i="2"/>
  <c r="FE144" i="2"/>
  <c r="FA144" i="2"/>
  <c r="EU144" i="2"/>
  <c r="DY144" i="2"/>
  <c r="EB144" i="2" s="1"/>
  <c r="EK144" i="2"/>
  <c r="EE144" i="2"/>
  <c r="EL144" i="2"/>
  <c r="EQ144" i="2" s="1"/>
  <c r="DU144" i="2"/>
  <c r="DO144" i="2"/>
  <c r="DN144" i="2"/>
  <c r="DF144" i="2"/>
  <c r="CO144" i="2"/>
  <c r="CI144" i="2"/>
  <c r="BY144" i="2"/>
  <c r="ED144" i="2"/>
  <c r="DI144" i="2"/>
  <c r="DL144" i="2" s="1"/>
  <c r="CX144" i="2"/>
  <c r="CP144" i="2"/>
  <c r="BZ144" i="2"/>
  <c r="CF144" i="2" s="1"/>
  <c r="CS144" i="2"/>
  <c r="CV144" i="2" s="1"/>
  <c r="CH144" i="2"/>
  <c r="CC144" i="2"/>
  <c r="DV144" i="2"/>
  <c r="EA144" i="2" s="1"/>
  <c r="DE144" i="2"/>
  <c r="CY144" i="2"/>
  <c r="BM144" i="2"/>
  <c r="BS144" i="2"/>
  <c r="AS144" i="2"/>
  <c r="BC144" i="2"/>
  <c r="AT144" i="2"/>
  <c r="BR144" i="2"/>
  <c r="BI144" i="2"/>
  <c r="AM144" i="2"/>
  <c r="BJ144" i="2"/>
  <c r="BP144" i="2" s="1"/>
  <c r="BB144" i="2"/>
  <c r="AW144" i="2"/>
  <c r="AL144" i="2"/>
  <c r="AG144" i="2"/>
  <c r="DZ143" i="2"/>
  <c r="EC142" i="2"/>
  <c r="BQ142" i="2"/>
  <c r="BN143" i="2"/>
  <c r="CW142" i="2"/>
  <c r="CT143" i="2"/>
  <c r="BO144" i="2"/>
  <c r="DM142" i="2"/>
  <c r="DJ143" i="2"/>
  <c r="ER144" i="2"/>
  <c r="DK144" i="2"/>
  <c r="FG144" i="2"/>
  <c r="CG142" i="2"/>
  <c r="CD143" i="2"/>
  <c r="ES142" i="2"/>
  <c r="EP143" i="2"/>
  <c r="FF143" i="2"/>
  <c r="FI142" i="2"/>
  <c r="CU144" i="2"/>
  <c r="CE144" i="2"/>
  <c r="S143" i="2"/>
  <c r="T143" i="2"/>
  <c r="AD144" i="2"/>
  <c r="W144" i="2"/>
  <c r="AC144" i="2"/>
  <c r="V144" i="2"/>
  <c r="G144" i="2"/>
  <c r="A145" i="2"/>
  <c r="Q144" i="2"/>
  <c r="M144" i="2"/>
  <c r="F144" i="2"/>
  <c r="N144" i="2"/>
  <c r="AI141" i="2"/>
  <c r="AH141" i="2"/>
  <c r="AK140" i="2"/>
  <c r="R143" i="2"/>
  <c r="U142" i="2"/>
  <c r="E147" i="2"/>
  <c r="FF144" i="2" l="1"/>
  <c r="FI143" i="2"/>
  <c r="BQ143" i="2"/>
  <c r="BN144" i="2"/>
  <c r="EC143" i="2"/>
  <c r="DZ144" i="2"/>
  <c r="FD145" i="2"/>
  <c r="FC145" i="2"/>
  <c r="EN145" i="2"/>
  <c r="DX145" i="2"/>
  <c r="DW145" i="2"/>
  <c r="EM145" i="2"/>
  <c r="DH145" i="2"/>
  <c r="BK145" i="2"/>
  <c r="CR145" i="2"/>
  <c r="BL145" i="2"/>
  <c r="AU145" i="2"/>
  <c r="P145" i="2"/>
  <c r="AE145" i="2"/>
  <c r="DG145" i="2"/>
  <c r="AV145" i="2"/>
  <c r="AF145" i="2"/>
  <c r="O145" i="2"/>
  <c r="CA145" i="2"/>
  <c r="CQ145" i="2"/>
  <c r="CB145" i="2"/>
  <c r="FE145" i="2"/>
  <c r="FB145" i="2"/>
  <c r="FH145" i="2" s="1"/>
  <c r="ET145" i="2"/>
  <c r="EO145" i="2"/>
  <c r="ED145" i="2"/>
  <c r="DV145" i="2"/>
  <c r="EA145" i="2" s="1"/>
  <c r="FA145" i="2"/>
  <c r="EU145" i="2"/>
  <c r="DY145" i="2"/>
  <c r="EK145" i="2"/>
  <c r="EE145" i="2"/>
  <c r="DE145" i="2"/>
  <c r="CY145" i="2"/>
  <c r="BM145" i="2"/>
  <c r="DN145" i="2"/>
  <c r="DF145" i="2"/>
  <c r="DL145" i="2" s="1"/>
  <c r="CO145" i="2"/>
  <c r="CI145" i="2"/>
  <c r="BY145" i="2"/>
  <c r="EL145" i="2"/>
  <c r="EQ145" i="2" s="1"/>
  <c r="DU145" i="2"/>
  <c r="DO145" i="2"/>
  <c r="DI145" i="2"/>
  <c r="CX145" i="2"/>
  <c r="CP145" i="2"/>
  <c r="CV145" i="2" s="1"/>
  <c r="BZ145" i="2"/>
  <c r="CF145" i="2" s="1"/>
  <c r="CH145" i="2"/>
  <c r="BS145" i="2"/>
  <c r="CS145" i="2"/>
  <c r="BJ145" i="2"/>
  <c r="BP145" i="2" s="1"/>
  <c r="BB145" i="2"/>
  <c r="AW145" i="2"/>
  <c r="AS145" i="2"/>
  <c r="CC145" i="2"/>
  <c r="BC145" i="2"/>
  <c r="AT145" i="2"/>
  <c r="BR145" i="2"/>
  <c r="BI145" i="2"/>
  <c r="AM145" i="2"/>
  <c r="AL145" i="2"/>
  <c r="AG145" i="2"/>
  <c r="CE145" i="2"/>
  <c r="ES143" i="2"/>
  <c r="EP144" i="2"/>
  <c r="CU145" i="2"/>
  <c r="FG145" i="2"/>
  <c r="DM143" i="2"/>
  <c r="DJ144" i="2"/>
  <c r="CW143" i="2"/>
  <c r="CT144" i="2"/>
  <c r="CG143" i="2"/>
  <c r="CD144" i="2"/>
  <c r="DK145" i="2"/>
  <c r="S144" i="2"/>
  <c r="T144" i="2"/>
  <c r="AC145" i="2"/>
  <c r="V145" i="2"/>
  <c r="AD145" i="2"/>
  <c r="W145" i="2"/>
  <c r="G145" i="2"/>
  <c r="A146" i="2"/>
  <c r="Q145" i="2"/>
  <c r="M145" i="2"/>
  <c r="N145" i="2"/>
  <c r="F145" i="2"/>
  <c r="AJ142" i="2"/>
  <c r="AK141" i="2"/>
  <c r="AH142" i="2"/>
  <c r="AI142" i="2"/>
  <c r="R144" i="2"/>
  <c r="U143" i="2"/>
  <c r="E148" i="2"/>
  <c r="FH146" i="2" l="1"/>
  <c r="CW144" i="2"/>
  <c r="CT145" i="2"/>
  <c r="ER145" i="2"/>
  <c r="ER146" i="2" s="1"/>
  <c r="BO145" i="2"/>
  <c r="EB145" i="2"/>
  <c r="CG144" i="2"/>
  <c r="CD145" i="2"/>
  <c r="FC146" i="2"/>
  <c r="FD146" i="2"/>
  <c r="EN146" i="2"/>
  <c r="EM146" i="2"/>
  <c r="DH146" i="2"/>
  <c r="DW146" i="2"/>
  <c r="CB146" i="2"/>
  <c r="AV146" i="2"/>
  <c r="DX146" i="2"/>
  <c r="BK146" i="2"/>
  <c r="DG146" i="2"/>
  <c r="CQ146" i="2"/>
  <c r="CA146" i="2"/>
  <c r="O146" i="2"/>
  <c r="P146" i="2"/>
  <c r="CR146" i="2"/>
  <c r="AU146" i="2"/>
  <c r="AE146" i="2"/>
  <c r="BL146" i="2"/>
  <c r="AF146" i="2"/>
  <c r="FB146" i="2"/>
  <c r="FG146" i="2" s="1"/>
  <c r="FE146" i="2"/>
  <c r="FA146" i="2"/>
  <c r="EU146" i="2"/>
  <c r="ET146" i="2"/>
  <c r="EL146" i="2"/>
  <c r="EQ146" i="2" s="1"/>
  <c r="DU146" i="2"/>
  <c r="DO146" i="2"/>
  <c r="ED146" i="2"/>
  <c r="DV146" i="2"/>
  <c r="EA146" i="2" s="1"/>
  <c r="DY146" i="2"/>
  <c r="EE146" i="2"/>
  <c r="CS146" i="2"/>
  <c r="CH146" i="2"/>
  <c r="CC146" i="2"/>
  <c r="EK146" i="2"/>
  <c r="DE146" i="2"/>
  <c r="CY146" i="2"/>
  <c r="BM146" i="2"/>
  <c r="BS146" i="2"/>
  <c r="EO146" i="2"/>
  <c r="DN146" i="2"/>
  <c r="DF146" i="2"/>
  <c r="DL146" i="2" s="1"/>
  <c r="CO146" i="2"/>
  <c r="CI146" i="2"/>
  <c r="BY146" i="2"/>
  <c r="DI146" i="2"/>
  <c r="CP146" i="2"/>
  <c r="CU146" i="2" s="1"/>
  <c r="CX146" i="2"/>
  <c r="BZ146" i="2"/>
  <c r="CF146" i="2" s="1"/>
  <c r="BR146" i="2"/>
  <c r="BI146" i="2"/>
  <c r="BJ146" i="2"/>
  <c r="BP146" i="2" s="1"/>
  <c r="BB146" i="2"/>
  <c r="AW146" i="2"/>
  <c r="AS146" i="2"/>
  <c r="BC146" i="2"/>
  <c r="AT146" i="2"/>
  <c r="AL146" i="2"/>
  <c r="AG146" i="2"/>
  <c r="AM146" i="2"/>
  <c r="EP145" i="2"/>
  <c r="ES144" i="2"/>
  <c r="BQ144" i="2"/>
  <c r="BN145" i="2"/>
  <c r="DM144" i="2"/>
  <c r="DJ145" i="2"/>
  <c r="FF145" i="2"/>
  <c r="FI144" i="2"/>
  <c r="CE146" i="2"/>
  <c r="EC144" i="2"/>
  <c r="DZ145" i="2"/>
  <c r="S145" i="2"/>
  <c r="V146" i="2"/>
  <c r="AC146" i="2"/>
  <c r="AD146" i="2"/>
  <c r="W146" i="2"/>
  <c r="N146" i="2"/>
  <c r="F146" i="2"/>
  <c r="G146" i="2"/>
  <c r="Q146" i="2"/>
  <c r="M146" i="2"/>
  <c r="A147" i="2"/>
  <c r="AI143" i="2"/>
  <c r="T145" i="2"/>
  <c r="AJ143" i="2"/>
  <c r="AK142" i="2"/>
  <c r="AH143" i="2"/>
  <c r="R145" i="2"/>
  <c r="U144" i="2"/>
  <c r="E149" i="2"/>
  <c r="CF147" i="2" l="1"/>
  <c r="FG147" i="2"/>
  <c r="FD147" i="2"/>
  <c r="FC147" i="2"/>
  <c r="EM147" i="2"/>
  <c r="DX147" i="2"/>
  <c r="EA147" i="2" s="1"/>
  <c r="DG147" i="2"/>
  <c r="DH147" i="2"/>
  <c r="CR147" i="2"/>
  <c r="CQ147" i="2"/>
  <c r="CA147" i="2"/>
  <c r="CB147" i="2"/>
  <c r="AV147" i="2"/>
  <c r="DW147" i="2"/>
  <c r="BL147" i="2"/>
  <c r="AU147" i="2"/>
  <c r="AF147" i="2"/>
  <c r="O147" i="2"/>
  <c r="EN147" i="2"/>
  <c r="BK147" i="2"/>
  <c r="P147" i="2"/>
  <c r="AE147" i="2"/>
  <c r="FB147" i="2"/>
  <c r="FE147" i="2"/>
  <c r="EO147" i="2"/>
  <c r="FA147" i="2"/>
  <c r="EU147" i="2"/>
  <c r="ET147" i="2"/>
  <c r="EK147" i="2"/>
  <c r="EE147" i="2"/>
  <c r="EL147" i="2"/>
  <c r="EQ147" i="2" s="1"/>
  <c r="DU147" i="2"/>
  <c r="DO147" i="2"/>
  <c r="ED147" i="2"/>
  <c r="DV147" i="2"/>
  <c r="DI147" i="2"/>
  <c r="CX147" i="2"/>
  <c r="CP147" i="2"/>
  <c r="CU147" i="2" s="1"/>
  <c r="BZ147" i="2"/>
  <c r="DY147" i="2"/>
  <c r="CS147" i="2"/>
  <c r="CH147" i="2"/>
  <c r="CC147" i="2"/>
  <c r="DE147" i="2"/>
  <c r="CY147" i="2"/>
  <c r="BM147" i="2"/>
  <c r="BS147" i="2"/>
  <c r="CO147" i="2"/>
  <c r="DN147" i="2"/>
  <c r="BY147" i="2"/>
  <c r="DF147" i="2"/>
  <c r="DL147" i="2" s="1"/>
  <c r="CI147" i="2"/>
  <c r="BC147" i="2"/>
  <c r="AT147" i="2"/>
  <c r="BR147" i="2"/>
  <c r="BI147" i="2"/>
  <c r="AM147" i="2"/>
  <c r="BJ147" i="2"/>
  <c r="BP147" i="2" s="1"/>
  <c r="BB147" i="2"/>
  <c r="AW147" i="2"/>
  <c r="AS147" i="2"/>
  <c r="AL147" i="2"/>
  <c r="AG147" i="2"/>
  <c r="BN146" i="2"/>
  <c r="BQ145" i="2"/>
  <c r="ES145" i="2"/>
  <c r="EP146" i="2"/>
  <c r="ER147" i="2"/>
  <c r="CV146" i="2"/>
  <c r="CV147" i="2" s="1"/>
  <c r="FH147" i="2"/>
  <c r="EC145" i="2"/>
  <c r="DZ146" i="2"/>
  <c r="FF146" i="2"/>
  <c r="FI145" i="2"/>
  <c r="EB146" i="2"/>
  <c r="EB147" i="2" s="1"/>
  <c r="DK146" i="2"/>
  <c r="DK147" i="2" s="1"/>
  <c r="DJ146" i="2"/>
  <c r="DM145" i="2"/>
  <c r="BO146" i="2"/>
  <c r="BO147" i="2" s="1"/>
  <c r="CE147" i="2"/>
  <c r="CG145" i="2"/>
  <c r="CD146" i="2"/>
  <c r="CT146" i="2"/>
  <c r="CW145" i="2"/>
  <c r="S146" i="2"/>
  <c r="T146" i="2"/>
  <c r="AC147" i="2"/>
  <c r="AD147" i="2"/>
  <c r="W147" i="2"/>
  <c r="V147" i="2"/>
  <c r="N147" i="2"/>
  <c r="M147" i="2"/>
  <c r="G147" i="2"/>
  <c r="Q147" i="2"/>
  <c r="F147" i="2"/>
  <c r="A148" i="2"/>
  <c r="AJ144" i="2"/>
  <c r="AI144" i="2"/>
  <c r="AK143" i="2"/>
  <c r="AH144" i="2"/>
  <c r="R146" i="2"/>
  <c r="U145" i="2"/>
  <c r="E150" i="2"/>
  <c r="DJ147" i="2" l="1"/>
  <c r="DM146" i="2"/>
  <c r="DZ147" i="2"/>
  <c r="EC146" i="2"/>
  <c r="BN147" i="2"/>
  <c r="BQ146" i="2"/>
  <c r="CD147" i="2"/>
  <c r="CG146" i="2"/>
  <c r="EP147" i="2"/>
  <c r="ES146" i="2"/>
  <c r="CT147" i="2"/>
  <c r="CW146" i="2"/>
  <c r="FC148" i="2"/>
  <c r="DX148" i="2"/>
  <c r="EM148" i="2"/>
  <c r="EN148" i="2"/>
  <c r="DG148" i="2"/>
  <c r="CQ148" i="2"/>
  <c r="FD148" i="2"/>
  <c r="BL148" i="2"/>
  <c r="BO148" i="2" s="1"/>
  <c r="AU148" i="2"/>
  <c r="DH148" i="2"/>
  <c r="CA148" i="2"/>
  <c r="CB148" i="2"/>
  <c r="CE148" i="2" s="1"/>
  <c r="BK148" i="2"/>
  <c r="AV148" i="2"/>
  <c r="AE148" i="2"/>
  <c r="DW148" i="2"/>
  <c r="AF148" i="2"/>
  <c r="CR148" i="2"/>
  <c r="P148" i="2"/>
  <c r="O148" i="2"/>
  <c r="FB148" i="2"/>
  <c r="FG148" i="2" s="1"/>
  <c r="ET148" i="2"/>
  <c r="EO148" i="2"/>
  <c r="FA148" i="2"/>
  <c r="EU148" i="2"/>
  <c r="FE148" i="2"/>
  <c r="DY148" i="2"/>
  <c r="EK148" i="2"/>
  <c r="EE148" i="2"/>
  <c r="EL148" i="2"/>
  <c r="EQ148" i="2" s="1"/>
  <c r="DU148" i="2"/>
  <c r="DO148" i="2"/>
  <c r="DV148" i="2"/>
  <c r="EA148" i="2" s="1"/>
  <c r="DN148" i="2"/>
  <c r="DF148" i="2"/>
  <c r="DL148" i="2" s="1"/>
  <c r="CO148" i="2"/>
  <c r="CI148" i="2"/>
  <c r="BY148" i="2"/>
  <c r="DI148" i="2"/>
  <c r="CX148" i="2"/>
  <c r="CP148" i="2"/>
  <c r="CU148" i="2" s="1"/>
  <c r="BZ148" i="2"/>
  <c r="ED148" i="2"/>
  <c r="CS148" i="2"/>
  <c r="CV148" i="2" s="1"/>
  <c r="CH148" i="2"/>
  <c r="CC148" i="2"/>
  <c r="DE148" i="2"/>
  <c r="CY148" i="2"/>
  <c r="BM148" i="2"/>
  <c r="BS148" i="2"/>
  <c r="AS148" i="2"/>
  <c r="BC148" i="2"/>
  <c r="AT148" i="2"/>
  <c r="BR148" i="2"/>
  <c r="BI148" i="2"/>
  <c r="AM148" i="2"/>
  <c r="BJ148" i="2"/>
  <c r="BP148" i="2" s="1"/>
  <c r="BB148" i="2"/>
  <c r="AW148" i="2"/>
  <c r="AL148" i="2"/>
  <c r="AG148" i="2"/>
  <c r="FF147" i="2"/>
  <c r="FI146" i="2"/>
  <c r="CF148" i="2"/>
  <c r="T147" i="2"/>
  <c r="V148" i="2"/>
  <c r="AD148" i="2"/>
  <c r="W148" i="2"/>
  <c r="AC148" i="2"/>
  <c r="N148" i="2"/>
  <c r="F148" i="2"/>
  <c r="Q148" i="2"/>
  <c r="M148" i="2"/>
  <c r="A149" i="2"/>
  <c r="G148" i="2"/>
  <c r="S147" i="2"/>
  <c r="S148" i="2" s="1"/>
  <c r="AJ145" i="2"/>
  <c r="AI145" i="2"/>
  <c r="AI146" i="2" s="1"/>
  <c r="AH145" i="2"/>
  <c r="AK144" i="2"/>
  <c r="R147" i="2"/>
  <c r="U146" i="2"/>
  <c r="E151" i="2"/>
  <c r="CW147" i="2" l="1"/>
  <c r="CT148" i="2"/>
  <c r="FH148" i="2"/>
  <c r="CD148" i="2"/>
  <c r="CG147" i="2"/>
  <c r="ER148" i="2"/>
  <c r="ES147" i="2"/>
  <c r="EP148" i="2"/>
  <c r="DJ148" i="2"/>
  <c r="DM147" i="2"/>
  <c r="FD149" i="2"/>
  <c r="EN149" i="2"/>
  <c r="FC149" i="2"/>
  <c r="DW149" i="2"/>
  <c r="EM149" i="2"/>
  <c r="DX149" i="2"/>
  <c r="DH149" i="2"/>
  <c r="DG149" i="2"/>
  <c r="CR149" i="2"/>
  <c r="BK149" i="2"/>
  <c r="CQ149" i="2"/>
  <c r="BL149" i="2"/>
  <c r="AU149" i="2"/>
  <c r="P149" i="2"/>
  <c r="CB149" i="2"/>
  <c r="CA149" i="2"/>
  <c r="AV149" i="2"/>
  <c r="AE149" i="2"/>
  <c r="AF149" i="2"/>
  <c r="O149" i="2"/>
  <c r="FE149" i="2"/>
  <c r="ET149" i="2"/>
  <c r="FB149" i="2"/>
  <c r="FG149" i="2" s="1"/>
  <c r="EO149" i="2"/>
  <c r="ED149" i="2"/>
  <c r="DV149" i="2"/>
  <c r="EA149" i="2" s="1"/>
  <c r="DY149" i="2"/>
  <c r="FA149" i="2"/>
  <c r="EU149" i="2"/>
  <c r="EK149" i="2"/>
  <c r="EE149" i="2"/>
  <c r="DE149" i="2"/>
  <c r="CY149" i="2"/>
  <c r="BM149" i="2"/>
  <c r="DN149" i="2"/>
  <c r="DF149" i="2"/>
  <c r="DL149" i="2" s="1"/>
  <c r="CO149" i="2"/>
  <c r="CI149" i="2"/>
  <c r="BY149" i="2"/>
  <c r="DI149" i="2"/>
  <c r="CX149" i="2"/>
  <c r="CP149" i="2"/>
  <c r="CU149" i="2" s="1"/>
  <c r="BZ149" i="2"/>
  <c r="CE149" i="2" s="1"/>
  <c r="EL149" i="2"/>
  <c r="EQ149" i="2" s="1"/>
  <c r="DU149" i="2"/>
  <c r="DO149" i="2"/>
  <c r="CS149" i="2"/>
  <c r="CC149" i="2"/>
  <c r="CH149" i="2"/>
  <c r="BS149" i="2"/>
  <c r="BJ149" i="2"/>
  <c r="BP149" i="2" s="1"/>
  <c r="BB149" i="2"/>
  <c r="AW149" i="2"/>
  <c r="AS149" i="2"/>
  <c r="BC149" i="2"/>
  <c r="AT149" i="2"/>
  <c r="BR149" i="2"/>
  <c r="BI149" i="2"/>
  <c r="AM149" i="2"/>
  <c r="AL149" i="2"/>
  <c r="AG149" i="2"/>
  <c r="DK148" i="2"/>
  <c r="DK149" i="2" s="1"/>
  <c r="DZ148" i="2"/>
  <c r="EC147" i="2"/>
  <c r="FF148" i="2"/>
  <c r="FI147" i="2"/>
  <c r="BN148" i="2"/>
  <c r="BQ147" i="2"/>
  <c r="EB148" i="2"/>
  <c r="EB149" i="2" s="1"/>
  <c r="T148" i="2"/>
  <c r="AD149" i="2"/>
  <c r="W149" i="2"/>
  <c r="V149" i="2"/>
  <c r="AC149" i="2"/>
  <c r="A150" i="2"/>
  <c r="Q149" i="2"/>
  <c r="M149" i="2"/>
  <c r="N149" i="2"/>
  <c r="S149" i="2" s="1"/>
  <c r="G149" i="2"/>
  <c r="F149" i="2"/>
  <c r="AJ146" i="2"/>
  <c r="AK145" i="2"/>
  <c r="AH146" i="2"/>
  <c r="R148" i="2"/>
  <c r="U147" i="2"/>
  <c r="E152" i="2"/>
  <c r="FF149" i="2" l="1"/>
  <c r="FI148" i="2"/>
  <c r="CF149" i="2"/>
  <c r="FH149" i="2"/>
  <c r="BO149" i="2"/>
  <c r="FC150" i="2"/>
  <c r="FD150" i="2"/>
  <c r="EN150" i="2"/>
  <c r="DH150" i="2"/>
  <c r="DW150" i="2"/>
  <c r="DX150" i="2"/>
  <c r="EM150" i="2"/>
  <c r="DG150" i="2"/>
  <c r="CB150" i="2"/>
  <c r="AV150" i="2"/>
  <c r="CR150" i="2"/>
  <c r="BK150" i="2"/>
  <c r="O150" i="2"/>
  <c r="CQ150" i="2"/>
  <c r="BL150" i="2"/>
  <c r="AU150" i="2"/>
  <c r="P150" i="2"/>
  <c r="CA150" i="2"/>
  <c r="AF150" i="2"/>
  <c r="AE150" i="2"/>
  <c r="FB150" i="2"/>
  <c r="FG150" i="2" s="1"/>
  <c r="FE150" i="2"/>
  <c r="FA150" i="2"/>
  <c r="EU150" i="2"/>
  <c r="ET150" i="2"/>
  <c r="EO150" i="2"/>
  <c r="EL150" i="2"/>
  <c r="EQ150" i="2" s="1"/>
  <c r="DU150" i="2"/>
  <c r="DO150" i="2"/>
  <c r="ED150" i="2"/>
  <c r="DV150" i="2"/>
  <c r="EA150" i="2" s="1"/>
  <c r="DY150" i="2"/>
  <c r="CS150" i="2"/>
  <c r="CH150" i="2"/>
  <c r="CC150" i="2"/>
  <c r="EE150" i="2"/>
  <c r="DE150" i="2"/>
  <c r="CY150" i="2"/>
  <c r="BM150" i="2"/>
  <c r="BS150" i="2"/>
  <c r="EK150" i="2"/>
  <c r="DN150" i="2"/>
  <c r="DF150" i="2"/>
  <c r="DL150" i="2" s="1"/>
  <c r="CO150" i="2"/>
  <c r="CI150" i="2"/>
  <c r="BY150" i="2"/>
  <c r="CX150" i="2"/>
  <c r="DI150" i="2"/>
  <c r="CP150" i="2"/>
  <c r="CU150" i="2" s="1"/>
  <c r="BR150" i="2"/>
  <c r="BI150" i="2"/>
  <c r="BZ150" i="2"/>
  <c r="CE150" i="2" s="1"/>
  <c r="BJ150" i="2"/>
  <c r="BP150" i="2" s="1"/>
  <c r="BB150" i="2"/>
  <c r="AW150" i="2"/>
  <c r="AS150" i="2"/>
  <c r="BC150" i="2"/>
  <c r="AT150" i="2"/>
  <c r="AM150" i="2"/>
  <c r="AL150" i="2"/>
  <c r="AG150" i="2"/>
  <c r="BQ148" i="2"/>
  <c r="BN149" i="2"/>
  <c r="ER149" i="2"/>
  <c r="ER150" i="2" s="1"/>
  <c r="CV149" i="2"/>
  <c r="CV150" i="2" s="1"/>
  <c r="DM148" i="2"/>
  <c r="DJ149" i="2"/>
  <c r="EB150" i="2"/>
  <c r="EC148" i="2"/>
  <c r="DZ149" i="2"/>
  <c r="ES148" i="2"/>
  <c r="EP149" i="2"/>
  <c r="CG148" i="2"/>
  <c r="CD149" i="2"/>
  <c r="CT149" i="2"/>
  <c r="CW148" i="2"/>
  <c r="AC150" i="2"/>
  <c r="V150" i="2"/>
  <c r="AD150" i="2"/>
  <c r="W150" i="2"/>
  <c r="N150" i="2"/>
  <c r="S150" i="2" s="1"/>
  <c r="G150" i="2"/>
  <c r="F150" i="2"/>
  <c r="A151" i="2"/>
  <c r="Q150" i="2"/>
  <c r="M150" i="2"/>
  <c r="T149" i="2"/>
  <c r="AI147" i="2"/>
  <c r="AJ147" i="2"/>
  <c r="AH147" i="2"/>
  <c r="AK146" i="2"/>
  <c r="R149" i="2"/>
  <c r="U148" i="2"/>
  <c r="CG149" i="2" l="1"/>
  <c r="CD150" i="2"/>
  <c r="DM149" i="2"/>
  <c r="DJ150" i="2"/>
  <c r="FF150" i="2"/>
  <c r="FI149" i="2"/>
  <c r="CT150" i="2"/>
  <c r="CW149" i="2"/>
  <c r="EP150" i="2"/>
  <c r="ES149" i="2"/>
  <c r="FD151" i="2"/>
  <c r="EN151" i="2"/>
  <c r="EM151" i="2"/>
  <c r="DG151" i="2"/>
  <c r="DH151" i="2"/>
  <c r="DW151" i="2"/>
  <c r="CR151" i="2"/>
  <c r="DX151" i="2"/>
  <c r="CA151" i="2"/>
  <c r="FC151" i="2"/>
  <c r="CB151" i="2"/>
  <c r="AV151" i="2"/>
  <c r="AF151" i="2"/>
  <c r="BK151" i="2"/>
  <c r="O151" i="2"/>
  <c r="CQ151" i="2"/>
  <c r="BL151" i="2"/>
  <c r="AU151" i="2"/>
  <c r="AE151" i="2"/>
  <c r="P151" i="2"/>
  <c r="FB151" i="2"/>
  <c r="FG151" i="2" s="1"/>
  <c r="FE151" i="2"/>
  <c r="EO151" i="2"/>
  <c r="FA151" i="2"/>
  <c r="EU151" i="2"/>
  <c r="EK151" i="2"/>
  <c r="EE151" i="2"/>
  <c r="ET151" i="2"/>
  <c r="EL151" i="2"/>
  <c r="EQ151" i="2" s="1"/>
  <c r="DU151" i="2"/>
  <c r="DO151" i="2"/>
  <c r="ED151" i="2"/>
  <c r="DV151" i="2"/>
  <c r="EA151" i="2" s="1"/>
  <c r="DI151" i="2"/>
  <c r="CX151" i="2"/>
  <c r="CP151" i="2"/>
  <c r="CV151" i="2" s="1"/>
  <c r="BZ151" i="2"/>
  <c r="CE151" i="2" s="1"/>
  <c r="CS151" i="2"/>
  <c r="CH151" i="2"/>
  <c r="CC151" i="2"/>
  <c r="DY151" i="2"/>
  <c r="DE151" i="2"/>
  <c r="CY151" i="2"/>
  <c r="BM151" i="2"/>
  <c r="BS151" i="2"/>
  <c r="CO151" i="2"/>
  <c r="DN151" i="2"/>
  <c r="BY151" i="2"/>
  <c r="DF151" i="2"/>
  <c r="DL151" i="2" s="1"/>
  <c r="BC151" i="2"/>
  <c r="AT151" i="2"/>
  <c r="BR151" i="2"/>
  <c r="BI151" i="2"/>
  <c r="AM151" i="2"/>
  <c r="BJ151" i="2"/>
  <c r="BP151" i="2" s="1"/>
  <c r="BB151" i="2"/>
  <c r="AW151" i="2"/>
  <c r="CI151" i="2"/>
  <c r="AS151" i="2"/>
  <c r="AL151" i="2"/>
  <c r="AG151" i="2"/>
  <c r="EC149" i="2"/>
  <c r="DZ150" i="2"/>
  <c r="ER151" i="2"/>
  <c r="BO150" i="2"/>
  <c r="BO151" i="2" s="1"/>
  <c r="FH150" i="2"/>
  <c r="FH151" i="2" s="1"/>
  <c r="CF150" i="2"/>
  <c r="CF151" i="2" s="1"/>
  <c r="DK150" i="2"/>
  <c r="DK151" i="2" s="1"/>
  <c r="BN150" i="2"/>
  <c r="BQ149" i="2"/>
  <c r="T150" i="2"/>
  <c r="AD151" i="2"/>
  <c r="V151" i="2"/>
  <c r="AC151" i="2"/>
  <c r="W151" i="2"/>
  <c r="A152" i="2"/>
  <c r="M151" i="2"/>
  <c r="N151" i="2"/>
  <c r="Q151" i="2"/>
  <c r="F151" i="2"/>
  <c r="G151" i="2"/>
  <c r="AJ148" i="2"/>
  <c r="AI148" i="2"/>
  <c r="AK147" i="2"/>
  <c r="AH148" i="2"/>
  <c r="R150" i="2"/>
  <c r="U149" i="2"/>
  <c r="E153" i="2"/>
  <c r="Q18" i="6" s="1"/>
  <c r="Q20" i="6" s="1"/>
  <c r="J33" i="6" s="1"/>
  <c r="J34" i="6" s="1"/>
  <c r="J35" i="6" s="1"/>
  <c r="BQ150" i="2" l="1"/>
  <c r="BN151" i="2"/>
  <c r="CU151" i="2"/>
  <c r="CW150" i="2"/>
  <c r="CT151" i="2"/>
  <c r="EB151" i="2"/>
  <c r="CD151" i="2"/>
  <c r="CG150" i="2"/>
  <c r="FC152" i="2"/>
  <c r="EN152" i="2"/>
  <c r="EM152" i="2"/>
  <c r="DX152" i="2"/>
  <c r="DG152" i="2"/>
  <c r="CQ152" i="2"/>
  <c r="DW152" i="2"/>
  <c r="DH152" i="2"/>
  <c r="BL152" i="2"/>
  <c r="AU152" i="2"/>
  <c r="FD152" i="2"/>
  <c r="CA152" i="2"/>
  <c r="CR152" i="2"/>
  <c r="AE152" i="2"/>
  <c r="CB152" i="2"/>
  <c r="BK152" i="2"/>
  <c r="AV152" i="2"/>
  <c r="AF152" i="2"/>
  <c r="P152" i="2"/>
  <c r="O152" i="2"/>
  <c r="FB152" i="2"/>
  <c r="FG152" i="2" s="1"/>
  <c r="FE152" i="2"/>
  <c r="ET152" i="2"/>
  <c r="EO152" i="2"/>
  <c r="FA152" i="2"/>
  <c r="EU152" i="2"/>
  <c r="DY152" i="2"/>
  <c r="EK152" i="2"/>
  <c r="EE152" i="2"/>
  <c r="EL152" i="2"/>
  <c r="EQ152" i="2" s="1"/>
  <c r="DU152" i="2"/>
  <c r="DO152" i="2"/>
  <c r="DN152" i="2"/>
  <c r="DF152" i="2"/>
  <c r="DL152" i="2" s="1"/>
  <c r="CO152" i="2"/>
  <c r="CI152" i="2"/>
  <c r="BY152" i="2"/>
  <c r="DV152" i="2"/>
  <c r="EA152" i="2" s="1"/>
  <c r="DI152" i="2"/>
  <c r="CX152" i="2"/>
  <c r="CP152" i="2"/>
  <c r="CV152" i="2" s="1"/>
  <c r="BZ152" i="2"/>
  <c r="CF152" i="2" s="1"/>
  <c r="CS152" i="2"/>
  <c r="CH152" i="2"/>
  <c r="CC152" i="2"/>
  <c r="ED152" i="2"/>
  <c r="DE152" i="2"/>
  <c r="CY152" i="2"/>
  <c r="BM152" i="2"/>
  <c r="AS152" i="2"/>
  <c r="BS152" i="2"/>
  <c r="BC152" i="2"/>
  <c r="AT152" i="2"/>
  <c r="BR152" i="2"/>
  <c r="BI152" i="2"/>
  <c r="AM152" i="2"/>
  <c r="BJ152" i="2"/>
  <c r="BP152" i="2" s="1"/>
  <c r="BB152" i="2"/>
  <c r="AW152" i="2"/>
  <c r="AL152" i="2"/>
  <c r="AG152" i="2"/>
  <c r="DK152" i="2"/>
  <c r="EC150" i="2"/>
  <c r="DZ151" i="2"/>
  <c r="ES150" i="2"/>
  <c r="EP151" i="2"/>
  <c r="FF151" i="2"/>
  <c r="FI150" i="2"/>
  <c r="DJ151" i="2"/>
  <c r="DM150" i="2"/>
  <c r="T151" i="2"/>
  <c r="AD152" i="2"/>
  <c r="W152" i="2"/>
  <c r="AC152" i="2"/>
  <c r="V152" i="2"/>
  <c r="Q152" i="2"/>
  <c r="M152" i="2"/>
  <c r="N152" i="2"/>
  <c r="F152" i="2"/>
  <c r="G152" i="2"/>
  <c r="A153" i="2"/>
  <c r="S151" i="2"/>
  <c r="AI149" i="2"/>
  <c r="AJ149" i="2"/>
  <c r="AJ150" i="2" s="1"/>
  <c r="AK148" i="2"/>
  <c r="AH149" i="2"/>
  <c r="R151" i="2"/>
  <c r="U150" i="2"/>
  <c r="EC151" i="2" l="1"/>
  <c r="DZ152" i="2"/>
  <c r="CG151" i="2"/>
  <c r="CD152" i="2"/>
  <c r="BO152" i="2"/>
  <c r="CU152" i="2"/>
  <c r="CJ61" i="2" a="1"/>
  <c r="CJ61" i="2" s="1"/>
  <c r="CJ20" i="2" a="1"/>
  <c r="CJ20" i="2" s="1"/>
  <c r="CJ85" i="2" a="1"/>
  <c r="CJ85" i="2" s="1"/>
  <c r="CJ108" i="2" a="1"/>
  <c r="CJ108" i="2" s="1"/>
  <c r="EV98" i="2" a="1"/>
  <c r="EV98" i="2" s="1"/>
  <c r="FD153" i="2"/>
  <c r="FC153" i="2"/>
  <c r="EN153" i="2"/>
  <c r="DW153" i="2"/>
  <c r="DX153" i="2"/>
  <c r="DG153" i="2"/>
  <c r="CQ153" i="2"/>
  <c r="BK153" i="2"/>
  <c r="BL153" i="2"/>
  <c r="AU153" i="2"/>
  <c r="EM153" i="2"/>
  <c r="P153" i="2"/>
  <c r="DH153" i="2"/>
  <c r="CR153" i="2"/>
  <c r="AE153" i="2"/>
  <c r="CB153" i="2"/>
  <c r="CA153" i="2"/>
  <c r="AV153" i="2"/>
  <c r="AF153" i="2"/>
  <c r="O153" i="2"/>
  <c r="FE153" i="2"/>
  <c r="ET153" i="2"/>
  <c r="EO153" i="2"/>
  <c r="ED153" i="2"/>
  <c r="DV153" i="2"/>
  <c r="EA153" i="2" s="1"/>
  <c r="DY153" i="2"/>
  <c r="EK153" i="2"/>
  <c r="EE153" i="2"/>
  <c r="EL153" i="2"/>
  <c r="EQ153" i="2" s="1"/>
  <c r="DU153" i="2"/>
  <c r="DO153" i="2"/>
  <c r="DP140" i="2" s="1" a="1"/>
  <c r="DP140" i="2" s="1"/>
  <c r="DE153" i="2"/>
  <c r="CY153" i="2"/>
  <c r="CZ55" i="2" s="1" a="1"/>
  <c r="CZ55" i="2" s="1"/>
  <c r="BM153" i="2"/>
  <c r="FB153" i="2"/>
  <c r="FG153" i="2" s="1"/>
  <c r="DN153" i="2"/>
  <c r="DF153" i="2"/>
  <c r="DK153" i="2" s="1"/>
  <c r="CO153" i="2"/>
  <c r="CI153" i="2"/>
  <c r="CJ16" i="2" s="1" a="1"/>
  <c r="CJ16" i="2" s="1"/>
  <c r="BY153" i="2"/>
  <c r="FA153" i="2"/>
  <c r="EU153" i="2"/>
  <c r="EV148" i="2" s="1" a="1"/>
  <c r="EV148" i="2" s="1"/>
  <c r="DI153" i="2"/>
  <c r="CX153" i="2"/>
  <c r="CP153" i="2"/>
  <c r="CV153" i="2" s="1"/>
  <c r="BZ153" i="2"/>
  <c r="CF153" i="2" s="1"/>
  <c r="CS153" i="2"/>
  <c r="BS153" i="2"/>
  <c r="CC153" i="2"/>
  <c r="CH153" i="2"/>
  <c r="BJ153" i="2"/>
  <c r="BP153" i="2" s="1"/>
  <c r="BB153" i="2"/>
  <c r="AW153" i="2"/>
  <c r="AS153" i="2"/>
  <c r="BC153" i="2"/>
  <c r="BD125" i="2" s="1" a="1"/>
  <c r="BD125" i="2" s="1"/>
  <c r="AT153" i="2"/>
  <c r="BR153" i="2"/>
  <c r="BI153" i="2"/>
  <c r="AM153" i="2"/>
  <c r="AN153" i="2" s="1" a="1"/>
  <c r="AN153" i="2" s="1"/>
  <c r="AL153" i="2"/>
  <c r="AG153" i="2"/>
  <c r="EF21" i="2" a="1"/>
  <c r="EF21" i="2" s="1"/>
  <c r="EF118" i="2" a="1"/>
  <c r="EF118" i="2" s="1"/>
  <c r="EF106" i="2" a="1"/>
  <c r="EF106" i="2" s="1"/>
  <c r="EF110" i="2" a="1"/>
  <c r="EF110" i="2" s="1"/>
  <c r="EF7" i="2" a="1"/>
  <c r="EF7" i="2" s="1"/>
  <c r="EF95" i="2" a="1"/>
  <c r="EF95" i="2" s="1"/>
  <c r="EF143" i="2" a="1"/>
  <c r="EF143" i="2" s="1"/>
  <c r="EF107" i="2" a="1"/>
  <c r="EF107" i="2" s="1"/>
  <c r="EF93" i="2" a="1"/>
  <c r="EF93" i="2" s="1"/>
  <c r="EF83" i="2" a="1"/>
  <c r="EF83" i="2" s="1"/>
  <c r="EF57" i="2" a="1"/>
  <c r="EF57" i="2" s="1"/>
  <c r="EF10" i="2" a="1"/>
  <c r="EF10" i="2" s="1"/>
  <c r="EF41" i="2" a="1"/>
  <c r="EF41" i="2" s="1"/>
  <c r="EF125" i="2" a="1"/>
  <c r="EF125" i="2" s="1"/>
  <c r="EF97" i="2" a="1"/>
  <c r="EF97" i="2" s="1"/>
  <c r="EF90" i="2" a="1"/>
  <c r="EF90" i="2" s="1"/>
  <c r="EF6" i="2" a="1"/>
  <c r="EF6" i="2" s="1"/>
  <c r="EF74" i="2" a="1"/>
  <c r="EF74" i="2" s="1"/>
  <c r="EF77" i="2" a="1"/>
  <c r="EF77" i="2" s="1"/>
  <c r="EF36" i="2" a="1"/>
  <c r="EF36" i="2" s="1"/>
  <c r="EF140" i="2" a="1"/>
  <c r="EF140" i="2" s="1"/>
  <c r="EF62" i="2" a="1"/>
  <c r="EF62" i="2" s="1"/>
  <c r="EF147" i="2" a="1"/>
  <c r="EF147" i="2" s="1"/>
  <c r="EF86" i="2" a="1"/>
  <c r="EF86" i="2" s="1"/>
  <c r="EF133" i="2" a="1"/>
  <c r="EF133" i="2" s="1"/>
  <c r="EF114" i="2" a="1"/>
  <c r="EF114" i="2" s="1"/>
  <c r="EF75" i="2" a="1"/>
  <c r="EF75" i="2" s="1"/>
  <c r="EF55" i="2" a="1"/>
  <c r="EF55" i="2" s="1"/>
  <c r="EF34" i="2" a="1"/>
  <c r="EF34" i="2" s="1"/>
  <c r="EF67" i="2" a="1"/>
  <c r="EF67" i="2" s="1"/>
  <c r="EF24" i="2" a="1"/>
  <c r="EF24" i="2" s="1"/>
  <c r="EF134" i="2" a="1"/>
  <c r="EF134" i="2" s="1"/>
  <c r="EF78" i="2" a="1"/>
  <c r="EF78" i="2" s="1"/>
  <c r="EF16" i="2" a="1"/>
  <c r="EF16" i="2" s="1"/>
  <c r="EF109" i="2" a="1"/>
  <c r="EF109" i="2" s="1"/>
  <c r="EF130" i="2" a="1"/>
  <c r="EF130" i="2" s="1"/>
  <c r="EF80" i="2" a="1"/>
  <c r="EF80" i="2" s="1"/>
  <c r="EF148" i="2" a="1"/>
  <c r="EF148" i="2" s="1"/>
  <c r="EF28" i="2" a="1"/>
  <c r="EF28" i="2" s="1"/>
  <c r="EF59" i="2" a="1"/>
  <c r="EF59" i="2" s="1"/>
  <c r="EF31" i="2" a="1"/>
  <c r="EF31" i="2" s="1"/>
  <c r="EF65" i="2" a="1"/>
  <c r="EF65" i="2" s="1"/>
  <c r="EF105" i="2" a="1"/>
  <c r="EF105" i="2" s="1"/>
  <c r="EF25" i="2" a="1"/>
  <c r="EF25" i="2" s="1"/>
  <c r="EF73" i="2" a="1"/>
  <c r="EF73" i="2" s="1"/>
  <c r="EF44" i="2" a="1"/>
  <c r="EF44" i="2" s="1"/>
  <c r="EF38" i="2" a="1"/>
  <c r="EF38" i="2" s="1"/>
  <c r="EF27" i="2" a="1"/>
  <c r="EF27" i="2" s="1"/>
  <c r="EF11" i="2" a="1"/>
  <c r="EF11" i="2" s="1"/>
  <c r="EF43" i="2" a="1"/>
  <c r="EF43" i="2" s="1"/>
  <c r="EF26" i="2" a="1"/>
  <c r="EF26" i="2" s="1"/>
  <c r="EF49" i="2" a="1"/>
  <c r="EF49" i="2" s="1"/>
  <c r="EF66" i="2" a="1"/>
  <c r="EF66" i="2" s="1"/>
  <c r="EF18" i="2" a="1"/>
  <c r="EF18" i="2" s="1"/>
  <c r="EF45" i="2" a="1"/>
  <c r="EF45" i="2" s="1"/>
  <c r="EF68" i="2" a="1"/>
  <c r="EF68" i="2" s="1"/>
  <c r="EF141" i="2" a="1"/>
  <c r="EF141" i="2" s="1"/>
  <c r="EF60" i="2" a="1"/>
  <c r="EF60" i="2" s="1"/>
  <c r="EF46" i="2" a="1"/>
  <c r="EF46" i="2" s="1"/>
  <c r="EF117" i="2" a="1"/>
  <c r="EF117" i="2" s="1"/>
  <c r="EF103" i="2" a="1"/>
  <c r="EF103" i="2" s="1"/>
  <c r="EF5" i="2" a="1"/>
  <c r="EF5" i="2" s="1"/>
  <c r="EF138" i="2" a="1"/>
  <c r="EF138" i="2" s="1"/>
  <c r="EF120" i="2" a="1"/>
  <c r="EF120" i="2" s="1"/>
  <c r="EF127" i="2" a="1"/>
  <c r="EF127" i="2" s="1"/>
  <c r="EF104" i="2" a="1"/>
  <c r="EF104" i="2" s="1"/>
  <c r="EF139" i="2" a="1"/>
  <c r="EF139" i="2" s="1"/>
  <c r="EF12" i="2" a="1"/>
  <c r="EF12" i="2" s="1"/>
  <c r="EF63" i="2" a="1"/>
  <c r="EF63" i="2" s="1"/>
  <c r="EF17" i="2" a="1"/>
  <c r="EF17" i="2" s="1"/>
  <c r="EF136" i="2" a="1"/>
  <c r="EF136" i="2" s="1"/>
  <c r="EF137" i="2" a="1"/>
  <c r="EF137" i="2" s="1"/>
  <c r="EF61" i="2" a="1"/>
  <c r="EF61" i="2" s="1"/>
  <c r="EF113" i="2" a="1"/>
  <c r="EF113" i="2" s="1"/>
  <c r="EF144" i="2" a="1"/>
  <c r="EF144" i="2" s="1"/>
  <c r="EF47" i="2" a="1"/>
  <c r="EF47" i="2" s="1"/>
  <c r="EF119" i="2" a="1"/>
  <c r="EF119" i="2" s="1"/>
  <c r="EF122" i="2" a="1"/>
  <c r="EF122" i="2" s="1"/>
  <c r="EF124" i="2" a="1"/>
  <c r="EF124" i="2" s="1"/>
  <c r="EF33" i="2" a="1"/>
  <c r="EF33" i="2" s="1"/>
  <c r="EF71" i="2" a="1"/>
  <c r="EF71" i="2" s="1"/>
  <c r="EF81" i="2" a="1"/>
  <c r="EF81" i="2" s="1"/>
  <c r="EF48" i="2" a="1"/>
  <c r="EF48" i="2" s="1"/>
  <c r="EF84" i="2" a="1"/>
  <c r="EF84" i="2" s="1"/>
  <c r="EF40" i="2" a="1"/>
  <c r="EF40" i="2" s="1"/>
  <c r="EF69" i="2" a="1"/>
  <c r="EF69" i="2" s="1"/>
  <c r="EF15" i="2" a="1"/>
  <c r="EF15" i="2" s="1"/>
  <c r="EF112" i="2" a="1"/>
  <c r="EF112" i="2" s="1"/>
  <c r="EF8" i="2" a="1"/>
  <c r="EF8" i="2" s="1"/>
  <c r="EF51" i="2" a="1"/>
  <c r="EF51" i="2" s="1"/>
  <c r="EF98" i="2" a="1"/>
  <c r="EF98" i="2" s="1"/>
  <c r="EF14" i="2" a="1"/>
  <c r="EF14" i="2" s="1"/>
  <c r="EF91" i="2" a="1"/>
  <c r="EF91" i="2" s="1"/>
  <c r="EF150" i="2" a="1"/>
  <c r="EF150" i="2" s="1"/>
  <c r="EF101" i="2" a="1"/>
  <c r="EF101" i="2" s="1"/>
  <c r="EF76" i="2" a="1"/>
  <c r="EF76" i="2" s="1"/>
  <c r="EF23" i="2" a="1"/>
  <c r="EF23" i="2" s="1"/>
  <c r="EF108" i="2" a="1"/>
  <c r="EF108" i="2" s="1"/>
  <c r="EF126" i="2" a="1"/>
  <c r="EF126" i="2" s="1"/>
  <c r="EF100" i="2" a="1"/>
  <c r="EF100" i="2" s="1"/>
  <c r="EF85" i="2" a="1"/>
  <c r="EF85" i="2" s="1"/>
  <c r="EF64" i="2" a="1"/>
  <c r="EF64" i="2" s="1"/>
  <c r="EF9" i="2" a="1"/>
  <c r="EF9" i="2" s="1"/>
  <c r="EF99" i="2" a="1"/>
  <c r="EF99" i="2" s="1"/>
  <c r="EF146" i="2" a="1"/>
  <c r="EF146" i="2" s="1"/>
  <c r="EF13" i="2" a="1"/>
  <c r="EF13" i="2" s="1"/>
  <c r="EF72" i="2" a="1"/>
  <c r="EF72" i="2" s="1"/>
  <c r="EF131" i="2" a="1"/>
  <c r="EF131" i="2" s="1"/>
  <c r="EF123" i="2" a="1"/>
  <c r="EF123" i="2" s="1"/>
  <c r="EF129" i="2" a="1"/>
  <c r="EF129" i="2" s="1"/>
  <c r="EF19" i="2" a="1"/>
  <c r="EF19" i="2" s="1"/>
  <c r="EF35" i="2" a="1"/>
  <c r="EF35" i="2" s="1"/>
  <c r="EF39" i="2" a="1"/>
  <c r="EF39" i="2" s="1"/>
  <c r="EF121" i="2" a="1"/>
  <c r="EF121" i="2" s="1"/>
  <c r="EF92" i="2" a="1"/>
  <c r="EF92" i="2" s="1"/>
  <c r="EF145" i="2" a="1"/>
  <c r="EF145" i="2" s="1"/>
  <c r="EF132" i="2" a="1"/>
  <c r="EF132" i="2" s="1"/>
  <c r="EF4" i="2" a="1"/>
  <c r="EF4" i="2" s="1"/>
  <c r="EG4" i="2" s="1"/>
  <c r="EF142" i="2" a="1"/>
  <c r="EF142" i="2" s="1"/>
  <c r="EF79" i="2" a="1"/>
  <c r="EF79" i="2" s="1"/>
  <c r="EF20" i="2" a="1"/>
  <c r="EF20" i="2" s="1"/>
  <c r="EF30" i="2" a="1"/>
  <c r="EF30" i="2" s="1"/>
  <c r="EF116" i="2" a="1"/>
  <c r="EF116" i="2" s="1"/>
  <c r="EF52" i="2" a="1"/>
  <c r="EF52" i="2" s="1"/>
  <c r="CZ139" i="2" a="1"/>
  <c r="CZ139" i="2" s="1"/>
  <c r="CZ126" i="2" a="1"/>
  <c r="CZ126" i="2" s="1"/>
  <c r="CZ6" i="2" a="1"/>
  <c r="CZ6" i="2" s="1"/>
  <c r="CZ48" i="2" a="1"/>
  <c r="CZ48" i="2" s="1"/>
  <c r="CZ39" i="2" a="1"/>
  <c r="CZ39" i="2" s="1"/>
  <c r="CJ18" i="2" a="1"/>
  <c r="CJ18" i="2" s="1"/>
  <c r="BD114" i="2" a="1"/>
  <c r="BD114" i="2" s="1"/>
  <c r="BD101" i="2" a="1"/>
  <c r="BD101" i="2" s="1"/>
  <c r="BD56" i="2" a="1"/>
  <c r="BD56" i="2" s="1"/>
  <c r="BD105" i="2" a="1"/>
  <c r="BD105" i="2" s="1"/>
  <c r="BD26" i="2" a="1"/>
  <c r="BD26" i="2" s="1"/>
  <c r="BD9" i="2" a="1"/>
  <c r="BD9" i="2" s="1"/>
  <c r="BD77" i="2" a="1"/>
  <c r="BD77" i="2" s="1"/>
  <c r="BD138" i="2" a="1"/>
  <c r="BD138" i="2" s="1"/>
  <c r="CJ128" i="2" a="1"/>
  <c r="CJ128" i="2" s="1"/>
  <c r="CJ133" i="2" a="1"/>
  <c r="CJ133" i="2" s="1"/>
  <c r="CJ37" i="2" a="1"/>
  <c r="CJ37" i="2" s="1"/>
  <c r="DP51" i="2" a="1"/>
  <c r="DP51" i="2" s="1"/>
  <c r="DP25" i="2" a="1"/>
  <c r="DP25" i="2" s="1"/>
  <c r="DP19" i="2" a="1"/>
  <c r="DP19" i="2" s="1"/>
  <c r="DP124" i="2" a="1"/>
  <c r="DP124" i="2" s="1"/>
  <c r="DP27" i="2" a="1"/>
  <c r="DP27" i="2" s="1"/>
  <c r="DP85" i="2" a="1"/>
  <c r="DP85" i="2" s="1"/>
  <c r="CJ35" i="2" a="1"/>
  <c r="CJ35" i="2" s="1"/>
  <c r="BT68" i="2" a="1"/>
  <c r="BT68" i="2" s="1"/>
  <c r="CZ10" i="2" a="1"/>
  <c r="CZ10" i="2" s="1"/>
  <c r="CZ109" i="2" a="1"/>
  <c r="CZ109" i="2" s="1"/>
  <c r="CZ13" i="2" a="1"/>
  <c r="CZ13" i="2" s="1"/>
  <c r="CZ74" i="2" a="1"/>
  <c r="CZ74" i="2" s="1"/>
  <c r="CZ32" i="2" a="1"/>
  <c r="CZ32" i="2" s="1"/>
  <c r="CZ129" i="2" a="1"/>
  <c r="CZ129" i="2" s="1"/>
  <c r="CZ127" i="2" a="1"/>
  <c r="CZ127" i="2" s="1"/>
  <c r="CZ49" i="2" a="1"/>
  <c r="CZ49" i="2" s="1"/>
  <c r="CZ56" i="2" a="1"/>
  <c r="CZ56" i="2" s="1"/>
  <c r="CJ131" i="2" a="1"/>
  <c r="CJ131" i="2" s="1"/>
  <c r="BD132" i="2" a="1"/>
  <c r="BD132" i="2" s="1"/>
  <c r="BD126" i="2" a="1"/>
  <c r="BD126" i="2" s="1"/>
  <c r="BD131" i="2" a="1"/>
  <c r="BD131" i="2" s="1"/>
  <c r="BD72" i="2" a="1"/>
  <c r="BD72" i="2" s="1"/>
  <c r="BD45" i="2" a="1"/>
  <c r="BD45" i="2" s="1"/>
  <c r="BD134" i="2" a="1"/>
  <c r="BD134" i="2" s="1"/>
  <c r="BD146" i="2" a="1"/>
  <c r="BD146" i="2" s="1"/>
  <c r="BD82" i="2" a="1"/>
  <c r="BD82" i="2" s="1"/>
  <c r="BD43" i="2" a="1"/>
  <c r="BD43" i="2" s="1"/>
  <c r="CJ92" i="2" a="1"/>
  <c r="CJ92" i="2" s="1"/>
  <c r="CJ132" i="2" a="1"/>
  <c r="CJ132" i="2" s="1"/>
  <c r="DP11" i="2" a="1"/>
  <c r="DP11" i="2" s="1"/>
  <c r="DP35" i="2" a="1"/>
  <c r="DP35" i="2" s="1"/>
  <c r="DP58" i="2" a="1"/>
  <c r="DP58" i="2" s="1"/>
  <c r="DP121" i="2" a="1"/>
  <c r="DP121" i="2" s="1"/>
  <c r="DP46" i="2" a="1"/>
  <c r="DP46" i="2" s="1"/>
  <c r="DP32" i="2" a="1"/>
  <c r="DP32" i="2" s="1"/>
  <c r="DP86" i="2" a="1"/>
  <c r="DP86" i="2" s="1"/>
  <c r="DP5" i="2" a="1"/>
  <c r="DP5" i="2" s="1"/>
  <c r="CJ87" i="2" a="1"/>
  <c r="CJ87" i="2" s="1"/>
  <c r="EV77" i="2" a="1"/>
  <c r="EV77" i="2" s="1"/>
  <c r="EV71" i="2" a="1"/>
  <c r="EV71" i="2" s="1"/>
  <c r="EV72" i="2" a="1"/>
  <c r="EV72" i="2" s="1"/>
  <c r="EV6" i="2" a="1"/>
  <c r="EV6" i="2" s="1"/>
  <c r="EV110" i="2" a="1"/>
  <c r="EV110" i="2" s="1"/>
  <c r="EV35" i="2" a="1"/>
  <c r="EV35" i="2" s="1"/>
  <c r="EV116" i="2" a="1"/>
  <c r="EV116" i="2" s="1"/>
  <c r="EV58" i="2" a="1"/>
  <c r="EV58" i="2" s="1"/>
  <c r="EV107" i="2" a="1"/>
  <c r="EV107" i="2" s="1"/>
  <c r="EV62" i="2" a="1"/>
  <c r="EV62" i="2" s="1"/>
  <c r="EV96" i="2" a="1"/>
  <c r="EV96" i="2" s="1"/>
  <c r="EV117" i="2" a="1"/>
  <c r="EV117" i="2" s="1"/>
  <c r="BT26" i="2" a="1"/>
  <c r="BT26" i="2" s="1"/>
  <c r="BT24" i="2" a="1"/>
  <c r="BT24" i="2" s="1"/>
  <c r="BT14" i="2" a="1"/>
  <c r="BT14" i="2" s="1"/>
  <c r="BT83" i="2" a="1"/>
  <c r="BT83" i="2" s="1"/>
  <c r="BT45" i="2" a="1"/>
  <c r="BT45" i="2" s="1"/>
  <c r="BT129" i="2" a="1"/>
  <c r="BT129" i="2" s="1"/>
  <c r="BT52" i="2" a="1"/>
  <c r="BT52" i="2" s="1"/>
  <c r="BT35" i="2" a="1"/>
  <c r="BT35" i="2" s="1"/>
  <c r="BT90" i="2" a="1"/>
  <c r="BT90" i="2" s="1"/>
  <c r="BT77" i="2" a="1"/>
  <c r="BT77" i="2" s="1"/>
  <c r="BT134" i="2" a="1"/>
  <c r="BT134" i="2" s="1"/>
  <c r="BT124" i="2" a="1"/>
  <c r="BT124" i="2" s="1"/>
  <c r="BT115" i="2" a="1"/>
  <c r="BT115" i="2" s="1"/>
  <c r="BT64" i="2" a="1"/>
  <c r="BT64" i="2" s="1"/>
  <c r="BT46" i="2" a="1"/>
  <c r="BT46" i="2" s="1"/>
  <c r="BT37" i="2" a="1"/>
  <c r="BT37" i="2" s="1"/>
  <c r="BT108" i="2" a="1"/>
  <c r="BT108" i="2" s="1"/>
  <c r="CJ75" i="2" a="1"/>
  <c r="CJ75" i="2" s="1"/>
  <c r="CZ148" i="2" a="1"/>
  <c r="CZ148" i="2" s="1"/>
  <c r="CZ16" i="2" a="1"/>
  <c r="CZ16" i="2" s="1"/>
  <c r="CZ92" i="2" a="1"/>
  <c r="CZ92" i="2" s="1"/>
  <c r="CZ8" i="2" a="1"/>
  <c r="CZ8" i="2" s="1"/>
  <c r="CZ36" i="2" a="1"/>
  <c r="CZ36" i="2" s="1"/>
  <c r="CZ50" i="2" a="1"/>
  <c r="CZ50" i="2" s="1"/>
  <c r="CZ46" i="2" a="1"/>
  <c r="CZ46" i="2" s="1"/>
  <c r="CZ82" i="2" a="1"/>
  <c r="CZ82" i="2" s="1"/>
  <c r="CZ76" i="2" a="1"/>
  <c r="CZ76" i="2" s="1"/>
  <c r="CZ18" i="2" a="1"/>
  <c r="CZ18" i="2" s="1"/>
  <c r="BD124" i="2" a="1"/>
  <c r="BD124" i="2" s="1"/>
  <c r="BD96" i="2" a="1"/>
  <c r="BD96" i="2" s="1"/>
  <c r="BD103" i="2" a="1"/>
  <c r="BD103" i="2" s="1"/>
  <c r="BD54" i="2" a="1"/>
  <c r="BD54" i="2" s="1"/>
  <c r="BD42" i="2" a="1"/>
  <c r="BD42" i="2" s="1"/>
  <c r="BD66" i="2" a="1"/>
  <c r="BD66" i="2" s="1"/>
  <c r="BD93" i="2" a="1"/>
  <c r="BD93" i="2" s="1"/>
  <c r="BD136" i="2" a="1"/>
  <c r="BD136" i="2" s="1"/>
  <c r="CJ150" i="2" a="1"/>
  <c r="CJ150" i="2" s="1"/>
  <c r="CJ95" i="2" a="1"/>
  <c r="CJ95" i="2" s="1"/>
  <c r="CJ124" i="2" a="1"/>
  <c r="CJ124" i="2" s="1"/>
  <c r="DP52" i="2" a="1"/>
  <c r="DP52" i="2" s="1"/>
  <c r="DP94" i="2" a="1"/>
  <c r="DP94" i="2" s="1"/>
  <c r="DP48" i="2" a="1"/>
  <c r="DP48" i="2" s="1"/>
  <c r="DP82" i="2" a="1"/>
  <c r="DP82" i="2" s="1"/>
  <c r="DP24" i="2" a="1"/>
  <c r="DP24" i="2" s="1"/>
  <c r="CJ49" i="2" a="1"/>
  <c r="CJ49" i="2" s="1"/>
  <c r="BD14" i="2" a="1"/>
  <c r="BD14" i="2" s="1"/>
  <c r="BD147" i="2" a="1"/>
  <c r="BD147" i="2" s="1"/>
  <c r="BD117" i="2" a="1"/>
  <c r="BD117" i="2" s="1"/>
  <c r="AN105" i="2" a="1"/>
  <c r="AN105" i="2" s="1"/>
  <c r="AN106" i="2" a="1"/>
  <c r="AN106" i="2" s="1"/>
  <c r="AN149" i="2" a="1"/>
  <c r="AN149" i="2" s="1"/>
  <c r="CJ74" i="2" a="1"/>
  <c r="CJ74" i="2" s="1"/>
  <c r="CJ10" i="2" a="1"/>
  <c r="CJ10" i="2" s="1"/>
  <c r="CJ14" i="2" a="1"/>
  <c r="CJ14" i="2" s="1"/>
  <c r="CJ60" i="2" a="1"/>
  <c r="CJ60" i="2" s="1"/>
  <c r="CJ77" i="2" a="1"/>
  <c r="CJ77" i="2" s="1"/>
  <c r="CJ99" i="2" a="1"/>
  <c r="CJ99" i="2" s="1"/>
  <c r="CJ43" i="2" a="1"/>
  <c r="CJ43" i="2" s="1"/>
  <c r="CJ130" i="2" a="1"/>
  <c r="CJ130" i="2" s="1"/>
  <c r="CJ7" i="2" a="1"/>
  <c r="CJ7" i="2" s="1"/>
  <c r="CJ56" i="2" a="1"/>
  <c r="CJ56" i="2" s="1"/>
  <c r="CJ65" i="2" a="1"/>
  <c r="CJ65" i="2" s="1"/>
  <c r="CJ148" i="2" a="1"/>
  <c r="CJ148" i="2" s="1"/>
  <c r="CJ25" i="2" a="1"/>
  <c r="CJ25" i="2" s="1"/>
  <c r="CJ129" i="2" a="1"/>
  <c r="CJ129" i="2" s="1"/>
  <c r="CJ27" i="2" a="1"/>
  <c r="CJ27" i="2" s="1"/>
  <c r="CE152" i="2"/>
  <c r="CE153" i="2" s="1"/>
  <c r="EP152" i="2"/>
  <c r="ES151" i="2"/>
  <c r="AN152" i="2" a="1"/>
  <c r="AN152" i="2" s="1"/>
  <c r="AN119" i="2" a="1"/>
  <c r="AN119" i="2" s="1"/>
  <c r="AN73" i="2" a="1"/>
  <c r="AN73" i="2" s="1"/>
  <c r="AN81" i="2" a="1"/>
  <c r="AN81" i="2" s="1"/>
  <c r="AN58" i="2" a="1"/>
  <c r="AN58" i="2" s="1"/>
  <c r="AN17" i="2" a="1"/>
  <c r="AN17" i="2" s="1"/>
  <c r="AN76" i="2" a="1"/>
  <c r="AN76" i="2" s="1"/>
  <c r="AN91" i="2" a="1"/>
  <c r="AN91" i="2" s="1"/>
  <c r="AN142" i="2" a="1"/>
  <c r="AN142" i="2" s="1"/>
  <c r="AN22" i="2" a="1"/>
  <c r="AN22" i="2" s="1"/>
  <c r="AN129" i="2" a="1"/>
  <c r="AN129" i="2" s="1"/>
  <c r="AN29" i="2" a="1"/>
  <c r="AN29" i="2" s="1"/>
  <c r="AN6" i="2" a="1"/>
  <c r="AN6" i="2" s="1"/>
  <c r="AN100" i="2" a="1"/>
  <c r="AN100" i="2" s="1"/>
  <c r="AN53" i="2" a="1"/>
  <c r="AN53" i="2" s="1"/>
  <c r="AN80" i="2" a="1"/>
  <c r="AN80" i="2" s="1"/>
  <c r="AN116" i="2" a="1"/>
  <c r="AN116" i="2" s="1"/>
  <c r="AN92" i="2" a="1"/>
  <c r="AN92" i="2" s="1"/>
  <c r="AN99" i="2" a="1"/>
  <c r="AN99" i="2" s="1"/>
  <c r="AN59" i="2" a="1"/>
  <c r="AN59" i="2" s="1"/>
  <c r="AN52" i="2" a="1"/>
  <c r="AN52" i="2" s="1"/>
  <c r="AN90" i="2" a="1"/>
  <c r="AN90" i="2" s="1"/>
  <c r="AN65" i="2" a="1"/>
  <c r="AN65" i="2" s="1"/>
  <c r="AN127" i="2" a="1"/>
  <c r="AN127" i="2" s="1"/>
  <c r="AN123" i="2" a="1"/>
  <c r="AN123" i="2" s="1"/>
  <c r="AN109" i="2" a="1"/>
  <c r="AN109" i="2" s="1"/>
  <c r="AN136" i="2" a="1"/>
  <c r="AN136" i="2" s="1"/>
  <c r="AN8" i="2" a="1"/>
  <c r="AN8" i="2" s="1"/>
  <c r="AN121" i="2" a="1"/>
  <c r="AN121" i="2" s="1"/>
  <c r="AN47" i="2" a="1"/>
  <c r="AN47" i="2" s="1"/>
  <c r="AN64" i="2" a="1"/>
  <c r="AN64" i="2" s="1"/>
  <c r="AN40" i="2" a="1"/>
  <c r="AN40" i="2" s="1"/>
  <c r="AN132" i="2" a="1"/>
  <c r="AN132" i="2" s="1"/>
  <c r="AN96" i="2" a="1"/>
  <c r="AN96" i="2" s="1"/>
  <c r="AN128" i="2" a="1"/>
  <c r="AN128" i="2" s="1"/>
  <c r="AN86" i="2" a="1"/>
  <c r="AN86" i="2" s="1"/>
  <c r="AN34" i="2" a="1"/>
  <c r="AN34" i="2" s="1"/>
  <c r="AN79" i="2" a="1"/>
  <c r="AN79" i="2" s="1"/>
  <c r="AN62" i="2" a="1"/>
  <c r="AN62" i="2" s="1"/>
  <c r="AN11" i="2" a="1"/>
  <c r="AN11" i="2" s="1"/>
  <c r="AN150" i="2" a="1"/>
  <c r="AN150" i="2" s="1"/>
  <c r="AN51" i="2" a="1"/>
  <c r="AN51" i="2" s="1"/>
  <c r="AN26" i="2" a="1"/>
  <c r="AN26" i="2" s="1"/>
  <c r="AN60" i="2" a="1"/>
  <c r="AN60" i="2" s="1"/>
  <c r="AN33" i="2" a="1"/>
  <c r="AN33" i="2" s="1"/>
  <c r="AN103" i="2" a="1"/>
  <c r="AN103" i="2" s="1"/>
  <c r="AN56" i="2" a="1"/>
  <c r="AN56" i="2" s="1"/>
  <c r="AN114" i="2" a="1"/>
  <c r="AN114" i="2" s="1"/>
  <c r="AN117" i="2" a="1"/>
  <c r="AN117" i="2" s="1"/>
  <c r="AN87" i="2" a="1"/>
  <c r="AN87" i="2" s="1"/>
  <c r="AN122" i="2" a="1"/>
  <c r="AN122" i="2" s="1"/>
  <c r="AN46" i="2" a="1"/>
  <c r="AN46" i="2" s="1"/>
  <c r="AN54" i="2" a="1"/>
  <c r="AN54" i="2" s="1"/>
  <c r="AN107" i="2" a="1"/>
  <c r="AN107" i="2" s="1"/>
  <c r="AN113" i="2" a="1"/>
  <c r="AN113" i="2" s="1"/>
  <c r="AN112" i="2" a="1"/>
  <c r="AN112" i="2" s="1"/>
  <c r="AN14" i="2" a="1"/>
  <c r="AN14" i="2" s="1"/>
  <c r="AN20" i="2" a="1"/>
  <c r="AN20" i="2" s="1"/>
  <c r="AN37" i="2" a="1"/>
  <c r="AN37" i="2" s="1"/>
  <c r="AN133" i="2" a="1"/>
  <c r="AN133" i="2" s="1"/>
  <c r="AN130" i="2" a="1"/>
  <c r="AN130" i="2" s="1"/>
  <c r="AN69" i="2" a="1"/>
  <c r="AN69" i="2" s="1"/>
  <c r="AN131" i="2" a="1"/>
  <c r="AN131" i="2" s="1"/>
  <c r="AN49" i="2" a="1"/>
  <c r="AN49" i="2" s="1"/>
  <c r="AN125" i="2" a="1"/>
  <c r="AN125" i="2" s="1"/>
  <c r="AN88" i="2" a="1"/>
  <c r="AN88" i="2" s="1"/>
  <c r="AN140" i="2" a="1"/>
  <c r="AN140" i="2" s="1"/>
  <c r="AN84" i="2" a="1"/>
  <c r="AN84" i="2" s="1"/>
  <c r="AN72" i="2" a="1"/>
  <c r="AN72" i="2" s="1"/>
  <c r="AN35" i="2" a="1"/>
  <c r="AN35" i="2" s="1"/>
  <c r="AN134" i="2" a="1"/>
  <c r="AN134" i="2" s="1"/>
  <c r="AN41" i="2" a="1"/>
  <c r="AN41" i="2" s="1"/>
  <c r="AN97" i="2" a="1"/>
  <c r="AN97" i="2" s="1"/>
  <c r="AN39" i="2" a="1"/>
  <c r="AN39" i="2" s="1"/>
  <c r="AN143" i="2" a="1"/>
  <c r="AN143" i="2" s="1"/>
  <c r="AN66" i="2" a="1"/>
  <c r="AN66" i="2" s="1"/>
  <c r="AN48" i="2" a="1"/>
  <c r="AN48" i="2" s="1"/>
  <c r="AN67" i="2" a="1"/>
  <c r="AN67" i="2" s="1"/>
  <c r="AN12" i="2" a="1"/>
  <c r="AN12" i="2" s="1"/>
  <c r="AN82" i="2" a="1"/>
  <c r="AN82" i="2" s="1"/>
  <c r="AN13" i="2" a="1"/>
  <c r="AN13" i="2" s="1"/>
  <c r="AN31" i="2" a="1"/>
  <c r="AN31" i="2" s="1"/>
  <c r="AN36" i="2" a="1"/>
  <c r="AN36" i="2" s="1"/>
  <c r="AN75" i="2" a="1"/>
  <c r="AN75" i="2" s="1"/>
  <c r="AN101" i="2" a="1"/>
  <c r="AN101" i="2" s="1"/>
  <c r="AN25" i="2" a="1"/>
  <c r="AN25" i="2" s="1"/>
  <c r="AN15" i="2" a="1"/>
  <c r="AN15" i="2" s="1"/>
  <c r="AN63" i="2" a="1"/>
  <c r="AN63" i="2" s="1"/>
  <c r="AN118" i="2" a="1"/>
  <c r="AN118" i="2" s="1"/>
  <c r="AN95" i="2" a="1"/>
  <c r="AN95" i="2" s="1"/>
  <c r="AN124" i="2" a="1"/>
  <c r="AN124" i="2" s="1"/>
  <c r="AN115" i="2" a="1"/>
  <c r="AN115" i="2" s="1"/>
  <c r="AN42" i="2" a="1"/>
  <c r="AN42" i="2" s="1"/>
  <c r="AN43" i="2" a="1"/>
  <c r="AN43" i="2" s="1"/>
  <c r="AN28" i="2" a="1"/>
  <c r="AN28" i="2" s="1"/>
  <c r="AN74" i="2" a="1"/>
  <c r="AN74" i="2" s="1"/>
  <c r="AN18" i="2" a="1"/>
  <c r="AN18" i="2" s="1"/>
  <c r="AN102" i="2" a="1"/>
  <c r="AN102" i="2" s="1"/>
  <c r="AN147" i="2" a="1"/>
  <c r="AN147" i="2" s="1"/>
  <c r="AN78" i="2" a="1"/>
  <c r="AN78" i="2" s="1"/>
  <c r="AN70" i="2" a="1"/>
  <c r="AN70" i="2" s="1"/>
  <c r="AN55" i="2" a="1"/>
  <c r="AN55" i="2" s="1"/>
  <c r="AN44" i="2" a="1"/>
  <c r="AN44" i="2" s="1"/>
  <c r="AN16" i="2" a="1"/>
  <c r="AN16" i="2" s="1"/>
  <c r="AN85" i="2" a="1"/>
  <c r="AN85" i="2" s="1"/>
  <c r="AN45" i="2" a="1"/>
  <c r="AN45" i="2" s="1"/>
  <c r="AN68" i="2" a="1"/>
  <c r="AN68" i="2" s="1"/>
  <c r="AN93" i="2" a="1"/>
  <c r="AN93" i="2" s="1"/>
  <c r="AN50" i="2" a="1"/>
  <c r="AN50" i="2" s="1"/>
  <c r="AN5" i="2" a="1"/>
  <c r="AN5" i="2" s="1"/>
  <c r="AN71" i="2" a="1"/>
  <c r="AN71" i="2" s="1"/>
  <c r="AN19" i="2" a="1"/>
  <c r="AN19" i="2" s="1"/>
  <c r="AN148" i="2" a="1"/>
  <c r="AN148" i="2" s="1"/>
  <c r="AN61" i="2" a="1"/>
  <c r="AN61" i="2" s="1"/>
  <c r="AN144" i="2" a="1"/>
  <c r="AN144" i="2" s="1"/>
  <c r="AN83" i="2" a="1"/>
  <c r="AN83" i="2" s="1"/>
  <c r="AN94" i="2" a="1"/>
  <c r="AN94" i="2" s="1"/>
  <c r="AN139" i="2" a="1"/>
  <c r="AN139" i="2" s="1"/>
  <c r="AN9" i="2" a="1"/>
  <c r="AN9" i="2" s="1"/>
  <c r="AN27" i="2" a="1"/>
  <c r="AN27" i="2" s="1"/>
  <c r="AN146" i="2" a="1"/>
  <c r="AN146" i="2" s="1"/>
  <c r="AN24" i="2" a="1"/>
  <c r="AN24" i="2" s="1"/>
  <c r="AN137" i="2" a="1"/>
  <c r="AN137" i="2" s="1"/>
  <c r="AN23" i="2" a="1"/>
  <c r="AN23" i="2" s="1"/>
  <c r="AN108" i="2" a="1"/>
  <c r="AN108" i="2" s="1"/>
  <c r="AN77" i="2" a="1"/>
  <c r="AN77" i="2" s="1"/>
  <c r="AN4" i="2" a="1"/>
  <c r="AN4" i="2" s="1"/>
  <c r="AO4" i="2" s="1"/>
  <c r="AN38" i="2" a="1"/>
  <c r="AN38" i="2" s="1"/>
  <c r="AN7" i="2" a="1"/>
  <c r="AN7" i="2" s="1"/>
  <c r="AN138" i="2" a="1"/>
  <c r="AN138" i="2" s="1"/>
  <c r="AN120" i="2" a="1"/>
  <c r="AN120" i="2" s="1"/>
  <c r="BD152" i="2" a="1"/>
  <c r="BD152" i="2" s="1"/>
  <c r="CZ152" i="2" a="1"/>
  <c r="CZ152" i="2" s="1"/>
  <c r="CZ147" i="2" a="1"/>
  <c r="CZ147" i="2" s="1"/>
  <c r="CZ14" i="2" a="1"/>
  <c r="CZ14" i="2" s="1"/>
  <c r="CZ19" i="2" a="1"/>
  <c r="CZ19" i="2" s="1"/>
  <c r="CZ68" i="2" a="1"/>
  <c r="CZ68" i="2" s="1"/>
  <c r="CZ130" i="2" a="1"/>
  <c r="CZ130" i="2" s="1"/>
  <c r="CZ66" i="2" a="1"/>
  <c r="CZ66" i="2" s="1"/>
  <c r="CJ152" i="2" a="1"/>
  <c r="CJ152" i="2" s="1"/>
  <c r="CJ45" i="2" a="1"/>
  <c r="CJ45" i="2" s="1"/>
  <c r="CJ72" i="2" a="1"/>
  <c r="CJ72" i="2" s="1"/>
  <c r="CJ52" i="2" a="1"/>
  <c r="CJ52" i="2" s="1"/>
  <c r="CJ139" i="2" a="1"/>
  <c r="CJ139" i="2" s="1"/>
  <c r="CJ9" i="2" a="1"/>
  <c r="CJ9" i="2" s="1"/>
  <c r="CJ55" i="2" a="1"/>
  <c r="CJ55" i="2" s="1"/>
  <c r="CJ24" i="2" a="1"/>
  <c r="CJ24" i="2" s="1"/>
  <c r="CJ147" i="2" a="1"/>
  <c r="CJ147" i="2" s="1"/>
  <c r="CJ62" i="2" a="1"/>
  <c r="CJ62" i="2" s="1"/>
  <c r="CJ79" i="2" a="1"/>
  <c r="CJ79" i="2" s="1"/>
  <c r="CJ86" i="2" a="1"/>
  <c r="CJ86" i="2" s="1"/>
  <c r="CJ53" i="2" a="1"/>
  <c r="CJ53" i="2" s="1"/>
  <c r="CJ57" i="2" a="1"/>
  <c r="CJ57" i="2" s="1"/>
  <c r="CJ110" i="2" a="1"/>
  <c r="CJ110" i="2" s="1"/>
  <c r="CJ13" i="2" a="1"/>
  <c r="CJ13" i="2" s="1"/>
  <c r="CJ122" i="2" a="1"/>
  <c r="CJ122" i="2" s="1"/>
  <c r="CJ30" i="2" a="1"/>
  <c r="CJ30" i="2" s="1"/>
  <c r="CJ51" i="2" a="1"/>
  <c r="CJ51" i="2" s="1"/>
  <c r="CJ5" i="2" a="1"/>
  <c r="CJ5" i="2" s="1"/>
  <c r="DP152" i="2" a="1"/>
  <c r="DP152" i="2" s="1"/>
  <c r="DP141" i="2" a="1"/>
  <c r="DP141" i="2" s="1"/>
  <c r="DP80" i="2" a="1"/>
  <c r="DP80" i="2" s="1"/>
  <c r="DP7" i="2" a="1"/>
  <c r="DP7" i="2" s="1"/>
  <c r="DP70" i="2" a="1"/>
  <c r="DP70" i="2" s="1"/>
  <c r="DP26" i="2" a="1"/>
  <c r="DP26" i="2" s="1"/>
  <c r="DP16" i="2" a="1"/>
  <c r="DP16" i="2" s="1"/>
  <c r="DP62" i="2" a="1"/>
  <c r="DP62" i="2" s="1"/>
  <c r="DP132" i="2" a="1"/>
  <c r="DP132" i="2" s="1"/>
  <c r="DP138" i="2" a="1"/>
  <c r="DP138" i="2" s="1"/>
  <c r="AN145" i="2" a="1"/>
  <c r="AN145" i="2" s="1"/>
  <c r="CZ73" i="2" a="1"/>
  <c r="CZ73" i="2" s="1"/>
  <c r="CZ67" i="2" a="1"/>
  <c r="CZ67" i="2" s="1"/>
  <c r="CZ132" i="2" a="1"/>
  <c r="CZ132" i="2" s="1"/>
  <c r="CZ141" i="2" a="1"/>
  <c r="CZ141" i="2" s="1"/>
  <c r="CZ30" i="2" a="1"/>
  <c r="CZ30" i="2" s="1"/>
  <c r="CZ93" i="2" a="1"/>
  <c r="CZ93" i="2" s="1"/>
  <c r="CZ59" i="2" a="1"/>
  <c r="CZ59" i="2" s="1"/>
  <c r="CZ26" i="2" a="1"/>
  <c r="CZ26" i="2" s="1"/>
  <c r="CZ89" i="2" a="1"/>
  <c r="CZ89" i="2" s="1"/>
  <c r="CJ64" i="2" a="1"/>
  <c r="CJ64" i="2" s="1"/>
  <c r="BD71" i="2" a="1"/>
  <c r="BD71" i="2" s="1"/>
  <c r="BD13" i="2" a="1"/>
  <c r="BD13" i="2" s="1"/>
  <c r="BD10" i="2" a="1"/>
  <c r="BD10" i="2" s="1"/>
  <c r="BD104" i="2" a="1"/>
  <c r="BD104" i="2" s="1"/>
  <c r="BD92" i="2" a="1"/>
  <c r="BD92" i="2" s="1"/>
  <c r="BD74" i="2" a="1"/>
  <c r="BD74" i="2" s="1"/>
  <c r="BD28" i="2" a="1"/>
  <c r="BD28" i="2" s="1"/>
  <c r="BD75" i="2" a="1"/>
  <c r="BD75" i="2" s="1"/>
  <c r="CJ19" i="2" a="1"/>
  <c r="CJ19" i="2" s="1"/>
  <c r="CJ117" i="2" a="1"/>
  <c r="CJ117" i="2" s="1"/>
  <c r="CJ94" i="2" a="1"/>
  <c r="CJ94" i="2" s="1"/>
  <c r="DP127" i="2" a="1"/>
  <c r="DP127" i="2" s="1"/>
  <c r="DP117" i="2" a="1"/>
  <c r="DP117" i="2" s="1"/>
  <c r="DP134" i="2" a="1"/>
  <c r="DP134" i="2" s="1"/>
  <c r="DP142" i="2" a="1"/>
  <c r="DP142" i="2" s="1"/>
  <c r="DP116" i="2" a="1"/>
  <c r="DP116" i="2" s="1"/>
  <c r="DP93" i="2" a="1"/>
  <c r="DP93" i="2" s="1"/>
  <c r="ER152" i="2"/>
  <c r="ER153" i="2" s="1"/>
  <c r="EB152" i="2"/>
  <c r="EB153" i="2" s="1"/>
  <c r="CZ102" i="2" a="1"/>
  <c r="CZ102" i="2" s="1"/>
  <c r="CZ60" i="2" a="1"/>
  <c r="CZ60" i="2" s="1"/>
  <c r="CZ118" i="2" a="1"/>
  <c r="CZ118" i="2" s="1"/>
  <c r="CZ71" i="2" a="1"/>
  <c r="CZ71" i="2" s="1"/>
  <c r="CZ125" i="2" a="1"/>
  <c r="CZ125" i="2" s="1"/>
  <c r="CZ20" i="2" a="1"/>
  <c r="CZ20" i="2" s="1"/>
  <c r="CZ25" i="2" a="1"/>
  <c r="CZ25" i="2" s="1"/>
  <c r="CZ22" i="2" a="1"/>
  <c r="CZ22" i="2" s="1"/>
  <c r="BT31" i="2" a="1"/>
  <c r="BT31" i="2" s="1"/>
  <c r="CJ39" i="2" a="1"/>
  <c r="CJ39" i="2" s="1"/>
  <c r="BD4" i="2" a="1"/>
  <c r="BD4" i="2" s="1"/>
  <c r="BE4" i="2" s="1"/>
  <c r="BD41" i="2" a="1"/>
  <c r="BD41" i="2" s="1"/>
  <c r="BD121" i="2" a="1"/>
  <c r="BD121" i="2" s="1"/>
  <c r="BD85" i="2" a="1"/>
  <c r="BD85" i="2" s="1"/>
  <c r="BD89" i="2" a="1"/>
  <c r="BD89" i="2" s="1"/>
  <c r="BD107" i="2" a="1"/>
  <c r="BD107" i="2" s="1"/>
  <c r="BD112" i="2" a="1"/>
  <c r="BD112" i="2" s="1"/>
  <c r="BD84" i="2" a="1"/>
  <c r="BD84" i="2" s="1"/>
  <c r="CJ71" i="2" a="1"/>
  <c r="CJ71" i="2" s="1"/>
  <c r="CJ138" i="2" a="1"/>
  <c r="CJ138" i="2" s="1"/>
  <c r="CJ97" i="2" a="1"/>
  <c r="CJ97" i="2" s="1"/>
  <c r="DP71" i="2" a="1"/>
  <c r="DP71" i="2" s="1"/>
  <c r="DP111" i="2" a="1"/>
  <c r="DP111" i="2" s="1"/>
  <c r="DP72" i="2" a="1"/>
  <c r="DP72" i="2" s="1"/>
  <c r="DP97" i="2" a="1"/>
  <c r="DP97" i="2" s="1"/>
  <c r="DP112" i="2" a="1"/>
  <c r="DP112" i="2" s="1"/>
  <c r="DP136" i="2" a="1"/>
  <c r="DP136" i="2" s="1"/>
  <c r="DP76" i="2" a="1"/>
  <c r="DP76" i="2" s="1"/>
  <c r="CJ69" i="2" a="1"/>
  <c r="CJ69" i="2" s="1"/>
  <c r="EV111" i="2" a="1"/>
  <c r="EV111" i="2" s="1"/>
  <c r="EV129" i="2" a="1"/>
  <c r="EV129" i="2" s="1"/>
  <c r="EV120" i="2" a="1"/>
  <c r="EV120" i="2" s="1"/>
  <c r="EV7" i="2" a="1"/>
  <c r="EV7" i="2" s="1"/>
  <c r="EV126" i="2" a="1"/>
  <c r="EV126" i="2" s="1"/>
  <c r="EV37" i="2" a="1"/>
  <c r="EV37" i="2" s="1"/>
  <c r="EV115" i="2" a="1"/>
  <c r="EV115" i="2" s="1"/>
  <c r="EV47" i="2" a="1"/>
  <c r="EV47" i="2" s="1"/>
  <c r="EV57" i="2" a="1"/>
  <c r="EV57" i="2" s="1"/>
  <c r="EV90" i="2" a="1"/>
  <c r="EV90" i="2" s="1"/>
  <c r="EV114" i="2" a="1"/>
  <c r="EV114" i="2" s="1"/>
  <c r="EV30" i="2" a="1"/>
  <c r="EV30" i="2" s="1"/>
  <c r="EV17" i="2" a="1"/>
  <c r="EV17" i="2" s="1"/>
  <c r="BT85" i="2" a="1"/>
  <c r="BT85" i="2" s="1"/>
  <c r="BT44" i="2" a="1"/>
  <c r="BT44" i="2" s="1"/>
  <c r="BT61" i="2" a="1"/>
  <c r="BT61" i="2" s="1"/>
  <c r="BT148" i="2" a="1"/>
  <c r="BT148" i="2" s="1"/>
  <c r="BT38" i="2" a="1"/>
  <c r="BT38" i="2" s="1"/>
  <c r="BT149" i="2" a="1"/>
  <c r="BT149" i="2" s="1"/>
  <c r="BT71" i="2" a="1"/>
  <c r="BT71" i="2" s="1"/>
  <c r="BT126" i="2" a="1"/>
  <c r="BT126" i="2" s="1"/>
  <c r="BT142" i="2" a="1"/>
  <c r="BT142" i="2" s="1"/>
  <c r="BT4" i="2" a="1"/>
  <c r="BT4" i="2" s="1"/>
  <c r="BU4" i="2" s="1"/>
  <c r="BT22" i="2" a="1"/>
  <c r="BT22" i="2" s="1"/>
  <c r="BT9" i="2" a="1"/>
  <c r="BT9" i="2" s="1"/>
  <c r="BT89" i="2" a="1"/>
  <c r="BT89" i="2" s="1"/>
  <c r="BT10" i="2" a="1"/>
  <c r="BT10" i="2" s="1"/>
  <c r="BT74" i="2" a="1"/>
  <c r="BT74" i="2" s="1"/>
  <c r="BT143" i="2" a="1"/>
  <c r="BT143" i="2" s="1"/>
  <c r="BT130" i="2" a="1"/>
  <c r="BT130" i="2" s="1"/>
  <c r="FH152" i="2"/>
  <c r="FH153" i="2" s="1"/>
  <c r="CZ86" i="2" a="1"/>
  <c r="CZ86" i="2" s="1"/>
  <c r="CZ38" i="2" a="1"/>
  <c r="CZ38" i="2" s="1"/>
  <c r="CZ88" i="2" a="1"/>
  <c r="CZ88" i="2" s="1"/>
  <c r="CZ119" i="2" a="1"/>
  <c r="CZ119" i="2" s="1"/>
  <c r="CZ83" i="2" a="1"/>
  <c r="CZ83" i="2" s="1"/>
  <c r="CZ124" i="2" a="1"/>
  <c r="CZ124" i="2" s="1"/>
  <c r="CZ75" i="2" a="1"/>
  <c r="CZ75" i="2" s="1"/>
  <c r="CZ31" i="2" a="1"/>
  <c r="CZ31" i="2" s="1"/>
  <c r="CZ21" i="2" a="1"/>
  <c r="CZ21" i="2" s="1"/>
  <c r="CJ83" i="2" a="1"/>
  <c r="CJ83" i="2" s="1"/>
  <c r="BD135" i="2" a="1"/>
  <c r="BD135" i="2" s="1"/>
  <c r="BD32" i="2" a="1"/>
  <c r="BD32" i="2" s="1"/>
  <c r="BD8" i="2" a="1"/>
  <c r="BD8" i="2" s="1"/>
  <c r="BD76" i="2" a="1"/>
  <c r="BD76" i="2" s="1"/>
  <c r="BD129" i="2" a="1"/>
  <c r="BD129" i="2" s="1"/>
  <c r="BD128" i="2" a="1"/>
  <c r="BD128" i="2" s="1"/>
  <c r="BD44" i="2" a="1"/>
  <c r="BD44" i="2" s="1"/>
  <c r="BD51" i="2" a="1"/>
  <c r="BD51" i="2" s="1"/>
  <c r="CJ6" i="2" a="1"/>
  <c r="CJ6" i="2" s="1"/>
  <c r="CJ42" i="2" a="1"/>
  <c r="CJ42" i="2" s="1"/>
  <c r="CJ143" i="2" a="1"/>
  <c r="CJ143" i="2" s="1"/>
  <c r="DP114" i="2" a="1"/>
  <c r="DP114" i="2" s="1"/>
  <c r="DP67" i="2" a="1"/>
  <c r="DP67" i="2" s="1"/>
  <c r="DP102" i="2" a="1"/>
  <c r="DP102" i="2" s="1"/>
  <c r="DP44" i="2" a="1"/>
  <c r="DP44" i="2" s="1"/>
  <c r="DP78" i="2" a="1"/>
  <c r="DP78" i="2" s="1"/>
  <c r="DP33" i="2" a="1"/>
  <c r="DP33" i="2" s="1"/>
  <c r="BD90" i="2" a="1"/>
  <c r="BD90" i="2" s="1"/>
  <c r="BD145" i="2" a="1"/>
  <c r="BD145" i="2" s="1"/>
  <c r="BD91" i="2" a="1"/>
  <c r="BD91" i="2" s="1"/>
  <c r="BD118" i="2" a="1"/>
  <c r="BD118" i="2" s="1"/>
  <c r="AN57" i="2" a="1"/>
  <c r="AN57" i="2" s="1"/>
  <c r="AN141" i="2" a="1"/>
  <c r="AN141" i="2" s="1"/>
  <c r="AN89" i="2" a="1"/>
  <c r="AN89" i="2" s="1"/>
  <c r="AN111" i="2" a="1"/>
  <c r="AN111" i="2" s="1"/>
  <c r="CJ149" i="2" a="1"/>
  <c r="CJ149" i="2" s="1"/>
  <c r="CJ120" i="2" a="1"/>
  <c r="CJ120" i="2" s="1"/>
  <c r="CJ23" i="2" a="1"/>
  <c r="CJ23" i="2" s="1"/>
  <c r="CJ136" i="2" a="1"/>
  <c r="CJ136" i="2" s="1"/>
  <c r="CJ82" i="2" a="1"/>
  <c r="CJ82" i="2" s="1"/>
  <c r="CJ26" i="2" a="1"/>
  <c r="CJ26" i="2" s="1"/>
  <c r="CJ109" i="2" a="1"/>
  <c r="CJ109" i="2" s="1"/>
  <c r="CJ33" i="2" a="1"/>
  <c r="CJ33" i="2" s="1"/>
  <c r="CJ135" i="2" a="1"/>
  <c r="CJ135" i="2" s="1"/>
  <c r="CJ70" i="2" a="1"/>
  <c r="CJ70" i="2" s="1"/>
  <c r="CJ15" i="2" a="1"/>
  <c r="CJ15" i="2" s="1"/>
  <c r="CJ112" i="2" a="1"/>
  <c r="CJ112" i="2" s="1"/>
  <c r="CJ137" i="2" a="1"/>
  <c r="CJ137" i="2" s="1"/>
  <c r="CJ21" i="2" a="1"/>
  <c r="CJ21" i="2" s="1"/>
  <c r="CJ105" i="2" a="1"/>
  <c r="CJ105" i="2" s="1"/>
  <c r="CJ17" i="2" a="1"/>
  <c r="CJ17" i="2" s="1"/>
  <c r="BN152" i="2"/>
  <c r="BQ151" i="2"/>
  <c r="DP30" i="2" a="1"/>
  <c r="DP30" i="2" s="1"/>
  <c r="FF152" i="2"/>
  <c r="FI151" i="2"/>
  <c r="DJ152" i="2"/>
  <c r="DM151" i="2"/>
  <c r="EF94" i="2" a="1"/>
  <c r="EF94" i="2" s="1"/>
  <c r="EF88" i="2" a="1"/>
  <c r="EF88" i="2" s="1"/>
  <c r="EF82" i="2" a="1"/>
  <c r="EF82" i="2" s="1"/>
  <c r="EF128" i="2" a="1"/>
  <c r="EF128" i="2" s="1"/>
  <c r="EF89" i="2" a="1"/>
  <c r="EF89" i="2" s="1"/>
  <c r="DP47" i="2" a="1"/>
  <c r="DP47" i="2" s="1"/>
  <c r="DP6" i="2" a="1"/>
  <c r="DP6" i="2" s="1"/>
  <c r="DP66" i="2" a="1"/>
  <c r="DP66" i="2" s="1"/>
  <c r="DP113" i="2" a="1"/>
  <c r="DP113" i="2" s="1"/>
  <c r="DP110" i="2" a="1"/>
  <c r="DP110" i="2" s="1"/>
  <c r="DP84" i="2" a="1"/>
  <c r="DP84" i="2" s="1"/>
  <c r="DP139" i="2" a="1"/>
  <c r="DP139" i="2" s="1"/>
  <c r="CZ151" i="2" a="1"/>
  <c r="CZ151" i="2" s="1"/>
  <c r="BT152" i="2" a="1"/>
  <c r="BT152" i="2" s="1"/>
  <c r="BT79" i="2" a="1"/>
  <c r="BT79" i="2" s="1"/>
  <c r="BT106" i="2" a="1"/>
  <c r="BT106" i="2" s="1"/>
  <c r="BT59" i="2" a="1"/>
  <c r="BT59" i="2" s="1"/>
  <c r="BT87" i="2" a="1"/>
  <c r="BT87" i="2" s="1"/>
  <c r="BT98" i="2" a="1"/>
  <c r="BT98" i="2" s="1"/>
  <c r="BT12" i="2" a="1"/>
  <c r="BT12" i="2" s="1"/>
  <c r="BT50" i="2" a="1"/>
  <c r="BT50" i="2" s="1"/>
  <c r="BT147" i="2" a="1"/>
  <c r="BT147" i="2" s="1"/>
  <c r="BT86" i="2" a="1"/>
  <c r="BT86" i="2" s="1"/>
  <c r="BT5" i="2" a="1"/>
  <c r="BT5" i="2" s="1"/>
  <c r="BT13" i="2" a="1"/>
  <c r="BT13" i="2" s="1"/>
  <c r="BT66" i="2" a="1"/>
  <c r="BT66" i="2" s="1"/>
  <c r="BT16" i="2" a="1"/>
  <c r="BT16" i="2" s="1"/>
  <c r="BT55" i="2" a="1"/>
  <c r="BT55" i="2" s="1"/>
  <c r="BT145" i="2" a="1"/>
  <c r="BT145" i="2" s="1"/>
  <c r="BT93" i="2" a="1"/>
  <c r="BT93" i="2" s="1"/>
  <c r="BT67" i="2" a="1"/>
  <c r="BT67" i="2" s="1"/>
  <c r="BT40" i="2" a="1"/>
  <c r="BT40" i="2" s="1"/>
  <c r="BT135" i="2" a="1"/>
  <c r="BT135" i="2" s="1"/>
  <c r="BT36" i="2" a="1"/>
  <c r="BT36" i="2" s="1"/>
  <c r="BT96" i="2" a="1"/>
  <c r="BT96" i="2" s="1"/>
  <c r="BT60" i="2" a="1"/>
  <c r="BT60" i="2" s="1"/>
  <c r="BT94" i="2" a="1"/>
  <c r="BT94" i="2" s="1"/>
  <c r="BT47" i="2" a="1"/>
  <c r="BT47" i="2" s="1"/>
  <c r="BT17" i="2" a="1"/>
  <c r="BT17" i="2" s="1"/>
  <c r="BT144" i="2" a="1"/>
  <c r="BT144" i="2" s="1"/>
  <c r="BT8" i="2" a="1"/>
  <c r="BT8" i="2" s="1"/>
  <c r="BT42" i="2" a="1"/>
  <c r="BT42" i="2" s="1"/>
  <c r="BT19" i="2" a="1"/>
  <c r="BT19" i="2" s="1"/>
  <c r="BT110" i="2" a="1"/>
  <c r="BT110" i="2" s="1"/>
  <c r="BT140" i="2" a="1"/>
  <c r="BT140" i="2" s="1"/>
  <c r="BT23" i="2" a="1"/>
  <c r="BT23" i="2" s="1"/>
  <c r="BT21" i="2" a="1"/>
  <c r="BT21" i="2" s="1"/>
  <c r="BT28" i="2" a="1"/>
  <c r="BT28" i="2" s="1"/>
  <c r="BT150" i="2" a="1"/>
  <c r="BT150" i="2" s="1"/>
  <c r="BT78" i="2" a="1"/>
  <c r="BT78" i="2" s="1"/>
  <c r="BT117" i="2" a="1"/>
  <c r="BT117" i="2" s="1"/>
  <c r="BT20" i="2" a="1"/>
  <c r="BT20" i="2" s="1"/>
  <c r="BT84" i="2" a="1"/>
  <c r="BT84" i="2" s="1"/>
  <c r="BT136" i="2" a="1"/>
  <c r="BT136" i="2" s="1"/>
  <c r="BT56" i="2" a="1"/>
  <c r="BT56" i="2" s="1"/>
  <c r="BT92" i="2" a="1"/>
  <c r="BT92" i="2" s="1"/>
  <c r="BT131" i="2" a="1"/>
  <c r="BT131" i="2" s="1"/>
  <c r="BT116" i="2" a="1"/>
  <c r="BT116" i="2" s="1"/>
  <c r="BT73" i="2" a="1"/>
  <c r="BT73" i="2" s="1"/>
  <c r="BT29" i="2" a="1"/>
  <c r="BT29" i="2" s="1"/>
  <c r="BT25" i="2" a="1"/>
  <c r="BT25" i="2" s="1"/>
  <c r="BT141" i="2" a="1"/>
  <c r="BT141" i="2" s="1"/>
  <c r="BT127" i="2" a="1"/>
  <c r="BT127" i="2" s="1"/>
  <c r="BT111" i="2" a="1"/>
  <c r="BT111" i="2" s="1"/>
  <c r="BT57" i="2" a="1"/>
  <c r="BT57" i="2" s="1"/>
  <c r="BT39" i="2" a="1"/>
  <c r="BT39" i="2" s="1"/>
  <c r="BT114" i="2" a="1"/>
  <c r="BT114" i="2" s="1"/>
  <c r="BT43" i="2" a="1"/>
  <c r="BT43" i="2" s="1"/>
  <c r="BT109" i="2" a="1"/>
  <c r="BT109" i="2" s="1"/>
  <c r="BT133" i="2" a="1"/>
  <c r="BT133" i="2" s="1"/>
  <c r="BT34" i="2" a="1"/>
  <c r="BT34" i="2" s="1"/>
  <c r="BT107" i="2" a="1"/>
  <c r="BT107" i="2" s="1"/>
  <c r="BT122" i="2" a="1"/>
  <c r="BT122" i="2" s="1"/>
  <c r="BT32" i="2" a="1"/>
  <c r="BT32" i="2" s="1"/>
  <c r="BT33" i="2" a="1"/>
  <c r="BT33" i="2" s="1"/>
  <c r="BT80" i="2" a="1"/>
  <c r="BT80" i="2" s="1"/>
  <c r="BT128" i="2" a="1"/>
  <c r="BT128" i="2" s="1"/>
  <c r="BT119" i="2" a="1"/>
  <c r="BT119" i="2" s="1"/>
  <c r="BT70" i="2" a="1"/>
  <c r="BT70" i="2" s="1"/>
  <c r="BT76" i="2" a="1"/>
  <c r="BT76" i="2" s="1"/>
  <c r="BT95" i="2" a="1"/>
  <c r="BT95" i="2" s="1"/>
  <c r="BT49" i="2" a="1"/>
  <c r="BT49" i="2" s="1"/>
  <c r="BT113" i="2" a="1"/>
  <c r="BT113" i="2" s="1"/>
  <c r="BT105" i="2" a="1"/>
  <c r="BT105" i="2" s="1"/>
  <c r="BT103" i="2" a="1"/>
  <c r="BT103" i="2" s="1"/>
  <c r="CZ79" i="2" a="1"/>
  <c r="CZ79" i="2" s="1"/>
  <c r="CZ37" i="2" a="1"/>
  <c r="CZ37" i="2" s="1"/>
  <c r="CZ145" i="2" a="1"/>
  <c r="CZ145" i="2" s="1"/>
  <c r="CZ104" i="2" a="1"/>
  <c r="CZ104" i="2" s="1"/>
  <c r="CZ27" i="2" a="1"/>
  <c r="CZ27" i="2" s="1"/>
  <c r="CZ95" i="2" a="1"/>
  <c r="CZ95" i="2" s="1"/>
  <c r="CZ43" i="2" a="1"/>
  <c r="CZ43" i="2" s="1"/>
  <c r="CZ97" i="2" a="1"/>
  <c r="CZ97" i="2" s="1"/>
  <c r="BT6" i="2" a="1"/>
  <c r="BT6" i="2" s="1"/>
  <c r="BD55" i="2" a="1"/>
  <c r="BD55" i="2" s="1"/>
  <c r="BD115" i="2" a="1"/>
  <c r="BD115" i="2" s="1"/>
  <c r="BD110" i="2" a="1"/>
  <c r="BD110" i="2" s="1"/>
  <c r="BD39" i="2" a="1"/>
  <c r="BD39" i="2" s="1"/>
  <c r="BD148" i="2" a="1"/>
  <c r="BD148" i="2" s="1"/>
  <c r="BD11" i="2" a="1"/>
  <c r="BD11" i="2" s="1"/>
  <c r="BD6" i="2" a="1"/>
  <c r="BD6" i="2" s="1"/>
  <c r="BD18" i="2" a="1"/>
  <c r="BD18" i="2" s="1"/>
  <c r="BD35" i="2" a="1"/>
  <c r="BD35" i="2" s="1"/>
  <c r="CJ36" i="2" a="1"/>
  <c r="CJ36" i="2" s="1"/>
  <c r="CJ134" i="2" a="1"/>
  <c r="CJ134" i="2" s="1"/>
  <c r="DP53" i="2" a="1"/>
  <c r="DP53" i="2" s="1"/>
  <c r="DP8" i="2" a="1"/>
  <c r="DP8" i="2" s="1"/>
  <c r="DP40" i="2" a="1"/>
  <c r="DP40" i="2" s="1"/>
  <c r="DP104" i="2" a="1"/>
  <c r="DP104" i="2" s="1"/>
  <c r="DP92" i="2" a="1"/>
  <c r="DP92" i="2" s="1"/>
  <c r="DP98" i="2" a="1"/>
  <c r="DP98" i="2" s="1"/>
  <c r="DP146" i="2" a="1"/>
  <c r="DP146" i="2" s="1"/>
  <c r="CJ126" i="2" a="1"/>
  <c r="CJ126" i="2" s="1"/>
  <c r="CZ150" i="2" a="1"/>
  <c r="CZ150" i="2" s="1"/>
  <c r="CZ34" i="2" a="1"/>
  <c r="CZ34" i="2" s="1"/>
  <c r="CZ111" i="2" a="1"/>
  <c r="CZ111" i="2" s="1"/>
  <c r="CZ62" i="2" a="1"/>
  <c r="CZ62" i="2" s="1"/>
  <c r="CZ58" i="2" a="1"/>
  <c r="CZ58" i="2" s="1"/>
  <c r="CZ110" i="2" a="1"/>
  <c r="CZ110" i="2" s="1"/>
  <c r="CZ106" i="2" a="1"/>
  <c r="CZ106" i="2" s="1"/>
  <c r="CZ114" i="2" a="1"/>
  <c r="CZ114" i="2" s="1"/>
  <c r="CZ42" i="2" a="1"/>
  <c r="CZ42" i="2" s="1"/>
  <c r="EV106" i="2" a="1"/>
  <c r="EV106" i="2" s="1"/>
  <c r="CT152" i="2"/>
  <c r="CW151" i="2"/>
  <c r="BD5" i="2" a="1"/>
  <c r="BD5" i="2" s="1"/>
  <c r="BD37" i="2" a="1"/>
  <c r="BD37" i="2" s="1"/>
  <c r="BD12" i="2" a="1"/>
  <c r="BD12" i="2" s="1"/>
  <c r="BD73" i="2" a="1"/>
  <c r="BD73" i="2" s="1"/>
  <c r="BD27" i="2" a="1"/>
  <c r="BD27" i="2" s="1"/>
  <c r="BD111" i="2" a="1"/>
  <c r="BD111" i="2" s="1"/>
  <c r="BD36" i="2" a="1"/>
  <c r="BD36" i="2" s="1"/>
  <c r="BD116" i="2" a="1"/>
  <c r="BD116" i="2" s="1"/>
  <c r="CJ125" i="2" a="1"/>
  <c r="CJ125" i="2" s="1"/>
  <c r="CJ115" i="2" a="1"/>
  <c r="CJ115" i="2" s="1"/>
  <c r="CJ66" i="2" a="1"/>
  <c r="CJ66" i="2" s="1"/>
  <c r="DP55" i="2" a="1"/>
  <c r="DP55" i="2" s="1"/>
  <c r="DP135" i="2" a="1"/>
  <c r="DP135" i="2" s="1"/>
  <c r="DP101" i="2" a="1"/>
  <c r="DP101" i="2" s="1"/>
  <c r="DP64" i="2" a="1"/>
  <c r="DP64" i="2" s="1"/>
  <c r="DP29" i="2" a="1"/>
  <c r="DP29" i="2" s="1"/>
  <c r="DP28" i="2" a="1"/>
  <c r="DP28" i="2" s="1"/>
  <c r="DP81" i="2" a="1"/>
  <c r="DP81" i="2" s="1"/>
  <c r="BT62" i="2" a="1"/>
  <c r="BT62" i="2" s="1"/>
  <c r="EV100" i="2" a="1"/>
  <c r="EV100" i="2" s="1"/>
  <c r="EV15" i="2" a="1"/>
  <c r="EV15" i="2" s="1"/>
  <c r="EV33" i="2" a="1"/>
  <c r="EV33" i="2" s="1"/>
  <c r="EV21" i="2" a="1"/>
  <c r="EV21" i="2" s="1"/>
  <c r="EV36" i="2" a="1"/>
  <c r="EV36" i="2" s="1"/>
  <c r="EV82" i="2" a="1"/>
  <c r="EV82" i="2" s="1"/>
  <c r="EV5" i="2" a="1"/>
  <c r="EV5" i="2" s="1"/>
  <c r="EV108" i="2" a="1"/>
  <c r="EV108" i="2" s="1"/>
  <c r="EV125" i="2" a="1"/>
  <c r="EV125" i="2" s="1"/>
  <c r="EV26" i="2" a="1"/>
  <c r="EV26" i="2" s="1"/>
  <c r="EV53" i="2" a="1"/>
  <c r="EV53" i="2" s="1"/>
  <c r="EV22" i="2" a="1"/>
  <c r="EV22" i="2" s="1"/>
  <c r="EV135" i="2" a="1"/>
  <c r="EV135" i="2" s="1"/>
  <c r="BT139" i="2" a="1"/>
  <c r="BT139" i="2" s="1"/>
  <c r="BT132" i="2" a="1"/>
  <c r="BT132" i="2" s="1"/>
  <c r="BT72" i="2" a="1"/>
  <c r="BT72" i="2" s="1"/>
  <c r="BT123" i="2" a="1"/>
  <c r="BT123" i="2" s="1"/>
  <c r="BT81" i="2" a="1"/>
  <c r="BT81" i="2" s="1"/>
  <c r="BT63" i="2" a="1"/>
  <c r="BT63" i="2" s="1"/>
  <c r="BT138" i="2" a="1"/>
  <c r="BT138" i="2" s="1"/>
  <c r="BT27" i="2" a="1"/>
  <c r="BT27" i="2" s="1"/>
  <c r="BT82" i="2" a="1"/>
  <c r="BT82" i="2" s="1"/>
  <c r="BT88" i="2" a="1"/>
  <c r="BT88" i="2" s="1"/>
  <c r="BT51" i="2" a="1"/>
  <c r="BT51" i="2" s="1"/>
  <c r="BT125" i="2" a="1"/>
  <c r="BT125" i="2" s="1"/>
  <c r="BT102" i="2" a="1"/>
  <c r="BT102" i="2" s="1"/>
  <c r="BT41" i="2" a="1"/>
  <c r="BT41" i="2" s="1"/>
  <c r="BT18" i="2" a="1"/>
  <c r="BT18" i="2" s="1"/>
  <c r="BT65" i="2" a="1"/>
  <c r="BT65" i="2" s="1"/>
  <c r="BT48" i="2" a="1"/>
  <c r="BT48" i="2" s="1"/>
  <c r="CZ29" i="2" a="1"/>
  <c r="CZ29" i="2" s="1"/>
  <c r="CZ121" i="2" a="1"/>
  <c r="CZ121" i="2" s="1"/>
  <c r="CZ9" i="2" a="1"/>
  <c r="CZ9" i="2" s="1"/>
  <c r="CZ70" i="2" a="1"/>
  <c r="CZ70" i="2" s="1"/>
  <c r="CZ123" i="2" a="1"/>
  <c r="CZ123" i="2" s="1"/>
  <c r="CZ5" i="2" a="1"/>
  <c r="CZ5" i="2" s="1"/>
  <c r="CZ78" i="2" a="1"/>
  <c r="CZ78" i="2" s="1"/>
  <c r="CZ115" i="2" a="1"/>
  <c r="CZ115" i="2" s="1"/>
  <c r="AN104" i="2" a="1"/>
  <c r="AN104" i="2" s="1"/>
  <c r="CJ107" i="2" a="1"/>
  <c r="CJ107" i="2" s="1"/>
  <c r="BD102" i="2" a="1"/>
  <c r="BD102" i="2" s="1"/>
  <c r="BD61" i="2" a="1"/>
  <c r="BD61" i="2" s="1"/>
  <c r="BD7" i="2" a="1"/>
  <c r="BD7" i="2" s="1"/>
  <c r="BD95" i="2" a="1"/>
  <c r="BD95" i="2" s="1"/>
  <c r="BD69" i="2" a="1"/>
  <c r="BD69" i="2" s="1"/>
  <c r="BD106" i="2" a="1"/>
  <c r="BD106" i="2" s="1"/>
  <c r="BD108" i="2" a="1"/>
  <c r="BD108" i="2" s="1"/>
  <c r="BD137" i="2" a="1"/>
  <c r="BD137" i="2" s="1"/>
  <c r="CJ40" i="2" a="1"/>
  <c r="CJ40" i="2" s="1"/>
  <c r="CJ59" i="2" a="1"/>
  <c r="CJ59" i="2" s="1"/>
  <c r="CJ63" i="2" a="1"/>
  <c r="CJ63" i="2" s="1"/>
  <c r="DP107" i="2" a="1"/>
  <c r="DP107" i="2" s="1"/>
  <c r="DP49" i="2" a="1"/>
  <c r="DP49" i="2" s="1"/>
  <c r="DP126" i="2" a="1"/>
  <c r="DP126" i="2" s="1"/>
  <c r="DP15" i="2" a="1"/>
  <c r="DP15" i="2" s="1"/>
  <c r="DP119" i="2" a="1"/>
  <c r="DP119" i="2" s="1"/>
  <c r="DP100" i="2" a="1"/>
  <c r="DP100" i="2" s="1"/>
  <c r="BD49" i="2" a="1"/>
  <c r="BD49" i="2" s="1"/>
  <c r="BD143" i="2" a="1"/>
  <c r="BD143" i="2" s="1"/>
  <c r="BD94" i="2" a="1"/>
  <c r="BD94" i="2" s="1"/>
  <c r="BD70" i="2" a="1"/>
  <c r="BD70" i="2" s="1"/>
  <c r="AN110" i="2" a="1"/>
  <c r="AN110" i="2" s="1"/>
  <c r="AN30" i="2" a="1"/>
  <c r="AN30" i="2" s="1"/>
  <c r="AN10" i="2" a="1"/>
  <c r="AN10" i="2" s="1"/>
  <c r="AN135" i="2" a="1"/>
  <c r="AN135" i="2" s="1"/>
  <c r="CJ44" i="2" a="1"/>
  <c r="CJ44" i="2" s="1"/>
  <c r="CJ31" i="2" a="1"/>
  <c r="CJ31" i="2" s="1"/>
  <c r="CJ84" i="2" a="1"/>
  <c r="CJ84" i="2" s="1"/>
  <c r="CJ114" i="2" a="1"/>
  <c r="CJ114" i="2" s="1"/>
  <c r="CJ41" i="2" a="1"/>
  <c r="CJ41" i="2" s="1"/>
  <c r="CJ78" i="2" a="1"/>
  <c r="CJ78" i="2" s="1"/>
  <c r="CJ123" i="2" a="1"/>
  <c r="CJ123" i="2" s="1"/>
  <c r="CJ4" i="2" a="1"/>
  <c r="CJ4" i="2" s="1"/>
  <c r="CK4" i="2" s="1"/>
  <c r="CJ68" i="2" a="1"/>
  <c r="CJ68" i="2" s="1"/>
  <c r="CJ98" i="2" a="1"/>
  <c r="CJ98" i="2" s="1"/>
  <c r="CJ91" i="2" a="1"/>
  <c r="CJ91" i="2" s="1"/>
  <c r="CJ54" i="2" a="1"/>
  <c r="CJ54" i="2" s="1"/>
  <c r="CJ146" i="2" a="1"/>
  <c r="CJ146" i="2" s="1"/>
  <c r="CJ100" i="2" a="1"/>
  <c r="CJ100" i="2" s="1"/>
  <c r="CJ102" i="2" a="1"/>
  <c r="CJ102" i="2" s="1"/>
  <c r="CJ121" i="2" a="1"/>
  <c r="CJ121" i="2" s="1"/>
  <c r="S152" i="2"/>
  <c r="T152" i="2"/>
  <c r="AC153" i="2"/>
  <c r="V153" i="2"/>
  <c r="AD153" i="2"/>
  <c r="W153" i="2"/>
  <c r="X136" i="2" s="1" a="1"/>
  <c r="X136" i="2" s="1"/>
  <c r="N153" i="2"/>
  <c r="F153" i="2"/>
  <c r="G153" i="2"/>
  <c r="H53" i="2" s="1" a="1"/>
  <c r="H53" i="2" s="1"/>
  <c r="M153" i="2"/>
  <c r="Q153" i="2"/>
  <c r="X42" i="2" a="1"/>
  <c r="X42" i="2" s="1"/>
  <c r="AK149" i="2"/>
  <c r="AH150" i="2"/>
  <c r="AJ151" i="2"/>
  <c r="AI150" i="2"/>
  <c r="AI151" i="2" s="1"/>
  <c r="R152" i="2"/>
  <c r="U151" i="2"/>
  <c r="CK5" i="2" l="1"/>
  <c r="CL4" i="2"/>
  <c r="CM4" i="2" s="1"/>
  <c r="CN4" i="2" s="1"/>
  <c r="CT153" i="2"/>
  <c r="CW152" i="2"/>
  <c r="BT153" i="2" a="1"/>
  <c r="BT153" i="2" s="1"/>
  <c r="BT121" i="2" a="1"/>
  <c r="BT121" i="2" s="1"/>
  <c r="BT53" i="2" a="1"/>
  <c r="BT53" i="2" s="1"/>
  <c r="BT91" i="2" a="1"/>
  <c r="BT91" i="2" s="1"/>
  <c r="BT100" i="2" a="1"/>
  <c r="BT100" i="2" s="1"/>
  <c r="EF153" i="2" a="1"/>
  <c r="EF153" i="2" s="1"/>
  <c r="EF37" i="2" a="1"/>
  <c r="EF37" i="2" s="1"/>
  <c r="EF135" i="2" a="1"/>
  <c r="EF135" i="2" s="1"/>
  <c r="EF42" i="2" a="1"/>
  <c r="EF42" i="2" s="1"/>
  <c r="EF115" i="2" a="1"/>
  <c r="EF115" i="2" s="1"/>
  <c r="EF96" i="2" a="1"/>
  <c r="EF96" i="2" s="1"/>
  <c r="EF151" i="2" a="1"/>
  <c r="EF151" i="2" s="1"/>
  <c r="EF50" i="2" a="1"/>
  <c r="EF50" i="2" s="1"/>
  <c r="EF22" i="2" a="1"/>
  <c r="EF22" i="2" s="1"/>
  <c r="EF54" i="2" a="1"/>
  <c r="EF54" i="2" s="1"/>
  <c r="EF32" i="2" a="1"/>
  <c r="EF32" i="2" s="1"/>
  <c r="EF29" i="2" a="1"/>
  <c r="EF29" i="2" s="1"/>
  <c r="EF102" i="2" a="1"/>
  <c r="EF102" i="2" s="1"/>
  <c r="EF70" i="2" a="1"/>
  <c r="EF70" i="2" s="1"/>
  <c r="EF149" i="2" a="1"/>
  <c r="EF149" i="2" s="1"/>
  <c r="EF111" i="2" a="1"/>
  <c r="EF111" i="2" s="1"/>
  <c r="EF56" i="2" a="1"/>
  <c r="EF56" i="2" s="1"/>
  <c r="EF58" i="2" a="1"/>
  <c r="EF58" i="2" s="1"/>
  <c r="CJ29" i="2" a="1"/>
  <c r="CJ29" i="2" s="1"/>
  <c r="CJ141" i="2" a="1"/>
  <c r="CJ141" i="2" s="1"/>
  <c r="CJ144" i="2" a="1"/>
  <c r="CJ144" i="2" s="1"/>
  <c r="CJ38" i="2" a="1"/>
  <c r="CJ38" i="2" s="1"/>
  <c r="AN21" i="2" a="1"/>
  <c r="AN21" i="2" s="1"/>
  <c r="BD38" i="2" a="1"/>
  <c r="BD38" i="2" s="1"/>
  <c r="DP90" i="2" a="1"/>
  <c r="DP90" i="2" s="1"/>
  <c r="CJ47" i="2" a="1"/>
  <c r="CJ47" i="2" s="1"/>
  <c r="BD29" i="2" a="1"/>
  <c r="BD29" i="2" s="1"/>
  <c r="BD65" i="2" a="1"/>
  <c r="BD65" i="2" s="1"/>
  <c r="CZ101" i="2" a="1"/>
  <c r="CZ101" i="2" s="1"/>
  <c r="CZ45" i="2" a="1"/>
  <c r="CZ45" i="2" s="1"/>
  <c r="CU153" i="2"/>
  <c r="BT101" i="2" a="1"/>
  <c r="BT101" i="2" s="1"/>
  <c r="BT69" i="2" a="1"/>
  <c r="BT69" i="2" s="1"/>
  <c r="BT58" i="2" a="1"/>
  <c r="BT58" i="2" s="1"/>
  <c r="BT11" i="2" a="1"/>
  <c r="BT11" i="2" s="1"/>
  <c r="EV101" i="2" a="1"/>
  <c r="EV101" i="2" s="1"/>
  <c r="EV89" i="2" a="1"/>
  <c r="EV89" i="2" s="1"/>
  <c r="EV102" i="2" a="1"/>
  <c r="EV102" i="2" s="1"/>
  <c r="DP14" i="2" a="1"/>
  <c r="DP14" i="2" s="1"/>
  <c r="DP43" i="2" a="1"/>
  <c r="DP43" i="2" s="1"/>
  <c r="CJ127" i="2" a="1"/>
  <c r="CJ127" i="2" s="1"/>
  <c r="BD47" i="2" a="1"/>
  <c r="BD47" i="2" s="1"/>
  <c r="BD25" i="2" a="1"/>
  <c r="BD25" i="2" s="1"/>
  <c r="CZ99" i="2" a="1"/>
  <c r="CZ99" i="2" s="1"/>
  <c r="CZ65" i="2" a="1"/>
  <c r="CZ65" i="2" s="1"/>
  <c r="BO153" i="2"/>
  <c r="EV130" i="2" a="1"/>
  <c r="EV130" i="2" s="1"/>
  <c r="EV147" i="2" a="1"/>
  <c r="EV147" i="2" s="1"/>
  <c r="EV50" i="2" a="1"/>
  <c r="EV50" i="2" s="1"/>
  <c r="EV27" i="2" a="1"/>
  <c r="EV27" i="2" s="1"/>
  <c r="EV87" i="2" a="1"/>
  <c r="EV87" i="2" s="1"/>
  <c r="EV65" i="2" a="1"/>
  <c r="EV65" i="2" s="1"/>
  <c r="EV134" i="2" a="1"/>
  <c r="EV134" i="2" s="1"/>
  <c r="EV28" i="2" a="1"/>
  <c r="EV28" i="2" s="1"/>
  <c r="EV142" i="2" a="1"/>
  <c r="EV142" i="2" s="1"/>
  <c r="EV13" i="2" a="1"/>
  <c r="EV13" i="2" s="1"/>
  <c r="EV23" i="2" a="1"/>
  <c r="EV23" i="2" s="1"/>
  <c r="EV86" i="2" a="1"/>
  <c r="EV86" i="2" s="1"/>
  <c r="EV94" i="2" a="1"/>
  <c r="EV94" i="2" s="1"/>
  <c r="EV91" i="2" a="1"/>
  <c r="EV91" i="2" s="1"/>
  <c r="EV133" i="2" a="1"/>
  <c r="EV133" i="2" s="1"/>
  <c r="EV49" i="2" a="1"/>
  <c r="EV49" i="2" s="1"/>
  <c r="EV123" i="2" a="1"/>
  <c r="EV123" i="2" s="1"/>
  <c r="EV44" i="2" a="1"/>
  <c r="EV44" i="2" s="1"/>
  <c r="EV66" i="2" a="1"/>
  <c r="EV66" i="2" s="1"/>
  <c r="EV31" i="2" a="1"/>
  <c r="EV31" i="2" s="1"/>
  <c r="EV74" i="2" a="1"/>
  <c r="EV74" i="2" s="1"/>
  <c r="EV113" i="2" a="1"/>
  <c r="EV113" i="2" s="1"/>
  <c r="EV124" i="2" a="1"/>
  <c r="EV124" i="2" s="1"/>
  <c r="EC152" i="2"/>
  <c r="DZ153" i="2"/>
  <c r="EC153" i="2" s="1"/>
  <c r="DL153" i="2"/>
  <c r="BT120" i="2" a="1"/>
  <c r="BT120" i="2" s="1"/>
  <c r="DJ153" i="2"/>
  <c r="DM153" i="2" s="1"/>
  <c r="DM152" i="2"/>
  <c r="BD153" i="2" a="1"/>
  <c r="BD153" i="2" s="1"/>
  <c r="BD53" i="2" a="1"/>
  <c r="BD53" i="2" s="1"/>
  <c r="BD63" i="2" a="1"/>
  <c r="BD63" i="2" s="1"/>
  <c r="BD19" i="2" a="1"/>
  <c r="BD19" i="2" s="1"/>
  <c r="BD58" i="2" a="1"/>
  <c r="BD58" i="2" s="1"/>
  <c r="BD22" i="2" a="1"/>
  <c r="BD22" i="2" s="1"/>
  <c r="BD139" i="2" a="1"/>
  <c r="BD139" i="2" s="1"/>
  <c r="BD79" i="2" a="1"/>
  <c r="BD79" i="2" s="1"/>
  <c r="BD62" i="2" a="1"/>
  <c r="BD62" i="2" s="1"/>
  <c r="BD21" i="2" a="1"/>
  <c r="BD21" i="2" s="1"/>
  <c r="BD109" i="2" a="1"/>
  <c r="BD109" i="2" s="1"/>
  <c r="BD141" i="2" a="1"/>
  <c r="BD141" i="2" s="1"/>
  <c r="BD123" i="2" a="1"/>
  <c r="BD123" i="2" s="1"/>
  <c r="BD88" i="2" a="1"/>
  <c r="BD88" i="2" s="1"/>
  <c r="BD24" i="2" a="1"/>
  <c r="BD24" i="2" s="1"/>
  <c r="BD30" i="2" a="1"/>
  <c r="BD30" i="2" s="1"/>
  <c r="BD67" i="2" a="1"/>
  <c r="BD67" i="2" s="1"/>
  <c r="BD60" i="2" a="1"/>
  <c r="BD60" i="2" s="1"/>
  <c r="BD78" i="2" a="1"/>
  <c r="BD78" i="2" s="1"/>
  <c r="BD57" i="2" a="1"/>
  <c r="BD57" i="2" s="1"/>
  <c r="BD81" i="2" a="1"/>
  <c r="BD81" i="2" s="1"/>
  <c r="BD15" i="2" a="1"/>
  <c r="BD15" i="2" s="1"/>
  <c r="BD120" i="2" a="1"/>
  <c r="BD120" i="2" s="1"/>
  <c r="BD130" i="2" a="1"/>
  <c r="BD130" i="2" s="1"/>
  <c r="BD50" i="2" a="1"/>
  <c r="BD50" i="2" s="1"/>
  <c r="BD17" i="2" a="1"/>
  <c r="BD17" i="2" s="1"/>
  <c r="BD119" i="2" a="1"/>
  <c r="BD119" i="2" s="1"/>
  <c r="BD142" i="2" a="1"/>
  <c r="BD142" i="2" s="1"/>
  <c r="BD16" i="2" a="1"/>
  <c r="BD16" i="2" s="1"/>
  <c r="BD99" i="2" a="1"/>
  <c r="BD99" i="2" s="1"/>
  <c r="BD64" i="2" a="1"/>
  <c r="BD64" i="2" s="1"/>
  <c r="BD33" i="2" a="1"/>
  <c r="BD33" i="2" s="1"/>
  <c r="BD83" i="2" a="1"/>
  <c r="BD83" i="2" s="1"/>
  <c r="BD46" i="2" a="1"/>
  <c r="BD46" i="2" s="1"/>
  <c r="BD140" i="2" a="1"/>
  <c r="BD140" i="2" s="1"/>
  <c r="BD97" i="2" a="1"/>
  <c r="BD97" i="2" s="1"/>
  <c r="BD52" i="2" a="1"/>
  <c r="BD52" i="2" s="1"/>
  <c r="BD59" i="2" a="1"/>
  <c r="BD59" i="2" s="1"/>
  <c r="CJ153" i="2" a="1"/>
  <c r="CJ153" i="2" s="1"/>
  <c r="CJ116" i="2" a="1"/>
  <c r="CJ116" i="2" s="1"/>
  <c r="CJ113" i="2" a="1"/>
  <c r="CJ113" i="2" s="1"/>
  <c r="CJ73" i="2" a="1"/>
  <c r="CJ73" i="2" s="1"/>
  <c r="CJ111" i="2" a="1"/>
  <c r="CJ111" i="2" s="1"/>
  <c r="CJ101" i="2" a="1"/>
  <c r="CJ101" i="2" s="1"/>
  <c r="CJ103" i="2" a="1"/>
  <c r="CJ103" i="2" s="1"/>
  <c r="CJ89" i="2" a="1"/>
  <c r="CJ89" i="2" s="1"/>
  <c r="CJ93" i="2" a="1"/>
  <c r="CJ93" i="2" s="1"/>
  <c r="CJ32" i="2" a="1"/>
  <c r="CJ32" i="2" s="1"/>
  <c r="CJ48" i="2" a="1"/>
  <c r="CJ48" i="2" s="1"/>
  <c r="CJ81" i="2" a="1"/>
  <c r="CJ81" i="2" s="1"/>
  <c r="CJ12" i="2" a="1"/>
  <c r="CJ12" i="2" s="1"/>
  <c r="CJ28" i="2" a="1"/>
  <c r="CJ28" i="2" s="1"/>
  <c r="CJ67" i="2" a="1"/>
  <c r="CJ67" i="2" s="1"/>
  <c r="CJ22" i="2" a="1"/>
  <c r="CJ22" i="2" s="1"/>
  <c r="CJ145" i="2" a="1"/>
  <c r="CJ145" i="2" s="1"/>
  <c r="CJ118" i="2" a="1"/>
  <c r="CJ118" i="2" s="1"/>
  <c r="CJ34" i="2" a="1"/>
  <c r="CJ34" i="2" s="1"/>
  <c r="DP153" i="2" a="1"/>
  <c r="DP153" i="2" s="1"/>
  <c r="DP87" i="2" a="1"/>
  <c r="DP87" i="2" s="1"/>
  <c r="DP4" i="2" a="1"/>
  <c r="DP4" i="2" s="1"/>
  <c r="DQ4" i="2" s="1"/>
  <c r="DP20" i="2" a="1"/>
  <c r="DP20" i="2" s="1"/>
  <c r="DP95" i="2" a="1"/>
  <c r="DP95" i="2" s="1"/>
  <c r="DP99" i="2" a="1"/>
  <c r="DP99" i="2" s="1"/>
  <c r="DP41" i="2" a="1"/>
  <c r="DP41" i="2" s="1"/>
  <c r="DP65" i="2" a="1"/>
  <c r="DP65" i="2" s="1"/>
  <c r="DP109" i="2" a="1"/>
  <c r="DP109" i="2" s="1"/>
  <c r="DP151" i="2" a="1"/>
  <c r="DP151" i="2" s="1"/>
  <c r="DP108" i="2" a="1"/>
  <c r="DP108" i="2" s="1"/>
  <c r="DP37" i="2" a="1"/>
  <c r="DP37" i="2" s="1"/>
  <c r="DP130" i="2" a="1"/>
  <c r="DP130" i="2" s="1"/>
  <c r="DP143" i="2" a="1"/>
  <c r="DP143" i="2" s="1"/>
  <c r="DP34" i="2" a="1"/>
  <c r="DP34" i="2" s="1"/>
  <c r="DP96" i="2" a="1"/>
  <c r="DP96" i="2" s="1"/>
  <c r="DP18" i="2" a="1"/>
  <c r="DP18" i="2" s="1"/>
  <c r="DP22" i="2" a="1"/>
  <c r="DP22" i="2" s="1"/>
  <c r="DP125" i="2" a="1"/>
  <c r="DP125" i="2" s="1"/>
  <c r="DP57" i="2" a="1"/>
  <c r="DP57" i="2" s="1"/>
  <c r="DP83" i="2" a="1"/>
  <c r="DP83" i="2" s="1"/>
  <c r="DP61" i="2" a="1"/>
  <c r="DP61" i="2" s="1"/>
  <c r="DP131" i="2" a="1"/>
  <c r="DP131" i="2" s="1"/>
  <c r="DP115" i="2" a="1"/>
  <c r="DP115" i="2" s="1"/>
  <c r="DP54" i="2" a="1"/>
  <c r="DP54" i="2" s="1"/>
  <c r="DP120" i="2" a="1"/>
  <c r="DP120" i="2" s="1"/>
  <c r="DP88" i="2" a="1"/>
  <c r="DP88" i="2" s="1"/>
  <c r="DP147" i="2" a="1"/>
  <c r="DP147" i="2" s="1"/>
  <c r="DP89" i="2" a="1"/>
  <c r="DP89" i="2" s="1"/>
  <c r="DP56" i="2" a="1"/>
  <c r="DP56" i="2" s="1"/>
  <c r="DP118" i="2" a="1"/>
  <c r="DP118" i="2" s="1"/>
  <c r="DP60" i="2" a="1"/>
  <c r="DP60" i="2" s="1"/>
  <c r="DP122" i="2" a="1"/>
  <c r="DP122" i="2" s="1"/>
  <c r="DP23" i="2" a="1"/>
  <c r="DP23" i="2" s="1"/>
  <c r="DP91" i="2" a="1"/>
  <c r="DP91" i="2" s="1"/>
  <c r="DP45" i="2" a="1"/>
  <c r="DP45" i="2" s="1"/>
  <c r="DP68" i="2" a="1"/>
  <c r="DP68" i="2" s="1"/>
  <c r="DP21" i="2" a="1"/>
  <c r="DP21" i="2" s="1"/>
  <c r="DP13" i="2" a="1"/>
  <c r="DP13" i="2" s="1"/>
  <c r="DP42" i="2" a="1"/>
  <c r="DP42" i="2" s="1"/>
  <c r="DP69" i="2" a="1"/>
  <c r="DP69" i="2" s="1"/>
  <c r="DP36" i="2" a="1"/>
  <c r="DP36" i="2" s="1"/>
  <c r="DP145" i="2" a="1"/>
  <c r="DP145" i="2" s="1"/>
  <c r="DP149" i="2" a="1"/>
  <c r="DP149" i="2" s="1"/>
  <c r="DP105" i="2" a="1"/>
  <c r="DP105" i="2" s="1"/>
  <c r="DP129" i="2" a="1"/>
  <c r="DP129" i="2" s="1"/>
  <c r="DP79" i="2" a="1"/>
  <c r="DP79" i="2" s="1"/>
  <c r="DP133" i="2" a="1"/>
  <c r="DP133" i="2" s="1"/>
  <c r="DP9" i="2" a="1"/>
  <c r="DP9" i="2" s="1"/>
  <c r="DP17" i="2" a="1"/>
  <c r="DP17" i="2" s="1"/>
  <c r="DP103" i="2" a="1"/>
  <c r="DP103" i="2" s="1"/>
  <c r="DP75" i="2" a="1"/>
  <c r="DP75" i="2" s="1"/>
  <c r="DP12" i="2" a="1"/>
  <c r="DP12" i="2" s="1"/>
  <c r="CJ119" i="2" a="1"/>
  <c r="CJ119" i="2" s="1"/>
  <c r="CJ80" i="2" a="1"/>
  <c r="CJ80" i="2" s="1"/>
  <c r="CJ96" i="2" a="1"/>
  <c r="CJ96" i="2" s="1"/>
  <c r="CJ46" i="2" a="1"/>
  <c r="CJ46" i="2" s="1"/>
  <c r="AN126" i="2" a="1"/>
  <c r="AN126" i="2" s="1"/>
  <c r="BD149" i="2" a="1"/>
  <c r="BD149" i="2" s="1"/>
  <c r="CJ90" i="2" a="1"/>
  <c r="CJ90" i="2" s="1"/>
  <c r="DP106" i="2" a="1"/>
  <c r="DP106" i="2" s="1"/>
  <c r="CJ8" i="2" a="1"/>
  <c r="CJ8" i="2" s="1"/>
  <c r="BD20" i="2" a="1"/>
  <c r="BD20" i="2" s="1"/>
  <c r="BD144" i="2" a="1"/>
  <c r="BD144" i="2" s="1"/>
  <c r="CZ140" i="2" a="1"/>
  <c r="CZ140" i="2" s="1"/>
  <c r="CZ135" i="2" a="1"/>
  <c r="CZ135" i="2" s="1"/>
  <c r="BT151" i="2" a="1"/>
  <c r="BT151" i="2" s="1"/>
  <c r="BT75" i="2" a="1"/>
  <c r="BT75" i="2" s="1"/>
  <c r="BT15" i="2" a="1"/>
  <c r="BT15" i="2" s="1"/>
  <c r="BT97" i="2" a="1"/>
  <c r="BT97" i="2" s="1"/>
  <c r="BT137" i="2" a="1"/>
  <c r="BT137" i="2" s="1"/>
  <c r="EV12" i="2" a="1"/>
  <c r="EV12" i="2" s="1"/>
  <c r="EV118" i="2" a="1"/>
  <c r="EV118" i="2" s="1"/>
  <c r="EV59" i="2" a="1"/>
  <c r="EV59" i="2" s="1"/>
  <c r="DP10" i="2" a="1"/>
  <c r="DP10" i="2" s="1"/>
  <c r="DP144" i="2" a="1"/>
  <c r="DP144" i="2" s="1"/>
  <c r="CJ88" i="2" a="1"/>
  <c r="CJ88" i="2" s="1"/>
  <c r="BD127" i="2" a="1"/>
  <c r="BD127" i="2" s="1"/>
  <c r="BD23" i="2" a="1"/>
  <c r="BD23" i="2" s="1"/>
  <c r="CZ100" i="2" a="1"/>
  <c r="CZ100" i="2" s="1"/>
  <c r="CZ98" i="2" a="1"/>
  <c r="CZ98" i="2" s="1"/>
  <c r="CJ11" i="2" a="1"/>
  <c r="CJ11" i="2" s="1"/>
  <c r="DP73" i="2" a="1"/>
  <c r="DP73" i="2" s="1"/>
  <c r="CJ76" i="2" a="1"/>
  <c r="CJ76" i="2" s="1"/>
  <c r="BD31" i="2" a="1"/>
  <c r="BD31" i="2" s="1"/>
  <c r="EV52" i="2" a="1"/>
  <c r="EV52" i="2" s="1"/>
  <c r="EV99" i="2" a="1"/>
  <c r="EV99" i="2" s="1"/>
  <c r="EV54" i="2" a="1"/>
  <c r="EV54" i="2" s="1"/>
  <c r="EV42" i="2" a="1"/>
  <c r="EV42" i="2" s="1"/>
  <c r="EV63" i="2" a="1"/>
  <c r="EV63" i="2" s="1"/>
  <c r="EV81" i="2" a="1"/>
  <c r="EV81" i="2" s="1"/>
  <c r="EV70" i="2" a="1"/>
  <c r="EV70" i="2" s="1"/>
  <c r="EV103" i="2" a="1"/>
  <c r="EV103" i="2" s="1"/>
  <c r="EV68" i="2" a="1"/>
  <c r="EV68" i="2" s="1"/>
  <c r="EV132" i="2" a="1"/>
  <c r="EV132" i="2" s="1"/>
  <c r="EV51" i="2" a="1"/>
  <c r="EV51" i="2" s="1"/>
  <c r="EV80" i="2" a="1"/>
  <c r="EV80" i="2" s="1"/>
  <c r="EV105" i="2" a="1"/>
  <c r="EV105" i="2" s="1"/>
  <c r="EV122" i="2" a="1"/>
  <c r="EV122" i="2" s="1"/>
  <c r="EV75" i="2" a="1"/>
  <c r="EV75" i="2" s="1"/>
  <c r="EV20" i="2" a="1"/>
  <c r="EV20" i="2" s="1"/>
  <c r="EV146" i="2" a="1"/>
  <c r="EV146" i="2" s="1"/>
  <c r="EV131" i="2" a="1"/>
  <c r="EV131" i="2" s="1"/>
  <c r="EV128" i="2" a="1"/>
  <c r="EV128" i="2" s="1"/>
  <c r="EV83" i="2" a="1"/>
  <c r="EV83" i="2" s="1"/>
  <c r="EV67" i="2" a="1"/>
  <c r="EV67" i="2" s="1"/>
  <c r="EV16" i="2" a="1"/>
  <c r="EV16" i="2" s="1"/>
  <c r="EV40" i="2" a="1"/>
  <c r="EV40" i="2" s="1"/>
  <c r="BD151" i="2" a="1"/>
  <c r="BD151" i="2" s="1"/>
  <c r="BQ152" i="2"/>
  <c r="BN153" i="2"/>
  <c r="BQ153" i="2" s="1"/>
  <c r="BU5" i="2"/>
  <c r="BV4" i="2"/>
  <c r="BW4" i="2" s="1"/>
  <c r="BX4" i="2" s="1"/>
  <c r="AO5" i="2"/>
  <c r="AP4" i="2"/>
  <c r="AQ4" i="2" s="1"/>
  <c r="AR4" i="2" s="1"/>
  <c r="ES152" i="2"/>
  <c r="EP153" i="2"/>
  <c r="ES153" i="2" s="1"/>
  <c r="EF87" i="2" a="1"/>
  <c r="EF87" i="2" s="1"/>
  <c r="EF152" i="2" a="1"/>
  <c r="EF152" i="2" s="1"/>
  <c r="EV153" i="2" a="1"/>
  <c r="EV153" i="2" s="1"/>
  <c r="EV109" i="2" a="1"/>
  <c r="EV109" i="2" s="1"/>
  <c r="CJ106" i="2" a="1"/>
  <c r="CJ106" i="2" s="1"/>
  <c r="CJ140" i="2" a="1"/>
  <c r="CJ140" i="2" s="1"/>
  <c r="CJ50" i="2" a="1"/>
  <c r="CJ50" i="2" s="1"/>
  <c r="CJ104" i="2" a="1"/>
  <c r="CJ104" i="2" s="1"/>
  <c r="AN98" i="2" a="1"/>
  <c r="AN98" i="2" s="1"/>
  <c r="BD40" i="2" a="1"/>
  <c r="BD40" i="2" s="1"/>
  <c r="DP137" i="2" a="1"/>
  <c r="DP137" i="2" s="1"/>
  <c r="DP74" i="2" a="1"/>
  <c r="DP74" i="2" s="1"/>
  <c r="BD80" i="2" a="1"/>
  <c r="BD80" i="2" s="1"/>
  <c r="BD122" i="2" a="1"/>
  <c r="BD122" i="2" s="1"/>
  <c r="BD150" i="2" a="1"/>
  <c r="BD150" i="2" s="1"/>
  <c r="CZ61" i="2" a="1"/>
  <c r="CZ61" i="2" s="1"/>
  <c r="CZ17" i="2" a="1"/>
  <c r="CZ17" i="2" s="1"/>
  <c r="BT146" i="2" a="1"/>
  <c r="BT146" i="2" s="1"/>
  <c r="BT30" i="2" a="1"/>
  <c r="BT30" i="2" s="1"/>
  <c r="BT104" i="2" a="1"/>
  <c r="BT104" i="2" s="1"/>
  <c r="BT54" i="2" a="1"/>
  <c r="BT54" i="2" s="1"/>
  <c r="EV151" i="2" a="1"/>
  <c r="EV151" i="2" s="1"/>
  <c r="EV144" i="2" a="1"/>
  <c r="EV144" i="2" s="1"/>
  <c r="EV64" i="2" a="1"/>
  <c r="EV64" i="2" s="1"/>
  <c r="EV143" i="2" a="1"/>
  <c r="EV143" i="2" s="1"/>
  <c r="DP31" i="2" a="1"/>
  <c r="DP31" i="2" s="1"/>
  <c r="DP39" i="2" a="1"/>
  <c r="DP39" i="2" s="1"/>
  <c r="BD113" i="2" a="1"/>
  <c r="BD113" i="2" s="1"/>
  <c r="BD86" i="2" a="1"/>
  <c r="BD86" i="2" s="1"/>
  <c r="CZ143" i="2" a="1"/>
  <c r="CZ143" i="2" s="1"/>
  <c r="CZ91" i="2" a="1"/>
  <c r="CZ91" i="2" s="1"/>
  <c r="DP38" i="2" a="1"/>
  <c r="DP38" i="2" s="1"/>
  <c r="DP128" i="2" a="1"/>
  <c r="DP128" i="2" s="1"/>
  <c r="CJ142" i="2" a="1"/>
  <c r="CJ142" i="2" s="1"/>
  <c r="BD133" i="2" a="1"/>
  <c r="BD133" i="2" s="1"/>
  <c r="EV88" i="2" a="1"/>
  <c r="EV88" i="2" s="1"/>
  <c r="EV32" i="2" a="1"/>
  <c r="EV32" i="2" s="1"/>
  <c r="EV145" i="2" a="1"/>
  <c r="EV145" i="2" s="1"/>
  <c r="EV138" i="2" a="1"/>
  <c r="EV138" i="2" s="1"/>
  <c r="EV141" i="2" a="1"/>
  <c r="EV141" i="2" s="1"/>
  <c r="EV43" i="2" a="1"/>
  <c r="EV43" i="2" s="1"/>
  <c r="EV11" i="2" a="1"/>
  <c r="EV11" i="2" s="1"/>
  <c r="EV136" i="2" a="1"/>
  <c r="EV136" i="2" s="1"/>
  <c r="EV97" i="2" a="1"/>
  <c r="EV97" i="2" s="1"/>
  <c r="EV85" i="2" a="1"/>
  <c r="EV85" i="2" s="1"/>
  <c r="EV14" i="2" a="1"/>
  <c r="EV14" i="2" s="1"/>
  <c r="EV119" i="2" a="1"/>
  <c r="EV119" i="2" s="1"/>
  <c r="EV38" i="2" a="1"/>
  <c r="EV38" i="2" s="1"/>
  <c r="EV140" i="2" a="1"/>
  <c r="EV140" i="2" s="1"/>
  <c r="EV46" i="2" a="1"/>
  <c r="EV46" i="2" s="1"/>
  <c r="EV55" i="2" a="1"/>
  <c r="EV55" i="2" s="1"/>
  <c r="EV104" i="2" a="1"/>
  <c r="EV104" i="2" s="1"/>
  <c r="EV69" i="2" a="1"/>
  <c r="EV69" i="2" s="1"/>
  <c r="EV25" i="2" a="1"/>
  <c r="EV25" i="2" s="1"/>
  <c r="EV139" i="2" a="1"/>
  <c r="EV139" i="2" s="1"/>
  <c r="EV79" i="2" a="1"/>
  <c r="EV79" i="2" s="1"/>
  <c r="EV78" i="2" a="1"/>
  <c r="EV78" i="2" s="1"/>
  <c r="EV45" i="2" a="1"/>
  <c r="EV45" i="2" s="1"/>
  <c r="EV152" i="2" a="1"/>
  <c r="EV152" i="2" s="1"/>
  <c r="AN151" i="2" a="1"/>
  <c r="AN151" i="2" s="1"/>
  <c r="DP123" i="2" a="1"/>
  <c r="DP123" i="2" s="1"/>
  <c r="FF153" i="2"/>
  <c r="FI153" i="2" s="1"/>
  <c r="FI152" i="2"/>
  <c r="BE5" i="2"/>
  <c r="BF4" i="2"/>
  <c r="BG4" i="2" s="1"/>
  <c r="BH4" i="2" s="1"/>
  <c r="EG5" i="2"/>
  <c r="EH4" i="2"/>
  <c r="EI4" i="2" s="1"/>
  <c r="EJ4" i="2" s="1"/>
  <c r="CZ153" i="2" a="1"/>
  <c r="CZ153" i="2" s="1"/>
  <c r="CZ63" i="2" a="1"/>
  <c r="CZ63" i="2" s="1"/>
  <c r="CZ112" i="2" a="1"/>
  <c r="CZ112" i="2" s="1"/>
  <c r="CZ90" i="2" a="1"/>
  <c r="CZ90" i="2" s="1"/>
  <c r="CZ15" i="2" a="1"/>
  <c r="CZ15" i="2" s="1"/>
  <c r="CZ87" i="2" a="1"/>
  <c r="CZ87" i="2" s="1"/>
  <c r="CZ105" i="2" a="1"/>
  <c r="CZ105" i="2" s="1"/>
  <c r="CZ47" i="2" a="1"/>
  <c r="CZ47" i="2" s="1"/>
  <c r="CZ122" i="2" a="1"/>
  <c r="CZ122" i="2" s="1"/>
  <c r="CZ40" i="2" a="1"/>
  <c r="CZ40" i="2" s="1"/>
  <c r="CZ113" i="2" a="1"/>
  <c r="CZ113" i="2" s="1"/>
  <c r="CZ64" i="2" a="1"/>
  <c r="CZ64" i="2" s="1"/>
  <c r="CZ72" i="2" a="1"/>
  <c r="CZ72" i="2" s="1"/>
  <c r="CZ108" i="2" a="1"/>
  <c r="CZ108" i="2" s="1"/>
  <c r="CZ4" i="2" a="1"/>
  <c r="CZ4" i="2" s="1"/>
  <c r="DA4" i="2" s="1"/>
  <c r="CZ131" i="2" a="1"/>
  <c r="CZ131" i="2" s="1"/>
  <c r="CZ142" i="2" a="1"/>
  <c r="CZ142" i="2" s="1"/>
  <c r="CZ53" i="2" a="1"/>
  <c r="CZ53" i="2" s="1"/>
  <c r="CZ24" i="2" a="1"/>
  <c r="CZ24" i="2" s="1"/>
  <c r="CZ41" i="2" a="1"/>
  <c r="CZ41" i="2" s="1"/>
  <c r="CZ44" i="2" a="1"/>
  <c r="CZ44" i="2" s="1"/>
  <c r="CZ103" i="2" a="1"/>
  <c r="CZ103" i="2" s="1"/>
  <c r="CZ133" i="2" a="1"/>
  <c r="CZ133" i="2" s="1"/>
  <c r="CZ149" i="2" a="1"/>
  <c r="CZ149" i="2" s="1"/>
  <c r="CZ28" i="2" a="1"/>
  <c r="CZ28" i="2" s="1"/>
  <c r="CZ128" i="2" a="1"/>
  <c r="CZ128" i="2" s="1"/>
  <c r="CZ77" i="2" a="1"/>
  <c r="CZ77" i="2" s="1"/>
  <c r="CZ134" i="2" a="1"/>
  <c r="CZ134" i="2" s="1"/>
  <c r="CZ12" i="2" a="1"/>
  <c r="CZ12" i="2" s="1"/>
  <c r="CZ94" i="2" a="1"/>
  <c r="CZ94" i="2" s="1"/>
  <c r="CZ96" i="2" a="1"/>
  <c r="CZ96" i="2" s="1"/>
  <c r="CZ57" i="2" a="1"/>
  <c r="CZ57" i="2" s="1"/>
  <c r="CZ85" i="2" a="1"/>
  <c r="CZ85" i="2" s="1"/>
  <c r="CZ23" i="2" a="1"/>
  <c r="CZ23" i="2" s="1"/>
  <c r="CZ7" i="2" a="1"/>
  <c r="CZ7" i="2" s="1"/>
  <c r="CZ69" i="2" a="1"/>
  <c r="CZ69" i="2" s="1"/>
  <c r="CZ33" i="2" a="1"/>
  <c r="CZ33" i="2" s="1"/>
  <c r="CZ146" i="2" a="1"/>
  <c r="CZ146" i="2" s="1"/>
  <c r="CZ137" i="2" a="1"/>
  <c r="CZ137" i="2" s="1"/>
  <c r="CZ80" i="2" a="1"/>
  <c r="CZ80" i="2" s="1"/>
  <c r="CZ54" i="2" a="1"/>
  <c r="CZ54" i="2" s="1"/>
  <c r="CZ136" i="2" a="1"/>
  <c r="CZ136" i="2" s="1"/>
  <c r="CZ144" i="2" a="1"/>
  <c r="CZ144" i="2" s="1"/>
  <c r="CZ84" i="2" a="1"/>
  <c r="CZ84" i="2" s="1"/>
  <c r="CZ120" i="2" a="1"/>
  <c r="CZ120" i="2" s="1"/>
  <c r="CZ81" i="2" a="1"/>
  <c r="CZ81" i="2" s="1"/>
  <c r="CZ52" i="2" a="1"/>
  <c r="CZ52" i="2" s="1"/>
  <c r="CZ117" i="2" a="1"/>
  <c r="CZ117" i="2" s="1"/>
  <c r="AN32" i="2" a="1"/>
  <c r="AN32" i="2" s="1"/>
  <c r="BD100" i="2" a="1"/>
  <c r="BD100" i="2" s="1"/>
  <c r="DP63" i="2" a="1"/>
  <c r="DP63" i="2" s="1"/>
  <c r="DP148" i="2" a="1"/>
  <c r="DP148" i="2" s="1"/>
  <c r="BD87" i="2" a="1"/>
  <c r="BD87" i="2" s="1"/>
  <c r="BD68" i="2" a="1"/>
  <c r="BD68" i="2" s="1"/>
  <c r="EV92" i="2" a="1"/>
  <c r="EV92" i="2" s="1"/>
  <c r="CZ35" i="2" a="1"/>
  <c r="CZ35" i="2" s="1"/>
  <c r="CZ107" i="2" a="1"/>
  <c r="CZ107" i="2" s="1"/>
  <c r="BT99" i="2" a="1"/>
  <c r="BT99" i="2" s="1"/>
  <c r="BT7" i="2" a="1"/>
  <c r="BT7" i="2" s="1"/>
  <c r="BT118" i="2" a="1"/>
  <c r="BT118" i="2" s="1"/>
  <c r="BT112" i="2" a="1"/>
  <c r="BT112" i="2" s="1"/>
  <c r="EV41" i="2" a="1"/>
  <c r="EV41" i="2" s="1"/>
  <c r="EV121" i="2" a="1"/>
  <c r="EV121" i="2" s="1"/>
  <c r="EV73" i="2" a="1"/>
  <c r="EV73" i="2" s="1"/>
  <c r="CJ58" i="2" a="1"/>
  <c r="CJ58" i="2" s="1"/>
  <c r="DP50" i="2" a="1"/>
  <c r="DP50" i="2" s="1"/>
  <c r="DP150" i="2" a="1"/>
  <c r="DP150" i="2" s="1"/>
  <c r="BD48" i="2" a="1"/>
  <c r="BD48" i="2" s="1"/>
  <c r="BD34" i="2" a="1"/>
  <c r="BD34" i="2" s="1"/>
  <c r="CZ138" i="2" a="1"/>
  <c r="CZ138" i="2" s="1"/>
  <c r="CZ116" i="2" a="1"/>
  <c r="CZ116" i="2" s="1"/>
  <c r="CZ11" i="2" a="1"/>
  <c r="CZ11" i="2" s="1"/>
  <c r="DP59" i="2" a="1"/>
  <c r="DP59" i="2" s="1"/>
  <c r="DP77" i="2" a="1"/>
  <c r="DP77" i="2" s="1"/>
  <c r="BD98" i="2" a="1"/>
  <c r="BD98" i="2" s="1"/>
  <c r="CD153" i="2"/>
  <c r="CG153" i="2" s="1"/>
  <c r="CG152" i="2"/>
  <c r="EV48" i="2" a="1"/>
  <c r="EV48" i="2" s="1"/>
  <c r="EV127" i="2" a="1"/>
  <c r="EV127" i="2" s="1"/>
  <c r="EV8" i="2" a="1"/>
  <c r="EV8" i="2" s="1"/>
  <c r="EV29" i="2" a="1"/>
  <c r="EV29" i="2" s="1"/>
  <c r="EV76" i="2" a="1"/>
  <c r="EV76" i="2" s="1"/>
  <c r="EV150" i="2" a="1"/>
  <c r="EV150" i="2" s="1"/>
  <c r="EV84" i="2" a="1"/>
  <c r="EV84" i="2" s="1"/>
  <c r="EV24" i="2" a="1"/>
  <c r="EV24" i="2" s="1"/>
  <c r="EV34" i="2" a="1"/>
  <c r="EV34" i="2" s="1"/>
  <c r="EV93" i="2" a="1"/>
  <c r="EV93" i="2" s="1"/>
  <c r="EV112" i="2" a="1"/>
  <c r="EV112" i="2" s="1"/>
  <c r="EV149" i="2" a="1"/>
  <c r="EV149" i="2" s="1"/>
  <c r="EV56" i="2" a="1"/>
  <c r="EV56" i="2" s="1"/>
  <c r="EV39" i="2" a="1"/>
  <c r="EV39" i="2" s="1"/>
  <c r="EV61" i="2" a="1"/>
  <c r="EV61" i="2" s="1"/>
  <c r="EV18" i="2" a="1"/>
  <c r="EV18" i="2" s="1"/>
  <c r="EV4" i="2" a="1"/>
  <c r="EV4" i="2" s="1"/>
  <c r="EW4" i="2" s="1"/>
  <c r="EV60" i="2" a="1"/>
  <c r="EV60" i="2" s="1"/>
  <c r="EV9" i="2" a="1"/>
  <c r="EV9" i="2" s="1"/>
  <c r="EV19" i="2" a="1"/>
  <c r="EV19" i="2" s="1"/>
  <c r="EV137" i="2" a="1"/>
  <c r="EV137" i="2" s="1"/>
  <c r="EV95" i="2" a="1"/>
  <c r="EV95" i="2" s="1"/>
  <c r="EV10" i="2" a="1"/>
  <c r="EV10" i="2" s="1"/>
  <c r="EF53" i="2" a="1"/>
  <c r="EF53" i="2" s="1"/>
  <c r="CJ151" i="2" a="1"/>
  <c r="CJ151" i="2" s="1"/>
  <c r="CZ51" i="2" a="1"/>
  <c r="CZ51" i="2" s="1"/>
  <c r="X105" i="2" a="1"/>
  <c r="X105" i="2" s="1"/>
  <c r="X18" i="2" a="1"/>
  <c r="X18" i="2" s="1"/>
  <c r="X106" i="2" a="1"/>
  <c r="X106" i="2" s="1"/>
  <c r="X131" i="2" a="1"/>
  <c r="X131" i="2" s="1"/>
  <c r="X103" i="2" a="1"/>
  <c r="X103" i="2" s="1"/>
  <c r="X126" i="2" a="1"/>
  <c r="X126" i="2" s="1"/>
  <c r="X72" i="2" a="1"/>
  <c r="X72" i="2" s="1"/>
  <c r="X111" i="2" a="1"/>
  <c r="X111" i="2" s="1"/>
  <c r="X90" i="2" a="1"/>
  <c r="X90" i="2" s="1"/>
  <c r="X101" i="2" a="1"/>
  <c r="X101" i="2" s="1"/>
  <c r="X127" i="2" a="1"/>
  <c r="X127" i="2" s="1"/>
  <c r="X76" i="2" a="1"/>
  <c r="X76" i="2" s="1"/>
  <c r="X141" i="2" a="1"/>
  <c r="X141" i="2" s="1"/>
  <c r="X77" i="2" a="1"/>
  <c r="X77" i="2" s="1"/>
  <c r="X137" i="2" a="1"/>
  <c r="X137" i="2" s="1"/>
  <c r="X135" i="2" a="1"/>
  <c r="X135" i="2" s="1"/>
  <c r="X95" i="2" a="1"/>
  <c r="X95" i="2" s="1"/>
  <c r="X107" i="2" a="1"/>
  <c r="X107" i="2" s="1"/>
  <c r="X110" i="2" a="1"/>
  <c r="X110" i="2" s="1"/>
  <c r="X33" i="2" a="1"/>
  <c r="X33" i="2" s="1"/>
  <c r="X70" i="2" a="1"/>
  <c r="X70" i="2" s="1"/>
  <c r="X74" i="2" a="1"/>
  <c r="X74" i="2" s="1"/>
  <c r="X26" i="2" a="1"/>
  <c r="X26" i="2" s="1"/>
  <c r="X28" i="2" a="1"/>
  <c r="X28" i="2" s="1"/>
  <c r="X69" i="2" a="1"/>
  <c r="X69" i="2" s="1"/>
  <c r="X61" i="2" a="1"/>
  <c r="X61" i="2" s="1"/>
  <c r="X85" i="2" a="1"/>
  <c r="X85" i="2" s="1"/>
  <c r="X80" i="2" a="1"/>
  <c r="X80" i="2" s="1"/>
  <c r="X68" i="2" a="1"/>
  <c r="X68" i="2" s="1"/>
  <c r="X146" i="2" a="1"/>
  <c r="X146" i="2" s="1"/>
  <c r="X114" i="2" a="1"/>
  <c r="X114" i="2" s="1"/>
  <c r="X120" i="2" a="1"/>
  <c r="X120" i="2" s="1"/>
  <c r="X118" i="2" a="1"/>
  <c r="X118" i="2" s="1"/>
  <c r="X88" i="2" a="1"/>
  <c r="X88" i="2" s="1"/>
  <c r="X66" i="2" a="1"/>
  <c r="X66" i="2" s="1"/>
  <c r="X7" i="2" a="1"/>
  <c r="X7" i="2" s="1"/>
  <c r="X40" i="2" a="1"/>
  <c r="X40" i="2" s="1"/>
  <c r="X64" i="2" a="1"/>
  <c r="X64" i="2" s="1"/>
  <c r="X100" i="2" a="1"/>
  <c r="X100" i="2" s="1"/>
  <c r="X67" i="2" a="1"/>
  <c r="X67" i="2" s="1"/>
  <c r="X102" i="2" a="1"/>
  <c r="X102" i="2" s="1"/>
  <c r="X27" i="2" a="1"/>
  <c r="X27" i="2" s="1"/>
  <c r="X119" i="2" a="1"/>
  <c r="X119" i="2" s="1"/>
  <c r="X123" i="2" a="1"/>
  <c r="X123" i="2" s="1"/>
  <c r="X19" i="2" a="1"/>
  <c r="X19" i="2" s="1"/>
  <c r="X121" i="2" a="1"/>
  <c r="X121" i="2" s="1"/>
  <c r="X104" i="2" a="1"/>
  <c r="X104" i="2" s="1"/>
  <c r="X134" i="2" a="1"/>
  <c r="X134" i="2" s="1"/>
  <c r="X98" i="2" a="1"/>
  <c r="X98" i="2" s="1"/>
  <c r="X84" i="2" a="1"/>
  <c r="X84" i="2" s="1"/>
  <c r="X15" i="2" a="1"/>
  <c r="X15" i="2" s="1"/>
  <c r="X147" i="2" a="1"/>
  <c r="X147" i="2" s="1"/>
  <c r="X143" i="2" a="1"/>
  <c r="X143" i="2" s="1"/>
  <c r="X10" i="2" a="1"/>
  <c r="X10" i="2" s="1"/>
  <c r="X16" i="2" a="1"/>
  <c r="X16" i="2" s="1"/>
  <c r="X109" i="2" a="1"/>
  <c r="X109" i="2" s="1"/>
  <c r="X46" i="2" a="1"/>
  <c r="X46" i="2" s="1"/>
  <c r="X56" i="2" a="1"/>
  <c r="X56" i="2" s="1"/>
  <c r="X30" i="2" a="1"/>
  <c r="X30" i="2" s="1"/>
  <c r="X124" i="2" a="1"/>
  <c r="X124" i="2" s="1"/>
  <c r="X53" i="2" a="1"/>
  <c r="X53" i="2" s="1"/>
  <c r="X25" i="2" a="1"/>
  <c r="X25" i="2" s="1"/>
  <c r="X35" i="2" a="1"/>
  <c r="X35" i="2" s="1"/>
  <c r="X58" i="2" a="1"/>
  <c r="X58" i="2" s="1"/>
  <c r="X12" i="2" a="1"/>
  <c r="X12" i="2" s="1"/>
  <c r="X55" i="2" a="1"/>
  <c r="X55" i="2" s="1"/>
  <c r="X8" i="2" a="1"/>
  <c r="X8" i="2" s="1"/>
  <c r="X36" i="2" a="1"/>
  <c r="X36" i="2" s="1"/>
  <c r="X86" i="2" a="1"/>
  <c r="X86" i="2" s="1"/>
  <c r="X144" i="2" a="1"/>
  <c r="X144" i="2" s="1"/>
  <c r="X117" i="2" a="1"/>
  <c r="X117" i="2" s="1"/>
  <c r="X129" i="2" a="1"/>
  <c r="X129" i="2" s="1"/>
  <c r="X125" i="2" a="1"/>
  <c r="X125" i="2" s="1"/>
  <c r="X116" i="2" a="1"/>
  <c r="X116" i="2" s="1"/>
  <c r="X52" i="2" a="1"/>
  <c r="X52" i="2" s="1"/>
  <c r="X75" i="2" a="1"/>
  <c r="X75" i="2" s="1"/>
  <c r="X93" i="2" a="1"/>
  <c r="X93" i="2" s="1"/>
  <c r="X21" i="2" a="1"/>
  <c r="X21" i="2" s="1"/>
  <c r="X60" i="2" a="1"/>
  <c r="X60" i="2" s="1"/>
  <c r="X45" i="2" a="1"/>
  <c r="X45" i="2" s="1"/>
  <c r="X113" i="2" a="1"/>
  <c r="X113" i="2" s="1"/>
  <c r="X54" i="2" a="1"/>
  <c r="X54" i="2" s="1"/>
  <c r="X39" i="2" a="1"/>
  <c r="X39" i="2" s="1"/>
  <c r="X99" i="2" a="1"/>
  <c r="X99" i="2" s="1"/>
  <c r="X4" i="2" a="1"/>
  <c r="X4" i="2" s="1"/>
  <c r="Y4" i="2" s="1"/>
  <c r="X97" i="2" a="1"/>
  <c r="X97" i="2" s="1"/>
  <c r="X41" i="2" a="1"/>
  <c r="X41" i="2" s="1"/>
  <c r="X43" i="2" a="1"/>
  <c r="X43" i="2" s="1"/>
  <c r="X23" i="2" a="1"/>
  <c r="X23" i="2" s="1"/>
  <c r="H67" i="2" a="1"/>
  <c r="H67" i="2" s="1"/>
  <c r="H148" i="2" a="1"/>
  <c r="H148" i="2" s="1"/>
  <c r="H16" i="2" a="1"/>
  <c r="H16" i="2" s="1"/>
  <c r="H126" i="2" a="1"/>
  <c r="H126" i="2" s="1"/>
  <c r="H46" i="2" a="1"/>
  <c r="H46" i="2" s="1"/>
  <c r="H89" i="2" a="1"/>
  <c r="H89" i="2" s="1"/>
  <c r="H87" i="2" a="1"/>
  <c r="H87" i="2" s="1"/>
  <c r="H147" i="2" a="1"/>
  <c r="H147" i="2" s="1"/>
  <c r="H64" i="2" a="1"/>
  <c r="H64" i="2" s="1"/>
  <c r="H100" i="2" a="1"/>
  <c r="H100" i="2" s="1"/>
  <c r="H136" i="2" a="1"/>
  <c r="H136" i="2" s="1"/>
  <c r="H13" i="2" a="1"/>
  <c r="H13" i="2" s="1"/>
  <c r="H141" i="2" a="1"/>
  <c r="H141" i="2" s="1"/>
  <c r="H79" i="2" a="1"/>
  <c r="H79" i="2" s="1"/>
  <c r="H18" i="2" a="1"/>
  <c r="H18" i="2" s="1"/>
  <c r="H37" i="2" a="1"/>
  <c r="H37" i="2" s="1"/>
  <c r="H132" i="2" a="1"/>
  <c r="H132" i="2" s="1"/>
  <c r="H56" i="2" a="1"/>
  <c r="H56" i="2" s="1"/>
  <c r="H112" i="2" a="1"/>
  <c r="H112" i="2" s="1"/>
  <c r="H69" i="2" a="1"/>
  <c r="H69" i="2" s="1"/>
  <c r="H123" i="2" a="1"/>
  <c r="H123" i="2" s="1"/>
  <c r="H45" i="2" a="1"/>
  <c r="H45" i="2" s="1"/>
  <c r="H91" i="2" a="1"/>
  <c r="H91" i="2" s="1"/>
  <c r="H7" i="2" a="1"/>
  <c r="H7" i="2" s="1"/>
  <c r="H6" i="2" a="1"/>
  <c r="H6" i="2" s="1"/>
  <c r="H52" i="2" a="1"/>
  <c r="H52" i="2" s="1"/>
  <c r="H92" i="2" a="1"/>
  <c r="H92" i="2" s="1"/>
  <c r="H144" i="2" a="1"/>
  <c r="H144" i="2" s="1"/>
  <c r="H74" i="2" a="1"/>
  <c r="H74" i="2" s="1"/>
  <c r="H86" i="2" a="1"/>
  <c r="H86" i="2" s="1"/>
  <c r="H24" i="2" a="1"/>
  <c r="H24" i="2" s="1"/>
  <c r="H54" i="2" a="1"/>
  <c r="H54" i="2" s="1"/>
  <c r="H35" i="2" a="1"/>
  <c r="H35" i="2" s="1"/>
  <c r="H63" i="2" a="1"/>
  <c r="H63" i="2" s="1"/>
  <c r="H102" i="2" a="1"/>
  <c r="H102" i="2" s="1"/>
  <c r="H122" i="2" a="1"/>
  <c r="H122" i="2" s="1"/>
  <c r="H134" i="2" a="1"/>
  <c r="H134" i="2" s="1"/>
  <c r="H44" i="2" a="1"/>
  <c r="H44" i="2" s="1"/>
  <c r="H108" i="2" a="1"/>
  <c r="H108" i="2" s="1"/>
  <c r="H8" i="2" a="1"/>
  <c r="H8" i="2" s="1"/>
  <c r="H32" i="2" a="1"/>
  <c r="H32" i="2" s="1"/>
  <c r="H96" i="2" a="1"/>
  <c r="H96" i="2" s="1"/>
  <c r="H58" i="2" a="1"/>
  <c r="H58" i="2" s="1"/>
  <c r="H51" i="2" a="1"/>
  <c r="H51" i="2" s="1"/>
  <c r="H138" i="2" a="1"/>
  <c r="H138" i="2" s="1"/>
  <c r="H85" i="2" a="1"/>
  <c r="H85" i="2" s="1"/>
  <c r="H153" i="2" a="1"/>
  <c r="H153" i="2" s="1"/>
  <c r="H133" i="2" a="1"/>
  <c r="H133" i="2" s="1"/>
  <c r="H15" i="2" a="1"/>
  <c r="H15" i="2" s="1"/>
  <c r="H38" i="2" a="1"/>
  <c r="H38" i="2" s="1"/>
  <c r="H29" i="2" a="1"/>
  <c r="H29" i="2" s="1"/>
  <c r="H31" i="2" a="1"/>
  <c r="H31" i="2" s="1"/>
  <c r="H128" i="2" a="1"/>
  <c r="H128" i="2" s="1"/>
  <c r="H66" i="2" a="1"/>
  <c r="H66" i="2" s="1"/>
  <c r="H114" i="2" a="1"/>
  <c r="H114" i="2" s="1"/>
  <c r="H104" i="2" a="1"/>
  <c r="H104" i="2" s="1"/>
  <c r="H142" i="2" a="1"/>
  <c r="H142" i="2" s="1"/>
  <c r="H55" i="2" a="1"/>
  <c r="H55" i="2" s="1"/>
  <c r="H150" i="2" a="1"/>
  <c r="H150" i="2" s="1"/>
  <c r="H143" i="2" a="1"/>
  <c r="H143" i="2" s="1"/>
  <c r="H70" i="2" a="1"/>
  <c r="H70" i="2" s="1"/>
  <c r="H117" i="2" a="1"/>
  <c r="H117" i="2" s="1"/>
  <c r="H14" i="2" a="1"/>
  <c r="H14" i="2" s="1"/>
  <c r="H72" i="2" a="1"/>
  <c r="H72" i="2" s="1"/>
  <c r="H41" i="2" a="1"/>
  <c r="H41" i="2" s="1"/>
  <c r="H78" i="2" a="1"/>
  <c r="H78" i="2" s="1"/>
  <c r="H25" i="2" a="1"/>
  <c r="H25" i="2" s="1"/>
  <c r="H94" i="2" a="1"/>
  <c r="H94" i="2" s="1"/>
  <c r="H151" i="2" a="1"/>
  <c r="H151" i="2" s="1"/>
  <c r="H88" i="2" a="1"/>
  <c r="H88" i="2" s="1"/>
  <c r="H149" i="2" a="1"/>
  <c r="H149" i="2" s="1"/>
  <c r="H145" i="2" a="1"/>
  <c r="H145" i="2" s="1"/>
  <c r="H110" i="2" a="1"/>
  <c r="H110" i="2" s="1"/>
  <c r="H130" i="2" a="1"/>
  <c r="H130" i="2" s="1"/>
  <c r="H97" i="2" a="1"/>
  <c r="H97" i="2" s="1"/>
  <c r="H71" i="2" a="1"/>
  <c r="H71" i="2" s="1"/>
  <c r="H115" i="2" a="1"/>
  <c r="H115" i="2" s="1"/>
  <c r="H23" i="2" a="1"/>
  <c r="H23" i="2" s="1"/>
  <c r="H40" i="2" a="1"/>
  <c r="H40" i="2" s="1"/>
  <c r="H119" i="2" a="1"/>
  <c r="H119" i="2" s="1"/>
  <c r="H113" i="2" a="1"/>
  <c r="H113" i="2" s="1"/>
  <c r="H48" i="2" a="1"/>
  <c r="H48" i="2" s="1"/>
  <c r="H39" i="2" a="1"/>
  <c r="H39" i="2" s="1"/>
  <c r="H59" i="2" a="1"/>
  <c r="H59" i="2" s="1"/>
  <c r="H129" i="2" a="1"/>
  <c r="H129" i="2" s="1"/>
  <c r="H34" i="2" a="1"/>
  <c r="H34" i="2" s="1"/>
  <c r="H120" i="2" a="1"/>
  <c r="H120" i="2" s="1"/>
  <c r="H83" i="2" a="1"/>
  <c r="H83" i="2" s="1"/>
  <c r="H68" i="2" a="1"/>
  <c r="H68" i="2" s="1"/>
  <c r="H82" i="2" a="1"/>
  <c r="H82" i="2" s="1"/>
  <c r="H125" i="2" a="1"/>
  <c r="H125" i="2" s="1"/>
  <c r="H42" i="2" a="1"/>
  <c r="H42" i="2" s="1"/>
  <c r="H139" i="2" a="1"/>
  <c r="H139" i="2" s="1"/>
  <c r="H116" i="2" a="1"/>
  <c r="H116" i="2" s="1"/>
  <c r="H5" i="2" a="1"/>
  <c r="H5" i="2" s="1"/>
  <c r="H22" i="2" a="1"/>
  <c r="H22" i="2" s="1"/>
  <c r="H111" i="2" a="1"/>
  <c r="H111" i="2" s="1"/>
  <c r="H11" i="2" a="1"/>
  <c r="H11" i="2" s="1"/>
  <c r="S153" i="2"/>
  <c r="H27" i="2" a="1"/>
  <c r="H27" i="2" s="1"/>
  <c r="H57" i="2" a="1"/>
  <c r="H57" i="2" s="1"/>
  <c r="H137" i="2" a="1"/>
  <c r="H137" i="2" s="1"/>
  <c r="H140" i="2" a="1"/>
  <c r="H140" i="2" s="1"/>
  <c r="H36" i="2" a="1"/>
  <c r="H36" i="2" s="1"/>
  <c r="H127" i="2" a="1"/>
  <c r="H127" i="2" s="1"/>
  <c r="H10" i="2" a="1"/>
  <c r="H10" i="2" s="1"/>
  <c r="H65" i="2" a="1"/>
  <c r="H65" i="2" s="1"/>
  <c r="H101" i="2" a="1"/>
  <c r="H101" i="2" s="1"/>
  <c r="H33" i="2" a="1"/>
  <c r="H33" i="2" s="1"/>
  <c r="H20" i="2" a="1"/>
  <c r="H20" i="2" s="1"/>
  <c r="H61" i="2" a="1"/>
  <c r="H61" i="2" s="1"/>
  <c r="H21" i="2" a="1"/>
  <c r="H21" i="2" s="1"/>
  <c r="H73" i="2" a="1"/>
  <c r="H73" i="2" s="1"/>
  <c r="H146" i="2" a="1"/>
  <c r="H146" i="2" s="1"/>
  <c r="H107" i="2" a="1"/>
  <c r="H107" i="2" s="1"/>
  <c r="H121" i="2" a="1"/>
  <c r="H121" i="2" s="1"/>
  <c r="H106" i="2" a="1"/>
  <c r="H106" i="2" s="1"/>
  <c r="H84" i="2" a="1"/>
  <c r="H84" i="2" s="1"/>
  <c r="H131" i="2" a="1"/>
  <c r="H131" i="2" s="1"/>
  <c r="H12" i="2" a="1"/>
  <c r="H12" i="2" s="1"/>
  <c r="H99" i="2" a="1"/>
  <c r="H99" i="2" s="1"/>
  <c r="H98" i="2" a="1"/>
  <c r="H98" i="2" s="1"/>
  <c r="H60" i="2" a="1"/>
  <c r="H60" i="2" s="1"/>
  <c r="H47" i="2" a="1"/>
  <c r="H47" i="2" s="1"/>
  <c r="H90" i="2" a="1"/>
  <c r="H90" i="2" s="1"/>
  <c r="H43" i="2" a="1"/>
  <c r="H43" i="2" s="1"/>
  <c r="H135" i="2" a="1"/>
  <c r="H135" i="2" s="1"/>
  <c r="H124" i="2" a="1"/>
  <c r="H124" i="2" s="1"/>
  <c r="H17" i="2" a="1"/>
  <c r="H17" i="2" s="1"/>
  <c r="H75" i="2" a="1"/>
  <c r="H75" i="2" s="1"/>
  <c r="H77" i="2" a="1"/>
  <c r="H77" i="2" s="1"/>
  <c r="H9" i="2" a="1"/>
  <c r="H9" i="2" s="1"/>
  <c r="H105" i="2" a="1"/>
  <c r="H105" i="2" s="1"/>
  <c r="H95" i="2" a="1"/>
  <c r="H95" i="2" s="1"/>
  <c r="H26" i="2" a="1"/>
  <c r="H26" i="2" s="1"/>
  <c r="H19" i="2" a="1"/>
  <c r="H19" i="2" s="1"/>
  <c r="H80" i="2" a="1"/>
  <c r="H80" i="2" s="1"/>
  <c r="H4" i="2" a="1"/>
  <c r="H4" i="2" s="1"/>
  <c r="H76" i="2" a="1"/>
  <c r="H76" i="2" s="1"/>
  <c r="H81" i="2" a="1"/>
  <c r="H81" i="2" s="1"/>
  <c r="H30" i="2" a="1"/>
  <c r="H30" i="2" s="1"/>
  <c r="H109" i="2" a="1"/>
  <c r="H109" i="2" s="1"/>
  <c r="H103" i="2" a="1"/>
  <c r="H103" i="2" s="1"/>
  <c r="H49" i="2" a="1"/>
  <c r="H49" i="2" s="1"/>
  <c r="H28" i="2" a="1"/>
  <c r="H28" i="2" s="1"/>
  <c r="H93" i="2" a="1"/>
  <c r="H93" i="2" s="1"/>
  <c r="H118" i="2" a="1"/>
  <c r="H118" i="2" s="1"/>
  <c r="H50" i="2" a="1"/>
  <c r="H50" i="2" s="1"/>
  <c r="H62" i="2" a="1"/>
  <c r="H62" i="2" s="1"/>
  <c r="H152" i="2" a="1"/>
  <c r="H152" i="2" s="1"/>
  <c r="X81" i="2" a="1"/>
  <c r="X81" i="2" s="1"/>
  <c r="X133" i="2" a="1"/>
  <c r="X133" i="2" s="1"/>
  <c r="X87" i="2" a="1"/>
  <c r="X87" i="2" s="1"/>
  <c r="X37" i="2" a="1"/>
  <c r="X37" i="2" s="1"/>
  <c r="X145" i="2" a="1"/>
  <c r="X145" i="2" s="1"/>
  <c r="X149" i="2" a="1"/>
  <c r="X149" i="2" s="1"/>
  <c r="X47" i="2" a="1"/>
  <c r="X47" i="2" s="1"/>
  <c r="X11" i="2" a="1"/>
  <c r="X11" i="2" s="1"/>
  <c r="X51" i="2" a="1"/>
  <c r="X51" i="2" s="1"/>
  <c r="X32" i="2" a="1"/>
  <c r="X32" i="2" s="1"/>
  <c r="X14" i="2" a="1"/>
  <c r="X14" i="2" s="1"/>
  <c r="X108" i="2" a="1"/>
  <c r="X108" i="2" s="1"/>
  <c r="X65" i="2" a="1"/>
  <c r="X65" i="2" s="1"/>
  <c r="X130" i="2" a="1"/>
  <c r="X130" i="2" s="1"/>
  <c r="X122" i="2" a="1"/>
  <c r="X122" i="2" s="1"/>
  <c r="X152" i="2" a="1"/>
  <c r="X152" i="2" s="1"/>
  <c r="X153" i="2" a="1"/>
  <c r="X153" i="2" s="1"/>
  <c r="X50" i="2" a="1"/>
  <c r="X50" i="2" s="1"/>
  <c r="X96" i="2" a="1"/>
  <c r="X96" i="2" s="1"/>
  <c r="X6" i="2" a="1"/>
  <c r="X6" i="2" s="1"/>
  <c r="X89" i="2" a="1"/>
  <c r="X89" i="2" s="1"/>
  <c r="X92" i="2" a="1"/>
  <c r="X92" i="2" s="1"/>
  <c r="X49" i="2" a="1"/>
  <c r="X49" i="2" s="1"/>
  <c r="X20" i="2" a="1"/>
  <c r="X20" i="2" s="1"/>
  <c r="X151" i="2" a="1"/>
  <c r="X151" i="2" s="1"/>
  <c r="X59" i="2" a="1"/>
  <c r="X59" i="2" s="1"/>
  <c r="X138" i="2" a="1"/>
  <c r="X138" i="2" s="1"/>
  <c r="X140" i="2" a="1"/>
  <c r="X140" i="2" s="1"/>
  <c r="X142" i="2" a="1"/>
  <c r="X142" i="2" s="1"/>
  <c r="X115" i="2" a="1"/>
  <c r="X115" i="2" s="1"/>
  <c r="X128" i="2" a="1"/>
  <c r="X128" i="2" s="1"/>
  <c r="X29" i="2" a="1"/>
  <c r="X29" i="2" s="1"/>
  <c r="X91" i="2" a="1"/>
  <c r="X91" i="2" s="1"/>
  <c r="X48" i="2" a="1"/>
  <c r="X48" i="2" s="1"/>
  <c r="X79" i="2" a="1"/>
  <c r="X79" i="2" s="1"/>
  <c r="X17" i="2" a="1"/>
  <c r="X17" i="2" s="1"/>
  <c r="X62" i="2" a="1"/>
  <c r="X62" i="2" s="1"/>
  <c r="X71" i="2" a="1"/>
  <c r="X71" i="2" s="1"/>
  <c r="X148" i="2" a="1"/>
  <c r="X148" i="2" s="1"/>
  <c r="X24" i="2" a="1"/>
  <c r="X24" i="2" s="1"/>
  <c r="X9" i="2" a="1"/>
  <c r="X9" i="2" s="1"/>
  <c r="X82" i="2" a="1"/>
  <c r="X82" i="2" s="1"/>
  <c r="X63" i="2" a="1"/>
  <c r="X63" i="2" s="1"/>
  <c r="X31" i="2" a="1"/>
  <c r="X31" i="2" s="1"/>
  <c r="X57" i="2" a="1"/>
  <c r="X57" i="2" s="1"/>
  <c r="X132" i="2" a="1"/>
  <c r="X132" i="2" s="1"/>
  <c r="X34" i="2" a="1"/>
  <c r="X34" i="2" s="1"/>
  <c r="X150" i="2" a="1"/>
  <c r="X150" i="2" s="1"/>
  <c r="X38" i="2" a="1"/>
  <c r="X38" i="2" s="1"/>
  <c r="X94" i="2" a="1"/>
  <c r="X94" i="2" s="1"/>
  <c r="X5" i="2" a="1"/>
  <c r="X5" i="2" s="1"/>
  <c r="X22" i="2" a="1"/>
  <c r="X22" i="2" s="1"/>
  <c r="X78" i="2" a="1"/>
  <c r="X78" i="2" s="1"/>
  <c r="X73" i="2" a="1"/>
  <c r="X73" i="2" s="1"/>
  <c r="X83" i="2" a="1"/>
  <c r="X83" i="2" s="1"/>
  <c r="X13" i="2" a="1"/>
  <c r="X13" i="2" s="1"/>
  <c r="X139" i="2" a="1"/>
  <c r="X139" i="2" s="1"/>
  <c r="X112" i="2" a="1"/>
  <c r="X112" i="2" s="1"/>
  <c r="X44" i="2" a="1"/>
  <c r="X44" i="2" s="1"/>
  <c r="T153" i="2"/>
  <c r="AK150" i="2"/>
  <c r="AH151" i="2"/>
  <c r="R153" i="2"/>
  <c r="U152" i="2"/>
  <c r="EW5" i="2" l="1"/>
  <c r="EX4" i="2"/>
  <c r="EY4" i="2" s="1"/>
  <c r="EZ4" i="2" s="1"/>
  <c r="AP5" i="2"/>
  <c r="AQ5" i="2" s="1"/>
  <c r="AR5" i="2" s="1"/>
  <c r="AO6" i="2"/>
  <c r="CW153" i="2"/>
  <c r="BE6" i="2"/>
  <c r="BF5" i="2"/>
  <c r="BG5" i="2" s="1"/>
  <c r="BH5" i="2" s="1"/>
  <c r="BU6" i="2"/>
  <c r="BV5" i="2"/>
  <c r="BW5" i="2" s="1"/>
  <c r="BX5" i="2" s="1"/>
  <c r="CK6" i="2"/>
  <c r="CL5" i="2"/>
  <c r="CM5" i="2" s="1"/>
  <c r="CN5" i="2" s="1"/>
  <c r="DA5" i="2"/>
  <c r="DB4" i="2"/>
  <c r="DC4" i="2" s="1"/>
  <c r="DD4" i="2" s="1"/>
  <c r="EG6" i="2"/>
  <c r="EH5" i="2"/>
  <c r="EI5" i="2" s="1"/>
  <c r="EJ5" i="2" s="1"/>
  <c r="DQ5" i="2"/>
  <c r="DR4" i="2"/>
  <c r="DS4" i="2" s="1"/>
  <c r="DT4" i="2" s="1"/>
  <c r="Y5" i="2"/>
  <c r="Z4" i="2"/>
  <c r="AA4" i="2" s="1"/>
  <c r="AB4" i="2" s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AJ152" i="2"/>
  <c r="AJ153" i="2" s="1"/>
  <c r="AI152" i="2"/>
  <c r="U153" i="2"/>
  <c r="AK151" i="2"/>
  <c r="AH152" i="2"/>
  <c r="DQ6" i="2" l="1"/>
  <c r="DR5" i="2"/>
  <c r="DS5" i="2" s="1"/>
  <c r="DT5" i="2" s="1"/>
  <c r="DA6" i="2"/>
  <c r="DB5" i="2"/>
  <c r="DC5" i="2" s="1"/>
  <c r="DD5" i="2" s="1"/>
  <c r="BU7" i="2"/>
  <c r="BV6" i="2"/>
  <c r="BW6" i="2" s="1"/>
  <c r="BX6" i="2" s="1"/>
  <c r="AO7" i="2"/>
  <c r="AP6" i="2"/>
  <c r="AQ6" i="2" s="1"/>
  <c r="AR6" i="2" s="1"/>
  <c r="EG7" i="2"/>
  <c r="EH6" i="2"/>
  <c r="EI6" i="2" s="1"/>
  <c r="EJ6" i="2" s="1"/>
  <c r="CK7" i="2"/>
  <c r="CL6" i="2"/>
  <c r="CM6" i="2" s="1"/>
  <c r="CN6" i="2" s="1"/>
  <c r="BE7" i="2"/>
  <c r="BF6" i="2"/>
  <c r="BG6" i="2" s="1"/>
  <c r="BH6" i="2" s="1"/>
  <c r="EW6" i="2"/>
  <c r="EX5" i="2"/>
  <c r="EY5" i="2" s="1"/>
  <c r="EZ5" i="2" s="1"/>
  <c r="Y6" i="2"/>
  <c r="Z5" i="2"/>
  <c r="AA5" i="2" s="1"/>
  <c r="AB5" i="2" s="1"/>
  <c r="J5" i="2"/>
  <c r="K5" i="2" s="1"/>
  <c r="L5" i="2" s="1"/>
  <c r="J4" i="2"/>
  <c r="K4" i="2" s="1"/>
  <c r="L4" i="2" s="1"/>
  <c r="J6" i="2"/>
  <c r="AI153" i="2"/>
  <c r="AK152" i="2"/>
  <c r="AH153" i="2"/>
  <c r="EW7" i="2" l="1"/>
  <c r="EX6" i="2"/>
  <c r="EY6" i="2" s="1"/>
  <c r="EZ6" i="2" s="1"/>
  <c r="CK8" i="2"/>
  <c r="CL7" i="2"/>
  <c r="CM7" i="2" s="1"/>
  <c r="CN7" i="2" s="1"/>
  <c r="AO8" i="2"/>
  <c r="AP7" i="2"/>
  <c r="AQ7" i="2" s="1"/>
  <c r="AR7" i="2" s="1"/>
  <c r="DA7" i="2"/>
  <c r="DB6" i="2"/>
  <c r="DC6" i="2" s="1"/>
  <c r="DD6" i="2" s="1"/>
  <c r="BE8" i="2"/>
  <c r="BF7" i="2"/>
  <c r="BG7" i="2" s="1"/>
  <c r="BH7" i="2" s="1"/>
  <c r="EG8" i="2"/>
  <c r="EH7" i="2"/>
  <c r="EI7" i="2" s="1"/>
  <c r="EJ7" i="2" s="1"/>
  <c r="BU8" i="2"/>
  <c r="BV7" i="2"/>
  <c r="BW7" i="2" s="1"/>
  <c r="BX7" i="2" s="1"/>
  <c r="DQ7" i="2"/>
  <c r="DR6" i="2"/>
  <c r="DS6" i="2" s="1"/>
  <c r="DT6" i="2" s="1"/>
  <c r="Y7" i="2"/>
  <c r="Z6" i="2"/>
  <c r="AA6" i="2" s="1"/>
  <c r="AB6" i="2" s="1"/>
  <c r="K6" i="2"/>
  <c r="L6" i="2" s="1"/>
  <c r="J7" i="2"/>
  <c r="AK153" i="2"/>
  <c r="DQ8" i="2" l="1"/>
  <c r="DR7" i="2"/>
  <c r="DS7" i="2" s="1"/>
  <c r="DT7" i="2" s="1"/>
  <c r="EG9" i="2"/>
  <c r="EH8" i="2"/>
  <c r="EI8" i="2" s="1"/>
  <c r="EJ8" i="2" s="1"/>
  <c r="DA8" i="2"/>
  <c r="DB7" i="2"/>
  <c r="DC7" i="2" s="1"/>
  <c r="DD7" i="2" s="1"/>
  <c r="CK9" i="2"/>
  <c r="CL8" i="2"/>
  <c r="CM8" i="2" s="1"/>
  <c r="CN8" i="2" s="1"/>
  <c r="BU9" i="2"/>
  <c r="BV8" i="2"/>
  <c r="BW8" i="2" s="1"/>
  <c r="BX8" i="2" s="1"/>
  <c r="BE9" i="2"/>
  <c r="BF8" i="2"/>
  <c r="BG8" i="2" s="1"/>
  <c r="BH8" i="2" s="1"/>
  <c r="AP8" i="2"/>
  <c r="AQ8" i="2" s="1"/>
  <c r="AR8" i="2" s="1"/>
  <c r="AO9" i="2"/>
  <c r="EW8" i="2"/>
  <c r="EX7" i="2"/>
  <c r="EY7" i="2" s="1"/>
  <c r="EZ7" i="2" s="1"/>
  <c r="Y8" i="2"/>
  <c r="Z7" i="2"/>
  <c r="AA7" i="2" s="1"/>
  <c r="AB7" i="2" s="1"/>
  <c r="J8" i="2"/>
  <c r="K7" i="2"/>
  <c r="L7" i="2" s="1"/>
  <c r="AO10" i="2" l="1"/>
  <c r="AP9" i="2"/>
  <c r="AQ9" i="2" s="1"/>
  <c r="AR9" i="2" s="1"/>
  <c r="EW9" i="2"/>
  <c r="EX8" i="2"/>
  <c r="EY8" i="2" s="1"/>
  <c r="EZ8" i="2" s="1"/>
  <c r="BE10" i="2"/>
  <c r="BF9" i="2"/>
  <c r="BG9" i="2" s="1"/>
  <c r="BH9" i="2" s="1"/>
  <c r="CK10" i="2"/>
  <c r="CL9" i="2"/>
  <c r="CM9" i="2" s="1"/>
  <c r="CN9" i="2" s="1"/>
  <c r="EG10" i="2"/>
  <c r="EH9" i="2"/>
  <c r="EI9" i="2" s="1"/>
  <c r="EJ9" i="2" s="1"/>
  <c r="BU10" i="2"/>
  <c r="BV9" i="2"/>
  <c r="BW9" i="2" s="1"/>
  <c r="BX9" i="2" s="1"/>
  <c r="DA9" i="2"/>
  <c r="DB8" i="2"/>
  <c r="DC8" i="2" s="1"/>
  <c r="DD8" i="2" s="1"/>
  <c r="DQ9" i="2"/>
  <c r="DR8" i="2"/>
  <c r="DS8" i="2" s="1"/>
  <c r="DT8" i="2" s="1"/>
  <c r="Y9" i="2"/>
  <c r="Z8" i="2"/>
  <c r="AA8" i="2" s="1"/>
  <c r="AB8" i="2" s="1"/>
  <c r="K8" i="2"/>
  <c r="L8" i="2" s="1"/>
  <c r="J9" i="2"/>
  <c r="DQ10" i="2" l="1"/>
  <c r="DR9" i="2"/>
  <c r="DS9" i="2" s="1"/>
  <c r="DT9" i="2" s="1"/>
  <c r="BU11" i="2"/>
  <c r="BV10" i="2"/>
  <c r="BW10" i="2" s="1"/>
  <c r="BX10" i="2" s="1"/>
  <c r="CK11" i="2"/>
  <c r="CL10" i="2"/>
  <c r="CM10" i="2" s="1"/>
  <c r="CN10" i="2" s="1"/>
  <c r="EW10" i="2"/>
  <c r="EX9" i="2"/>
  <c r="EY9" i="2" s="1"/>
  <c r="EZ9" i="2" s="1"/>
  <c r="DA10" i="2"/>
  <c r="DB9" i="2"/>
  <c r="DC9" i="2" s="1"/>
  <c r="DD9" i="2" s="1"/>
  <c r="EG11" i="2"/>
  <c r="EH10" i="2"/>
  <c r="EI10" i="2" s="1"/>
  <c r="EJ10" i="2" s="1"/>
  <c r="BE11" i="2"/>
  <c r="BF10" i="2"/>
  <c r="BG10" i="2" s="1"/>
  <c r="BH10" i="2" s="1"/>
  <c r="AO11" i="2"/>
  <c r="AP10" i="2"/>
  <c r="AQ10" i="2" s="1"/>
  <c r="AR10" i="2" s="1"/>
  <c r="Y10" i="2"/>
  <c r="Z9" i="2"/>
  <c r="AA9" i="2" s="1"/>
  <c r="AB9" i="2" s="1"/>
  <c r="J10" i="2"/>
  <c r="K9" i="2"/>
  <c r="L9" i="2" s="1"/>
  <c r="AO12" i="2" l="1"/>
  <c r="AP11" i="2"/>
  <c r="AQ11" i="2" s="1"/>
  <c r="AR11" i="2" s="1"/>
  <c r="EG12" i="2"/>
  <c r="EH11" i="2"/>
  <c r="EI11" i="2" s="1"/>
  <c r="EJ11" i="2" s="1"/>
  <c r="EW11" i="2"/>
  <c r="EX10" i="2"/>
  <c r="EY10" i="2" s="1"/>
  <c r="EZ10" i="2" s="1"/>
  <c r="BU12" i="2"/>
  <c r="BV11" i="2"/>
  <c r="BW11" i="2" s="1"/>
  <c r="BX11" i="2" s="1"/>
  <c r="BE12" i="2"/>
  <c r="BF11" i="2"/>
  <c r="BG11" i="2" s="1"/>
  <c r="BH11" i="2" s="1"/>
  <c r="DA11" i="2"/>
  <c r="DB10" i="2"/>
  <c r="DC10" i="2" s="1"/>
  <c r="DD10" i="2" s="1"/>
  <c r="CK12" i="2"/>
  <c r="CL11" i="2"/>
  <c r="CM11" i="2" s="1"/>
  <c r="CN11" i="2" s="1"/>
  <c r="DQ11" i="2"/>
  <c r="DR10" i="2"/>
  <c r="DS10" i="2" s="1"/>
  <c r="DT10" i="2" s="1"/>
  <c r="Y11" i="2"/>
  <c r="Z10" i="2"/>
  <c r="AA10" i="2" s="1"/>
  <c r="AB10" i="2" s="1"/>
  <c r="J11" i="2"/>
  <c r="K10" i="2"/>
  <c r="L10" i="2" s="1"/>
  <c r="DQ12" i="2" l="1"/>
  <c r="DR11" i="2"/>
  <c r="DS11" i="2" s="1"/>
  <c r="DT11" i="2" s="1"/>
  <c r="DA12" i="2"/>
  <c r="DB11" i="2"/>
  <c r="DC11" i="2" s="1"/>
  <c r="DD11" i="2" s="1"/>
  <c r="BU13" i="2"/>
  <c r="BV12" i="2"/>
  <c r="BW12" i="2" s="1"/>
  <c r="BX12" i="2" s="1"/>
  <c r="EG13" i="2"/>
  <c r="EH12" i="2"/>
  <c r="EI12" i="2" s="1"/>
  <c r="EJ12" i="2" s="1"/>
  <c r="CK13" i="2"/>
  <c r="CL12" i="2"/>
  <c r="CM12" i="2" s="1"/>
  <c r="CN12" i="2" s="1"/>
  <c r="BE13" i="2"/>
  <c r="BF12" i="2"/>
  <c r="BG12" i="2" s="1"/>
  <c r="BH12" i="2" s="1"/>
  <c r="EW12" i="2"/>
  <c r="EX11" i="2"/>
  <c r="EY11" i="2" s="1"/>
  <c r="EZ11" i="2" s="1"/>
  <c r="AP12" i="2"/>
  <c r="AQ12" i="2" s="1"/>
  <c r="AR12" i="2" s="1"/>
  <c r="AO13" i="2"/>
  <c r="Y12" i="2"/>
  <c r="Z11" i="2"/>
  <c r="AA11" i="2" s="1"/>
  <c r="AB11" i="2" s="1"/>
  <c r="K11" i="2"/>
  <c r="L11" i="2" s="1"/>
  <c r="J12" i="2"/>
  <c r="BE14" i="2" l="1"/>
  <c r="BF13" i="2"/>
  <c r="BG13" i="2" s="1"/>
  <c r="BH13" i="2" s="1"/>
  <c r="EG14" i="2"/>
  <c r="EH13" i="2"/>
  <c r="EI13" i="2" s="1"/>
  <c r="EJ13" i="2" s="1"/>
  <c r="DA13" i="2"/>
  <c r="DB12" i="2"/>
  <c r="DC12" i="2" s="1"/>
  <c r="DD12" i="2" s="1"/>
  <c r="AO14" i="2"/>
  <c r="AP13" i="2"/>
  <c r="AQ13" i="2" s="1"/>
  <c r="AR13" i="2" s="1"/>
  <c r="EW13" i="2"/>
  <c r="EX12" i="2"/>
  <c r="EY12" i="2" s="1"/>
  <c r="EZ12" i="2" s="1"/>
  <c r="CK14" i="2"/>
  <c r="CL13" i="2"/>
  <c r="CM13" i="2" s="1"/>
  <c r="CN13" i="2" s="1"/>
  <c r="BU14" i="2"/>
  <c r="BV13" i="2"/>
  <c r="BW13" i="2" s="1"/>
  <c r="BX13" i="2" s="1"/>
  <c r="DQ13" i="2"/>
  <c r="DR12" i="2"/>
  <c r="DS12" i="2" s="1"/>
  <c r="DT12" i="2" s="1"/>
  <c r="Y13" i="2"/>
  <c r="Z12" i="2"/>
  <c r="AA12" i="2" s="1"/>
  <c r="AB12" i="2" s="1"/>
  <c r="K12" i="2"/>
  <c r="L12" i="2" s="1"/>
  <c r="J13" i="2"/>
  <c r="DQ14" i="2" l="1"/>
  <c r="DR13" i="2"/>
  <c r="DS13" i="2" s="1"/>
  <c r="DT13" i="2" s="1"/>
  <c r="CK15" i="2"/>
  <c r="CL14" i="2"/>
  <c r="CM14" i="2" s="1"/>
  <c r="CN14" i="2" s="1"/>
  <c r="AP14" i="2"/>
  <c r="AQ14" i="2" s="1"/>
  <c r="AR14" i="2" s="1"/>
  <c r="AO15" i="2"/>
  <c r="EG15" i="2"/>
  <c r="EH14" i="2"/>
  <c r="EI14" i="2" s="1"/>
  <c r="EJ14" i="2" s="1"/>
  <c r="BU15" i="2"/>
  <c r="BV14" i="2"/>
  <c r="BW14" i="2" s="1"/>
  <c r="BX14" i="2" s="1"/>
  <c r="EW14" i="2"/>
  <c r="EX13" i="2"/>
  <c r="EY13" i="2" s="1"/>
  <c r="EZ13" i="2" s="1"/>
  <c r="DA14" i="2"/>
  <c r="DB13" i="2"/>
  <c r="DC13" i="2" s="1"/>
  <c r="DD13" i="2" s="1"/>
  <c r="BE15" i="2"/>
  <c r="BF14" i="2"/>
  <c r="BG14" i="2" s="1"/>
  <c r="BH14" i="2" s="1"/>
  <c r="Y14" i="2"/>
  <c r="Z13" i="2"/>
  <c r="AA13" i="2" s="1"/>
  <c r="AB13" i="2" s="1"/>
  <c r="J14" i="2"/>
  <c r="K13" i="2"/>
  <c r="L13" i="2" s="1"/>
  <c r="BE16" i="2" l="1"/>
  <c r="BF15" i="2"/>
  <c r="BG15" i="2" s="1"/>
  <c r="BH15" i="2" s="1"/>
  <c r="EW15" i="2"/>
  <c r="EX14" i="2"/>
  <c r="EY14" i="2" s="1"/>
  <c r="EZ14" i="2" s="1"/>
  <c r="EG16" i="2"/>
  <c r="EH15" i="2"/>
  <c r="EI15" i="2" s="1"/>
  <c r="EJ15" i="2" s="1"/>
  <c r="CK16" i="2"/>
  <c r="CL15" i="2"/>
  <c r="CM15" i="2" s="1"/>
  <c r="CN15" i="2" s="1"/>
  <c r="AO16" i="2"/>
  <c r="AP15" i="2"/>
  <c r="AQ15" i="2" s="1"/>
  <c r="AR15" i="2" s="1"/>
  <c r="DA15" i="2"/>
  <c r="DB14" i="2"/>
  <c r="DC14" i="2" s="1"/>
  <c r="DD14" i="2" s="1"/>
  <c r="BU16" i="2"/>
  <c r="BV15" i="2"/>
  <c r="BW15" i="2" s="1"/>
  <c r="BX15" i="2" s="1"/>
  <c r="DQ15" i="2"/>
  <c r="DR14" i="2"/>
  <c r="DS14" i="2" s="1"/>
  <c r="DT14" i="2" s="1"/>
  <c r="Y15" i="2"/>
  <c r="Z14" i="2"/>
  <c r="AA14" i="2" s="1"/>
  <c r="AB14" i="2" s="1"/>
  <c r="J15" i="2"/>
  <c r="K14" i="2"/>
  <c r="L14" i="2" s="1"/>
  <c r="DQ16" i="2" l="1"/>
  <c r="DR15" i="2"/>
  <c r="DS15" i="2" s="1"/>
  <c r="DT15" i="2" s="1"/>
  <c r="DA16" i="2"/>
  <c r="DB15" i="2"/>
  <c r="DC15" i="2" s="1"/>
  <c r="DD15" i="2" s="1"/>
  <c r="CK17" i="2"/>
  <c r="CL16" i="2"/>
  <c r="CM16" i="2" s="1"/>
  <c r="CN16" i="2" s="1"/>
  <c r="EW16" i="2"/>
  <c r="EX15" i="2"/>
  <c r="EY15" i="2" s="1"/>
  <c r="EZ15" i="2" s="1"/>
  <c r="BU17" i="2"/>
  <c r="BV16" i="2"/>
  <c r="BW16" i="2" s="1"/>
  <c r="BX16" i="2" s="1"/>
  <c r="AO17" i="2"/>
  <c r="AP16" i="2"/>
  <c r="AQ16" i="2" s="1"/>
  <c r="AR16" i="2" s="1"/>
  <c r="EG17" i="2"/>
  <c r="EH16" i="2"/>
  <c r="EI16" i="2" s="1"/>
  <c r="EJ16" i="2" s="1"/>
  <c r="BE17" i="2"/>
  <c r="BF16" i="2"/>
  <c r="BG16" i="2" s="1"/>
  <c r="BH16" i="2" s="1"/>
  <c r="Y16" i="2"/>
  <c r="Z15" i="2"/>
  <c r="AA15" i="2" s="1"/>
  <c r="AB15" i="2" s="1"/>
  <c r="J16" i="2"/>
  <c r="K15" i="2"/>
  <c r="L15" i="2" s="1"/>
  <c r="BE18" i="2" l="1"/>
  <c r="BF17" i="2"/>
  <c r="BG17" i="2" s="1"/>
  <c r="BH17" i="2" s="1"/>
  <c r="AP17" i="2"/>
  <c r="AQ17" i="2" s="1"/>
  <c r="AR17" i="2" s="1"/>
  <c r="AO18" i="2"/>
  <c r="EW17" i="2"/>
  <c r="EX16" i="2"/>
  <c r="EY16" i="2" s="1"/>
  <c r="EZ16" i="2" s="1"/>
  <c r="DA17" i="2"/>
  <c r="DB16" i="2"/>
  <c r="DC16" i="2" s="1"/>
  <c r="DD16" i="2" s="1"/>
  <c r="EG18" i="2"/>
  <c r="EH17" i="2"/>
  <c r="EI17" i="2" s="1"/>
  <c r="EJ17" i="2" s="1"/>
  <c r="BU18" i="2"/>
  <c r="BV17" i="2"/>
  <c r="BW17" i="2" s="1"/>
  <c r="BX17" i="2" s="1"/>
  <c r="CK18" i="2"/>
  <c r="CL17" i="2"/>
  <c r="CM17" i="2" s="1"/>
  <c r="CN17" i="2" s="1"/>
  <c r="DQ17" i="2"/>
  <c r="DR16" i="2"/>
  <c r="DS16" i="2" s="1"/>
  <c r="DT16" i="2" s="1"/>
  <c r="Y17" i="2"/>
  <c r="Z16" i="2"/>
  <c r="AA16" i="2" s="1"/>
  <c r="AB16" i="2" s="1"/>
  <c r="J17" i="2"/>
  <c r="K16" i="2"/>
  <c r="L16" i="2" s="1"/>
  <c r="AO19" i="2" l="1"/>
  <c r="AP19" i="2" s="1"/>
  <c r="AQ19" i="2" s="1"/>
  <c r="AR19" i="2" s="1"/>
  <c r="AP18" i="2"/>
  <c r="AQ18" i="2" s="1"/>
  <c r="AR18" i="2" s="1"/>
  <c r="DQ18" i="2"/>
  <c r="DR17" i="2"/>
  <c r="DS17" i="2" s="1"/>
  <c r="DT17" i="2" s="1"/>
  <c r="BU19" i="2"/>
  <c r="BV18" i="2"/>
  <c r="BW18" i="2" s="1"/>
  <c r="BX18" i="2" s="1"/>
  <c r="DA18" i="2"/>
  <c r="DB17" i="2"/>
  <c r="DC17" i="2" s="1"/>
  <c r="DD17" i="2" s="1"/>
  <c r="CK19" i="2"/>
  <c r="CL18" i="2"/>
  <c r="CM18" i="2" s="1"/>
  <c r="CN18" i="2" s="1"/>
  <c r="EG19" i="2"/>
  <c r="EH18" i="2"/>
  <c r="EI18" i="2" s="1"/>
  <c r="EJ18" i="2" s="1"/>
  <c r="EW18" i="2"/>
  <c r="EX17" i="2"/>
  <c r="EY17" i="2" s="1"/>
  <c r="EZ17" i="2" s="1"/>
  <c r="BE19" i="2"/>
  <c r="BF18" i="2"/>
  <c r="BG18" i="2" s="1"/>
  <c r="BH18" i="2" s="1"/>
  <c r="Y18" i="2"/>
  <c r="Z17" i="2"/>
  <c r="AA17" i="2" s="1"/>
  <c r="AB17" i="2" s="1"/>
  <c r="K17" i="2"/>
  <c r="L17" i="2" s="1"/>
  <c r="J18" i="2"/>
  <c r="BE20" i="2" l="1"/>
  <c r="BF19" i="2"/>
  <c r="BG19" i="2" s="1"/>
  <c r="BH19" i="2" s="1"/>
  <c r="EG20" i="2"/>
  <c r="EH19" i="2"/>
  <c r="EI19" i="2" s="1"/>
  <c r="EJ19" i="2" s="1"/>
  <c r="DA19" i="2"/>
  <c r="DB18" i="2"/>
  <c r="DC18" i="2" s="1"/>
  <c r="DD18" i="2" s="1"/>
  <c r="DQ19" i="2"/>
  <c r="DR18" i="2"/>
  <c r="DS18" i="2" s="1"/>
  <c r="DT18" i="2" s="1"/>
  <c r="EW19" i="2"/>
  <c r="EX18" i="2"/>
  <c r="EY18" i="2" s="1"/>
  <c r="EZ18" i="2" s="1"/>
  <c r="CK20" i="2"/>
  <c r="CL19" i="2"/>
  <c r="CM19" i="2" s="1"/>
  <c r="CN19" i="2" s="1"/>
  <c r="BU20" i="2"/>
  <c r="BV19" i="2"/>
  <c r="BW19" i="2" s="1"/>
  <c r="BX19" i="2" s="1"/>
  <c r="Y19" i="2"/>
  <c r="Z18" i="2"/>
  <c r="AA18" i="2" s="1"/>
  <c r="AB18" i="2" s="1"/>
  <c r="K18" i="2"/>
  <c r="L18" i="2" s="1"/>
  <c r="J19" i="2"/>
  <c r="CK21" i="2" l="1"/>
  <c r="CL20" i="2"/>
  <c r="CM20" i="2" s="1"/>
  <c r="CN20" i="2" s="1"/>
  <c r="DQ20" i="2"/>
  <c r="DR19" i="2"/>
  <c r="DS19" i="2" s="1"/>
  <c r="DT19" i="2" s="1"/>
  <c r="EG21" i="2"/>
  <c r="EH20" i="2"/>
  <c r="EI20" i="2" s="1"/>
  <c r="EJ20" i="2" s="1"/>
  <c r="BU21" i="2"/>
  <c r="BV20" i="2"/>
  <c r="BW20" i="2" s="1"/>
  <c r="BX20" i="2" s="1"/>
  <c r="EW20" i="2"/>
  <c r="EX19" i="2"/>
  <c r="EY19" i="2" s="1"/>
  <c r="EZ19" i="2" s="1"/>
  <c r="DA20" i="2"/>
  <c r="DB19" i="2"/>
  <c r="DC19" i="2" s="1"/>
  <c r="DD19" i="2" s="1"/>
  <c r="BE21" i="2"/>
  <c r="BF20" i="2"/>
  <c r="BG20" i="2" s="1"/>
  <c r="BH20" i="2" s="1"/>
  <c r="Y20" i="2"/>
  <c r="Z19" i="2"/>
  <c r="AA19" i="2" s="1"/>
  <c r="AB19" i="2" s="1"/>
  <c r="K19" i="2"/>
  <c r="L19" i="2" s="1"/>
  <c r="J20" i="2"/>
  <c r="DA21" i="2" l="1"/>
  <c r="DB20" i="2"/>
  <c r="DC20" i="2" s="1"/>
  <c r="DD20" i="2" s="1"/>
  <c r="BU22" i="2"/>
  <c r="BV21" i="2"/>
  <c r="BW21" i="2" s="1"/>
  <c r="BX21" i="2" s="1"/>
  <c r="DQ21" i="2"/>
  <c r="DR20" i="2"/>
  <c r="DS20" i="2" s="1"/>
  <c r="DT20" i="2" s="1"/>
  <c r="BE22" i="2"/>
  <c r="BF21" i="2"/>
  <c r="BG21" i="2" s="1"/>
  <c r="BH21" i="2" s="1"/>
  <c r="EW21" i="2"/>
  <c r="EX20" i="2"/>
  <c r="EY20" i="2" s="1"/>
  <c r="EZ20" i="2" s="1"/>
  <c r="EG22" i="2"/>
  <c r="EH21" i="2"/>
  <c r="EI21" i="2" s="1"/>
  <c r="EJ21" i="2" s="1"/>
  <c r="CK22" i="2"/>
  <c r="CL21" i="2"/>
  <c r="CM21" i="2" s="1"/>
  <c r="CN21" i="2" s="1"/>
  <c r="Y21" i="2"/>
  <c r="Z20" i="2"/>
  <c r="AA20" i="2" s="1"/>
  <c r="AB20" i="2" s="1"/>
  <c r="K20" i="2"/>
  <c r="L20" i="2" s="1"/>
  <c r="J21" i="2"/>
  <c r="EG23" i="2" l="1"/>
  <c r="EH22" i="2"/>
  <c r="EI22" i="2" s="1"/>
  <c r="EJ22" i="2" s="1"/>
  <c r="BE23" i="2"/>
  <c r="BF22" i="2"/>
  <c r="BG22" i="2" s="1"/>
  <c r="BH22" i="2" s="1"/>
  <c r="BU23" i="2"/>
  <c r="BV22" i="2"/>
  <c r="BW22" i="2" s="1"/>
  <c r="BX22" i="2" s="1"/>
  <c r="CK23" i="2"/>
  <c r="CL22" i="2"/>
  <c r="CM22" i="2" s="1"/>
  <c r="CN22" i="2" s="1"/>
  <c r="EW22" i="2"/>
  <c r="EX21" i="2"/>
  <c r="EY21" i="2" s="1"/>
  <c r="EZ21" i="2" s="1"/>
  <c r="DQ22" i="2"/>
  <c r="DR21" i="2"/>
  <c r="DS21" i="2" s="1"/>
  <c r="DT21" i="2" s="1"/>
  <c r="DA22" i="2"/>
  <c r="DB21" i="2"/>
  <c r="DC21" i="2" s="1"/>
  <c r="DD21" i="2" s="1"/>
  <c r="Y22" i="2"/>
  <c r="Z21" i="2"/>
  <c r="AA21" i="2" s="1"/>
  <c r="AB21" i="2" s="1"/>
  <c r="K21" i="2"/>
  <c r="L21" i="2" s="1"/>
  <c r="J22" i="2"/>
  <c r="DQ23" i="2" l="1"/>
  <c r="DR22" i="2"/>
  <c r="DS22" i="2" s="1"/>
  <c r="DT22" i="2" s="1"/>
  <c r="CK24" i="2"/>
  <c r="CL23" i="2"/>
  <c r="CM23" i="2" s="1"/>
  <c r="CN23" i="2" s="1"/>
  <c r="BE24" i="2"/>
  <c r="BF23" i="2"/>
  <c r="BG23" i="2" s="1"/>
  <c r="BH23" i="2" s="1"/>
  <c r="DA23" i="2"/>
  <c r="DB22" i="2"/>
  <c r="DC22" i="2" s="1"/>
  <c r="DD22" i="2" s="1"/>
  <c r="EW23" i="2"/>
  <c r="EX22" i="2"/>
  <c r="EY22" i="2" s="1"/>
  <c r="EZ22" i="2" s="1"/>
  <c r="BU24" i="2"/>
  <c r="BV23" i="2"/>
  <c r="BW23" i="2" s="1"/>
  <c r="BX23" i="2" s="1"/>
  <c r="EG24" i="2"/>
  <c r="EH23" i="2"/>
  <c r="EI23" i="2" s="1"/>
  <c r="EJ23" i="2" s="1"/>
  <c r="Y23" i="2"/>
  <c r="Z22" i="2"/>
  <c r="AA22" i="2" s="1"/>
  <c r="AB22" i="2" s="1"/>
  <c r="K22" i="2"/>
  <c r="L22" i="2" s="1"/>
  <c r="J23" i="2"/>
  <c r="BU25" i="2" l="1"/>
  <c r="BV24" i="2"/>
  <c r="BW24" i="2" s="1"/>
  <c r="BX24" i="2" s="1"/>
  <c r="DA24" i="2"/>
  <c r="DB23" i="2"/>
  <c r="DC23" i="2" s="1"/>
  <c r="DD23" i="2" s="1"/>
  <c r="CK25" i="2"/>
  <c r="CL24" i="2"/>
  <c r="CM24" i="2" s="1"/>
  <c r="CN24" i="2" s="1"/>
  <c r="EG25" i="2"/>
  <c r="EH24" i="2"/>
  <c r="EI24" i="2" s="1"/>
  <c r="EJ24" i="2" s="1"/>
  <c r="EW24" i="2"/>
  <c r="EX23" i="2"/>
  <c r="EY23" i="2" s="1"/>
  <c r="EZ23" i="2" s="1"/>
  <c r="BE25" i="2"/>
  <c r="BF24" i="2"/>
  <c r="BG24" i="2" s="1"/>
  <c r="BH24" i="2" s="1"/>
  <c r="DQ24" i="2"/>
  <c r="DR23" i="2"/>
  <c r="DS23" i="2" s="1"/>
  <c r="DT23" i="2" s="1"/>
  <c r="Y24" i="2"/>
  <c r="Z23" i="2"/>
  <c r="AA23" i="2" s="1"/>
  <c r="AB23" i="2" s="1"/>
  <c r="K23" i="2"/>
  <c r="L23" i="2" s="1"/>
  <c r="J24" i="2"/>
  <c r="BE26" i="2" l="1"/>
  <c r="BF25" i="2"/>
  <c r="BG25" i="2" s="1"/>
  <c r="BH25" i="2" s="1"/>
  <c r="EG26" i="2"/>
  <c r="EH25" i="2"/>
  <c r="EI25" i="2" s="1"/>
  <c r="EJ25" i="2" s="1"/>
  <c r="DA25" i="2"/>
  <c r="DB24" i="2"/>
  <c r="DC24" i="2" s="1"/>
  <c r="DD24" i="2" s="1"/>
  <c r="DQ25" i="2"/>
  <c r="DR24" i="2"/>
  <c r="DS24" i="2" s="1"/>
  <c r="DT24" i="2" s="1"/>
  <c r="EW25" i="2"/>
  <c r="EX24" i="2"/>
  <c r="EY24" i="2" s="1"/>
  <c r="EZ24" i="2" s="1"/>
  <c r="CK26" i="2"/>
  <c r="CL25" i="2"/>
  <c r="CM25" i="2" s="1"/>
  <c r="CN25" i="2" s="1"/>
  <c r="BU26" i="2"/>
  <c r="BV25" i="2"/>
  <c r="BW25" i="2" s="1"/>
  <c r="BX25" i="2" s="1"/>
  <c r="Y25" i="2"/>
  <c r="Z24" i="2"/>
  <c r="AA24" i="2" s="1"/>
  <c r="AB24" i="2" s="1"/>
  <c r="K24" i="2"/>
  <c r="L24" i="2" s="1"/>
  <c r="J25" i="2"/>
  <c r="CK27" i="2" l="1"/>
  <c r="CL26" i="2"/>
  <c r="CM26" i="2" s="1"/>
  <c r="CN26" i="2" s="1"/>
  <c r="DQ26" i="2"/>
  <c r="DR25" i="2"/>
  <c r="DS25" i="2" s="1"/>
  <c r="DT25" i="2" s="1"/>
  <c r="EG27" i="2"/>
  <c r="EH26" i="2"/>
  <c r="EI26" i="2" s="1"/>
  <c r="EJ26" i="2" s="1"/>
  <c r="BU27" i="2"/>
  <c r="BV26" i="2"/>
  <c r="BW26" i="2" s="1"/>
  <c r="BX26" i="2" s="1"/>
  <c r="EW26" i="2"/>
  <c r="EX25" i="2"/>
  <c r="EY25" i="2" s="1"/>
  <c r="EZ25" i="2" s="1"/>
  <c r="DA26" i="2"/>
  <c r="DB25" i="2"/>
  <c r="DC25" i="2" s="1"/>
  <c r="DD25" i="2" s="1"/>
  <c r="BE27" i="2"/>
  <c r="BF26" i="2"/>
  <c r="BG26" i="2" s="1"/>
  <c r="BH26" i="2" s="1"/>
  <c r="Y26" i="2"/>
  <c r="Z25" i="2"/>
  <c r="AA25" i="2" s="1"/>
  <c r="AB25" i="2" s="1"/>
  <c r="J26" i="2"/>
  <c r="K25" i="2"/>
  <c r="L25" i="2" s="1"/>
  <c r="DA27" i="2" l="1"/>
  <c r="DB26" i="2"/>
  <c r="DC26" i="2" s="1"/>
  <c r="DD26" i="2" s="1"/>
  <c r="BU28" i="2"/>
  <c r="BV27" i="2"/>
  <c r="BW27" i="2" s="1"/>
  <c r="BX27" i="2" s="1"/>
  <c r="DQ27" i="2"/>
  <c r="DR26" i="2"/>
  <c r="DS26" i="2" s="1"/>
  <c r="DT26" i="2" s="1"/>
  <c r="BE28" i="2"/>
  <c r="BF27" i="2"/>
  <c r="BG27" i="2" s="1"/>
  <c r="BH27" i="2" s="1"/>
  <c r="EW27" i="2"/>
  <c r="EX26" i="2"/>
  <c r="EY26" i="2" s="1"/>
  <c r="EZ26" i="2" s="1"/>
  <c r="EG28" i="2"/>
  <c r="EH27" i="2"/>
  <c r="EI27" i="2" s="1"/>
  <c r="EJ27" i="2" s="1"/>
  <c r="CK28" i="2"/>
  <c r="CL27" i="2"/>
  <c r="CM27" i="2" s="1"/>
  <c r="CN27" i="2" s="1"/>
  <c r="Y27" i="2"/>
  <c r="Z26" i="2"/>
  <c r="AA26" i="2" s="1"/>
  <c r="AB26" i="2" s="1"/>
  <c r="J27" i="2"/>
  <c r="K26" i="2"/>
  <c r="L26" i="2" s="1"/>
  <c r="EG29" i="2" l="1"/>
  <c r="EH28" i="2"/>
  <c r="EI28" i="2" s="1"/>
  <c r="EJ28" i="2" s="1"/>
  <c r="BE29" i="2"/>
  <c r="BF28" i="2"/>
  <c r="BG28" i="2" s="1"/>
  <c r="BH28" i="2" s="1"/>
  <c r="BU29" i="2"/>
  <c r="BV28" i="2"/>
  <c r="BW28" i="2" s="1"/>
  <c r="BX28" i="2" s="1"/>
  <c r="CK29" i="2"/>
  <c r="CL28" i="2"/>
  <c r="CM28" i="2" s="1"/>
  <c r="CN28" i="2" s="1"/>
  <c r="EW28" i="2"/>
  <c r="EX27" i="2"/>
  <c r="EY27" i="2" s="1"/>
  <c r="EZ27" i="2" s="1"/>
  <c r="DQ28" i="2"/>
  <c r="DR27" i="2"/>
  <c r="DS27" i="2" s="1"/>
  <c r="DT27" i="2" s="1"/>
  <c r="DA28" i="2"/>
  <c r="DB27" i="2"/>
  <c r="DC27" i="2" s="1"/>
  <c r="DD27" i="2" s="1"/>
  <c r="Y28" i="2"/>
  <c r="Z27" i="2"/>
  <c r="AA27" i="2" s="1"/>
  <c r="AB27" i="2" s="1"/>
  <c r="K27" i="2"/>
  <c r="L27" i="2" s="1"/>
  <c r="J28" i="2"/>
  <c r="DQ29" i="2" l="1"/>
  <c r="DR28" i="2"/>
  <c r="DS28" i="2" s="1"/>
  <c r="DT28" i="2" s="1"/>
  <c r="CK30" i="2"/>
  <c r="CL29" i="2"/>
  <c r="CM29" i="2" s="1"/>
  <c r="CN29" i="2" s="1"/>
  <c r="BE30" i="2"/>
  <c r="BF29" i="2"/>
  <c r="BG29" i="2" s="1"/>
  <c r="BH29" i="2" s="1"/>
  <c r="DA29" i="2"/>
  <c r="DB28" i="2"/>
  <c r="DC28" i="2" s="1"/>
  <c r="DD28" i="2" s="1"/>
  <c r="EW29" i="2"/>
  <c r="EX28" i="2"/>
  <c r="EY28" i="2" s="1"/>
  <c r="EZ28" i="2" s="1"/>
  <c r="BU30" i="2"/>
  <c r="BV29" i="2"/>
  <c r="BW29" i="2" s="1"/>
  <c r="BX29" i="2" s="1"/>
  <c r="EG30" i="2"/>
  <c r="EH29" i="2"/>
  <c r="EI29" i="2" s="1"/>
  <c r="EJ29" i="2" s="1"/>
  <c r="Y29" i="2"/>
  <c r="Z28" i="2"/>
  <c r="AA28" i="2" s="1"/>
  <c r="AB28" i="2" s="1"/>
  <c r="K28" i="2"/>
  <c r="L28" i="2" s="1"/>
  <c r="J29" i="2"/>
  <c r="BU31" i="2" l="1"/>
  <c r="BV30" i="2"/>
  <c r="BW30" i="2" s="1"/>
  <c r="BX30" i="2" s="1"/>
  <c r="DA30" i="2"/>
  <c r="DB29" i="2"/>
  <c r="DC29" i="2" s="1"/>
  <c r="DD29" i="2" s="1"/>
  <c r="CK31" i="2"/>
  <c r="CL30" i="2"/>
  <c r="CM30" i="2" s="1"/>
  <c r="CN30" i="2" s="1"/>
  <c r="EG31" i="2"/>
  <c r="EH30" i="2"/>
  <c r="EI30" i="2" s="1"/>
  <c r="EJ30" i="2" s="1"/>
  <c r="EW30" i="2"/>
  <c r="EX29" i="2"/>
  <c r="EY29" i="2" s="1"/>
  <c r="EZ29" i="2" s="1"/>
  <c r="BE31" i="2"/>
  <c r="BF30" i="2"/>
  <c r="BG30" i="2" s="1"/>
  <c r="BH30" i="2" s="1"/>
  <c r="DQ30" i="2"/>
  <c r="DR29" i="2"/>
  <c r="DS29" i="2" s="1"/>
  <c r="DT29" i="2" s="1"/>
  <c r="Y30" i="2"/>
  <c r="Z29" i="2"/>
  <c r="AA29" i="2" s="1"/>
  <c r="AB29" i="2" s="1"/>
  <c r="K29" i="2"/>
  <c r="L29" i="2" s="1"/>
  <c r="J30" i="2"/>
  <c r="BE32" i="2" l="1"/>
  <c r="BF31" i="2"/>
  <c r="BG31" i="2" s="1"/>
  <c r="BH31" i="2" s="1"/>
  <c r="EG32" i="2"/>
  <c r="EH31" i="2"/>
  <c r="EI31" i="2" s="1"/>
  <c r="EJ31" i="2" s="1"/>
  <c r="DA31" i="2"/>
  <c r="DB30" i="2"/>
  <c r="DC30" i="2" s="1"/>
  <c r="DD30" i="2" s="1"/>
  <c r="DQ31" i="2"/>
  <c r="DR30" i="2"/>
  <c r="DS30" i="2" s="1"/>
  <c r="DT30" i="2" s="1"/>
  <c r="EW31" i="2"/>
  <c r="EX30" i="2"/>
  <c r="EY30" i="2" s="1"/>
  <c r="EZ30" i="2" s="1"/>
  <c r="CK32" i="2"/>
  <c r="CL31" i="2"/>
  <c r="CM31" i="2" s="1"/>
  <c r="CN31" i="2" s="1"/>
  <c r="BU32" i="2"/>
  <c r="BV31" i="2"/>
  <c r="BW31" i="2" s="1"/>
  <c r="BX31" i="2" s="1"/>
  <c r="Y31" i="2"/>
  <c r="Z30" i="2"/>
  <c r="AA30" i="2" s="1"/>
  <c r="AB30" i="2" s="1"/>
  <c r="K30" i="2"/>
  <c r="L30" i="2" s="1"/>
  <c r="J31" i="2"/>
  <c r="CK33" i="2" l="1"/>
  <c r="CL32" i="2"/>
  <c r="CM32" i="2" s="1"/>
  <c r="CN32" i="2" s="1"/>
  <c r="DQ32" i="2"/>
  <c r="DR31" i="2"/>
  <c r="DS31" i="2" s="1"/>
  <c r="DT31" i="2" s="1"/>
  <c r="EG33" i="2"/>
  <c r="EH32" i="2"/>
  <c r="EI32" i="2" s="1"/>
  <c r="EJ32" i="2" s="1"/>
  <c r="BU33" i="2"/>
  <c r="BV32" i="2"/>
  <c r="BW32" i="2" s="1"/>
  <c r="BX32" i="2" s="1"/>
  <c r="EW32" i="2"/>
  <c r="EX31" i="2"/>
  <c r="EY31" i="2" s="1"/>
  <c r="EZ31" i="2" s="1"/>
  <c r="DA32" i="2"/>
  <c r="DB31" i="2"/>
  <c r="DC31" i="2" s="1"/>
  <c r="DD31" i="2" s="1"/>
  <c r="BE33" i="2"/>
  <c r="BF32" i="2"/>
  <c r="BG32" i="2" s="1"/>
  <c r="BH32" i="2" s="1"/>
  <c r="Y32" i="2"/>
  <c r="Z31" i="2"/>
  <c r="AA31" i="2" s="1"/>
  <c r="AB31" i="2" s="1"/>
  <c r="K31" i="2"/>
  <c r="L31" i="2" s="1"/>
  <c r="J32" i="2"/>
  <c r="DA33" i="2" l="1"/>
  <c r="DB32" i="2"/>
  <c r="DC32" i="2" s="1"/>
  <c r="DD32" i="2" s="1"/>
  <c r="BU34" i="2"/>
  <c r="BV33" i="2"/>
  <c r="BW33" i="2" s="1"/>
  <c r="BX33" i="2" s="1"/>
  <c r="DQ33" i="2"/>
  <c r="DR32" i="2"/>
  <c r="DS32" i="2" s="1"/>
  <c r="DT32" i="2" s="1"/>
  <c r="BE34" i="2"/>
  <c r="BF33" i="2"/>
  <c r="BG33" i="2" s="1"/>
  <c r="BH33" i="2" s="1"/>
  <c r="EW33" i="2"/>
  <c r="EX32" i="2"/>
  <c r="EY32" i="2" s="1"/>
  <c r="EZ32" i="2" s="1"/>
  <c r="EG34" i="2"/>
  <c r="EH33" i="2"/>
  <c r="EI33" i="2" s="1"/>
  <c r="EJ33" i="2" s="1"/>
  <c r="CK34" i="2"/>
  <c r="CL33" i="2"/>
  <c r="CM33" i="2" s="1"/>
  <c r="CN33" i="2" s="1"/>
  <c r="Y33" i="2"/>
  <c r="Z32" i="2"/>
  <c r="AA32" i="2" s="1"/>
  <c r="AB32" i="2" s="1"/>
  <c r="K32" i="2"/>
  <c r="L32" i="2" s="1"/>
  <c r="J33" i="2"/>
  <c r="EG35" i="2" l="1"/>
  <c r="EH34" i="2"/>
  <c r="EI34" i="2" s="1"/>
  <c r="EJ34" i="2" s="1"/>
  <c r="BE35" i="2"/>
  <c r="BF34" i="2"/>
  <c r="BG34" i="2" s="1"/>
  <c r="BH34" i="2" s="1"/>
  <c r="BU35" i="2"/>
  <c r="BV34" i="2"/>
  <c r="BW34" i="2" s="1"/>
  <c r="BX34" i="2" s="1"/>
  <c r="CK35" i="2"/>
  <c r="CL34" i="2"/>
  <c r="CM34" i="2" s="1"/>
  <c r="CN34" i="2" s="1"/>
  <c r="EW34" i="2"/>
  <c r="EX33" i="2"/>
  <c r="EY33" i="2" s="1"/>
  <c r="EZ33" i="2" s="1"/>
  <c r="DQ34" i="2"/>
  <c r="DR33" i="2"/>
  <c r="DS33" i="2" s="1"/>
  <c r="DT33" i="2" s="1"/>
  <c r="DA34" i="2"/>
  <c r="DB33" i="2"/>
  <c r="DC33" i="2" s="1"/>
  <c r="DD33" i="2" s="1"/>
  <c r="Y34" i="2"/>
  <c r="Z33" i="2"/>
  <c r="AA33" i="2" s="1"/>
  <c r="AB33" i="2" s="1"/>
  <c r="C7" i="4" s="1"/>
  <c r="K33" i="2"/>
  <c r="L33" i="2" s="1"/>
  <c r="C6" i="4" s="1"/>
  <c r="J34" i="2"/>
  <c r="DQ35" i="2" l="1"/>
  <c r="DR34" i="2"/>
  <c r="DS34" i="2" s="1"/>
  <c r="DT34" i="2" s="1"/>
  <c r="CK36" i="2"/>
  <c r="CL35" i="2"/>
  <c r="CM35" i="2" s="1"/>
  <c r="CN35" i="2" s="1"/>
  <c r="BE36" i="2"/>
  <c r="BF35" i="2"/>
  <c r="BG35" i="2" s="1"/>
  <c r="BH35" i="2" s="1"/>
  <c r="DA35" i="2"/>
  <c r="DB34" i="2"/>
  <c r="DC34" i="2" s="1"/>
  <c r="DD34" i="2" s="1"/>
  <c r="EW35" i="2"/>
  <c r="EX34" i="2"/>
  <c r="EY34" i="2" s="1"/>
  <c r="EZ34" i="2" s="1"/>
  <c r="BU36" i="2"/>
  <c r="BV35" i="2"/>
  <c r="BW35" i="2" s="1"/>
  <c r="BX35" i="2" s="1"/>
  <c r="EG36" i="2"/>
  <c r="EH35" i="2"/>
  <c r="EI35" i="2" s="1"/>
  <c r="EJ35" i="2" s="1"/>
  <c r="Y35" i="2"/>
  <c r="Z34" i="2"/>
  <c r="AA34" i="2" s="1"/>
  <c r="AB34" i="2" s="1"/>
  <c r="J35" i="2"/>
  <c r="K34" i="2"/>
  <c r="L34" i="2" s="1"/>
  <c r="BU37" i="2" l="1"/>
  <c r="BV36" i="2"/>
  <c r="BW36" i="2" s="1"/>
  <c r="BX36" i="2" s="1"/>
  <c r="DA36" i="2"/>
  <c r="DB35" i="2"/>
  <c r="DC35" i="2" s="1"/>
  <c r="DD35" i="2" s="1"/>
  <c r="CK37" i="2"/>
  <c r="CL36" i="2"/>
  <c r="CM36" i="2" s="1"/>
  <c r="CN36" i="2" s="1"/>
  <c r="EG37" i="2"/>
  <c r="EH36" i="2"/>
  <c r="EI36" i="2" s="1"/>
  <c r="EJ36" i="2" s="1"/>
  <c r="EW36" i="2"/>
  <c r="EX35" i="2"/>
  <c r="EY35" i="2" s="1"/>
  <c r="EZ35" i="2" s="1"/>
  <c r="BE37" i="2"/>
  <c r="BF36" i="2"/>
  <c r="BG36" i="2" s="1"/>
  <c r="BH36" i="2" s="1"/>
  <c r="DQ36" i="2"/>
  <c r="DR35" i="2"/>
  <c r="DS35" i="2" s="1"/>
  <c r="DT35" i="2" s="1"/>
  <c r="Y36" i="2"/>
  <c r="Z35" i="2"/>
  <c r="AA35" i="2" s="1"/>
  <c r="AB35" i="2" s="1"/>
  <c r="K35" i="2"/>
  <c r="L35" i="2" s="1"/>
  <c r="J36" i="2"/>
  <c r="BE38" i="2" l="1"/>
  <c r="BF37" i="2"/>
  <c r="BG37" i="2" s="1"/>
  <c r="BH37" i="2" s="1"/>
  <c r="EG38" i="2"/>
  <c r="EH37" i="2"/>
  <c r="EI37" i="2" s="1"/>
  <c r="EJ37" i="2" s="1"/>
  <c r="DA37" i="2"/>
  <c r="DB36" i="2"/>
  <c r="DC36" i="2" s="1"/>
  <c r="DD36" i="2" s="1"/>
  <c r="DQ37" i="2"/>
  <c r="DR36" i="2"/>
  <c r="DS36" i="2" s="1"/>
  <c r="DT36" i="2" s="1"/>
  <c r="EW37" i="2"/>
  <c r="EX36" i="2"/>
  <c r="EY36" i="2" s="1"/>
  <c r="EZ36" i="2" s="1"/>
  <c r="CK38" i="2"/>
  <c r="CL37" i="2"/>
  <c r="CM37" i="2" s="1"/>
  <c r="CN37" i="2" s="1"/>
  <c r="BU38" i="2"/>
  <c r="BV37" i="2"/>
  <c r="BW37" i="2" s="1"/>
  <c r="BX37" i="2" s="1"/>
  <c r="Y37" i="2"/>
  <c r="Z36" i="2"/>
  <c r="AA36" i="2" s="1"/>
  <c r="AB36" i="2" s="1"/>
  <c r="K36" i="2"/>
  <c r="L36" i="2" s="1"/>
  <c r="J37" i="2"/>
  <c r="CK39" i="2" l="1"/>
  <c r="CL38" i="2"/>
  <c r="CM38" i="2" s="1"/>
  <c r="CN38" i="2" s="1"/>
  <c r="DQ38" i="2"/>
  <c r="DR37" i="2"/>
  <c r="DS37" i="2" s="1"/>
  <c r="DT37" i="2" s="1"/>
  <c r="EG39" i="2"/>
  <c r="EH38" i="2"/>
  <c r="EI38" i="2" s="1"/>
  <c r="EJ38" i="2" s="1"/>
  <c r="BU39" i="2"/>
  <c r="BV38" i="2"/>
  <c r="BW38" i="2" s="1"/>
  <c r="BX38" i="2" s="1"/>
  <c r="EW38" i="2"/>
  <c r="EX37" i="2"/>
  <c r="EY37" i="2" s="1"/>
  <c r="EZ37" i="2" s="1"/>
  <c r="DA38" i="2"/>
  <c r="DB37" i="2"/>
  <c r="DC37" i="2" s="1"/>
  <c r="DD37" i="2" s="1"/>
  <c r="BE39" i="2"/>
  <c r="BF38" i="2"/>
  <c r="BG38" i="2" s="1"/>
  <c r="BH38" i="2" s="1"/>
  <c r="Y38" i="2"/>
  <c r="Z37" i="2"/>
  <c r="AA37" i="2" s="1"/>
  <c r="AB37" i="2" s="1"/>
  <c r="K37" i="2"/>
  <c r="L37" i="2" s="1"/>
  <c r="J38" i="2"/>
  <c r="DA39" i="2" l="1"/>
  <c r="DB38" i="2"/>
  <c r="DC38" i="2" s="1"/>
  <c r="DD38" i="2" s="1"/>
  <c r="BU40" i="2"/>
  <c r="BV39" i="2"/>
  <c r="BW39" i="2" s="1"/>
  <c r="BX39" i="2" s="1"/>
  <c r="DQ39" i="2"/>
  <c r="DR38" i="2"/>
  <c r="DS38" i="2" s="1"/>
  <c r="DT38" i="2" s="1"/>
  <c r="BE40" i="2"/>
  <c r="BF39" i="2"/>
  <c r="BG39" i="2" s="1"/>
  <c r="BH39" i="2" s="1"/>
  <c r="EW39" i="2"/>
  <c r="EX38" i="2"/>
  <c r="EY38" i="2" s="1"/>
  <c r="EZ38" i="2" s="1"/>
  <c r="EG40" i="2"/>
  <c r="EH39" i="2"/>
  <c r="EI39" i="2" s="1"/>
  <c r="EJ39" i="2" s="1"/>
  <c r="CK40" i="2"/>
  <c r="CL39" i="2"/>
  <c r="CM39" i="2" s="1"/>
  <c r="CN39" i="2" s="1"/>
  <c r="Y39" i="2"/>
  <c r="Z38" i="2"/>
  <c r="AA38" i="2" s="1"/>
  <c r="AB38" i="2" s="1"/>
  <c r="K38" i="2"/>
  <c r="L38" i="2" s="1"/>
  <c r="J39" i="2"/>
  <c r="EG41" i="2" l="1"/>
  <c r="EH40" i="2"/>
  <c r="EI40" i="2" s="1"/>
  <c r="EJ40" i="2" s="1"/>
  <c r="BE41" i="2"/>
  <c r="BF40" i="2"/>
  <c r="BG40" i="2" s="1"/>
  <c r="BH40" i="2" s="1"/>
  <c r="BU41" i="2"/>
  <c r="BV40" i="2"/>
  <c r="BW40" i="2" s="1"/>
  <c r="BX40" i="2" s="1"/>
  <c r="CK41" i="2"/>
  <c r="CL40" i="2"/>
  <c r="CM40" i="2" s="1"/>
  <c r="CN40" i="2" s="1"/>
  <c r="EW40" i="2"/>
  <c r="EX39" i="2"/>
  <c r="EY39" i="2" s="1"/>
  <c r="EZ39" i="2" s="1"/>
  <c r="DQ40" i="2"/>
  <c r="DR39" i="2"/>
  <c r="DS39" i="2" s="1"/>
  <c r="DT39" i="2" s="1"/>
  <c r="DA40" i="2"/>
  <c r="DB39" i="2"/>
  <c r="DC39" i="2" s="1"/>
  <c r="DD39" i="2" s="1"/>
  <c r="Y40" i="2"/>
  <c r="Z39" i="2"/>
  <c r="AA39" i="2" s="1"/>
  <c r="AB39" i="2" s="1"/>
  <c r="K39" i="2"/>
  <c r="L39" i="2" s="1"/>
  <c r="J40" i="2"/>
  <c r="DQ41" i="2" l="1"/>
  <c r="DR40" i="2"/>
  <c r="DS40" i="2" s="1"/>
  <c r="DT40" i="2" s="1"/>
  <c r="CK42" i="2"/>
  <c r="CL41" i="2"/>
  <c r="CM41" i="2" s="1"/>
  <c r="CN41" i="2" s="1"/>
  <c r="BE42" i="2"/>
  <c r="BF41" i="2"/>
  <c r="BG41" i="2" s="1"/>
  <c r="BH41" i="2" s="1"/>
  <c r="DA41" i="2"/>
  <c r="DB40" i="2"/>
  <c r="DC40" i="2" s="1"/>
  <c r="DD40" i="2" s="1"/>
  <c r="EW41" i="2"/>
  <c r="EX40" i="2"/>
  <c r="EY40" i="2" s="1"/>
  <c r="EZ40" i="2" s="1"/>
  <c r="BU42" i="2"/>
  <c r="BV41" i="2"/>
  <c r="BW41" i="2" s="1"/>
  <c r="BX41" i="2" s="1"/>
  <c r="EG42" i="2"/>
  <c r="EH41" i="2"/>
  <c r="EI41" i="2" s="1"/>
  <c r="EJ41" i="2" s="1"/>
  <c r="Y41" i="2"/>
  <c r="Z40" i="2"/>
  <c r="AA40" i="2" s="1"/>
  <c r="AB40" i="2" s="1"/>
  <c r="K40" i="2"/>
  <c r="L40" i="2" s="1"/>
  <c r="J41" i="2"/>
  <c r="BU43" i="2" l="1"/>
  <c r="BV42" i="2"/>
  <c r="BW42" i="2" s="1"/>
  <c r="BX42" i="2" s="1"/>
  <c r="DA42" i="2"/>
  <c r="DB41" i="2"/>
  <c r="DC41" i="2" s="1"/>
  <c r="DD41" i="2" s="1"/>
  <c r="CK43" i="2"/>
  <c r="CL42" i="2"/>
  <c r="CM42" i="2" s="1"/>
  <c r="CN42" i="2" s="1"/>
  <c r="EG43" i="2"/>
  <c r="EH42" i="2"/>
  <c r="EI42" i="2" s="1"/>
  <c r="EJ42" i="2" s="1"/>
  <c r="EW42" i="2"/>
  <c r="EX41" i="2"/>
  <c r="EY41" i="2" s="1"/>
  <c r="EZ41" i="2" s="1"/>
  <c r="BE43" i="2"/>
  <c r="BF42" i="2"/>
  <c r="BG42" i="2" s="1"/>
  <c r="BH42" i="2" s="1"/>
  <c r="DQ42" i="2"/>
  <c r="DR41" i="2"/>
  <c r="DS41" i="2" s="1"/>
  <c r="DT41" i="2" s="1"/>
  <c r="Y42" i="2"/>
  <c r="Z41" i="2"/>
  <c r="AA41" i="2" s="1"/>
  <c r="AB41" i="2" s="1"/>
  <c r="K41" i="2"/>
  <c r="L41" i="2" s="1"/>
  <c r="J42" i="2"/>
  <c r="BE44" i="2" l="1"/>
  <c r="BF43" i="2"/>
  <c r="BG43" i="2" s="1"/>
  <c r="BH43" i="2" s="1"/>
  <c r="EG44" i="2"/>
  <c r="EH43" i="2"/>
  <c r="EI43" i="2" s="1"/>
  <c r="EJ43" i="2" s="1"/>
  <c r="DA43" i="2"/>
  <c r="DB42" i="2"/>
  <c r="DC42" i="2" s="1"/>
  <c r="DD42" i="2" s="1"/>
  <c r="DQ43" i="2"/>
  <c r="DR42" i="2"/>
  <c r="DS42" i="2" s="1"/>
  <c r="DT42" i="2" s="1"/>
  <c r="EW43" i="2"/>
  <c r="EX42" i="2"/>
  <c r="EY42" i="2" s="1"/>
  <c r="EZ42" i="2" s="1"/>
  <c r="CK44" i="2"/>
  <c r="CL43" i="2"/>
  <c r="CM43" i="2" s="1"/>
  <c r="CN43" i="2" s="1"/>
  <c r="BU44" i="2"/>
  <c r="BV43" i="2"/>
  <c r="BW43" i="2" s="1"/>
  <c r="BX43" i="2" s="1"/>
  <c r="Y43" i="2"/>
  <c r="Z42" i="2"/>
  <c r="AA42" i="2" s="1"/>
  <c r="AB42" i="2" s="1"/>
  <c r="J43" i="2"/>
  <c r="K42" i="2"/>
  <c r="L42" i="2" s="1"/>
  <c r="CK45" i="2" l="1"/>
  <c r="CL44" i="2"/>
  <c r="CM44" i="2" s="1"/>
  <c r="CN44" i="2" s="1"/>
  <c r="DQ44" i="2"/>
  <c r="DR43" i="2"/>
  <c r="DS43" i="2" s="1"/>
  <c r="DT43" i="2" s="1"/>
  <c r="EG45" i="2"/>
  <c r="EH44" i="2"/>
  <c r="EI44" i="2" s="1"/>
  <c r="EJ44" i="2" s="1"/>
  <c r="BU45" i="2"/>
  <c r="BV44" i="2"/>
  <c r="BW44" i="2" s="1"/>
  <c r="BX44" i="2" s="1"/>
  <c r="EW44" i="2"/>
  <c r="EX43" i="2"/>
  <c r="EY43" i="2" s="1"/>
  <c r="EZ43" i="2" s="1"/>
  <c r="DA44" i="2"/>
  <c r="DB43" i="2"/>
  <c r="DC43" i="2" s="1"/>
  <c r="DD43" i="2" s="1"/>
  <c r="BE45" i="2"/>
  <c r="BF44" i="2"/>
  <c r="BG44" i="2" s="1"/>
  <c r="BH44" i="2" s="1"/>
  <c r="Y44" i="2"/>
  <c r="Z43" i="2"/>
  <c r="AA43" i="2" s="1"/>
  <c r="AB43" i="2" s="1"/>
  <c r="K43" i="2"/>
  <c r="L43" i="2" s="1"/>
  <c r="J44" i="2"/>
  <c r="DA45" i="2" l="1"/>
  <c r="DB44" i="2"/>
  <c r="DC44" i="2" s="1"/>
  <c r="DD44" i="2" s="1"/>
  <c r="BU46" i="2"/>
  <c r="BV45" i="2"/>
  <c r="BW45" i="2" s="1"/>
  <c r="BX45" i="2" s="1"/>
  <c r="DQ45" i="2"/>
  <c r="DR44" i="2"/>
  <c r="DS44" i="2" s="1"/>
  <c r="DT44" i="2" s="1"/>
  <c r="BE46" i="2"/>
  <c r="BF45" i="2"/>
  <c r="BG45" i="2" s="1"/>
  <c r="BH45" i="2" s="1"/>
  <c r="EW45" i="2"/>
  <c r="EX44" i="2"/>
  <c r="EY44" i="2" s="1"/>
  <c r="EZ44" i="2" s="1"/>
  <c r="EG46" i="2"/>
  <c r="EH45" i="2"/>
  <c r="EI45" i="2" s="1"/>
  <c r="EJ45" i="2" s="1"/>
  <c r="CK46" i="2"/>
  <c r="CL45" i="2"/>
  <c r="CM45" i="2" s="1"/>
  <c r="CN45" i="2" s="1"/>
  <c r="Y45" i="2"/>
  <c r="Z44" i="2"/>
  <c r="AA44" i="2" s="1"/>
  <c r="AB44" i="2" s="1"/>
  <c r="J45" i="2"/>
  <c r="K44" i="2"/>
  <c r="L44" i="2" s="1"/>
  <c r="EG47" i="2" l="1"/>
  <c r="EH46" i="2"/>
  <c r="EI46" i="2" s="1"/>
  <c r="EJ46" i="2" s="1"/>
  <c r="BE47" i="2"/>
  <c r="BF46" i="2"/>
  <c r="BG46" i="2" s="1"/>
  <c r="BH46" i="2" s="1"/>
  <c r="BU47" i="2"/>
  <c r="BV46" i="2"/>
  <c r="BW46" i="2" s="1"/>
  <c r="BX46" i="2" s="1"/>
  <c r="CK47" i="2"/>
  <c r="CL46" i="2"/>
  <c r="CM46" i="2" s="1"/>
  <c r="CN46" i="2" s="1"/>
  <c r="EW46" i="2"/>
  <c r="EX45" i="2"/>
  <c r="EY45" i="2" s="1"/>
  <c r="EZ45" i="2" s="1"/>
  <c r="DQ46" i="2"/>
  <c r="DR45" i="2"/>
  <c r="DS45" i="2" s="1"/>
  <c r="DT45" i="2" s="1"/>
  <c r="DA46" i="2"/>
  <c r="DB45" i="2"/>
  <c r="DC45" i="2" s="1"/>
  <c r="DD45" i="2" s="1"/>
  <c r="Y46" i="2"/>
  <c r="Z45" i="2"/>
  <c r="AA45" i="2" s="1"/>
  <c r="AB45" i="2" s="1"/>
  <c r="K45" i="2"/>
  <c r="L45" i="2" s="1"/>
  <c r="J46" i="2"/>
  <c r="DQ47" i="2" l="1"/>
  <c r="DR46" i="2"/>
  <c r="DS46" i="2" s="1"/>
  <c r="DT46" i="2" s="1"/>
  <c r="CK48" i="2"/>
  <c r="CL47" i="2"/>
  <c r="CM47" i="2" s="1"/>
  <c r="CN47" i="2" s="1"/>
  <c r="BE48" i="2"/>
  <c r="BF47" i="2"/>
  <c r="BG47" i="2" s="1"/>
  <c r="BH47" i="2" s="1"/>
  <c r="DA47" i="2"/>
  <c r="DB46" i="2"/>
  <c r="DC46" i="2" s="1"/>
  <c r="DD46" i="2" s="1"/>
  <c r="EW47" i="2"/>
  <c r="EX46" i="2"/>
  <c r="EY46" i="2" s="1"/>
  <c r="EZ46" i="2" s="1"/>
  <c r="BU48" i="2"/>
  <c r="BV47" i="2"/>
  <c r="BW47" i="2" s="1"/>
  <c r="BX47" i="2" s="1"/>
  <c r="EG48" i="2"/>
  <c r="EH47" i="2"/>
  <c r="EI47" i="2" s="1"/>
  <c r="EJ47" i="2" s="1"/>
  <c r="Y47" i="2"/>
  <c r="Z46" i="2"/>
  <c r="AA46" i="2" s="1"/>
  <c r="AB46" i="2" s="1"/>
  <c r="K46" i="2"/>
  <c r="L46" i="2" s="1"/>
  <c r="J47" i="2"/>
  <c r="BU49" i="2" l="1"/>
  <c r="BV48" i="2"/>
  <c r="BW48" i="2" s="1"/>
  <c r="BX48" i="2" s="1"/>
  <c r="DA48" i="2"/>
  <c r="DB47" i="2"/>
  <c r="DC47" i="2" s="1"/>
  <c r="DD47" i="2" s="1"/>
  <c r="CK49" i="2"/>
  <c r="CL48" i="2"/>
  <c r="CM48" i="2" s="1"/>
  <c r="CN48" i="2" s="1"/>
  <c r="EG49" i="2"/>
  <c r="EH48" i="2"/>
  <c r="EI48" i="2" s="1"/>
  <c r="EJ48" i="2" s="1"/>
  <c r="EW48" i="2"/>
  <c r="EX47" i="2"/>
  <c r="EY47" i="2" s="1"/>
  <c r="EZ47" i="2" s="1"/>
  <c r="BE49" i="2"/>
  <c r="BF48" i="2"/>
  <c r="BG48" i="2" s="1"/>
  <c r="BH48" i="2" s="1"/>
  <c r="DQ48" i="2"/>
  <c r="DR47" i="2"/>
  <c r="DS47" i="2" s="1"/>
  <c r="DT47" i="2" s="1"/>
  <c r="Y48" i="2"/>
  <c r="Z47" i="2"/>
  <c r="AA47" i="2" s="1"/>
  <c r="AB47" i="2" s="1"/>
  <c r="K47" i="2"/>
  <c r="L47" i="2" s="1"/>
  <c r="J48" i="2"/>
  <c r="BE50" i="2" l="1"/>
  <c r="BF49" i="2"/>
  <c r="BG49" i="2" s="1"/>
  <c r="BH49" i="2" s="1"/>
  <c r="EG50" i="2"/>
  <c r="EH49" i="2"/>
  <c r="EI49" i="2" s="1"/>
  <c r="EJ49" i="2" s="1"/>
  <c r="DA49" i="2"/>
  <c r="DB48" i="2"/>
  <c r="DC48" i="2" s="1"/>
  <c r="DD48" i="2" s="1"/>
  <c r="DQ49" i="2"/>
  <c r="DR48" i="2"/>
  <c r="DS48" i="2" s="1"/>
  <c r="DT48" i="2" s="1"/>
  <c r="EW49" i="2"/>
  <c r="EX48" i="2"/>
  <c r="EY48" i="2" s="1"/>
  <c r="EZ48" i="2" s="1"/>
  <c r="CK50" i="2"/>
  <c r="CL49" i="2"/>
  <c r="CM49" i="2" s="1"/>
  <c r="CN49" i="2" s="1"/>
  <c r="BU50" i="2"/>
  <c r="BV49" i="2"/>
  <c r="BW49" i="2" s="1"/>
  <c r="BX49" i="2" s="1"/>
  <c r="Y49" i="2"/>
  <c r="Z48" i="2"/>
  <c r="AA48" i="2" s="1"/>
  <c r="AB48" i="2" s="1"/>
  <c r="K48" i="2"/>
  <c r="L48" i="2" s="1"/>
  <c r="J49" i="2"/>
  <c r="CK51" i="2" l="1"/>
  <c r="CL50" i="2"/>
  <c r="CM50" i="2" s="1"/>
  <c r="CN50" i="2" s="1"/>
  <c r="DQ50" i="2"/>
  <c r="DR49" i="2"/>
  <c r="DS49" i="2" s="1"/>
  <c r="DT49" i="2" s="1"/>
  <c r="EG51" i="2"/>
  <c r="EH50" i="2"/>
  <c r="EI50" i="2" s="1"/>
  <c r="EJ50" i="2" s="1"/>
  <c r="BU51" i="2"/>
  <c r="BV50" i="2"/>
  <c r="BW50" i="2" s="1"/>
  <c r="BX50" i="2" s="1"/>
  <c r="EW50" i="2"/>
  <c r="EX49" i="2"/>
  <c r="EY49" i="2" s="1"/>
  <c r="EZ49" i="2" s="1"/>
  <c r="DA50" i="2"/>
  <c r="DB49" i="2"/>
  <c r="DC49" i="2" s="1"/>
  <c r="DD49" i="2" s="1"/>
  <c r="BE51" i="2"/>
  <c r="BF50" i="2"/>
  <c r="BG50" i="2" s="1"/>
  <c r="BH50" i="2" s="1"/>
  <c r="Y50" i="2"/>
  <c r="Z49" i="2"/>
  <c r="AA49" i="2" s="1"/>
  <c r="AB49" i="2" s="1"/>
  <c r="K49" i="2"/>
  <c r="L49" i="2" s="1"/>
  <c r="J50" i="2"/>
  <c r="DA51" i="2" l="1"/>
  <c r="DB50" i="2"/>
  <c r="DC50" i="2" s="1"/>
  <c r="DD50" i="2" s="1"/>
  <c r="BU52" i="2"/>
  <c r="BV51" i="2"/>
  <c r="BW51" i="2" s="1"/>
  <c r="BX51" i="2" s="1"/>
  <c r="DQ51" i="2"/>
  <c r="DR50" i="2"/>
  <c r="DS50" i="2" s="1"/>
  <c r="DT50" i="2" s="1"/>
  <c r="BE52" i="2"/>
  <c r="BF51" i="2"/>
  <c r="BG51" i="2" s="1"/>
  <c r="BH51" i="2" s="1"/>
  <c r="EW51" i="2"/>
  <c r="EX50" i="2"/>
  <c r="EY50" i="2" s="1"/>
  <c r="EZ50" i="2" s="1"/>
  <c r="EG52" i="2"/>
  <c r="EH51" i="2"/>
  <c r="EI51" i="2" s="1"/>
  <c r="EJ51" i="2" s="1"/>
  <c r="CK52" i="2"/>
  <c r="CL51" i="2"/>
  <c r="CM51" i="2" s="1"/>
  <c r="CN51" i="2" s="1"/>
  <c r="Y51" i="2"/>
  <c r="Z50" i="2"/>
  <c r="AA50" i="2" s="1"/>
  <c r="AB50" i="2" s="1"/>
  <c r="J51" i="2"/>
  <c r="K50" i="2"/>
  <c r="L50" i="2" s="1"/>
  <c r="EG53" i="2" l="1"/>
  <c r="EH52" i="2"/>
  <c r="EI52" i="2" s="1"/>
  <c r="EJ52" i="2" s="1"/>
  <c r="BE53" i="2"/>
  <c r="BF52" i="2"/>
  <c r="BG52" i="2" s="1"/>
  <c r="BH52" i="2" s="1"/>
  <c r="BU53" i="2"/>
  <c r="BV52" i="2"/>
  <c r="BW52" i="2" s="1"/>
  <c r="BX52" i="2" s="1"/>
  <c r="CK53" i="2"/>
  <c r="CL52" i="2"/>
  <c r="CM52" i="2" s="1"/>
  <c r="CN52" i="2" s="1"/>
  <c r="EW52" i="2"/>
  <c r="EX51" i="2"/>
  <c r="EY51" i="2" s="1"/>
  <c r="EZ51" i="2" s="1"/>
  <c r="DQ52" i="2"/>
  <c r="DR51" i="2"/>
  <c r="DS51" i="2" s="1"/>
  <c r="DT51" i="2" s="1"/>
  <c r="DA52" i="2"/>
  <c r="DB51" i="2"/>
  <c r="DC51" i="2" s="1"/>
  <c r="DD51" i="2" s="1"/>
  <c r="Y52" i="2"/>
  <c r="Z51" i="2"/>
  <c r="AA51" i="2" s="1"/>
  <c r="AB51" i="2" s="1"/>
  <c r="K51" i="2"/>
  <c r="L51" i="2" s="1"/>
  <c r="J52" i="2"/>
  <c r="DQ53" i="2" l="1"/>
  <c r="DR52" i="2"/>
  <c r="DS52" i="2" s="1"/>
  <c r="DT52" i="2" s="1"/>
  <c r="CK54" i="2"/>
  <c r="CL53" i="2"/>
  <c r="CM53" i="2" s="1"/>
  <c r="CN53" i="2" s="1"/>
  <c r="BE54" i="2"/>
  <c r="BF53" i="2"/>
  <c r="BG53" i="2" s="1"/>
  <c r="BH53" i="2" s="1"/>
  <c r="DA53" i="2"/>
  <c r="DB52" i="2"/>
  <c r="DC52" i="2" s="1"/>
  <c r="DD52" i="2" s="1"/>
  <c r="EW53" i="2"/>
  <c r="EX52" i="2"/>
  <c r="EY52" i="2" s="1"/>
  <c r="EZ52" i="2" s="1"/>
  <c r="BU54" i="2"/>
  <c r="BV53" i="2"/>
  <c r="BW53" i="2" s="1"/>
  <c r="BX53" i="2" s="1"/>
  <c r="EG54" i="2"/>
  <c r="EH53" i="2"/>
  <c r="EI53" i="2" s="1"/>
  <c r="EJ53" i="2" s="1"/>
  <c r="Y53" i="2"/>
  <c r="Z52" i="2"/>
  <c r="AA52" i="2" s="1"/>
  <c r="AB52" i="2" s="1"/>
  <c r="K52" i="2"/>
  <c r="L52" i="2" s="1"/>
  <c r="J53" i="2"/>
  <c r="BU55" i="2" l="1"/>
  <c r="BV54" i="2"/>
  <c r="BW54" i="2" s="1"/>
  <c r="BX54" i="2" s="1"/>
  <c r="DA54" i="2"/>
  <c r="DB53" i="2"/>
  <c r="DC53" i="2" s="1"/>
  <c r="DD53" i="2" s="1"/>
  <c r="CK55" i="2"/>
  <c r="CL54" i="2"/>
  <c r="CM54" i="2" s="1"/>
  <c r="CN54" i="2" s="1"/>
  <c r="EG55" i="2"/>
  <c r="EH54" i="2"/>
  <c r="EI54" i="2" s="1"/>
  <c r="EJ54" i="2" s="1"/>
  <c r="EW54" i="2"/>
  <c r="EX53" i="2"/>
  <c r="EY53" i="2" s="1"/>
  <c r="EZ53" i="2" s="1"/>
  <c r="BE55" i="2"/>
  <c r="BF54" i="2"/>
  <c r="BG54" i="2" s="1"/>
  <c r="BH54" i="2" s="1"/>
  <c r="DQ54" i="2"/>
  <c r="DR53" i="2"/>
  <c r="DS53" i="2" s="1"/>
  <c r="DT53" i="2" s="1"/>
  <c r="Y54" i="2"/>
  <c r="Z53" i="2"/>
  <c r="AA53" i="2" s="1"/>
  <c r="AB53" i="2" s="1"/>
  <c r="J54" i="2"/>
  <c r="K53" i="2"/>
  <c r="L53" i="2" s="1"/>
  <c r="D6" i="4" s="1"/>
  <c r="BE56" i="2" l="1"/>
  <c r="BF55" i="2"/>
  <c r="BG55" i="2" s="1"/>
  <c r="BH55" i="2" s="1"/>
  <c r="EG56" i="2"/>
  <c r="EH55" i="2"/>
  <c r="EI55" i="2" s="1"/>
  <c r="EJ55" i="2" s="1"/>
  <c r="DA55" i="2"/>
  <c r="DB54" i="2"/>
  <c r="DC54" i="2" s="1"/>
  <c r="DD54" i="2" s="1"/>
  <c r="DQ55" i="2"/>
  <c r="DR54" i="2"/>
  <c r="DS54" i="2" s="1"/>
  <c r="DT54" i="2" s="1"/>
  <c r="EW55" i="2"/>
  <c r="EX54" i="2"/>
  <c r="EY54" i="2" s="1"/>
  <c r="EZ54" i="2" s="1"/>
  <c r="CK56" i="2"/>
  <c r="CL55" i="2"/>
  <c r="CM55" i="2" s="1"/>
  <c r="CN55" i="2" s="1"/>
  <c r="BU56" i="2"/>
  <c r="BV55" i="2"/>
  <c r="BW55" i="2" s="1"/>
  <c r="BX55" i="2" s="1"/>
  <c r="Y55" i="2"/>
  <c r="Z54" i="2"/>
  <c r="AA54" i="2" s="1"/>
  <c r="AB54" i="2" s="1"/>
  <c r="K54" i="2"/>
  <c r="L54" i="2" s="1"/>
  <c r="J55" i="2"/>
  <c r="CK57" i="2" l="1"/>
  <c r="CL56" i="2"/>
  <c r="CM56" i="2" s="1"/>
  <c r="CN56" i="2" s="1"/>
  <c r="DQ56" i="2"/>
  <c r="DR55" i="2"/>
  <c r="DS55" i="2" s="1"/>
  <c r="DT55" i="2" s="1"/>
  <c r="EG57" i="2"/>
  <c r="EH56" i="2"/>
  <c r="EI56" i="2" s="1"/>
  <c r="EJ56" i="2" s="1"/>
  <c r="BU57" i="2"/>
  <c r="BV56" i="2"/>
  <c r="BW56" i="2" s="1"/>
  <c r="BX56" i="2" s="1"/>
  <c r="EW56" i="2"/>
  <c r="EX55" i="2"/>
  <c r="EY55" i="2" s="1"/>
  <c r="EZ55" i="2" s="1"/>
  <c r="DA56" i="2"/>
  <c r="DB55" i="2"/>
  <c r="DC55" i="2" s="1"/>
  <c r="DD55" i="2" s="1"/>
  <c r="BE57" i="2"/>
  <c r="BF56" i="2"/>
  <c r="BG56" i="2" s="1"/>
  <c r="BH56" i="2" s="1"/>
  <c r="Y56" i="2"/>
  <c r="Z55" i="2"/>
  <c r="AA55" i="2" s="1"/>
  <c r="AB55" i="2" s="1"/>
  <c r="K55" i="2"/>
  <c r="L55" i="2" s="1"/>
  <c r="J56" i="2"/>
  <c r="DA57" i="2" l="1"/>
  <c r="DB56" i="2"/>
  <c r="DC56" i="2" s="1"/>
  <c r="DD56" i="2" s="1"/>
  <c r="BU58" i="2"/>
  <c r="BV57" i="2"/>
  <c r="BW57" i="2" s="1"/>
  <c r="BX57" i="2" s="1"/>
  <c r="DQ57" i="2"/>
  <c r="DR56" i="2"/>
  <c r="DS56" i="2" s="1"/>
  <c r="DT56" i="2" s="1"/>
  <c r="BE58" i="2"/>
  <c r="BF57" i="2"/>
  <c r="BG57" i="2" s="1"/>
  <c r="BH57" i="2" s="1"/>
  <c r="EW57" i="2"/>
  <c r="EX56" i="2"/>
  <c r="EY56" i="2" s="1"/>
  <c r="EZ56" i="2" s="1"/>
  <c r="EG58" i="2"/>
  <c r="EH57" i="2"/>
  <c r="EI57" i="2" s="1"/>
  <c r="EJ57" i="2" s="1"/>
  <c r="CK58" i="2"/>
  <c r="CL57" i="2"/>
  <c r="CM57" i="2" s="1"/>
  <c r="CN57" i="2" s="1"/>
  <c r="Y57" i="2"/>
  <c r="Z56" i="2"/>
  <c r="AA56" i="2" s="1"/>
  <c r="AB56" i="2" s="1"/>
  <c r="J57" i="2"/>
  <c r="K56" i="2"/>
  <c r="L56" i="2" s="1"/>
  <c r="EG59" i="2" l="1"/>
  <c r="EH58" i="2"/>
  <c r="EI58" i="2" s="1"/>
  <c r="EJ58" i="2" s="1"/>
  <c r="BE59" i="2"/>
  <c r="BF58" i="2"/>
  <c r="BG58" i="2" s="1"/>
  <c r="BH58" i="2" s="1"/>
  <c r="BU59" i="2"/>
  <c r="BV58" i="2"/>
  <c r="BW58" i="2" s="1"/>
  <c r="BX58" i="2" s="1"/>
  <c r="CK59" i="2"/>
  <c r="CL58" i="2"/>
  <c r="CM58" i="2" s="1"/>
  <c r="CN58" i="2" s="1"/>
  <c r="EW58" i="2"/>
  <c r="EX57" i="2"/>
  <c r="EY57" i="2" s="1"/>
  <c r="EZ57" i="2" s="1"/>
  <c r="DQ58" i="2"/>
  <c r="DR57" i="2"/>
  <c r="DS57" i="2" s="1"/>
  <c r="DT57" i="2" s="1"/>
  <c r="DA58" i="2"/>
  <c r="DB57" i="2"/>
  <c r="DC57" i="2" s="1"/>
  <c r="DD57" i="2" s="1"/>
  <c r="Y58" i="2"/>
  <c r="Z57" i="2"/>
  <c r="AA57" i="2" s="1"/>
  <c r="AB57" i="2" s="1"/>
  <c r="J58" i="2"/>
  <c r="K57" i="2"/>
  <c r="L57" i="2" s="1"/>
  <c r="DQ59" i="2" l="1"/>
  <c r="DR58" i="2"/>
  <c r="DS58" i="2" s="1"/>
  <c r="DT58" i="2" s="1"/>
  <c r="CK60" i="2"/>
  <c r="CL59" i="2"/>
  <c r="CM59" i="2" s="1"/>
  <c r="CN59" i="2" s="1"/>
  <c r="BE60" i="2"/>
  <c r="BF59" i="2"/>
  <c r="BG59" i="2" s="1"/>
  <c r="BH59" i="2" s="1"/>
  <c r="DA59" i="2"/>
  <c r="DB58" i="2"/>
  <c r="DC58" i="2" s="1"/>
  <c r="DD58" i="2" s="1"/>
  <c r="EW59" i="2"/>
  <c r="EX58" i="2"/>
  <c r="EY58" i="2" s="1"/>
  <c r="EZ58" i="2" s="1"/>
  <c r="BU60" i="2"/>
  <c r="BV59" i="2"/>
  <c r="BW59" i="2" s="1"/>
  <c r="BX59" i="2" s="1"/>
  <c r="EG60" i="2"/>
  <c r="EH59" i="2"/>
  <c r="EI59" i="2" s="1"/>
  <c r="EJ59" i="2" s="1"/>
  <c r="Y59" i="2"/>
  <c r="Z58" i="2"/>
  <c r="AA58" i="2" s="1"/>
  <c r="AB58" i="2" s="1"/>
  <c r="J59" i="2"/>
  <c r="K58" i="2"/>
  <c r="L58" i="2" s="1"/>
  <c r="BU61" i="2" l="1"/>
  <c r="BV60" i="2"/>
  <c r="BW60" i="2" s="1"/>
  <c r="BX60" i="2" s="1"/>
  <c r="DA60" i="2"/>
  <c r="DB59" i="2"/>
  <c r="DC59" i="2" s="1"/>
  <c r="DD59" i="2" s="1"/>
  <c r="CK61" i="2"/>
  <c r="CL60" i="2"/>
  <c r="CM60" i="2" s="1"/>
  <c r="CN60" i="2" s="1"/>
  <c r="EG61" i="2"/>
  <c r="EH60" i="2"/>
  <c r="EI60" i="2" s="1"/>
  <c r="EJ60" i="2" s="1"/>
  <c r="EW60" i="2"/>
  <c r="EX59" i="2"/>
  <c r="EY59" i="2" s="1"/>
  <c r="EZ59" i="2" s="1"/>
  <c r="BE61" i="2"/>
  <c r="BF60" i="2"/>
  <c r="BG60" i="2" s="1"/>
  <c r="BH60" i="2" s="1"/>
  <c r="DQ60" i="2"/>
  <c r="DR59" i="2"/>
  <c r="DS59" i="2" s="1"/>
  <c r="DT59" i="2" s="1"/>
  <c r="Y60" i="2"/>
  <c r="Z59" i="2"/>
  <c r="AA59" i="2" s="1"/>
  <c r="AB59" i="2" s="1"/>
  <c r="J60" i="2"/>
  <c r="K59" i="2"/>
  <c r="L59" i="2" s="1"/>
  <c r="BE62" i="2" l="1"/>
  <c r="BF61" i="2"/>
  <c r="BG61" i="2" s="1"/>
  <c r="BH61" i="2" s="1"/>
  <c r="EG62" i="2"/>
  <c r="EH61" i="2"/>
  <c r="EI61" i="2" s="1"/>
  <c r="EJ61" i="2" s="1"/>
  <c r="DA61" i="2"/>
  <c r="DB60" i="2"/>
  <c r="DC60" i="2" s="1"/>
  <c r="DD60" i="2" s="1"/>
  <c r="DQ61" i="2"/>
  <c r="DR60" i="2"/>
  <c r="DS60" i="2" s="1"/>
  <c r="DT60" i="2" s="1"/>
  <c r="EW61" i="2"/>
  <c r="EX60" i="2"/>
  <c r="EY60" i="2" s="1"/>
  <c r="EZ60" i="2" s="1"/>
  <c r="CK62" i="2"/>
  <c r="CL61" i="2"/>
  <c r="CM61" i="2" s="1"/>
  <c r="CN61" i="2" s="1"/>
  <c r="BU62" i="2"/>
  <c r="BV61" i="2"/>
  <c r="BW61" i="2" s="1"/>
  <c r="BX61" i="2" s="1"/>
  <c r="Y61" i="2"/>
  <c r="Z60" i="2"/>
  <c r="AA60" i="2" s="1"/>
  <c r="AB60" i="2" s="1"/>
  <c r="K60" i="2"/>
  <c r="L60" i="2" s="1"/>
  <c r="J61" i="2"/>
  <c r="CK63" i="2" l="1"/>
  <c r="CL62" i="2"/>
  <c r="CM62" i="2" s="1"/>
  <c r="CN62" i="2" s="1"/>
  <c r="DQ62" i="2"/>
  <c r="DR61" i="2"/>
  <c r="DS61" i="2" s="1"/>
  <c r="DT61" i="2" s="1"/>
  <c r="EG63" i="2"/>
  <c r="EH62" i="2"/>
  <c r="EI62" i="2" s="1"/>
  <c r="EJ62" i="2" s="1"/>
  <c r="BU63" i="2"/>
  <c r="BV62" i="2"/>
  <c r="BW62" i="2" s="1"/>
  <c r="BX62" i="2" s="1"/>
  <c r="EW62" i="2"/>
  <c r="EX61" i="2"/>
  <c r="EY61" i="2" s="1"/>
  <c r="EZ61" i="2" s="1"/>
  <c r="DA62" i="2"/>
  <c r="DB61" i="2"/>
  <c r="DC61" i="2" s="1"/>
  <c r="DD61" i="2" s="1"/>
  <c r="BE63" i="2"/>
  <c r="BF62" i="2"/>
  <c r="BG62" i="2" s="1"/>
  <c r="BH62" i="2" s="1"/>
  <c r="Y62" i="2"/>
  <c r="Z61" i="2"/>
  <c r="AA61" i="2" s="1"/>
  <c r="AB61" i="2" s="1"/>
  <c r="J62" i="2"/>
  <c r="K61" i="2"/>
  <c r="L61" i="2" s="1"/>
  <c r="DA63" i="2" l="1"/>
  <c r="DB62" i="2"/>
  <c r="DC62" i="2" s="1"/>
  <c r="DD62" i="2" s="1"/>
  <c r="BU64" i="2"/>
  <c r="BV63" i="2"/>
  <c r="BW63" i="2" s="1"/>
  <c r="BX63" i="2" s="1"/>
  <c r="DQ63" i="2"/>
  <c r="DR62" i="2"/>
  <c r="DS62" i="2" s="1"/>
  <c r="DT62" i="2" s="1"/>
  <c r="BE64" i="2"/>
  <c r="BF63" i="2"/>
  <c r="BG63" i="2" s="1"/>
  <c r="BH63" i="2" s="1"/>
  <c r="EW63" i="2"/>
  <c r="EX62" i="2"/>
  <c r="EY62" i="2" s="1"/>
  <c r="EZ62" i="2" s="1"/>
  <c r="EG64" i="2"/>
  <c r="EH63" i="2"/>
  <c r="EI63" i="2" s="1"/>
  <c r="EJ63" i="2" s="1"/>
  <c r="CK64" i="2"/>
  <c r="CL63" i="2"/>
  <c r="CM63" i="2" s="1"/>
  <c r="CN63" i="2" s="1"/>
  <c r="Y63" i="2"/>
  <c r="Z62" i="2"/>
  <c r="AA62" i="2" s="1"/>
  <c r="AB62" i="2" s="1"/>
  <c r="K62" i="2"/>
  <c r="L62" i="2" s="1"/>
  <c r="J63" i="2"/>
  <c r="EG65" i="2" l="1"/>
  <c r="EH64" i="2"/>
  <c r="EI64" i="2" s="1"/>
  <c r="EJ64" i="2" s="1"/>
  <c r="BE65" i="2"/>
  <c r="BF64" i="2"/>
  <c r="BG64" i="2" s="1"/>
  <c r="BH64" i="2" s="1"/>
  <c r="BU65" i="2"/>
  <c r="BV64" i="2"/>
  <c r="BW64" i="2" s="1"/>
  <c r="BX64" i="2" s="1"/>
  <c r="CK65" i="2"/>
  <c r="CL64" i="2"/>
  <c r="CM64" i="2" s="1"/>
  <c r="CN64" i="2" s="1"/>
  <c r="EW64" i="2"/>
  <c r="EX63" i="2"/>
  <c r="EY63" i="2" s="1"/>
  <c r="EZ63" i="2" s="1"/>
  <c r="DQ64" i="2"/>
  <c r="DR63" i="2"/>
  <c r="DS63" i="2" s="1"/>
  <c r="DT63" i="2" s="1"/>
  <c r="DA64" i="2"/>
  <c r="DB63" i="2"/>
  <c r="DC63" i="2" s="1"/>
  <c r="DD63" i="2" s="1"/>
  <c r="Y64" i="2"/>
  <c r="Z63" i="2"/>
  <c r="AA63" i="2" s="1"/>
  <c r="AB63" i="2" s="1"/>
  <c r="K63" i="2"/>
  <c r="L63" i="2" s="1"/>
  <c r="J64" i="2"/>
  <c r="DQ65" i="2" l="1"/>
  <c r="DR64" i="2"/>
  <c r="DS64" i="2" s="1"/>
  <c r="DT64" i="2" s="1"/>
  <c r="CK66" i="2"/>
  <c r="CL65" i="2"/>
  <c r="CM65" i="2" s="1"/>
  <c r="CN65" i="2" s="1"/>
  <c r="BE66" i="2"/>
  <c r="BF65" i="2"/>
  <c r="BG65" i="2" s="1"/>
  <c r="BH65" i="2" s="1"/>
  <c r="DA65" i="2"/>
  <c r="DB64" i="2"/>
  <c r="DC64" i="2" s="1"/>
  <c r="DD64" i="2" s="1"/>
  <c r="EW65" i="2"/>
  <c r="EX64" i="2"/>
  <c r="EY64" i="2" s="1"/>
  <c r="EZ64" i="2" s="1"/>
  <c r="BU66" i="2"/>
  <c r="BV65" i="2"/>
  <c r="BW65" i="2" s="1"/>
  <c r="BX65" i="2" s="1"/>
  <c r="EG66" i="2"/>
  <c r="EH65" i="2"/>
  <c r="EI65" i="2" s="1"/>
  <c r="EJ65" i="2" s="1"/>
  <c r="Y65" i="2"/>
  <c r="Z64" i="2"/>
  <c r="AA64" i="2" s="1"/>
  <c r="AB64" i="2" s="1"/>
  <c r="J65" i="2"/>
  <c r="K64" i="2"/>
  <c r="L64" i="2" s="1"/>
  <c r="BU67" i="2" l="1"/>
  <c r="BV66" i="2"/>
  <c r="BW66" i="2" s="1"/>
  <c r="BX66" i="2" s="1"/>
  <c r="DA66" i="2"/>
  <c r="DB65" i="2"/>
  <c r="DC65" i="2" s="1"/>
  <c r="DD65" i="2" s="1"/>
  <c r="CK67" i="2"/>
  <c r="CL66" i="2"/>
  <c r="CM66" i="2" s="1"/>
  <c r="CN66" i="2" s="1"/>
  <c r="EG67" i="2"/>
  <c r="EH66" i="2"/>
  <c r="EI66" i="2" s="1"/>
  <c r="EJ66" i="2" s="1"/>
  <c r="EW66" i="2"/>
  <c r="EX65" i="2"/>
  <c r="EY65" i="2" s="1"/>
  <c r="EZ65" i="2" s="1"/>
  <c r="BE67" i="2"/>
  <c r="BF66" i="2"/>
  <c r="BG66" i="2" s="1"/>
  <c r="BH66" i="2" s="1"/>
  <c r="DQ66" i="2"/>
  <c r="DR65" i="2"/>
  <c r="DS65" i="2" s="1"/>
  <c r="DT65" i="2" s="1"/>
  <c r="Y66" i="2"/>
  <c r="Z65" i="2"/>
  <c r="AA65" i="2" s="1"/>
  <c r="AB65" i="2" s="1"/>
  <c r="K65" i="2"/>
  <c r="L65" i="2" s="1"/>
  <c r="J66" i="2"/>
  <c r="BE68" i="2" l="1"/>
  <c r="BF67" i="2"/>
  <c r="BG67" i="2" s="1"/>
  <c r="BH67" i="2" s="1"/>
  <c r="EG68" i="2"/>
  <c r="EH67" i="2"/>
  <c r="EI67" i="2" s="1"/>
  <c r="EJ67" i="2" s="1"/>
  <c r="DA67" i="2"/>
  <c r="DB66" i="2"/>
  <c r="DC66" i="2" s="1"/>
  <c r="DD66" i="2" s="1"/>
  <c r="DQ67" i="2"/>
  <c r="DR66" i="2"/>
  <c r="DS66" i="2" s="1"/>
  <c r="DT66" i="2" s="1"/>
  <c r="EW67" i="2"/>
  <c r="EX66" i="2"/>
  <c r="EY66" i="2" s="1"/>
  <c r="EZ66" i="2" s="1"/>
  <c r="CK68" i="2"/>
  <c r="CL67" i="2"/>
  <c r="CM67" i="2" s="1"/>
  <c r="CN67" i="2" s="1"/>
  <c r="BU68" i="2"/>
  <c r="BV67" i="2"/>
  <c r="BW67" i="2" s="1"/>
  <c r="BX67" i="2" s="1"/>
  <c r="Y67" i="2"/>
  <c r="Z66" i="2"/>
  <c r="AA66" i="2" s="1"/>
  <c r="AB66" i="2" s="1"/>
  <c r="K66" i="2"/>
  <c r="L66" i="2" s="1"/>
  <c r="J67" i="2"/>
  <c r="CK69" i="2" l="1"/>
  <c r="CL68" i="2"/>
  <c r="CM68" i="2" s="1"/>
  <c r="CN68" i="2" s="1"/>
  <c r="DQ68" i="2"/>
  <c r="DR67" i="2"/>
  <c r="DS67" i="2" s="1"/>
  <c r="DT67" i="2" s="1"/>
  <c r="EG69" i="2"/>
  <c r="EH68" i="2"/>
  <c r="EI68" i="2" s="1"/>
  <c r="EJ68" i="2" s="1"/>
  <c r="BU69" i="2"/>
  <c r="BV68" i="2"/>
  <c r="BW68" i="2" s="1"/>
  <c r="BX68" i="2" s="1"/>
  <c r="EW68" i="2"/>
  <c r="EX67" i="2"/>
  <c r="EY67" i="2" s="1"/>
  <c r="EZ67" i="2" s="1"/>
  <c r="DA68" i="2"/>
  <c r="DB67" i="2"/>
  <c r="DC67" i="2" s="1"/>
  <c r="DD67" i="2" s="1"/>
  <c r="BE69" i="2"/>
  <c r="BF68" i="2"/>
  <c r="BG68" i="2" s="1"/>
  <c r="BH68" i="2" s="1"/>
  <c r="Y68" i="2"/>
  <c r="Z67" i="2"/>
  <c r="AA67" i="2" s="1"/>
  <c r="AB67" i="2" s="1"/>
  <c r="K67" i="2"/>
  <c r="L67" i="2" s="1"/>
  <c r="J68" i="2"/>
  <c r="DA69" i="2" l="1"/>
  <c r="DB68" i="2"/>
  <c r="DC68" i="2" s="1"/>
  <c r="DD68" i="2" s="1"/>
  <c r="BU70" i="2"/>
  <c r="BV69" i="2"/>
  <c r="BW69" i="2" s="1"/>
  <c r="BX69" i="2" s="1"/>
  <c r="DQ69" i="2"/>
  <c r="DR68" i="2"/>
  <c r="DS68" i="2" s="1"/>
  <c r="DT68" i="2" s="1"/>
  <c r="BE70" i="2"/>
  <c r="BF69" i="2"/>
  <c r="BG69" i="2" s="1"/>
  <c r="BH69" i="2" s="1"/>
  <c r="EW69" i="2"/>
  <c r="EX68" i="2"/>
  <c r="EY68" i="2" s="1"/>
  <c r="EZ68" i="2" s="1"/>
  <c r="EG70" i="2"/>
  <c r="EH69" i="2"/>
  <c r="EI69" i="2" s="1"/>
  <c r="EJ69" i="2" s="1"/>
  <c r="CK70" i="2"/>
  <c r="CL69" i="2"/>
  <c r="CM69" i="2" s="1"/>
  <c r="CN69" i="2" s="1"/>
  <c r="Y69" i="2"/>
  <c r="Z68" i="2"/>
  <c r="AA68" i="2" s="1"/>
  <c r="AB68" i="2" s="1"/>
  <c r="K68" i="2"/>
  <c r="L68" i="2" s="1"/>
  <c r="J69" i="2"/>
  <c r="EG71" i="2" l="1"/>
  <c r="EH70" i="2"/>
  <c r="EI70" i="2" s="1"/>
  <c r="EJ70" i="2" s="1"/>
  <c r="BE71" i="2"/>
  <c r="BF70" i="2"/>
  <c r="BG70" i="2" s="1"/>
  <c r="BH70" i="2" s="1"/>
  <c r="BU71" i="2"/>
  <c r="BV70" i="2"/>
  <c r="BW70" i="2" s="1"/>
  <c r="BX70" i="2" s="1"/>
  <c r="CK71" i="2"/>
  <c r="CL70" i="2"/>
  <c r="CM70" i="2" s="1"/>
  <c r="CN70" i="2" s="1"/>
  <c r="EW70" i="2"/>
  <c r="EX69" i="2"/>
  <c r="EY69" i="2" s="1"/>
  <c r="EZ69" i="2" s="1"/>
  <c r="DQ70" i="2"/>
  <c r="DR69" i="2"/>
  <c r="DS69" i="2" s="1"/>
  <c r="DT69" i="2" s="1"/>
  <c r="DA70" i="2"/>
  <c r="DB69" i="2"/>
  <c r="DC69" i="2" s="1"/>
  <c r="DD69" i="2" s="1"/>
  <c r="Y70" i="2"/>
  <c r="Z69" i="2"/>
  <c r="AA69" i="2" s="1"/>
  <c r="AB69" i="2" s="1"/>
  <c r="K69" i="2"/>
  <c r="L69" i="2" s="1"/>
  <c r="J70" i="2"/>
  <c r="DQ71" i="2" l="1"/>
  <c r="DR70" i="2"/>
  <c r="DS70" i="2" s="1"/>
  <c r="DT70" i="2" s="1"/>
  <c r="CK72" i="2"/>
  <c r="CL71" i="2"/>
  <c r="CM71" i="2" s="1"/>
  <c r="CN71" i="2" s="1"/>
  <c r="BE72" i="2"/>
  <c r="BF71" i="2"/>
  <c r="BG71" i="2" s="1"/>
  <c r="BH71" i="2" s="1"/>
  <c r="DA71" i="2"/>
  <c r="DB70" i="2"/>
  <c r="DC70" i="2" s="1"/>
  <c r="DD70" i="2" s="1"/>
  <c r="EW71" i="2"/>
  <c r="EX70" i="2"/>
  <c r="EY70" i="2" s="1"/>
  <c r="EZ70" i="2" s="1"/>
  <c r="BU72" i="2"/>
  <c r="BV71" i="2"/>
  <c r="BW71" i="2" s="1"/>
  <c r="BX71" i="2" s="1"/>
  <c r="EG72" i="2"/>
  <c r="EH71" i="2"/>
  <c r="EI71" i="2" s="1"/>
  <c r="EJ71" i="2" s="1"/>
  <c r="Y71" i="2"/>
  <c r="Z70" i="2"/>
  <c r="AA70" i="2" s="1"/>
  <c r="AB70" i="2" s="1"/>
  <c r="J71" i="2"/>
  <c r="K70" i="2"/>
  <c r="L70" i="2" s="1"/>
  <c r="BU73" i="2" l="1"/>
  <c r="BV72" i="2"/>
  <c r="BW72" i="2" s="1"/>
  <c r="BX72" i="2" s="1"/>
  <c r="E10" i="4" s="1"/>
  <c r="I10" i="4" s="1"/>
  <c r="J10" i="4" s="1"/>
  <c r="O10" i="4" s="1"/>
  <c r="DA72" i="2"/>
  <c r="DB71" i="2"/>
  <c r="DC71" i="2" s="1"/>
  <c r="DD71" i="2" s="1"/>
  <c r="CK73" i="2"/>
  <c r="CL72" i="2"/>
  <c r="CM72" i="2" s="1"/>
  <c r="CN72" i="2" s="1"/>
  <c r="EG73" i="2"/>
  <c r="EH72" i="2"/>
  <c r="EI72" i="2" s="1"/>
  <c r="EJ72" i="2" s="1"/>
  <c r="EW72" i="2"/>
  <c r="EX71" i="2"/>
  <c r="EY71" i="2" s="1"/>
  <c r="EZ71" i="2" s="1"/>
  <c r="BE73" i="2"/>
  <c r="BF72" i="2"/>
  <c r="BG72" i="2" s="1"/>
  <c r="BH72" i="2" s="1"/>
  <c r="E9" i="4" s="1"/>
  <c r="I9" i="4" s="1"/>
  <c r="J9" i="4" s="1"/>
  <c r="O9" i="4" s="1"/>
  <c r="DQ72" i="2"/>
  <c r="DR71" i="2"/>
  <c r="DS71" i="2" s="1"/>
  <c r="DT71" i="2" s="1"/>
  <c r="Y72" i="2"/>
  <c r="Z71" i="2"/>
  <c r="AA71" i="2" s="1"/>
  <c r="AB71" i="2" s="1"/>
  <c r="J72" i="2"/>
  <c r="K71" i="2"/>
  <c r="L71" i="2" s="1"/>
  <c r="BE74" i="2" l="1"/>
  <c r="BF73" i="2"/>
  <c r="BG73" i="2" s="1"/>
  <c r="BH73" i="2" s="1"/>
  <c r="EG74" i="2"/>
  <c r="EH73" i="2"/>
  <c r="EI73" i="2" s="1"/>
  <c r="EJ73" i="2" s="1"/>
  <c r="DA73" i="2"/>
  <c r="DB72" i="2"/>
  <c r="DC72" i="2" s="1"/>
  <c r="DD72" i="2" s="1"/>
  <c r="DQ73" i="2"/>
  <c r="DR72" i="2"/>
  <c r="DS72" i="2" s="1"/>
  <c r="DT72" i="2" s="1"/>
  <c r="EW73" i="2"/>
  <c r="EX72" i="2"/>
  <c r="EY72" i="2" s="1"/>
  <c r="EZ72" i="2" s="1"/>
  <c r="E15" i="4" s="1"/>
  <c r="I15" i="4" s="1"/>
  <c r="J15" i="4" s="1"/>
  <c r="O15" i="4" s="1"/>
  <c r="CK74" i="2"/>
  <c r="CL73" i="2"/>
  <c r="CM73" i="2" s="1"/>
  <c r="CN73" i="2" s="1"/>
  <c r="BU74" i="2"/>
  <c r="BV73" i="2"/>
  <c r="BW73" i="2" s="1"/>
  <c r="BX73" i="2" s="1"/>
  <c r="Y73" i="2"/>
  <c r="Z72" i="2"/>
  <c r="AA72" i="2" s="1"/>
  <c r="AB72" i="2" s="1"/>
  <c r="K72" i="2"/>
  <c r="L72" i="2" s="1"/>
  <c r="J73" i="2"/>
  <c r="CK75" i="2" l="1"/>
  <c r="CL74" i="2"/>
  <c r="CM74" i="2" s="1"/>
  <c r="CN74" i="2" s="1"/>
  <c r="DQ74" i="2"/>
  <c r="DR73" i="2"/>
  <c r="DS73" i="2" s="1"/>
  <c r="DT73" i="2" s="1"/>
  <c r="EG75" i="2"/>
  <c r="EH74" i="2"/>
  <c r="EI74" i="2" s="1"/>
  <c r="EJ74" i="2" s="1"/>
  <c r="BU75" i="2"/>
  <c r="BV74" i="2"/>
  <c r="BW74" i="2" s="1"/>
  <c r="BX74" i="2" s="1"/>
  <c r="EW74" i="2"/>
  <c r="EX73" i="2"/>
  <c r="EY73" i="2" s="1"/>
  <c r="EZ73" i="2" s="1"/>
  <c r="DA74" i="2"/>
  <c r="DB73" i="2"/>
  <c r="DC73" i="2" s="1"/>
  <c r="DD73" i="2" s="1"/>
  <c r="BE75" i="2"/>
  <c r="BF74" i="2"/>
  <c r="BG74" i="2" s="1"/>
  <c r="BH74" i="2" s="1"/>
  <c r="Y74" i="2"/>
  <c r="Z73" i="2"/>
  <c r="AA73" i="2" s="1"/>
  <c r="AB73" i="2" s="1"/>
  <c r="D7" i="4" s="1"/>
  <c r="E6" i="4"/>
  <c r="I6" i="4" s="1"/>
  <c r="K73" i="2"/>
  <c r="L73" i="2" s="1"/>
  <c r="J74" i="2"/>
  <c r="DA75" i="2" l="1"/>
  <c r="DB74" i="2"/>
  <c r="DC74" i="2" s="1"/>
  <c r="DD74" i="2" s="1"/>
  <c r="BU76" i="2"/>
  <c r="BV75" i="2"/>
  <c r="BW75" i="2" s="1"/>
  <c r="BX75" i="2" s="1"/>
  <c r="DQ75" i="2"/>
  <c r="DR74" i="2"/>
  <c r="DS74" i="2" s="1"/>
  <c r="DT74" i="2" s="1"/>
  <c r="BE76" i="2"/>
  <c r="BF75" i="2"/>
  <c r="BG75" i="2" s="1"/>
  <c r="BH75" i="2" s="1"/>
  <c r="EW75" i="2"/>
  <c r="EX74" i="2"/>
  <c r="EY74" i="2" s="1"/>
  <c r="EZ74" i="2" s="1"/>
  <c r="EG76" i="2"/>
  <c r="EH75" i="2"/>
  <c r="EI75" i="2" s="1"/>
  <c r="EJ75" i="2" s="1"/>
  <c r="CK76" i="2"/>
  <c r="CL75" i="2"/>
  <c r="CM75" i="2" s="1"/>
  <c r="CN75" i="2" s="1"/>
  <c r="E7" i="4"/>
  <c r="I7" i="4" s="1"/>
  <c r="Y75" i="2"/>
  <c r="Z74" i="2"/>
  <c r="AA74" i="2" s="1"/>
  <c r="AB74" i="2" s="1"/>
  <c r="J6" i="4"/>
  <c r="O6" i="4" s="1"/>
  <c r="J75" i="2"/>
  <c r="K74" i="2"/>
  <c r="L74" i="2" s="1"/>
  <c r="EG77" i="2" l="1"/>
  <c r="EH76" i="2"/>
  <c r="EI76" i="2" s="1"/>
  <c r="EJ76" i="2" s="1"/>
  <c r="BE77" i="2"/>
  <c r="BF76" i="2"/>
  <c r="BG76" i="2" s="1"/>
  <c r="BH76" i="2" s="1"/>
  <c r="BU77" i="2"/>
  <c r="BV76" i="2"/>
  <c r="BW76" i="2" s="1"/>
  <c r="BX76" i="2" s="1"/>
  <c r="CK77" i="2"/>
  <c r="CL76" i="2"/>
  <c r="CM76" i="2" s="1"/>
  <c r="CN76" i="2" s="1"/>
  <c r="EW76" i="2"/>
  <c r="EX75" i="2"/>
  <c r="EY75" i="2" s="1"/>
  <c r="EZ75" i="2" s="1"/>
  <c r="DQ76" i="2"/>
  <c r="DR75" i="2"/>
  <c r="DS75" i="2" s="1"/>
  <c r="DT75" i="2" s="1"/>
  <c r="DA76" i="2"/>
  <c r="DB75" i="2"/>
  <c r="DC75" i="2" s="1"/>
  <c r="DD75" i="2" s="1"/>
  <c r="J7" i="4"/>
  <c r="O7" i="4" s="1"/>
  <c r="Y76" i="2"/>
  <c r="Z75" i="2"/>
  <c r="AA75" i="2" s="1"/>
  <c r="AB75" i="2" s="1"/>
  <c r="J76" i="2"/>
  <c r="K75" i="2"/>
  <c r="L75" i="2" s="1"/>
  <c r="DQ77" i="2" l="1"/>
  <c r="DR76" i="2"/>
  <c r="DS76" i="2" s="1"/>
  <c r="DT76" i="2" s="1"/>
  <c r="CK78" i="2"/>
  <c r="CL77" i="2"/>
  <c r="CM77" i="2" s="1"/>
  <c r="CN77" i="2" s="1"/>
  <c r="BE78" i="2"/>
  <c r="BF77" i="2"/>
  <c r="BG77" i="2" s="1"/>
  <c r="BH77" i="2" s="1"/>
  <c r="DA77" i="2"/>
  <c r="DB76" i="2"/>
  <c r="DC76" i="2" s="1"/>
  <c r="DD76" i="2" s="1"/>
  <c r="EW77" i="2"/>
  <c r="EX76" i="2"/>
  <c r="EY76" i="2" s="1"/>
  <c r="EZ76" i="2" s="1"/>
  <c r="BU78" i="2"/>
  <c r="BV77" i="2"/>
  <c r="BW77" i="2" s="1"/>
  <c r="BX77" i="2" s="1"/>
  <c r="EG78" i="2"/>
  <c r="EH77" i="2"/>
  <c r="EI77" i="2" s="1"/>
  <c r="EJ77" i="2" s="1"/>
  <c r="Y77" i="2"/>
  <c r="Z76" i="2"/>
  <c r="AA76" i="2" s="1"/>
  <c r="AB76" i="2" s="1"/>
  <c r="K76" i="2"/>
  <c r="L76" i="2" s="1"/>
  <c r="J77" i="2"/>
  <c r="BU79" i="2" l="1"/>
  <c r="BV78" i="2"/>
  <c r="BW78" i="2" s="1"/>
  <c r="BX78" i="2" s="1"/>
  <c r="DA78" i="2"/>
  <c r="DB77" i="2"/>
  <c r="DC77" i="2" s="1"/>
  <c r="DD77" i="2" s="1"/>
  <c r="CK79" i="2"/>
  <c r="CL78" i="2"/>
  <c r="CM78" i="2" s="1"/>
  <c r="CN78" i="2" s="1"/>
  <c r="EG79" i="2"/>
  <c r="EH78" i="2"/>
  <c r="EI78" i="2" s="1"/>
  <c r="EJ78" i="2" s="1"/>
  <c r="EW78" i="2"/>
  <c r="EX77" i="2"/>
  <c r="EY77" i="2" s="1"/>
  <c r="EZ77" i="2" s="1"/>
  <c r="BE79" i="2"/>
  <c r="BF78" i="2"/>
  <c r="BG78" i="2" s="1"/>
  <c r="BH78" i="2" s="1"/>
  <c r="DQ78" i="2"/>
  <c r="DR77" i="2"/>
  <c r="DS77" i="2" s="1"/>
  <c r="DT77" i="2" s="1"/>
  <c r="Y78" i="2"/>
  <c r="Z77" i="2"/>
  <c r="AA77" i="2" s="1"/>
  <c r="AB77" i="2" s="1"/>
  <c r="J78" i="2"/>
  <c r="K77" i="2"/>
  <c r="L77" i="2" s="1"/>
  <c r="BE80" i="2" l="1"/>
  <c r="BF79" i="2"/>
  <c r="BG79" i="2" s="1"/>
  <c r="BH79" i="2" s="1"/>
  <c r="EG80" i="2"/>
  <c r="EH79" i="2"/>
  <c r="EI79" i="2" s="1"/>
  <c r="EJ79" i="2" s="1"/>
  <c r="DA79" i="2"/>
  <c r="DB78" i="2"/>
  <c r="DC78" i="2" s="1"/>
  <c r="DD78" i="2" s="1"/>
  <c r="DQ79" i="2"/>
  <c r="DR78" i="2"/>
  <c r="DS78" i="2" s="1"/>
  <c r="DT78" i="2" s="1"/>
  <c r="EW79" i="2"/>
  <c r="EX78" i="2"/>
  <c r="EY78" i="2" s="1"/>
  <c r="EZ78" i="2" s="1"/>
  <c r="CK80" i="2"/>
  <c r="CL79" i="2"/>
  <c r="CM79" i="2" s="1"/>
  <c r="CN79" i="2" s="1"/>
  <c r="BU80" i="2"/>
  <c r="BV79" i="2"/>
  <c r="BW79" i="2" s="1"/>
  <c r="BX79" i="2" s="1"/>
  <c r="Y79" i="2"/>
  <c r="Z78" i="2"/>
  <c r="AA78" i="2" s="1"/>
  <c r="AB78" i="2" s="1"/>
  <c r="K78" i="2"/>
  <c r="L78" i="2" s="1"/>
  <c r="J79" i="2"/>
  <c r="CK81" i="2" l="1"/>
  <c r="CL80" i="2"/>
  <c r="CM80" i="2" s="1"/>
  <c r="CN80" i="2" s="1"/>
  <c r="DQ80" i="2"/>
  <c r="DR79" i="2"/>
  <c r="DS79" i="2" s="1"/>
  <c r="DT79" i="2" s="1"/>
  <c r="EG81" i="2"/>
  <c r="EH80" i="2"/>
  <c r="EI80" i="2" s="1"/>
  <c r="EJ80" i="2" s="1"/>
  <c r="BU81" i="2"/>
  <c r="BV80" i="2"/>
  <c r="BW80" i="2" s="1"/>
  <c r="BX80" i="2" s="1"/>
  <c r="EW80" i="2"/>
  <c r="EX79" i="2"/>
  <c r="EY79" i="2" s="1"/>
  <c r="EZ79" i="2" s="1"/>
  <c r="DA80" i="2"/>
  <c r="DB79" i="2"/>
  <c r="DC79" i="2" s="1"/>
  <c r="DD79" i="2" s="1"/>
  <c r="BE81" i="2"/>
  <c r="BF80" i="2"/>
  <c r="BG80" i="2" s="1"/>
  <c r="BH80" i="2" s="1"/>
  <c r="Y80" i="2"/>
  <c r="Z79" i="2"/>
  <c r="AA79" i="2" s="1"/>
  <c r="AB79" i="2" s="1"/>
  <c r="K79" i="2"/>
  <c r="L79" i="2" s="1"/>
  <c r="J80" i="2"/>
  <c r="DA81" i="2" l="1"/>
  <c r="DB80" i="2"/>
  <c r="DC80" i="2" s="1"/>
  <c r="DD80" i="2" s="1"/>
  <c r="BU82" i="2"/>
  <c r="BV81" i="2"/>
  <c r="BW81" i="2" s="1"/>
  <c r="BX81" i="2" s="1"/>
  <c r="DQ81" i="2"/>
  <c r="DR80" i="2"/>
  <c r="DS80" i="2" s="1"/>
  <c r="DT80" i="2" s="1"/>
  <c r="BE82" i="2"/>
  <c r="BF81" i="2"/>
  <c r="BG81" i="2" s="1"/>
  <c r="BH81" i="2" s="1"/>
  <c r="EW81" i="2"/>
  <c r="EX80" i="2"/>
  <c r="EY80" i="2" s="1"/>
  <c r="EZ80" i="2" s="1"/>
  <c r="EG82" i="2"/>
  <c r="EH81" i="2"/>
  <c r="EI81" i="2" s="1"/>
  <c r="EJ81" i="2" s="1"/>
  <c r="CK82" i="2"/>
  <c r="CL81" i="2"/>
  <c r="CM81" i="2" s="1"/>
  <c r="CN81" i="2" s="1"/>
  <c r="Y81" i="2"/>
  <c r="Z80" i="2"/>
  <c r="AA80" i="2" s="1"/>
  <c r="AB80" i="2" s="1"/>
  <c r="K80" i="2"/>
  <c r="L80" i="2" s="1"/>
  <c r="J81" i="2"/>
  <c r="EG83" i="2" l="1"/>
  <c r="EH82" i="2"/>
  <c r="EI82" i="2" s="1"/>
  <c r="EJ82" i="2" s="1"/>
  <c r="BE83" i="2"/>
  <c r="BF82" i="2"/>
  <c r="BG82" i="2" s="1"/>
  <c r="BH82" i="2" s="1"/>
  <c r="BU83" i="2"/>
  <c r="BV82" i="2"/>
  <c r="BW82" i="2" s="1"/>
  <c r="BX82" i="2" s="1"/>
  <c r="CK83" i="2"/>
  <c r="CL82" i="2"/>
  <c r="CM82" i="2" s="1"/>
  <c r="CN82" i="2" s="1"/>
  <c r="EW82" i="2"/>
  <c r="EX81" i="2"/>
  <c r="EY81" i="2" s="1"/>
  <c r="EZ81" i="2" s="1"/>
  <c r="DQ82" i="2"/>
  <c r="DR81" i="2"/>
  <c r="DS81" i="2" s="1"/>
  <c r="DT81" i="2" s="1"/>
  <c r="DA82" i="2"/>
  <c r="DB81" i="2"/>
  <c r="DC81" i="2" s="1"/>
  <c r="DD81" i="2" s="1"/>
  <c r="Y82" i="2"/>
  <c r="Z81" i="2"/>
  <c r="AA81" i="2" s="1"/>
  <c r="AB81" i="2" s="1"/>
  <c r="K81" i="2"/>
  <c r="L81" i="2" s="1"/>
  <c r="J82" i="2"/>
  <c r="DQ83" i="2" l="1"/>
  <c r="DR82" i="2"/>
  <c r="DS82" i="2" s="1"/>
  <c r="DT82" i="2" s="1"/>
  <c r="CK84" i="2"/>
  <c r="CL83" i="2"/>
  <c r="CM83" i="2" s="1"/>
  <c r="CN83" i="2" s="1"/>
  <c r="BE84" i="2"/>
  <c r="BF83" i="2"/>
  <c r="BG83" i="2" s="1"/>
  <c r="BH83" i="2" s="1"/>
  <c r="DA83" i="2"/>
  <c r="DB82" i="2"/>
  <c r="DC82" i="2" s="1"/>
  <c r="DD82" i="2" s="1"/>
  <c r="EW83" i="2"/>
  <c r="EX82" i="2"/>
  <c r="EY82" i="2" s="1"/>
  <c r="EZ82" i="2" s="1"/>
  <c r="BU84" i="2"/>
  <c r="BV83" i="2"/>
  <c r="BW83" i="2" s="1"/>
  <c r="BX83" i="2" s="1"/>
  <c r="EG84" i="2"/>
  <c r="EH83" i="2"/>
  <c r="EI83" i="2" s="1"/>
  <c r="EJ83" i="2" s="1"/>
  <c r="Y83" i="2"/>
  <c r="Z82" i="2"/>
  <c r="AA82" i="2" s="1"/>
  <c r="AB82" i="2" s="1"/>
  <c r="K82" i="2"/>
  <c r="L82" i="2" s="1"/>
  <c r="J83" i="2"/>
  <c r="BU85" i="2" l="1"/>
  <c r="BV84" i="2"/>
  <c r="BW84" i="2" s="1"/>
  <c r="BX84" i="2" s="1"/>
  <c r="DA84" i="2"/>
  <c r="DB83" i="2"/>
  <c r="DC83" i="2" s="1"/>
  <c r="DD83" i="2" s="1"/>
  <c r="CK85" i="2"/>
  <c r="CL84" i="2"/>
  <c r="CM84" i="2" s="1"/>
  <c r="CN84" i="2" s="1"/>
  <c r="EG85" i="2"/>
  <c r="EH84" i="2"/>
  <c r="EI84" i="2" s="1"/>
  <c r="EJ84" i="2" s="1"/>
  <c r="EW84" i="2"/>
  <c r="EX83" i="2"/>
  <c r="EY83" i="2" s="1"/>
  <c r="EZ83" i="2" s="1"/>
  <c r="BE85" i="2"/>
  <c r="BF84" i="2"/>
  <c r="BG84" i="2" s="1"/>
  <c r="BH84" i="2" s="1"/>
  <c r="DQ84" i="2"/>
  <c r="DR83" i="2"/>
  <c r="DS83" i="2" s="1"/>
  <c r="DT83" i="2" s="1"/>
  <c r="Y84" i="2"/>
  <c r="Z83" i="2"/>
  <c r="AA83" i="2" s="1"/>
  <c r="AB83" i="2" s="1"/>
  <c r="K83" i="2"/>
  <c r="L83" i="2" s="1"/>
  <c r="J84" i="2"/>
  <c r="BE86" i="2" l="1"/>
  <c r="BF85" i="2"/>
  <c r="BG85" i="2" s="1"/>
  <c r="BH85" i="2" s="1"/>
  <c r="EG86" i="2"/>
  <c r="EH85" i="2"/>
  <c r="EI85" i="2" s="1"/>
  <c r="EJ85" i="2" s="1"/>
  <c r="DA85" i="2"/>
  <c r="DB84" i="2"/>
  <c r="DC84" i="2" s="1"/>
  <c r="DD84" i="2" s="1"/>
  <c r="DQ85" i="2"/>
  <c r="DR84" i="2"/>
  <c r="DS84" i="2" s="1"/>
  <c r="DT84" i="2" s="1"/>
  <c r="EW85" i="2"/>
  <c r="EX84" i="2"/>
  <c r="EY84" i="2" s="1"/>
  <c r="EZ84" i="2" s="1"/>
  <c r="CK86" i="2"/>
  <c r="CL85" i="2"/>
  <c r="CM85" i="2" s="1"/>
  <c r="CN85" i="2" s="1"/>
  <c r="BU86" i="2"/>
  <c r="BV85" i="2"/>
  <c r="BW85" i="2" s="1"/>
  <c r="BX85" i="2" s="1"/>
  <c r="Y85" i="2"/>
  <c r="Z84" i="2"/>
  <c r="AA84" i="2" s="1"/>
  <c r="AB84" i="2" s="1"/>
  <c r="K84" i="2"/>
  <c r="L84" i="2" s="1"/>
  <c r="J85" i="2"/>
  <c r="CK87" i="2" l="1"/>
  <c r="CL86" i="2"/>
  <c r="CM86" i="2" s="1"/>
  <c r="CN86" i="2" s="1"/>
  <c r="DQ86" i="2"/>
  <c r="DR85" i="2"/>
  <c r="DS85" i="2" s="1"/>
  <c r="DT85" i="2" s="1"/>
  <c r="EG87" i="2"/>
  <c r="EH86" i="2"/>
  <c r="EI86" i="2" s="1"/>
  <c r="EJ86" i="2" s="1"/>
  <c r="BU87" i="2"/>
  <c r="BV86" i="2"/>
  <c r="BW86" i="2" s="1"/>
  <c r="BX86" i="2" s="1"/>
  <c r="EW86" i="2"/>
  <c r="EX85" i="2"/>
  <c r="EY85" i="2" s="1"/>
  <c r="EZ85" i="2" s="1"/>
  <c r="DA86" i="2"/>
  <c r="DB85" i="2"/>
  <c r="DC85" i="2" s="1"/>
  <c r="DD85" i="2" s="1"/>
  <c r="BE87" i="2"/>
  <c r="BF86" i="2"/>
  <c r="BG86" i="2" s="1"/>
  <c r="BH86" i="2" s="1"/>
  <c r="Y86" i="2"/>
  <c r="Z85" i="2"/>
  <c r="AA85" i="2" s="1"/>
  <c r="AB85" i="2" s="1"/>
  <c r="K85" i="2"/>
  <c r="L85" i="2" s="1"/>
  <c r="J86" i="2"/>
  <c r="DA87" i="2" l="1"/>
  <c r="DB86" i="2"/>
  <c r="DC86" i="2" s="1"/>
  <c r="DD86" i="2" s="1"/>
  <c r="BU88" i="2"/>
  <c r="BV87" i="2"/>
  <c r="BW87" i="2" s="1"/>
  <c r="BX87" i="2" s="1"/>
  <c r="DQ87" i="2"/>
  <c r="DR86" i="2"/>
  <c r="DS86" i="2" s="1"/>
  <c r="DT86" i="2" s="1"/>
  <c r="BE88" i="2"/>
  <c r="BF87" i="2"/>
  <c r="BG87" i="2" s="1"/>
  <c r="BH87" i="2" s="1"/>
  <c r="EW87" i="2"/>
  <c r="EX86" i="2"/>
  <c r="EY86" i="2" s="1"/>
  <c r="EZ86" i="2" s="1"/>
  <c r="EG88" i="2"/>
  <c r="EH87" i="2"/>
  <c r="EI87" i="2" s="1"/>
  <c r="EJ87" i="2" s="1"/>
  <c r="CK88" i="2"/>
  <c r="CL87" i="2"/>
  <c r="CM87" i="2" s="1"/>
  <c r="CN87" i="2" s="1"/>
  <c r="Y87" i="2"/>
  <c r="Z86" i="2"/>
  <c r="AA86" i="2" s="1"/>
  <c r="AB86" i="2" s="1"/>
  <c r="K86" i="2"/>
  <c r="L86" i="2" s="1"/>
  <c r="J87" i="2"/>
  <c r="EG89" i="2" l="1"/>
  <c r="EH88" i="2"/>
  <c r="EI88" i="2" s="1"/>
  <c r="EJ88" i="2" s="1"/>
  <c r="BE89" i="2"/>
  <c r="BF88" i="2"/>
  <c r="BG88" i="2" s="1"/>
  <c r="BH88" i="2" s="1"/>
  <c r="BU89" i="2"/>
  <c r="BV88" i="2"/>
  <c r="BW88" i="2" s="1"/>
  <c r="BX88" i="2" s="1"/>
  <c r="CK89" i="2"/>
  <c r="CL88" i="2"/>
  <c r="CM88" i="2" s="1"/>
  <c r="CN88" i="2" s="1"/>
  <c r="EW88" i="2"/>
  <c r="EX87" i="2"/>
  <c r="EY87" i="2" s="1"/>
  <c r="EZ87" i="2" s="1"/>
  <c r="DQ88" i="2"/>
  <c r="DR87" i="2"/>
  <c r="DS87" i="2" s="1"/>
  <c r="DT87" i="2" s="1"/>
  <c r="DA88" i="2"/>
  <c r="DB87" i="2"/>
  <c r="DC87" i="2" s="1"/>
  <c r="DD87" i="2" s="1"/>
  <c r="Y88" i="2"/>
  <c r="Z87" i="2"/>
  <c r="AA87" i="2" s="1"/>
  <c r="AB87" i="2" s="1"/>
  <c r="K87" i="2"/>
  <c r="L87" i="2" s="1"/>
  <c r="J88" i="2"/>
  <c r="DQ89" i="2" l="1"/>
  <c r="DR88" i="2"/>
  <c r="DS88" i="2" s="1"/>
  <c r="DT88" i="2" s="1"/>
  <c r="CK90" i="2"/>
  <c r="CL89" i="2"/>
  <c r="CM89" i="2" s="1"/>
  <c r="CN89" i="2" s="1"/>
  <c r="BE90" i="2"/>
  <c r="BF89" i="2"/>
  <c r="BG89" i="2" s="1"/>
  <c r="BH89" i="2" s="1"/>
  <c r="DA89" i="2"/>
  <c r="DB88" i="2"/>
  <c r="DC88" i="2" s="1"/>
  <c r="DD88" i="2" s="1"/>
  <c r="EW89" i="2"/>
  <c r="EX88" i="2"/>
  <c r="EY88" i="2" s="1"/>
  <c r="EZ88" i="2" s="1"/>
  <c r="BU90" i="2"/>
  <c r="BV89" i="2"/>
  <c r="BW89" i="2" s="1"/>
  <c r="BX89" i="2" s="1"/>
  <c r="EG90" i="2"/>
  <c r="EH89" i="2"/>
  <c r="EI89" i="2" s="1"/>
  <c r="EJ89" i="2" s="1"/>
  <c r="Y89" i="2"/>
  <c r="Z88" i="2"/>
  <c r="AA88" i="2" s="1"/>
  <c r="AB88" i="2" s="1"/>
  <c r="K88" i="2"/>
  <c r="L88" i="2" s="1"/>
  <c r="J89" i="2"/>
  <c r="BU91" i="2" l="1"/>
  <c r="BV90" i="2"/>
  <c r="BW90" i="2" s="1"/>
  <c r="BX90" i="2" s="1"/>
  <c r="DA90" i="2"/>
  <c r="DB89" i="2"/>
  <c r="DC89" i="2" s="1"/>
  <c r="DD89" i="2" s="1"/>
  <c r="CK91" i="2"/>
  <c r="CL90" i="2"/>
  <c r="CM90" i="2" s="1"/>
  <c r="CN90" i="2" s="1"/>
  <c r="EG91" i="2"/>
  <c r="EH90" i="2"/>
  <c r="EI90" i="2" s="1"/>
  <c r="EJ90" i="2" s="1"/>
  <c r="EW90" i="2"/>
  <c r="EX89" i="2"/>
  <c r="EY89" i="2" s="1"/>
  <c r="EZ89" i="2" s="1"/>
  <c r="BE91" i="2"/>
  <c r="BF90" i="2"/>
  <c r="BG90" i="2" s="1"/>
  <c r="BH90" i="2" s="1"/>
  <c r="DQ90" i="2"/>
  <c r="DR89" i="2"/>
  <c r="DS89" i="2" s="1"/>
  <c r="DT89" i="2" s="1"/>
  <c r="Y90" i="2"/>
  <c r="Z89" i="2"/>
  <c r="AA89" i="2" s="1"/>
  <c r="AB89" i="2" s="1"/>
  <c r="K89" i="2"/>
  <c r="L89" i="2" s="1"/>
  <c r="J90" i="2"/>
  <c r="BE92" i="2" l="1"/>
  <c r="BF91" i="2"/>
  <c r="BG91" i="2" s="1"/>
  <c r="BH91" i="2" s="1"/>
  <c r="EG92" i="2"/>
  <c r="EH91" i="2"/>
  <c r="EI91" i="2" s="1"/>
  <c r="EJ91" i="2" s="1"/>
  <c r="DA91" i="2"/>
  <c r="DB90" i="2"/>
  <c r="DC90" i="2" s="1"/>
  <c r="DD90" i="2" s="1"/>
  <c r="DQ91" i="2"/>
  <c r="DR90" i="2"/>
  <c r="DS90" i="2" s="1"/>
  <c r="DT90" i="2" s="1"/>
  <c r="EW91" i="2"/>
  <c r="EX90" i="2"/>
  <c r="EY90" i="2" s="1"/>
  <c r="EZ90" i="2" s="1"/>
  <c r="CK92" i="2"/>
  <c r="CL91" i="2"/>
  <c r="CM91" i="2" s="1"/>
  <c r="CN91" i="2" s="1"/>
  <c r="BU92" i="2"/>
  <c r="BV91" i="2"/>
  <c r="BW91" i="2" s="1"/>
  <c r="BX91" i="2" s="1"/>
  <c r="Y91" i="2"/>
  <c r="Z90" i="2"/>
  <c r="AA90" i="2" s="1"/>
  <c r="AB90" i="2" s="1"/>
  <c r="K90" i="2"/>
  <c r="L90" i="2" s="1"/>
  <c r="J91" i="2"/>
  <c r="CK93" i="2" l="1"/>
  <c r="CL92" i="2"/>
  <c r="CM92" i="2" s="1"/>
  <c r="CN92" i="2" s="1"/>
  <c r="DQ92" i="2"/>
  <c r="DR91" i="2"/>
  <c r="DS91" i="2" s="1"/>
  <c r="DT91" i="2" s="1"/>
  <c r="EG93" i="2"/>
  <c r="EH92" i="2"/>
  <c r="EI92" i="2" s="1"/>
  <c r="EJ92" i="2" s="1"/>
  <c r="BU93" i="2"/>
  <c r="BV92" i="2"/>
  <c r="BW92" i="2" s="1"/>
  <c r="BX92" i="2" s="1"/>
  <c r="EW92" i="2"/>
  <c r="EX91" i="2"/>
  <c r="EY91" i="2" s="1"/>
  <c r="EZ91" i="2" s="1"/>
  <c r="DA92" i="2"/>
  <c r="DB91" i="2"/>
  <c r="DC91" i="2" s="1"/>
  <c r="DD91" i="2" s="1"/>
  <c r="BE93" i="2"/>
  <c r="BF92" i="2"/>
  <c r="BG92" i="2" s="1"/>
  <c r="BH92" i="2" s="1"/>
  <c r="Y92" i="2"/>
  <c r="Z91" i="2"/>
  <c r="AA91" i="2" s="1"/>
  <c r="AB91" i="2" s="1"/>
  <c r="K91" i="2"/>
  <c r="L91" i="2" s="1"/>
  <c r="J92" i="2"/>
  <c r="DA93" i="2" l="1"/>
  <c r="DB92" i="2"/>
  <c r="DC92" i="2" s="1"/>
  <c r="DD92" i="2" s="1"/>
  <c r="BU94" i="2"/>
  <c r="BV93" i="2"/>
  <c r="BW93" i="2" s="1"/>
  <c r="BX93" i="2" s="1"/>
  <c r="DQ93" i="2"/>
  <c r="DR92" i="2"/>
  <c r="DS92" i="2" s="1"/>
  <c r="DT92" i="2" s="1"/>
  <c r="BE94" i="2"/>
  <c r="BF93" i="2"/>
  <c r="BG93" i="2" s="1"/>
  <c r="BH93" i="2" s="1"/>
  <c r="EW93" i="2"/>
  <c r="EX92" i="2"/>
  <c r="EY92" i="2" s="1"/>
  <c r="EZ92" i="2" s="1"/>
  <c r="EG94" i="2"/>
  <c r="EH93" i="2"/>
  <c r="EI93" i="2" s="1"/>
  <c r="EJ93" i="2" s="1"/>
  <c r="CK94" i="2"/>
  <c r="CL93" i="2"/>
  <c r="CM93" i="2" s="1"/>
  <c r="CN93" i="2" s="1"/>
  <c r="Y93" i="2"/>
  <c r="Z92" i="2"/>
  <c r="AA92" i="2" s="1"/>
  <c r="AB92" i="2" s="1"/>
  <c r="K92" i="2"/>
  <c r="L92" i="2" s="1"/>
  <c r="J93" i="2"/>
  <c r="EG95" i="2" l="1"/>
  <c r="EH94" i="2"/>
  <c r="EI94" i="2" s="1"/>
  <c r="EJ94" i="2" s="1"/>
  <c r="BE95" i="2"/>
  <c r="BF94" i="2"/>
  <c r="BG94" i="2" s="1"/>
  <c r="BH94" i="2" s="1"/>
  <c r="BU95" i="2"/>
  <c r="BV94" i="2"/>
  <c r="BW94" i="2" s="1"/>
  <c r="BX94" i="2" s="1"/>
  <c r="CK95" i="2"/>
  <c r="CL94" i="2"/>
  <c r="CM94" i="2" s="1"/>
  <c r="CN94" i="2" s="1"/>
  <c r="EW94" i="2"/>
  <c r="EX93" i="2"/>
  <c r="EY93" i="2" s="1"/>
  <c r="EZ93" i="2" s="1"/>
  <c r="DQ94" i="2"/>
  <c r="DR93" i="2"/>
  <c r="DS93" i="2" s="1"/>
  <c r="DT93" i="2" s="1"/>
  <c r="DA94" i="2"/>
  <c r="DB93" i="2"/>
  <c r="DC93" i="2" s="1"/>
  <c r="DD93" i="2" s="1"/>
  <c r="Y94" i="2"/>
  <c r="Z93" i="2"/>
  <c r="AA93" i="2" s="1"/>
  <c r="AB93" i="2" s="1"/>
  <c r="K93" i="2"/>
  <c r="L93" i="2" s="1"/>
  <c r="J94" i="2"/>
  <c r="DQ95" i="2" l="1"/>
  <c r="DR94" i="2"/>
  <c r="DS94" i="2" s="1"/>
  <c r="DT94" i="2" s="1"/>
  <c r="CK96" i="2"/>
  <c r="CL95" i="2"/>
  <c r="CM95" i="2" s="1"/>
  <c r="CN95" i="2" s="1"/>
  <c r="BE96" i="2"/>
  <c r="BF95" i="2"/>
  <c r="BG95" i="2" s="1"/>
  <c r="BH95" i="2" s="1"/>
  <c r="DA95" i="2"/>
  <c r="DB94" i="2"/>
  <c r="DC94" i="2" s="1"/>
  <c r="DD94" i="2" s="1"/>
  <c r="EW95" i="2"/>
  <c r="EX94" i="2"/>
  <c r="EY94" i="2" s="1"/>
  <c r="EZ94" i="2" s="1"/>
  <c r="BU96" i="2"/>
  <c r="BV95" i="2"/>
  <c r="BW95" i="2" s="1"/>
  <c r="BX95" i="2" s="1"/>
  <c r="EG96" i="2"/>
  <c r="EH95" i="2"/>
  <c r="EI95" i="2" s="1"/>
  <c r="EJ95" i="2" s="1"/>
  <c r="Y95" i="2"/>
  <c r="Z94" i="2"/>
  <c r="AA94" i="2" s="1"/>
  <c r="AB94" i="2" s="1"/>
  <c r="K94" i="2"/>
  <c r="L94" i="2" s="1"/>
  <c r="J95" i="2"/>
  <c r="BU97" i="2" l="1"/>
  <c r="BV96" i="2"/>
  <c r="BW96" i="2" s="1"/>
  <c r="BX96" i="2" s="1"/>
  <c r="DA96" i="2"/>
  <c r="DB95" i="2"/>
  <c r="DC95" i="2" s="1"/>
  <c r="DD95" i="2" s="1"/>
  <c r="CK97" i="2"/>
  <c r="CL96" i="2"/>
  <c r="CM96" i="2" s="1"/>
  <c r="CN96" i="2" s="1"/>
  <c r="EG97" i="2"/>
  <c r="EH96" i="2"/>
  <c r="EI96" i="2" s="1"/>
  <c r="EJ96" i="2" s="1"/>
  <c r="EW96" i="2"/>
  <c r="EX95" i="2"/>
  <c r="EY95" i="2" s="1"/>
  <c r="EZ95" i="2" s="1"/>
  <c r="BE97" i="2"/>
  <c r="BF96" i="2"/>
  <c r="BG96" i="2" s="1"/>
  <c r="BH96" i="2" s="1"/>
  <c r="DQ96" i="2"/>
  <c r="DR95" i="2"/>
  <c r="DS95" i="2" s="1"/>
  <c r="DT95" i="2" s="1"/>
  <c r="Y96" i="2"/>
  <c r="Z95" i="2"/>
  <c r="AA95" i="2" s="1"/>
  <c r="AB95" i="2" s="1"/>
  <c r="K95" i="2"/>
  <c r="L95" i="2" s="1"/>
  <c r="J96" i="2"/>
  <c r="BE98" i="2" l="1"/>
  <c r="BF97" i="2"/>
  <c r="BG97" i="2" s="1"/>
  <c r="BH97" i="2" s="1"/>
  <c r="EG98" i="2"/>
  <c r="EH97" i="2"/>
  <c r="EI97" i="2" s="1"/>
  <c r="EJ97" i="2" s="1"/>
  <c r="DA97" i="2"/>
  <c r="DB96" i="2"/>
  <c r="DC96" i="2" s="1"/>
  <c r="DD96" i="2" s="1"/>
  <c r="DQ97" i="2"/>
  <c r="DR96" i="2"/>
  <c r="DS96" i="2" s="1"/>
  <c r="DT96" i="2" s="1"/>
  <c r="EW97" i="2"/>
  <c r="EX96" i="2"/>
  <c r="EY96" i="2" s="1"/>
  <c r="EZ96" i="2" s="1"/>
  <c r="CK98" i="2"/>
  <c r="CL97" i="2"/>
  <c r="CM97" i="2" s="1"/>
  <c r="CN97" i="2" s="1"/>
  <c r="BU98" i="2"/>
  <c r="BV97" i="2"/>
  <c r="BW97" i="2" s="1"/>
  <c r="BX97" i="2" s="1"/>
  <c r="Y97" i="2"/>
  <c r="Z96" i="2"/>
  <c r="AA96" i="2" s="1"/>
  <c r="AB96" i="2" s="1"/>
  <c r="K96" i="2"/>
  <c r="L96" i="2" s="1"/>
  <c r="J97" i="2"/>
  <c r="CK99" i="2" l="1"/>
  <c r="CL98" i="2"/>
  <c r="CM98" i="2" s="1"/>
  <c r="CN98" i="2" s="1"/>
  <c r="DQ98" i="2"/>
  <c r="DR97" i="2"/>
  <c r="DS97" i="2" s="1"/>
  <c r="DT97" i="2" s="1"/>
  <c r="EG99" i="2"/>
  <c r="EH98" i="2"/>
  <c r="EI98" i="2" s="1"/>
  <c r="EJ98" i="2" s="1"/>
  <c r="BU99" i="2"/>
  <c r="BV98" i="2"/>
  <c r="BW98" i="2" s="1"/>
  <c r="BX98" i="2" s="1"/>
  <c r="EW98" i="2"/>
  <c r="EX97" i="2"/>
  <c r="EY97" i="2" s="1"/>
  <c r="EZ97" i="2" s="1"/>
  <c r="DA98" i="2"/>
  <c r="DB97" i="2"/>
  <c r="DC97" i="2" s="1"/>
  <c r="DD97" i="2" s="1"/>
  <c r="BE99" i="2"/>
  <c r="BF98" i="2"/>
  <c r="BG98" i="2" s="1"/>
  <c r="BH98" i="2" s="1"/>
  <c r="Y98" i="2"/>
  <c r="Z97" i="2"/>
  <c r="AA97" i="2" s="1"/>
  <c r="AB97" i="2" s="1"/>
  <c r="K97" i="2"/>
  <c r="L97" i="2" s="1"/>
  <c r="J98" i="2"/>
  <c r="DA99" i="2" l="1"/>
  <c r="DB98" i="2"/>
  <c r="DC98" i="2" s="1"/>
  <c r="DD98" i="2" s="1"/>
  <c r="BU100" i="2"/>
  <c r="BV99" i="2"/>
  <c r="BW99" i="2" s="1"/>
  <c r="BX99" i="2" s="1"/>
  <c r="DQ99" i="2"/>
  <c r="DR98" i="2"/>
  <c r="DS98" i="2" s="1"/>
  <c r="DT98" i="2" s="1"/>
  <c r="BE100" i="2"/>
  <c r="BF99" i="2"/>
  <c r="BG99" i="2" s="1"/>
  <c r="BH99" i="2" s="1"/>
  <c r="EW99" i="2"/>
  <c r="EX98" i="2"/>
  <c r="EY98" i="2" s="1"/>
  <c r="EZ98" i="2" s="1"/>
  <c r="EG100" i="2"/>
  <c r="EH99" i="2"/>
  <c r="EI99" i="2" s="1"/>
  <c r="EJ99" i="2" s="1"/>
  <c r="CK100" i="2"/>
  <c r="CL99" i="2"/>
  <c r="CM99" i="2" s="1"/>
  <c r="CN99" i="2" s="1"/>
  <c r="Y99" i="2"/>
  <c r="Z98" i="2"/>
  <c r="AA98" i="2" s="1"/>
  <c r="AB98" i="2" s="1"/>
  <c r="K98" i="2"/>
  <c r="L98" i="2" s="1"/>
  <c r="J99" i="2"/>
  <c r="EG101" i="2" l="1"/>
  <c r="EH100" i="2"/>
  <c r="EI100" i="2" s="1"/>
  <c r="EJ100" i="2" s="1"/>
  <c r="BE101" i="2"/>
  <c r="BF100" i="2"/>
  <c r="BG100" i="2" s="1"/>
  <c r="BH100" i="2" s="1"/>
  <c r="BU101" i="2"/>
  <c r="BV100" i="2"/>
  <c r="BW100" i="2" s="1"/>
  <c r="BX100" i="2" s="1"/>
  <c r="CK101" i="2"/>
  <c r="CL100" i="2"/>
  <c r="CM100" i="2" s="1"/>
  <c r="CN100" i="2" s="1"/>
  <c r="EW100" i="2"/>
  <c r="EX99" i="2"/>
  <c r="EY99" i="2" s="1"/>
  <c r="EZ99" i="2" s="1"/>
  <c r="DQ100" i="2"/>
  <c r="DR99" i="2"/>
  <c r="DS99" i="2" s="1"/>
  <c r="DT99" i="2" s="1"/>
  <c r="DA100" i="2"/>
  <c r="DB99" i="2"/>
  <c r="DC99" i="2" s="1"/>
  <c r="DD99" i="2" s="1"/>
  <c r="Y100" i="2"/>
  <c r="Z99" i="2"/>
  <c r="AA99" i="2" s="1"/>
  <c r="AB99" i="2" s="1"/>
  <c r="K99" i="2"/>
  <c r="L99" i="2" s="1"/>
  <c r="J100" i="2"/>
  <c r="DQ101" i="2" l="1"/>
  <c r="DR100" i="2"/>
  <c r="DS100" i="2" s="1"/>
  <c r="DT100" i="2" s="1"/>
  <c r="CK102" i="2"/>
  <c r="CL101" i="2"/>
  <c r="CM101" i="2" s="1"/>
  <c r="CN101" i="2" s="1"/>
  <c r="BE102" i="2"/>
  <c r="BF101" i="2"/>
  <c r="BG101" i="2" s="1"/>
  <c r="BH101" i="2" s="1"/>
  <c r="DA101" i="2"/>
  <c r="DB100" i="2"/>
  <c r="DC100" i="2" s="1"/>
  <c r="DD100" i="2" s="1"/>
  <c r="EW101" i="2"/>
  <c r="EX100" i="2"/>
  <c r="EY100" i="2" s="1"/>
  <c r="EZ100" i="2" s="1"/>
  <c r="BU102" i="2"/>
  <c r="BV101" i="2"/>
  <c r="BW101" i="2" s="1"/>
  <c r="BX101" i="2" s="1"/>
  <c r="EG102" i="2"/>
  <c r="EH101" i="2"/>
  <c r="EI101" i="2" s="1"/>
  <c r="EJ101" i="2" s="1"/>
  <c r="Y101" i="2"/>
  <c r="Z100" i="2"/>
  <c r="AA100" i="2" s="1"/>
  <c r="AB100" i="2" s="1"/>
  <c r="K100" i="2"/>
  <c r="L100" i="2" s="1"/>
  <c r="J101" i="2"/>
  <c r="BU103" i="2" l="1"/>
  <c r="BV102" i="2"/>
  <c r="BW102" i="2" s="1"/>
  <c r="BX102" i="2" s="1"/>
  <c r="DA102" i="2"/>
  <c r="DB101" i="2"/>
  <c r="DC101" i="2" s="1"/>
  <c r="DD101" i="2" s="1"/>
  <c r="CK103" i="2"/>
  <c r="CL102" i="2"/>
  <c r="CM102" i="2" s="1"/>
  <c r="CN102" i="2" s="1"/>
  <c r="EG103" i="2"/>
  <c r="EH102" i="2"/>
  <c r="EI102" i="2" s="1"/>
  <c r="EJ102" i="2" s="1"/>
  <c r="EW102" i="2"/>
  <c r="EX101" i="2"/>
  <c r="EY101" i="2" s="1"/>
  <c r="EZ101" i="2" s="1"/>
  <c r="BE103" i="2"/>
  <c r="BF102" i="2"/>
  <c r="BG102" i="2" s="1"/>
  <c r="BH102" i="2" s="1"/>
  <c r="DQ102" i="2"/>
  <c r="DR101" i="2"/>
  <c r="DS101" i="2" s="1"/>
  <c r="DT101" i="2" s="1"/>
  <c r="Y102" i="2"/>
  <c r="Z101" i="2"/>
  <c r="AA101" i="2" s="1"/>
  <c r="AB101" i="2" s="1"/>
  <c r="K101" i="2"/>
  <c r="L101" i="2" s="1"/>
  <c r="J102" i="2"/>
  <c r="BE104" i="2" l="1"/>
  <c r="BF103" i="2"/>
  <c r="BG103" i="2" s="1"/>
  <c r="BH103" i="2" s="1"/>
  <c r="EG104" i="2"/>
  <c r="EH103" i="2"/>
  <c r="EI103" i="2" s="1"/>
  <c r="EJ103" i="2" s="1"/>
  <c r="DA103" i="2"/>
  <c r="DB102" i="2"/>
  <c r="DC102" i="2" s="1"/>
  <c r="DD102" i="2" s="1"/>
  <c r="DQ103" i="2"/>
  <c r="DR102" i="2"/>
  <c r="DS102" i="2" s="1"/>
  <c r="DT102" i="2" s="1"/>
  <c r="EW103" i="2"/>
  <c r="EX102" i="2"/>
  <c r="EY102" i="2" s="1"/>
  <c r="EZ102" i="2" s="1"/>
  <c r="CK104" i="2"/>
  <c r="CL103" i="2"/>
  <c r="CM103" i="2" s="1"/>
  <c r="CN103" i="2" s="1"/>
  <c r="BU104" i="2"/>
  <c r="BV103" i="2"/>
  <c r="BW103" i="2" s="1"/>
  <c r="BX103" i="2" s="1"/>
  <c r="Y103" i="2"/>
  <c r="Z102" i="2"/>
  <c r="AA102" i="2" s="1"/>
  <c r="AB102" i="2" s="1"/>
  <c r="K102" i="2"/>
  <c r="L102" i="2" s="1"/>
  <c r="J103" i="2"/>
  <c r="CK105" i="2" l="1"/>
  <c r="CL104" i="2"/>
  <c r="CM104" i="2" s="1"/>
  <c r="CN104" i="2" s="1"/>
  <c r="DQ104" i="2"/>
  <c r="DR103" i="2"/>
  <c r="DS103" i="2" s="1"/>
  <c r="DT103" i="2" s="1"/>
  <c r="EG105" i="2"/>
  <c r="EH104" i="2"/>
  <c r="EI104" i="2" s="1"/>
  <c r="EJ104" i="2" s="1"/>
  <c r="BU105" i="2"/>
  <c r="BV104" i="2"/>
  <c r="BW104" i="2" s="1"/>
  <c r="BX104" i="2" s="1"/>
  <c r="EW104" i="2"/>
  <c r="EX103" i="2"/>
  <c r="EY103" i="2" s="1"/>
  <c r="EZ103" i="2" s="1"/>
  <c r="DA104" i="2"/>
  <c r="DB103" i="2"/>
  <c r="DC103" i="2" s="1"/>
  <c r="DD103" i="2" s="1"/>
  <c r="BE105" i="2"/>
  <c r="BF104" i="2"/>
  <c r="BG104" i="2" s="1"/>
  <c r="BH104" i="2" s="1"/>
  <c r="Y104" i="2"/>
  <c r="Z103" i="2"/>
  <c r="AA103" i="2" s="1"/>
  <c r="AB103" i="2" s="1"/>
  <c r="K103" i="2"/>
  <c r="L103" i="2" s="1"/>
  <c r="J104" i="2"/>
  <c r="DA105" i="2" l="1"/>
  <c r="DB104" i="2"/>
  <c r="DC104" i="2" s="1"/>
  <c r="DD104" i="2" s="1"/>
  <c r="BU106" i="2"/>
  <c r="BV105" i="2"/>
  <c r="BW105" i="2" s="1"/>
  <c r="BX105" i="2" s="1"/>
  <c r="DQ105" i="2"/>
  <c r="DR104" i="2"/>
  <c r="DS104" i="2" s="1"/>
  <c r="DT104" i="2" s="1"/>
  <c r="BE106" i="2"/>
  <c r="BF105" i="2"/>
  <c r="BG105" i="2" s="1"/>
  <c r="BH105" i="2" s="1"/>
  <c r="EW105" i="2"/>
  <c r="EX104" i="2"/>
  <c r="EY104" i="2" s="1"/>
  <c r="EZ104" i="2" s="1"/>
  <c r="EG106" i="2"/>
  <c r="EH105" i="2"/>
  <c r="EI105" i="2" s="1"/>
  <c r="EJ105" i="2" s="1"/>
  <c r="CK106" i="2"/>
  <c r="CL105" i="2"/>
  <c r="CM105" i="2" s="1"/>
  <c r="CN105" i="2" s="1"/>
  <c r="Y105" i="2"/>
  <c r="Z104" i="2"/>
  <c r="AA104" i="2" s="1"/>
  <c r="AB104" i="2" s="1"/>
  <c r="K104" i="2"/>
  <c r="L104" i="2" s="1"/>
  <c r="J105" i="2"/>
  <c r="EG107" i="2" l="1"/>
  <c r="EH106" i="2"/>
  <c r="EI106" i="2" s="1"/>
  <c r="EJ106" i="2" s="1"/>
  <c r="BE107" i="2"/>
  <c r="BF106" i="2"/>
  <c r="BG106" i="2" s="1"/>
  <c r="BH106" i="2" s="1"/>
  <c r="BU107" i="2"/>
  <c r="BV106" i="2"/>
  <c r="BW106" i="2" s="1"/>
  <c r="BX106" i="2" s="1"/>
  <c r="CK107" i="2"/>
  <c r="CL106" i="2"/>
  <c r="CM106" i="2" s="1"/>
  <c r="CN106" i="2" s="1"/>
  <c r="EW106" i="2"/>
  <c r="EX105" i="2"/>
  <c r="EY105" i="2" s="1"/>
  <c r="EZ105" i="2" s="1"/>
  <c r="DQ106" i="2"/>
  <c r="DR105" i="2"/>
  <c r="DS105" i="2" s="1"/>
  <c r="DT105" i="2" s="1"/>
  <c r="DA106" i="2"/>
  <c r="DB105" i="2"/>
  <c r="DC105" i="2" s="1"/>
  <c r="DD105" i="2" s="1"/>
  <c r="Y106" i="2"/>
  <c r="Z105" i="2"/>
  <c r="AA105" i="2" s="1"/>
  <c r="AB105" i="2" s="1"/>
  <c r="K105" i="2"/>
  <c r="L105" i="2" s="1"/>
  <c r="J106" i="2"/>
  <c r="DQ107" i="2" l="1"/>
  <c r="DR106" i="2"/>
  <c r="DS106" i="2" s="1"/>
  <c r="DT106" i="2" s="1"/>
  <c r="CK108" i="2"/>
  <c r="CL107" i="2"/>
  <c r="CM107" i="2" s="1"/>
  <c r="CN107" i="2" s="1"/>
  <c r="BE108" i="2"/>
  <c r="BF107" i="2"/>
  <c r="BG107" i="2" s="1"/>
  <c r="BH107" i="2" s="1"/>
  <c r="DA107" i="2"/>
  <c r="DB106" i="2"/>
  <c r="DC106" i="2" s="1"/>
  <c r="DD106" i="2" s="1"/>
  <c r="EW107" i="2"/>
  <c r="EX106" i="2"/>
  <c r="EY106" i="2" s="1"/>
  <c r="EZ106" i="2" s="1"/>
  <c r="BU108" i="2"/>
  <c r="BV107" i="2"/>
  <c r="BW107" i="2" s="1"/>
  <c r="BX107" i="2" s="1"/>
  <c r="EG108" i="2"/>
  <c r="EH107" i="2"/>
  <c r="EI107" i="2" s="1"/>
  <c r="EJ107" i="2" s="1"/>
  <c r="Y107" i="2"/>
  <c r="Z106" i="2"/>
  <c r="AA106" i="2" s="1"/>
  <c r="AB106" i="2" s="1"/>
  <c r="K106" i="2"/>
  <c r="L106" i="2" s="1"/>
  <c r="J107" i="2"/>
  <c r="BU109" i="2" l="1"/>
  <c r="BV108" i="2"/>
  <c r="BW108" i="2" s="1"/>
  <c r="BX108" i="2" s="1"/>
  <c r="DA108" i="2"/>
  <c r="DB107" i="2"/>
  <c r="DC107" i="2" s="1"/>
  <c r="DD107" i="2" s="1"/>
  <c r="CK109" i="2"/>
  <c r="CL108" i="2"/>
  <c r="CM108" i="2" s="1"/>
  <c r="CN108" i="2" s="1"/>
  <c r="EG109" i="2"/>
  <c r="EH108" i="2"/>
  <c r="EI108" i="2" s="1"/>
  <c r="EJ108" i="2" s="1"/>
  <c r="EW108" i="2"/>
  <c r="EX107" i="2"/>
  <c r="EY107" i="2" s="1"/>
  <c r="EZ107" i="2" s="1"/>
  <c r="BE109" i="2"/>
  <c r="BF108" i="2"/>
  <c r="BG108" i="2" s="1"/>
  <c r="BH108" i="2" s="1"/>
  <c r="DQ108" i="2"/>
  <c r="DR107" i="2"/>
  <c r="DS107" i="2" s="1"/>
  <c r="DT107" i="2" s="1"/>
  <c r="Y108" i="2"/>
  <c r="Z107" i="2"/>
  <c r="AA107" i="2" s="1"/>
  <c r="AB107" i="2" s="1"/>
  <c r="J108" i="2"/>
  <c r="K107" i="2"/>
  <c r="L107" i="2" s="1"/>
  <c r="BE110" i="2" l="1"/>
  <c r="BF109" i="2"/>
  <c r="BG109" i="2" s="1"/>
  <c r="BH109" i="2" s="1"/>
  <c r="EG110" i="2"/>
  <c r="EH109" i="2"/>
  <c r="EI109" i="2" s="1"/>
  <c r="EJ109" i="2" s="1"/>
  <c r="DA109" i="2"/>
  <c r="DB108" i="2"/>
  <c r="DC108" i="2" s="1"/>
  <c r="DD108" i="2" s="1"/>
  <c r="DQ109" i="2"/>
  <c r="DR108" i="2"/>
  <c r="DS108" i="2" s="1"/>
  <c r="DT108" i="2" s="1"/>
  <c r="EW109" i="2"/>
  <c r="EX108" i="2"/>
  <c r="EY108" i="2" s="1"/>
  <c r="EZ108" i="2" s="1"/>
  <c r="CK110" i="2"/>
  <c r="CL109" i="2"/>
  <c r="CM109" i="2" s="1"/>
  <c r="CN109" i="2" s="1"/>
  <c r="BU110" i="2"/>
  <c r="BV109" i="2"/>
  <c r="BW109" i="2" s="1"/>
  <c r="BX109" i="2" s="1"/>
  <c r="Y109" i="2"/>
  <c r="Z108" i="2"/>
  <c r="AA108" i="2" s="1"/>
  <c r="AB108" i="2" s="1"/>
  <c r="J109" i="2"/>
  <c r="K108" i="2"/>
  <c r="L108" i="2" s="1"/>
  <c r="CK111" i="2" l="1"/>
  <c r="CL110" i="2"/>
  <c r="CM110" i="2" s="1"/>
  <c r="CN110" i="2" s="1"/>
  <c r="DQ110" i="2"/>
  <c r="DR109" i="2"/>
  <c r="DS109" i="2" s="1"/>
  <c r="DT109" i="2" s="1"/>
  <c r="EG111" i="2"/>
  <c r="EH110" i="2"/>
  <c r="EI110" i="2" s="1"/>
  <c r="EJ110" i="2" s="1"/>
  <c r="BU111" i="2"/>
  <c r="BV110" i="2"/>
  <c r="BW110" i="2" s="1"/>
  <c r="BX110" i="2" s="1"/>
  <c r="EW110" i="2"/>
  <c r="EX109" i="2"/>
  <c r="EY109" i="2" s="1"/>
  <c r="EZ109" i="2" s="1"/>
  <c r="DA110" i="2"/>
  <c r="DB109" i="2"/>
  <c r="DC109" i="2" s="1"/>
  <c r="DD109" i="2" s="1"/>
  <c r="BE111" i="2"/>
  <c r="BF110" i="2"/>
  <c r="BG110" i="2" s="1"/>
  <c r="BH110" i="2" s="1"/>
  <c r="Y110" i="2"/>
  <c r="Z109" i="2"/>
  <c r="AA109" i="2" s="1"/>
  <c r="AB109" i="2" s="1"/>
  <c r="K109" i="2"/>
  <c r="L109" i="2" s="1"/>
  <c r="J110" i="2"/>
  <c r="DA111" i="2" l="1"/>
  <c r="DB110" i="2"/>
  <c r="DC110" i="2" s="1"/>
  <c r="DD110" i="2" s="1"/>
  <c r="BU112" i="2"/>
  <c r="BV111" i="2"/>
  <c r="BW111" i="2" s="1"/>
  <c r="BX111" i="2" s="1"/>
  <c r="DQ111" i="2"/>
  <c r="DR110" i="2"/>
  <c r="DS110" i="2" s="1"/>
  <c r="DT110" i="2" s="1"/>
  <c r="BE112" i="2"/>
  <c r="BF111" i="2"/>
  <c r="BG111" i="2" s="1"/>
  <c r="BH111" i="2" s="1"/>
  <c r="EW111" i="2"/>
  <c r="EX110" i="2"/>
  <c r="EY110" i="2" s="1"/>
  <c r="EZ110" i="2" s="1"/>
  <c r="EG112" i="2"/>
  <c r="EH111" i="2"/>
  <c r="EI111" i="2" s="1"/>
  <c r="EJ111" i="2" s="1"/>
  <c r="CK112" i="2"/>
  <c r="CL111" i="2"/>
  <c r="CM111" i="2" s="1"/>
  <c r="CN111" i="2" s="1"/>
  <c r="Y111" i="2"/>
  <c r="Z110" i="2"/>
  <c r="AA110" i="2" s="1"/>
  <c r="AB110" i="2" s="1"/>
  <c r="K110" i="2"/>
  <c r="L110" i="2" s="1"/>
  <c r="J111" i="2"/>
  <c r="EG113" i="2" l="1"/>
  <c r="EH112" i="2"/>
  <c r="EI112" i="2" s="1"/>
  <c r="EJ112" i="2" s="1"/>
  <c r="BE113" i="2"/>
  <c r="BF112" i="2"/>
  <c r="BG112" i="2" s="1"/>
  <c r="BH112" i="2" s="1"/>
  <c r="BU113" i="2"/>
  <c r="BV112" i="2"/>
  <c r="BW112" i="2" s="1"/>
  <c r="BX112" i="2" s="1"/>
  <c r="CK113" i="2"/>
  <c r="CL112" i="2"/>
  <c r="CM112" i="2" s="1"/>
  <c r="CN112" i="2" s="1"/>
  <c r="EW112" i="2"/>
  <c r="EX111" i="2"/>
  <c r="EY111" i="2" s="1"/>
  <c r="EZ111" i="2" s="1"/>
  <c r="DQ112" i="2"/>
  <c r="DR111" i="2"/>
  <c r="DS111" i="2" s="1"/>
  <c r="DT111" i="2" s="1"/>
  <c r="DA112" i="2"/>
  <c r="DB111" i="2"/>
  <c r="DC111" i="2" s="1"/>
  <c r="DD111" i="2" s="1"/>
  <c r="Y112" i="2"/>
  <c r="Z111" i="2"/>
  <c r="AA111" i="2" s="1"/>
  <c r="AB111" i="2" s="1"/>
  <c r="K111" i="2"/>
  <c r="L111" i="2" s="1"/>
  <c r="J112" i="2"/>
  <c r="DQ113" i="2" l="1"/>
  <c r="DR112" i="2"/>
  <c r="DS112" i="2" s="1"/>
  <c r="DT112" i="2" s="1"/>
  <c r="CK114" i="2"/>
  <c r="CL113" i="2"/>
  <c r="CM113" i="2" s="1"/>
  <c r="CN113" i="2" s="1"/>
  <c r="BE114" i="2"/>
  <c r="BF113" i="2"/>
  <c r="BG113" i="2" s="1"/>
  <c r="BH113" i="2" s="1"/>
  <c r="DA113" i="2"/>
  <c r="DB112" i="2"/>
  <c r="DC112" i="2" s="1"/>
  <c r="DD112" i="2" s="1"/>
  <c r="EW113" i="2"/>
  <c r="EX112" i="2"/>
  <c r="EY112" i="2" s="1"/>
  <c r="EZ112" i="2" s="1"/>
  <c r="BU114" i="2"/>
  <c r="BV113" i="2"/>
  <c r="BW113" i="2" s="1"/>
  <c r="BX113" i="2" s="1"/>
  <c r="EG114" i="2"/>
  <c r="EH113" i="2"/>
  <c r="EI113" i="2" s="1"/>
  <c r="EJ113" i="2" s="1"/>
  <c r="Y113" i="2"/>
  <c r="Z112" i="2"/>
  <c r="AA112" i="2" s="1"/>
  <c r="AB112" i="2" s="1"/>
  <c r="K112" i="2"/>
  <c r="L112" i="2" s="1"/>
  <c r="J113" i="2"/>
  <c r="BU115" i="2" l="1"/>
  <c r="BV114" i="2"/>
  <c r="BW114" i="2" s="1"/>
  <c r="BX114" i="2" s="1"/>
  <c r="DA114" i="2"/>
  <c r="DB113" i="2"/>
  <c r="DC113" i="2" s="1"/>
  <c r="DD113" i="2" s="1"/>
  <c r="CK115" i="2"/>
  <c r="CL114" i="2"/>
  <c r="CM114" i="2" s="1"/>
  <c r="CN114" i="2" s="1"/>
  <c r="EG115" i="2"/>
  <c r="EH114" i="2"/>
  <c r="EI114" i="2" s="1"/>
  <c r="EJ114" i="2" s="1"/>
  <c r="EW114" i="2"/>
  <c r="EX113" i="2"/>
  <c r="EY113" i="2" s="1"/>
  <c r="EZ113" i="2" s="1"/>
  <c r="BE115" i="2"/>
  <c r="BF114" i="2"/>
  <c r="BG114" i="2" s="1"/>
  <c r="BH114" i="2" s="1"/>
  <c r="DQ114" i="2"/>
  <c r="DR113" i="2"/>
  <c r="DS113" i="2" s="1"/>
  <c r="DT113" i="2" s="1"/>
  <c r="Y114" i="2"/>
  <c r="Z113" i="2"/>
  <c r="AA113" i="2" s="1"/>
  <c r="AB113" i="2" s="1"/>
  <c r="J114" i="2"/>
  <c r="K113" i="2"/>
  <c r="L113" i="2" s="1"/>
  <c r="BE116" i="2" l="1"/>
  <c r="BF115" i="2"/>
  <c r="BG115" i="2" s="1"/>
  <c r="BH115" i="2" s="1"/>
  <c r="EG116" i="2"/>
  <c r="EH115" i="2"/>
  <c r="EI115" i="2" s="1"/>
  <c r="EJ115" i="2" s="1"/>
  <c r="DA115" i="2"/>
  <c r="DB114" i="2"/>
  <c r="DC114" i="2" s="1"/>
  <c r="DD114" i="2" s="1"/>
  <c r="DQ115" i="2"/>
  <c r="DR114" i="2"/>
  <c r="DS114" i="2" s="1"/>
  <c r="DT114" i="2" s="1"/>
  <c r="EW115" i="2"/>
  <c r="EX114" i="2"/>
  <c r="EY114" i="2" s="1"/>
  <c r="EZ114" i="2" s="1"/>
  <c r="CK116" i="2"/>
  <c r="CL115" i="2"/>
  <c r="CM115" i="2" s="1"/>
  <c r="CN115" i="2" s="1"/>
  <c r="BU116" i="2"/>
  <c r="BV115" i="2"/>
  <c r="BW115" i="2" s="1"/>
  <c r="BX115" i="2" s="1"/>
  <c r="Y115" i="2"/>
  <c r="Z114" i="2"/>
  <c r="AA114" i="2" s="1"/>
  <c r="AB114" i="2" s="1"/>
  <c r="K114" i="2"/>
  <c r="L114" i="2" s="1"/>
  <c r="J115" i="2"/>
  <c r="CK117" i="2" l="1"/>
  <c r="CL116" i="2"/>
  <c r="CM116" i="2" s="1"/>
  <c r="CN116" i="2" s="1"/>
  <c r="DQ116" i="2"/>
  <c r="DR115" i="2"/>
  <c r="DS115" i="2" s="1"/>
  <c r="DT115" i="2" s="1"/>
  <c r="EG117" i="2"/>
  <c r="EH116" i="2"/>
  <c r="EI116" i="2" s="1"/>
  <c r="EJ116" i="2" s="1"/>
  <c r="BU117" i="2"/>
  <c r="BV116" i="2"/>
  <c r="BW116" i="2" s="1"/>
  <c r="BX116" i="2" s="1"/>
  <c r="EW116" i="2"/>
  <c r="EX115" i="2"/>
  <c r="EY115" i="2" s="1"/>
  <c r="EZ115" i="2" s="1"/>
  <c r="DA116" i="2"/>
  <c r="DB115" i="2"/>
  <c r="DC115" i="2" s="1"/>
  <c r="DD115" i="2" s="1"/>
  <c r="BE117" i="2"/>
  <c r="BF116" i="2"/>
  <c r="BG116" i="2" s="1"/>
  <c r="BH116" i="2" s="1"/>
  <c r="Y116" i="2"/>
  <c r="Z115" i="2"/>
  <c r="AA115" i="2" s="1"/>
  <c r="AB115" i="2" s="1"/>
  <c r="J116" i="2"/>
  <c r="K115" i="2"/>
  <c r="L115" i="2" s="1"/>
  <c r="DA117" i="2" l="1"/>
  <c r="DB116" i="2"/>
  <c r="DC116" i="2" s="1"/>
  <c r="DD116" i="2" s="1"/>
  <c r="BU118" i="2"/>
  <c r="BV117" i="2"/>
  <c r="BW117" i="2" s="1"/>
  <c r="BX117" i="2" s="1"/>
  <c r="DQ117" i="2"/>
  <c r="DR116" i="2"/>
  <c r="DS116" i="2" s="1"/>
  <c r="DT116" i="2" s="1"/>
  <c r="BE118" i="2"/>
  <c r="BF117" i="2"/>
  <c r="BG117" i="2" s="1"/>
  <c r="BH117" i="2" s="1"/>
  <c r="EW117" i="2"/>
  <c r="EX116" i="2"/>
  <c r="EY116" i="2" s="1"/>
  <c r="EZ116" i="2" s="1"/>
  <c r="EG118" i="2"/>
  <c r="EH117" i="2"/>
  <c r="EI117" i="2" s="1"/>
  <c r="EJ117" i="2" s="1"/>
  <c r="CK118" i="2"/>
  <c r="CL117" i="2"/>
  <c r="CM117" i="2" s="1"/>
  <c r="CN117" i="2" s="1"/>
  <c r="Y117" i="2"/>
  <c r="Z116" i="2"/>
  <c r="AA116" i="2" s="1"/>
  <c r="AB116" i="2" s="1"/>
  <c r="J117" i="2"/>
  <c r="K116" i="2"/>
  <c r="L116" i="2" s="1"/>
  <c r="EG119" i="2" l="1"/>
  <c r="EH118" i="2"/>
  <c r="EI118" i="2" s="1"/>
  <c r="EJ118" i="2" s="1"/>
  <c r="BE119" i="2"/>
  <c r="BF118" i="2"/>
  <c r="BG118" i="2" s="1"/>
  <c r="BH118" i="2" s="1"/>
  <c r="BU119" i="2"/>
  <c r="BV118" i="2"/>
  <c r="BW118" i="2" s="1"/>
  <c r="BX118" i="2" s="1"/>
  <c r="CK119" i="2"/>
  <c r="CL118" i="2"/>
  <c r="CM118" i="2" s="1"/>
  <c r="CN118" i="2" s="1"/>
  <c r="EW118" i="2"/>
  <c r="EX117" i="2"/>
  <c r="EY117" i="2" s="1"/>
  <c r="EZ117" i="2" s="1"/>
  <c r="DQ118" i="2"/>
  <c r="DR117" i="2"/>
  <c r="DS117" i="2" s="1"/>
  <c r="DT117" i="2" s="1"/>
  <c r="DA118" i="2"/>
  <c r="DB117" i="2"/>
  <c r="DC117" i="2" s="1"/>
  <c r="DD117" i="2" s="1"/>
  <c r="Y118" i="2"/>
  <c r="Z117" i="2"/>
  <c r="AA117" i="2" s="1"/>
  <c r="AB117" i="2" s="1"/>
  <c r="J118" i="2"/>
  <c r="K117" i="2"/>
  <c r="L117" i="2" s="1"/>
  <c r="DQ119" i="2" l="1"/>
  <c r="DR118" i="2"/>
  <c r="DS118" i="2" s="1"/>
  <c r="DT118" i="2" s="1"/>
  <c r="CK120" i="2"/>
  <c r="CL119" i="2"/>
  <c r="CM119" i="2" s="1"/>
  <c r="CN119" i="2" s="1"/>
  <c r="BE120" i="2"/>
  <c r="BF119" i="2"/>
  <c r="BG119" i="2" s="1"/>
  <c r="BH119" i="2" s="1"/>
  <c r="DA119" i="2"/>
  <c r="DB118" i="2"/>
  <c r="DC118" i="2" s="1"/>
  <c r="DD118" i="2" s="1"/>
  <c r="EW119" i="2"/>
  <c r="EX118" i="2"/>
  <c r="EY118" i="2" s="1"/>
  <c r="EZ118" i="2" s="1"/>
  <c r="BU120" i="2"/>
  <c r="BV119" i="2"/>
  <c r="BW119" i="2" s="1"/>
  <c r="BX119" i="2" s="1"/>
  <c r="EG120" i="2"/>
  <c r="EH119" i="2"/>
  <c r="EI119" i="2" s="1"/>
  <c r="EJ119" i="2" s="1"/>
  <c r="Y119" i="2"/>
  <c r="Z118" i="2"/>
  <c r="AA118" i="2" s="1"/>
  <c r="AB118" i="2" s="1"/>
  <c r="J119" i="2"/>
  <c r="K118" i="2"/>
  <c r="L118" i="2" s="1"/>
  <c r="BU121" i="2" l="1"/>
  <c r="BV120" i="2"/>
  <c r="BW120" i="2" s="1"/>
  <c r="BX120" i="2" s="1"/>
  <c r="DA120" i="2"/>
  <c r="DB119" i="2"/>
  <c r="DC119" i="2" s="1"/>
  <c r="DD119" i="2" s="1"/>
  <c r="CK121" i="2"/>
  <c r="CL120" i="2"/>
  <c r="CM120" i="2" s="1"/>
  <c r="CN120" i="2" s="1"/>
  <c r="EG121" i="2"/>
  <c r="EH120" i="2"/>
  <c r="EI120" i="2" s="1"/>
  <c r="EJ120" i="2" s="1"/>
  <c r="EW120" i="2"/>
  <c r="EX119" i="2"/>
  <c r="EY119" i="2" s="1"/>
  <c r="EZ119" i="2" s="1"/>
  <c r="BE121" i="2"/>
  <c r="BF120" i="2"/>
  <c r="BG120" i="2" s="1"/>
  <c r="BH120" i="2" s="1"/>
  <c r="DQ120" i="2"/>
  <c r="DR119" i="2"/>
  <c r="DS119" i="2" s="1"/>
  <c r="DT119" i="2" s="1"/>
  <c r="Y120" i="2"/>
  <c r="Z119" i="2"/>
  <c r="AA119" i="2" s="1"/>
  <c r="AB119" i="2" s="1"/>
  <c r="J120" i="2"/>
  <c r="K119" i="2"/>
  <c r="L119" i="2" s="1"/>
  <c r="BE122" i="2" l="1"/>
  <c r="BF121" i="2"/>
  <c r="BG121" i="2" s="1"/>
  <c r="BH121" i="2" s="1"/>
  <c r="EG122" i="2"/>
  <c r="EH121" i="2"/>
  <c r="EI121" i="2" s="1"/>
  <c r="EJ121" i="2" s="1"/>
  <c r="DA121" i="2"/>
  <c r="DB120" i="2"/>
  <c r="DC120" i="2" s="1"/>
  <c r="DD120" i="2" s="1"/>
  <c r="DQ121" i="2"/>
  <c r="DR120" i="2"/>
  <c r="DS120" i="2" s="1"/>
  <c r="DT120" i="2" s="1"/>
  <c r="EW121" i="2"/>
  <c r="EX120" i="2"/>
  <c r="EY120" i="2" s="1"/>
  <c r="EZ120" i="2" s="1"/>
  <c r="CK122" i="2"/>
  <c r="CL121" i="2"/>
  <c r="CM121" i="2" s="1"/>
  <c r="CN121" i="2" s="1"/>
  <c r="BU122" i="2"/>
  <c r="BV121" i="2"/>
  <c r="BW121" i="2" s="1"/>
  <c r="BX121" i="2" s="1"/>
  <c r="Y121" i="2"/>
  <c r="Z120" i="2"/>
  <c r="AA120" i="2" s="1"/>
  <c r="AB120" i="2" s="1"/>
  <c r="J121" i="2"/>
  <c r="K120" i="2"/>
  <c r="L120" i="2" s="1"/>
  <c r="CK123" i="2" l="1"/>
  <c r="CL122" i="2"/>
  <c r="CM122" i="2" s="1"/>
  <c r="CN122" i="2" s="1"/>
  <c r="DQ122" i="2"/>
  <c r="DR121" i="2"/>
  <c r="DS121" i="2" s="1"/>
  <c r="DT121" i="2" s="1"/>
  <c r="EG123" i="2"/>
  <c r="EH122" i="2"/>
  <c r="EI122" i="2" s="1"/>
  <c r="EJ122" i="2" s="1"/>
  <c r="BU123" i="2"/>
  <c r="BV122" i="2"/>
  <c r="BW122" i="2" s="1"/>
  <c r="BX122" i="2" s="1"/>
  <c r="EW122" i="2"/>
  <c r="EX121" i="2"/>
  <c r="EY121" i="2" s="1"/>
  <c r="EZ121" i="2" s="1"/>
  <c r="DA122" i="2"/>
  <c r="DB121" i="2"/>
  <c r="DC121" i="2" s="1"/>
  <c r="DD121" i="2" s="1"/>
  <c r="BE123" i="2"/>
  <c r="BF122" i="2"/>
  <c r="BG122" i="2" s="1"/>
  <c r="BH122" i="2" s="1"/>
  <c r="Y122" i="2"/>
  <c r="Z121" i="2"/>
  <c r="AA121" i="2" s="1"/>
  <c r="AB121" i="2" s="1"/>
  <c r="K121" i="2"/>
  <c r="L121" i="2" s="1"/>
  <c r="J122" i="2"/>
  <c r="DA123" i="2" l="1"/>
  <c r="DB122" i="2"/>
  <c r="DC122" i="2" s="1"/>
  <c r="DD122" i="2" s="1"/>
  <c r="BU124" i="2"/>
  <c r="BV123" i="2"/>
  <c r="BW123" i="2" s="1"/>
  <c r="BX123" i="2" s="1"/>
  <c r="DQ123" i="2"/>
  <c r="DR122" i="2"/>
  <c r="DS122" i="2" s="1"/>
  <c r="DT122" i="2" s="1"/>
  <c r="BE124" i="2"/>
  <c r="BF123" i="2"/>
  <c r="BG123" i="2" s="1"/>
  <c r="BH123" i="2" s="1"/>
  <c r="EW123" i="2"/>
  <c r="EX122" i="2"/>
  <c r="EY122" i="2" s="1"/>
  <c r="EZ122" i="2" s="1"/>
  <c r="EG124" i="2"/>
  <c r="EH123" i="2"/>
  <c r="EI123" i="2" s="1"/>
  <c r="EJ123" i="2" s="1"/>
  <c r="CK124" i="2"/>
  <c r="CL123" i="2"/>
  <c r="CM123" i="2" s="1"/>
  <c r="CN123" i="2" s="1"/>
  <c r="Y123" i="2"/>
  <c r="Z122" i="2"/>
  <c r="AA122" i="2" s="1"/>
  <c r="AB122" i="2" s="1"/>
  <c r="J123" i="2"/>
  <c r="K122" i="2"/>
  <c r="L122" i="2" s="1"/>
  <c r="EG125" i="2" l="1"/>
  <c r="EH124" i="2"/>
  <c r="EI124" i="2" s="1"/>
  <c r="EJ124" i="2" s="1"/>
  <c r="BE125" i="2"/>
  <c r="BF124" i="2"/>
  <c r="BG124" i="2" s="1"/>
  <c r="BH124" i="2" s="1"/>
  <c r="BU125" i="2"/>
  <c r="BV124" i="2"/>
  <c r="BW124" i="2" s="1"/>
  <c r="BX124" i="2" s="1"/>
  <c r="CK125" i="2"/>
  <c r="CL124" i="2"/>
  <c r="CM124" i="2" s="1"/>
  <c r="CN124" i="2" s="1"/>
  <c r="EW124" i="2"/>
  <c r="EX123" i="2"/>
  <c r="EY123" i="2" s="1"/>
  <c r="EZ123" i="2" s="1"/>
  <c r="DQ124" i="2"/>
  <c r="DR123" i="2"/>
  <c r="DS123" i="2" s="1"/>
  <c r="DT123" i="2" s="1"/>
  <c r="DA124" i="2"/>
  <c r="DB123" i="2"/>
  <c r="DC123" i="2" s="1"/>
  <c r="DD123" i="2" s="1"/>
  <c r="Y124" i="2"/>
  <c r="Z123" i="2"/>
  <c r="AA123" i="2" s="1"/>
  <c r="AB123" i="2" s="1"/>
  <c r="K123" i="2"/>
  <c r="L123" i="2" s="1"/>
  <c r="J124" i="2"/>
  <c r="DQ125" i="2" l="1"/>
  <c r="DR124" i="2"/>
  <c r="DS124" i="2" s="1"/>
  <c r="DT124" i="2" s="1"/>
  <c r="CK126" i="2"/>
  <c r="CL125" i="2"/>
  <c r="CM125" i="2" s="1"/>
  <c r="CN125" i="2" s="1"/>
  <c r="BE126" i="2"/>
  <c r="BF125" i="2"/>
  <c r="BG125" i="2" s="1"/>
  <c r="BH125" i="2" s="1"/>
  <c r="DA125" i="2"/>
  <c r="DB124" i="2"/>
  <c r="DC124" i="2" s="1"/>
  <c r="DD124" i="2" s="1"/>
  <c r="EW125" i="2"/>
  <c r="EX124" i="2"/>
  <c r="EY124" i="2" s="1"/>
  <c r="EZ124" i="2" s="1"/>
  <c r="BU126" i="2"/>
  <c r="BV125" i="2"/>
  <c r="BW125" i="2" s="1"/>
  <c r="BX125" i="2" s="1"/>
  <c r="EG126" i="2"/>
  <c r="EH125" i="2"/>
  <c r="EI125" i="2" s="1"/>
  <c r="EJ125" i="2" s="1"/>
  <c r="Y125" i="2"/>
  <c r="Z124" i="2"/>
  <c r="AA124" i="2" s="1"/>
  <c r="AB124" i="2" s="1"/>
  <c r="K124" i="2"/>
  <c r="L124" i="2" s="1"/>
  <c r="J125" i="2"/>
  <c r="BU127" i="2" l="1"/>
  <c r="BV126" i="2"/>
  <c r="BW126" i="2" s="1"/>
  <c r="BX126" i="2" s="1"/>
  <c r="DA126" i="2"/>
  <c r="DB125" i="2"/>
  <c r="DC125" i="2" s="1"/>
  <c r="DD125" i="2" s="1"/>
  <c r="CK127" i="2"/>
  <c r="CL126" i="2"/>
  <c r="CM126" i="2" s="1"/>
  <c r="CN126" i="2" s="1"/>
  <c r="EG127" i="2"/>
  <c r="EH126" i="2"/>
  <c r="EI126" i="2" s="1"/>
  <c r="EJ126" i="2" s="1"/>
  <c r="EW126" i="2"/>
  <c r="EX125" i="2"/>
  <c r="EY125" i="2" s="1"/>
  <c r="EZ125" i="2" s="1"/>
  <c r="BE127" i="2"/>
  <c r="BF126" i="2"/>
  <c r="BG126" i="2" s="1"/>
  <c r="BH126" i="2" s="1"/>
  <c r="DQ126" i="2"/>
  <c r="DR125" i="2"/>
  <c r="DS125" i="2" s="1"/>
  <c r="DT125" i="2" s="1"/>
  <c r="Y126" i="2"/>
  <c r="Z125" i="2"/>
  <c r="AA125" i="2" s="1"/>
  <c r="AB125" i="2" s="1"/>
  <c r="J126" i="2"/>
  <c r="K125" i="2"/>
  <c r="L125" i="2" s="1"/>
  <c r="BE128" i="2" l="1"/>
  <c r="BF127" i="2"/>
  <c r="BG127" i="2" s="1"/>
  <c r="BH127" i="2" s="1"/>
  <c r="EG128" i="2"/>
  <c r="EH127" i="2"/>
  <c r="EI127" i="2" s="1"/>
  <c r="EJ127" i="2" s="1"/>
  <c r="DA127" i="2"/>
  <c r="DB126" i="2"/>
  <c r="DC126" i="2" s="1"/>
  <c r="DD126" i="2" s="1"/>
  <c r="DQ127" i="2"/>
  <c r="DR126" i="2"/>
  <c r="DS126" i="2" s="1"/>
  <c r="DT126" i="2" s="1"/>
  <c r="EW127" i="2"/>
  <c r="EX126" i="2"/>
  <c r="EY126" i="2" s="1"/>
  <c r="EZ126" i="2" s="1"/>
  <c r="CK128" i="2"/>
  <c r="CL127" i="2"/>
  <c r="CM127" i="2" s="1"/>
  <c r="CN127" i="2" s="1"/>
  <c r="BU128" i="2"/>
  <c r="BV127" i="2"/>
  <c r="BW127" i="2" s="1"/>
  <c r="BX127" i="2" s="1"/>
  <c r="Y127" i="2"/>
  <c r="Z126" i="2"/>
  <c r="AA126" i="2" s="1"/>
  <c r="AB126" i="2" s="1"/>
  <c r="K126" i="2"/>
  <c r="L126" i="2" s="1"/>
  <c r="J127" i="2"/>
  <c r="CK129" i="2" l="1"/>
  <c r="CL128" i="2"/>
  <c r="CM128" i="2" s="1"/>
  <c r="CN128" i="2" s="1"/>
  <c r="DQ128" i="2"/>
  <c r="DR127" i="2"/>
  <c r="DS127" i="2" s="1"/>
  <c r="DT127" i="2" s="1"/>
  <c r="EG129" i="2"/>
  <c r="EH128" i="2"/>
  <c r="EI128" i="2" s="1"/>
  <c r="EJ128" i="2" s="1"/>
  <c r="BU129" i="2"/>
  <c r="BV128" i="2"/>
  <c r="BW128" i="2" s="1"/>
  <c r="BX128" i="2" s="1"/>
  <c r="EW128" i="2"/>
  <c r="EX127" i="2"/>
  <c r="EY127" i="2" s="1"/>
  <c r="EZ127" i="2" s="1"/>
  <c r="DA128" i="2"/>
  <c r="DB127" i="2"/>
  <c r="DC127" i="2" s="1"/>
  <c r="DD127" i="2" s="1"/>
  <c r="BE129" i="2"/>
  <c r="BF128" i="2"/>
  <c r="BG128" i="2" s="1"/>
  <c r="BH128" i="2" s="1"/>
  <c r="Y128" i="2"/>
  <c r="Z127" i="2"/>
  <c r="AA127" i="2" s="1"/>
  <c r="AB127" i="2" s="1"/>
  <c r="K127" i="2"/>
  <c r="L127" i="2" s="1"/>
  <c r="J128" i="2"/>
  <c r="DA129" i="2" l="1"/>
  <c r="DB128" i="2"/>
  <c r="DC128" i="2" s="1"/>
  <c r="DD128" i="2" s="1"/>
  <c r="BU130" i="2"/>
  <c r="BV129" i="2"/>
  <c r="BW129" i="2" s="1"/>
  <c r="BX129" i="2" s="1"/>
  <c r="DQ129" i="2"/>
  <c r="DR128" i="2"/>
  <c r="DS128" i="2" s="1"/>
  <c r="DT128" i="2" s="1"/>
  <c r="BE130" i="2"/>
  <c r="BF129" i="2"/>
  <c r="BG129" i="2" s="1"/>
  <c r="BH129" i="2" s="1"/>
  <c r="EW129" i="2"/>
  <c r="EX128" i="2"/>
  <c r="EY128" i="2" s="1"/>
  <c r="EZ128" i="2" s="1"/>
  <c r="EG130" i="2"/>
  <c r="EH129" i="2"/>
  <c r="EI129" i="2" s="1"/>
  <c r="EJ129" i="2" s="1"/>
  <c r="CK130" i="2"/>
  <c r="CL129" i="2"/>
  <c r="CM129" i="2" s="1"/>
  <c r="CN129" i="2" s="1"/>
  <c r="Y129" i="2"/>
  <c r="Z128" i="2"/>
  <c r="AA128" i="2" s="1"/>
  <c r="AB128" i="2" s="1"/>
  <c r="K128" i="2"/>
  <c r="L128" i="2" s="1"/>
  <c r="J129" i="2"/>
  <c r="EG131" i="2" l="1"/>
  <c r="EH130" i="2"/>
  <c r="EI130" i="2" s="1"/>
  <c r="EJ130" i="2" s="1"/>
  <c r="BE131" i="2"/>
  <c r="BF130" i="2"/>
  <c r="BG130" i="2" s="1"/>
  <c r="BH130" i="2" s="1"/>
  <c r="BU131" i="2"/>
  <c r="BV130" i="2"/>
  <c r="BW130" i="2" s="1"/>
  <c r="BX130" i="2" s="1"/>
  <c r="CK131" i="2"/>
  <c r="CL130" i="2"/>
  <c r="CM130" i="2" s="1"/>
  <c r="CN130" i="2" s="1"/>
  <c r="EW130" i="2"/>
  <c r="EX129" i="2"/>
  <c r="EY129" i="2" s="1"/>
  <c r="EZ129" i="2" s="1"/>
  <c r="DQ130" i="2"/>
  <c r="DR129" i="2"/>
  <c r="DS129" i="2" s="1"/>
  <c r="DT129" i="2" s="1"/>
  <c r="DA130" i="2"/>
  <c r="DB129" i="2"/>
  <c r="DC129" i="2" s="1"/>
  <c r="DD129" i="2" s="1"/>
  <c r="Y130" i="2"/>
  <c r="Z129" i="2"/>
  <c r="AA129" i="2" s="1"/>
  <c r="AB129" i="2" s="1"/>
  <c r="K129" i="2"/>
  <c r="L129" i="2" s="1"/>
  <c r="J130" i="2"/>
  <c r="DQ131" i="2" l="1"/>
  <c r="DR130" i="2"/>
  <c r="DS130" i="2" s="1"/>
  <c r="DT130" i="2" s="1"/>
  <c r="CK132" i="2"/>
  <c r="CL131" i="2"/>
  <c r="CM131" i="2" s="1"/>
  <c r="CN131" i="2" s="1"/>
  <c r="BE132" i="2"/>
  <c r="BF131" i="2"/>
  <c r="BG131" i="2" s="1"/>
  <c r="BH131" i="2" s="1"/>
  <c r="DA131" i="2"/>
  <c r="DB130" i="2"/>
  <c r="DC130" i="2" s="1"/>
  <c r="DD130" i="2" s="1"/>
  <c r="EW131" i="2"/>
  <c r="EX130" i="2"/>
  <c r="EY130" i="2" s="1"/>
  <c r="EZ130" i="2" s="1"/>
  <c r="BU132" i="2"/>
  <c r="BV131" i="2"/>
  <c r="BW131" i="2" s="1"/>
  <c r="BX131" i="2" s="1"/>
  <c r="EG132" i="2"/>
  <c r="EH131" i="2"/>
  <c r="EI131" i="2" s="1"/>
  <c r="EJ131" i="2" s="1"/>
  <c r="Y131" i="2"/>
  <c r="Z130" i="2"/>
  <c r="AA130" i="2" s="1"/>
  <c r="AB130" i="2" s="1"/>
  <c r="K130" i="2"/>
  <c r="L130" i="2" s="1"/>
  <c r="J131" i="2"/>
  <c r="BU133" i="2" l="1"/>
  <c r="BV132" i="2"/>
  <c r="BW132" i="2" s="1"/>
  <c r="BX132" i="2" s="1"/>
  <c r="DA132" i="2"/>
  <c r="DB131" i="2"/>
  <c r="DC131" i="2" s="1"/>
  <c r="DD131" i="2" s="1"/>
  <c r="CK133" i="2"/>
  <c r="CL132" i="2"/>
  <c r="CM132" i="2" s="1"/>
  <c r="CN132" i="2" s="1"/>
  <c r="EG133" i="2"/>
  <c r="EH132" i="2"/>
  <c r="EI132" i="2" s="1"/>
  <c r="EJ132" i="2" s="1"/>
  <c r="EW132" i="2"/>
  <c r="EX131" i="2"/>
  <c r="EY131" i="2" s="1"/>
  <c r="EZ131" i="2" s="1"/>
  <c r="BE133" i="2"/>
  <c r="BF132" i="2"/>
  <c r="BG132" i="2" s="1"/>
  <c r="BH132" i="2" s="1"/>
  <c r="DQ132" i="2"/>
  <c r="DR131" i="2"/>
  <c r="DS131" i="2" s="1"/>
  <c r="DT131" i="2" s="1"/>
  <c r="Y132" i="2"/>
  <c r="Z131" i="2"/>
  <c r="AA131" i="2" s="1"/>
  <c r="AB131" i="2" s="1"/>
  <c r="K131" i="2"/>
  <c r="L131" i="2" s="1"/>
  <c r="J132" i="2"/>
  <c r="BE134" i="2" l="1"/>
  <c r="BF133" i="2"/>
  <c r="BG133" i="2" s="1"/>
  <c r="BH133" i="2" s="1"/>
  <c r="EG134" i="2"/>
  <c r="EH133" i="2"/>
  <c r="EI133" i="2" s="1"/>
  <c r="EJ133" i="2" s="1"/>
  <c r="DA133" i="2"/>
  <c r="DB132" i="2"/>
  <c r="DC132" i="2" s="1"/>
  <c r="DD132" i="2" s="1"/>
  <c r="DQ133" i="2"/>
  <c r="DR132" i="2"/>
  <c r="DS132" i="2" s="1"/>
  <c r="DT132" i="2" s="1"/>
  <c r="EW133" i="2"/>
  <c r="EX132" i="2"/>
  <c r="EY132" i="2" s="1"/>
  <c r="EZ132" i="2" s="1"/>
  <c r="CK134" i="2"/>
  <c r="CL133" i="2"/>
  <c r="CM133" i="2" s="1"/>
  <c r="CN133" i="2" s="1"/>
  <c r="BU134" i="2"/>
  <c r="BV133" i="2"/>
  <c r="BW133" i="2" s="1"/>
  <c r="BX133" i="2" s="1"/>
  <c r="Y133" i="2"/>
  <c r="Z132" i="2"/>
  <c r="AA132" i="2" s="1"/>
  <c r="AB132" i="2" s="1"/>
  <c r="K132" i="2"/>
  <c r="L132" i="2" s="1"/>
  <c r="J133" i="2"/>
  <c r="CK135" i="2" l="1"/>
  <c r="CL134" i="2"/>
  <c r="CM134" i="2" s="1"/>
  <c r="CN134" i="2" s="1"/>
  <c r="DQ134" i="2"/>
  <c r="DR133" i="2"/>
  <c r="DS133" i="2" s="1"/>
  <c r="DT133" i="2" s="1"/>
  <c r="EG135" i="2"/>
  <c r="EH134" i="2"/>
  <c r="EI134" i="2" s="1"/>
  <c r="EJ134" i="2" s="1"/>
  <c r="BU135" i="2"/>
  <c r="BV134" i="2"/>
  <c r="BW134" i="2" s="1"/>
  <c r="BX134" i="2" s="1"/>
  <c r="EW134" i="2"/>
  <c r="EX133" i="2"/>
  <c r="EY133" i="2" s="1"/>
  <c r="EZ133" i="2" s="1"/>
  <c r="DA134" i="2"/>
  <c r="DB133" i="2"/>
  <c r="DC133" i="2" s="1"/>
  <c r="DD133" i="2" s="1"/>
  <c r="BE135" i="2"/>
  <c r="BF134" i="2"/>
  <c r="BG134" i="2" s="1"/>
  <c r="BH134" i="2" s="1"/>
  <c r="Y134" i="2"/>
  <c r="Z133" i="2"/>
  <c r="AA133" i="2" s="1"/>
  <c r="AB133" i="2" s="1"/>
  <c r="K133" i="2"/>
  <c r="L133" i="2" s="1"/>
  <c r="J134" i="2"/>
  <c r="DA135" i="2" l="1"/>
  <c r="DB134" i="2"/>
  <c r="DC134" i="2" s="1"/>
  <c r="DD134" i="2" s="1"/>
  <c r="BU136" i="2"/>
  <c r="BV135" i="2"/>
  <c r="BW135" i="2" s="1"/>
  <c r="BX135" i="2" s="1"/>
  <c r="DQ135" i="2"/>
  <c r="DR134" i="2"/>
  <c r="DS134" i="2" s="1"/>
  <c r="DT134" i="2" s="1"/>
  <c r="BE136" i="2"/>
  <c r="BF135" i="2"/>
  <c r="BG135" i="2" s="1"/>
  <c r="BH135" i="2" s="1"/>
  <c r="EW135" i="2"/>
  <c r="EX134" i="2"/>
  <c r="EY134" i="2" s="1"/>
  <c r="EZ134" i="2" s="1"/>
  <c r="EG136" i="2"/>
  <c r="EH135" i="2"/>
  <c r="EI135" i="2" s="1"/>
  <c r="EJ135" i="2" s="1"/>
  <c r="CK136" i="2"/>
  <c r="CL135" i="2"/>
  <c r="CM135" i="2" s="1"/>
  <c r="CN135" i="2" s="1"/>
  <c r="Y135" i="2"/>
  <c r="Z134" i="2"/>
  <c r="AA134" i="2" s="1"/>
  <c r="AB134" i="2" s="1"/>
  <c r="K134" i="2"/>
  <c r="L134" i="2" s="1"/>
  <c r="J135" i="2"/>
  <c r="EG137" i="2" l="1"/>
  <c r="EH136" i="2"/>
  <c r="EI136" i="2" s="1"/>
  <c r="EJ136" i="2" s="1"/>
  <c r="BE137" i="2"/>
  <c r="BF136" i="2"/>
  <c r="BG136" i="2" s="1"/>
  <c r="BH136" i="2" s="1"/>
  <c r="BU137" i="2"/>
  <c r="BV136" i="2"/>
  <c r="BW136" i="2" s="1"/>
  <c r="BX136" i="2" s="1"/>
  <c r="CK137" i="2"/>
  <c r="CL136" i="2"/>
  <c r="CM136" i="2" s="1"/>
  <c r="CN136" i="2" s="1"/>
  <c r="EW136" i="2"/>
  <c r="EX135" i="2"/>
  <c r="EY135" i="2" s="1"/>
  <c r="EZ135" i="2" s="1"/>
  <c r="DQ136" i="2"/>
  <c r="DR135" i="2"/>
  <c r="DS135" i="2" s="1"/>
  <c r="DT135" i="2" s="1"/>
  <c r="DA136" i="2"/>
  <c r="DB135" i="2"/>
  <c r="DC135" i="2" s="1"/>
  <c r="DD135" i="2" s="1"/>
  <c r="Y136" i="2"/>
  <c r="Z135" i="2"/>
  <c r="AA135" i="2" s="1"/>
  <c r="AB135" i="2" s="1"/>
  <c r="K135" i="2"/>
  <c r="L135" i="2" s="1"/>
  <c r="J136" i="2"/>
  <c r="DQ137" i="2" l="1"/>
  <c r="DR136" i="2"/>
  <c r="DS136" i="2" s="1"/>
  <c r="DT136" i="2" s="1"/>
  <c r="CK138" i="2"/>
  <c r="CL137" i="2"/>
  <c r="CM137" i="2" s="1"/>
  <c r="CN137" i="2" s="1"/>
  <c r="BE138" i="2"/>
  <c r="BF137" i="2"/>
  <c r="BG137" i="2" s="1"/>
  <c r="BH137" i="2" s="1"/>
  <c r="DA137" i="2"/>
  <c r="DB136" i="2"/>
  <c r="DC136" i="2" s="1"/>
  <c r="DD136" i="2" s="1"/>
  <c r="EW137" i="2"/>
  <c r="EX136" i="2"/>
  <c r="EY136" i="2" s="1"/>
  <c r="EZ136" i="2" s="1"/>
  <c r="BU138" i="2"/>
  <c r="BV137" i="2"/>
  <c r="BW137" i="2" s="1"/>
  <c r="BX137" i="2" s="1"/>
  <c r="EG138" i="2"/>
  <c r="EH137" i="2"/>
  <c r="EI137" i="2" s="1"/>
  <c r="EJ137" i="2" s="1"/>
  <c r="Y137" i="2"/>
  <c r="Z136" i="2"/>
  <c r="AA136" i="2" s="1"/>
  <c r="AB136" i="2" s="1"/>
  <c r="K136" i="2"/>
  <c r="L136" i="2" s="1"/>
  <c r="J137" i="2"/>
  <c r="BU139" i="2" l="1"/>
  <c r="BV138" i="2"/>
  <c r="BW138" i="2" s="1"/>
  <c r="BX138" i="2" s="1"/>
  <c r="DA138" i="2"/>
  <c r="DB137" i="2"/>
  <c r="DC137" i="2" s="1"/>
  <c r="DD137" i="2" s="1"/>
  <c r="CK139" i="2"/>
  <c r="CL138" i="2"/>
  <c r="CM138" i="2" s="1"/>
  <c r="CN138" i="2" s="1"/>
  <c r="EG139" i="2"/>
  <c r="EH138" i="2"/>
  <c r="EI138" i="2" s="1"/>
  <c r="EJ138" i="2" s="1"/>
  <c r="EW138" i="2"/>
  <c r="EX137" i="2"/>
  <c r="EY137" i="2" s="1"/>
  <c r="EZ137" i="2" s="1"/>
  <c r="BE139" i="2"/>
  <c r="BF138" i="2"/>
  <c r="BG138" i="2" s="1"/>
  <c r="BH138" i="2" s="1"/>
  <c r="DQ138" i="2"/>
  <c r="DR137" i="2"/>
  <c r="DS137" i="2" s="1"/>
  <c r="DT137" i="2" s="1"/>
  <c r="Y138" i="2"/>
  <c r="Z137" i="2"/>
  <c r="AA137" i="2" s="1"/>
  <c r="AB137" i="2" s="1"/>
  <c r="K137" i="2"/>
  <c r="L137" i="2" s="1"/>
  <c r="J138" i="2"/>
  <c r="BE140" i="2" l="1"/>
  <c r="BF139" i="2"/>
  <c r="BG139" i="2" s="1"/>
  <c r="BH139" i="2" s="1"/>
  <c r="EG140" i="2"/>
  <c r="EH139" i="2"/>
  <c r="EI139" i="2" s="1"/>
  <c r="EJ139" i="2" s="1"/>
  <c r="DA139" i="2"/>
  <c r="DB138" i="2"/>
  <c r="DC138" i="2" s="1"/>
  <c r="DD138" i="2" s="1"/>
  <c r="DQ139" i="2"/>
  <c r="DR138" i="2"/>
  <c r="DS138" i="2" s="1"/>
  <c r="DT138" i="2" s="1"/>
  <c r="EW139" i="2"/>
  <c r="EX138" i="2"/>
  <c r="EY138" i="2" s="1"/>
  <c r="EZ138" i="2" s="1"/>
  <c r="CK140" i="2"/>
  <c r="CL139" i="2"/>
  <c r="CM139" i="2" s="1"/>
  <c r="CN139" i="2" s="1"/>
  <c r="BU140" i="2"/>
  <c r="BV139" i="2"/>
  <c r="BW139" i="2" s="1"/>
  <c r="BX139" i="2" s="1"/>
  <c r="Y139" i="2"/>
  <c r="Z138" i="2"/>
  <c r="AA138" i="2" s="1"/>
  <c r="AB138" i="2" s="1"/>
  <c r="K138" i="2"/>
  <c r="L138" i="2" s="1"/>
  <c r="J139" i="2"/>
  <c r="CK141" i="2" l="1"/>
  <c r="CL140" i="2"/>
  <c r="CM140" i="2" s="1"/>
  <c r="CN140" i="2" s="1"/>
  <c r="DQ140" i="2"/>
  <c r="DR139" i="2"/>
  <c r="DS139" i="2" s="1"/>
  <c r="DT139" i="2" s="1"/>
  <c r="EG141" i="2"/>
  <c r="EH140" i="2"/>
  <c r="EI140" i="2" s="1"/>
  <c r="EJ140" i="2" s="1"/>
  <c r="BU141" i="2"/>
  <c r="BV140" i="2"/>
  <c r="BW140" i="2" s="1"/>
  <c r="BX140" i="2" s="1"/>
  <c r="EW140" i="2"/>
  <c r="EX139" i="2"/>
  <c r="EY139" i="2" s="1"/>
  <c r="EZ139" i="2" s="1"/>
  <c r="DA140" i="2"/>
  <c r="DB139" i="2"/>
  <c r="DC139" i="2" s="1"/>
  <c r="DD139" i="2" s="1"/>
  <c r="BE141" i="2"/>
  <c r="BF140" i="2"/>
  <c r="BG140" i="2" s="1"/>
  <c r="BH140" i="2" s="1"/>
  <c r="Y140" i="2"/>
  <c r="Z139" i="2"/>
  <c r="AA139" i="2" s="1"/>
  <c r="AB139" i="2" s="1"/>
  <c r="K139" i="2"/>
  <c r="L139" i="2" s="1"/>
  <c r="J140" i="2"/>
  <c r="DA141" i="2" l="1"/>
  <c r="DB140" i="2"/>
  <c r="DC140" i="2" s="1"/>
  <c r="DD140" i="2" s="1"/>
  <c r="BU142" i="2"/>
  <c r="BV141" i="2"/>
  <c r="BW141" i="2" s="1"/>
  <c r="BX141" i="2" s="1"/>
  <c r="DQ141" i="2"/>
  <c r="DR140" i="2"/>
  <c r="DS140" i="2" s="1"/>
  <c r="DT140" i="2" s="1"/>
  <c r="BE142" i="2"/>
  <c r="BF141" i="2"/>
  <c r="BG141" i="2" s="1"/>
  <c r="BH141" i="2" s="1"/>
  <c r="EW141" i="2"/>
  <c r="EX140" i="2"/>
  <c r="EY140" i="2" s="1"/>
  <c r="EZ140" i="2" s="1"/>
  <c r="EG142" i="2"/>
  <c r="EH141" i="2"/>
  <c r="EI141" i="2" s="1"/>
  <c r="EJ141" i="2" s="1"/>
  <c r="CK142" i="2"/>
  <c r="CL141" i="2"/>
  <c r="CM141" i="2" s="1"/>
  <c r="CN141" i="2" s="1"/>
  <c r="Y141" i="2"/>
  <c r="Z140" i="2"/>
  <c r="AA140" i="2" s="1"/>
  <c r="AB140" i="2" s="1"/>
  <c r="K140" i="2"/>
  <c r="L140" i="2" s="1"/>
  <c r="J141" i="2"/>
  <c r="EG143" i="2" l="1"/>
  <c r="EH142" i="2"/>
  <c r="EI142" i="2" s="1"/>
  <c r="EJ142" i="2" s="1"/>
  <c r="BE143" i="2"/>
  <c r="BF142" i="2"/>
  <c r="BG142" i="2" s="1"/>
  <c r="BH142" i="2" s="1"/>
  <c r="BU143" i="2"/>
  <c r="BV142" i="2"/>
  <c r="BW142" i="2" s="1"/>
  <c r="BX142" i="2" s="1"/>
  <c r="CK143" i="2"/>
  <c r="CL142" i="2"/>
  <c r="CM142" i="2" s="1"/>
  <c r="CN142" i="2" s="1"/>
  <c r="EW142" i="2"/>
  <c r="EX141" i="2"/>
  <c r="EY141" i="2" s="1"/>
  <c r="EZ141" i="2" s="1"/>
  <c r="DQ142" i="2"/>
  <c r="DR141" i="2"/>
  <c r="DS141" i="2" s="1"/>
  <c r="DT141" i="2" s="1"/>
  <c r="DA142" i="2"/>
  <c r="DB141" i="2"/>
  <c r="DC141" i="2" s="1"/>
  <c r="DD141" i="2" s="1"/>
  <c r="Y142" i="2"/>
  <c r="Z141" i="2"/>
  <c r="AA141" i="2" s="1"/>
  <c r="AB141" i="2" s="1"/>
  <c r="K141" i="2"/>
  <c r="L141" i="2" s="1"/>
  <c r="J142" i="2"/>
  <c r="DQ143" i="2" l="1"/>
  <c r="DR142" i="2"/>
  <c r="DS142" i="2" s="1"/>
  <c r="DT142" i="2" s="1"/>
  <c r="CK144" i="2"/>
  <c r="CL143" i="2"/>
  <c r="CM143" i="2" s="1"/>
  <c r="CN143" i="2" s="1"/>
  <c r="BE144" i="2"/>
  <c r="BF143" i="2"/>
  <c r="BG143" i="2" s="1"/>
  <c r="BH143" i="2" s="1"/>
  <c r="DA143" i="2"/>
  <c r="DB142" i="2"/>
  <c r="DC142" i="2" s="1"/>
  <c r="DD142" i="2" s="1"/>
  <c r="EW143" i="2"/>
  <c r="EX142" i="2"/>
  <c r="EY142" i="2" s="1"/>
  <c r="EZ142" i="2" s="1"/>
  <c r="BU144" i="2"/>
  <c r="BV143" i="2"/>
  <c r="BW143" i="2" s="1"/>
  <c r="BX143" i="2" s="1"/>
  <c r="EG144" i="2"/>
  <c r="EH143" i="2"/>
  <c r="EI143" i="2" s="1"/>
  <c r="EJ143" i="2" s="1"/>
  <c r="Y143" i="2"/>
  <c r="Z142" i="2"/>
  <c r="AA142" i="2" s="1"/>
  <c r="AB142" i="2" s="1"/>
  <c r="K142" i="2"/>
  <c r="L142" i="2" s="1"/>
  <c r="J143" i="2"/>
  <c r="BU145" i="2" l="1"/>
  <c r="BV144" i="2"/>
  <c r="BW144" i="2" s="1"/>
  <c r="BX144" i="2" s="1"/>
  <c r="DA144" i="2"/>
  <c r="DB143" i="2"/>
  <c r="DC143" i="2" s="1"/>
  <c r="DD143" i="2" s="1"/>
  <c r="CK145" i="2"/>
  <c r="CL144" i="2"/>
  <c r="CM144" i="2" s="1"/>
  <c r="CN144" i="2" s="1"/>
  <c r="EG145" i="2"/>
  <c r="EH144" i="2"/>
  <c r="EI144" i="2" s="1"/>
  <c r="EJ144" i="2" s="1"/>
  <c r="EW144" i="2"/>
  <c r="EX143" i="2"/>
  <c r="EY143" i="2" s="1"/>
  <c r="EZ143" i="2" s="1"/>
  <c r="BE145" i="2"/>
  <c r="BF144" i="2"/>
  <c r="BG144" i="2" s="1"/>
  <c r="BH144" i="2" s="1"/>
  <c r="DQ144" i="2"/>
  <c r="DR143" i="2"/>
  <c r="DS143" i="2" s="1"/>
  <c r="DT143" i="2" s="1"/>
  <c r="Y144" i="2"/>
  <c r="Z143" i="2"/>
  <c r="AA143" i="2" s="1"/>
  <c r="AB143" i="2" s="1"/>
  <c r="K143" i="2"/>
  <c r="L143" i="2" s="1"/>
  <c r="J144" i="2"/>
  <c r="BE146" i="2" l="1"/>
  <c r="BF145" i="2"/>
  <c r="BG145" i="2" s="1"/>
  <c r="BH145" i="2" s="1"/>
  <c r="EG146" i="2"/>
  <c r="EH145" i="2"/>
  <c r="EI145" i="2" s="1"/>
  <c r="EJ145" i="2" s="1"/>
  <c r="DA145" i="2"/>
  <c r="DB144" i="2"/>
  <c r="DC144" i="2" s="1"/>
  <c r="DD144" i="2" s="1"/>
  <c r="DQ145" i="2"/>
  <c r="DR144" i="2"/>
  <c r="DS144" i="2" s="1"/>
  <c r="DT144" i="2" s="1"/>
  <c r="EW145" i="2"/>
  <c r="EX144" i="2"/>
  <c r="EY144" i="2" s="1"/>
  <c r="EZ144" i="2" s="1"/>
  <c r="CK146" i="2"/>
  <c r="CL145" i="2"/>
  <c r="CM145" i="2" s="1"/>
  <c r="CN145" i="2" s="1"/>
  <c r="BU146" i="2"/>
  <c r="BV145" i="2"/>
  <c r="BW145" i="2" s="1"/>
  <c r="BX145" i="2" s="1"/>
  <c r="Y145" i="2"/>
  <c r="Z144" i="2"/>
  <c r="AA144" i="2" s="1"/>
  <c r="AB144" i="2" s="1"/>
  <c r="K144" i="2"/>
  <c r="L144" i="2" s="1"/>
  <c r="J145" i="2"/>
  <c r="CK147" i="2" l="1"/>
  <c r="CL146" i="2"/>
  <c r="CM146" i="2" s="1"/>
  <c r="CN146" i="2" s="1"/>
  <c r="DQ146" i="2"/>
  <c r="DR145" i="2"/>
  <c r="DS145" i="2" s="1"/>
  <c r="DT145" i="2" s="1"/>
  <c r="EG147" i="2"/>
  <c r="EH146" i="2"/>
  <c r="EI146" i="2" s="1"/>
  <c r="EJ146" i="2" s="1"/>
  <c r="BU147" i="2"/>
  <c r="BV146" i="2"/>
  <c r="BW146" i="2" s="1"/>
  <c r="BX146" i="2" s="1"/>
  <c r="EW146" i="2"/>
  <c r="EX145" i="2"/>
  <c r="EY145" i="2" s="1"/>
  <c r="EZ145" i="2" s="1"/>
  <c r="DA146" i="2"/>
  <c r="DB145" i="2"/>
  <c r="DC145" i="2" s="1"/>
  <c r="DD145" i="2" s="1"/>
  <c r="BE147" i="2"/>
  <c r="BF146" i="2"/>
  <c r="BG146" i="2" s="1"/>
  <c r="BH146" i="2" s="1"/>
  <c r="Y146" i="2"/>
  <c r="Z145" i="2"/>
  <c r="AA145" i="2" s="1"/>
  <c r="AB145" i="2" s="1"/>
  <c r="K145" i="2"/>
  <c r="L145" i="2" s="1"/>
  <c r="J146" i="2"/>
  <c r="DA147" i="2" l="1"/>
  <c r="DB146" i="2"/>
  <c r="DC146" i="2" s="1"/>
  <c r="DD146" i="2" s="1"/>
  <c r="BU148" i="2"/>
  <c r="BV147" i="2"/>
  <c r="BW147" i="2" s="1"/>
  <c r="BX147" i="2" s="1"/>
  <c r="DQ147" i="2"/>
  <c r="DR146" i="2"/>
  <c r="DS146" i="2" s="1"/>
  <c r="DT146" i="2" s="1"/>
  <c r="BE148" i="2"/>
  <c r="BF147" i="2"/>
  <c r="BG147" i="2" s="1"/>
  <c r="BH147" i="2" s="1"/>
  <c r="EW147" i="2"/>
  <c r="EX146" i="2"/>
  <c r="EY146" i="2" s="1"/>
  <c r="EZ146" i="2" s="1"/>
  <c r="EG148" i="2"/>
  <c r="EH147" i="2"/>
  <c r="EI147" i="2" s="1"/>
  <c r="EJ147" i="2" s="1"/>
  <c r="CK148" i="2"/>
  <c r="CL147" i="2"/>
  <c r="CM147" i="2" s="1"/>
  <c r="CN147" i="2" s="1"/>
  <c r="Y147" i="2"/>
  <c r="Z146" i="2"/>
  <c r="AA146" i="2" s="1"/>
  <c r="AB146" i="2" s="1"/>
  <c r="K146" i="2"/>
  <c r="L146" i="2" s="1"/>
  <c r="J147" i="2"/>
  <c r="EG149" i="2" l="1"/>
  <c r="EH148" i="2"/>
  <c r="EI148" i="2" s="1"/>
  <c r="EJ148" i="2" s="1"/>
  <c r="BE149" i="2"/>
  <c r="BF148" i="2"/>
  <c r="BG148" i="2" s="1"/>
  <c r="BH148" i="2" s="1"/>
  <c r="BU149" i="2"/>
  <c r="BV148" i="2"/>
  <c r="BW148" i="2" s="1"/>
  <c r="BX148" i="2" s="1"/>
  <c r="CK149" i="2"/>
  <c r="CL148" i="2"/>
  <c r="CM148" i="2" s="1"/>
  <c r="CN148" i="2" s="1"/>
  <c r="EW148" i="2"/>
  <c r="EX147" i="2"/>
  <c r="EY147" i="2" s="1"/>
  <c r="EZ147" i="2" s="1"/>
  <c r="DQ148" i="2"/>
  <c r="DR147" i="2"/>
  <c r="DS147" i="2" s="1"/>
  <c r="DT147" i="2" s="1"/>
  <c r="DA148" i="2"/>
  <c r="DB147" i="2"/>
  <c r="DC147" i="2" s="1"/>
  <c r="DD147" i="2" s="1"/>
  <c r="Y148" i="2"/>
  <c r="Z147" i="2"/>
  <c r="AA147" i="2" s="1"/>
  <c r="AB147" i="2" s="1"/>
  <c r="J148" i="2"/>
  <c r="K147" i="2"/>
  <c r="L147" i="2" s="1"/>
  <c r="DQ149" i="2" l="1"/>
  <c r="DR148" i="2"/>
  <c r="DS148" i="2" s="1"/>
  <c r="DT148" i="2" s="1"/>
  <c r="CK150" i="2"/>
  <c r="CL149" i="2"/>
  <c r="CM149" i="2" s="1"/>
  <c r="CN149" i="2" s="1"/>
  <c r="BE150" i="2"/>
  <c r="BF149" i="2"/>
  <c r="BG149" i="2" s="1"/>
  <c r="BH149" i="2" s="1"/>
  <c r="DA149" i="2"/>
  <c r="DB148" i="2"/>
  <c r="DC148" i="2" s="1"/>
  <c r="DD148" i="2" s="1"/>
  <c r="EW149" i="2"/>
  <c r="EX148" i="2"/>
  <c r="EY148" i="2" s="1"/>
  <c r="EZ148" i="2" s="1"/>
  <c r="BU150" i="2"/>
  <c r="BV149" i="2"/>
  <c r="BW149" i="2" s="1"/>
  <c r="BX149" i="2" s="1"/>
  <c r="EG150" i="2"/>
  <c r="EH149" i="2"/>
  <c r="EI149" i="2" s="1"/>
  <c r="EJ149" i="2" s="1"/>
  <c r="Y149" i="2"/>
  <c r="Z148" i="2"/>
  <c r="AA148" i="2" s="1"/>
  <c r="AB148" i="2" s="1"/>
  <c r="K148" i="2"/>
  <c r="L148" i="2" s="1"/>
  <c r="J149" i="2"/>
  <c r="BU151" i="2" l="1"/>
  <c r="BV150" i="2"/>
  <c r="BW150" i="2" s="1"/>
  <c r="BX150" i="2" s="1"/>
  <c r="DA150" i="2"/>
  <c r="DB149" i="2"/>
  <c r="DC149" i="2" s="1"/>
  <c r="DD149" i="2" s="1"/>
  <c r="CK151" i="2"/>
  <c r="CL150" i="2"/>
  <c r="CM150" i="2" s="1"/>
  <c r="CN150" i="2" s="1"/>
  <c r="EG151" i="2"/>
  <c r="EH150" i="2"/>
  <c r="EI150" i="2" s="1"/>
  <c r="EJ150" i="2" s="1"/>
  <c r="EW150" i="2"/>
  <c r="EX149" i="2"/>
  <c r="EY149" i="2" s="1"/>
  <c r="EZ149" i="2" s="1"/>
  <c r="BE151" i="2"/>
  <c r="BF150" i="2"/>
  <c r="BG150" i="2" s="1"/>
  <c r="BH150" i="2" s="1"/>
  <c r="DQ150" i="2"/>
  <c r="DR149" i="2"/>
  <c r="DS149" i="2" s="1"/>
  <c r="DT149" i="2" s="1"/>
  <c r="Y150" i="2"/>
  <c r="Z149" i="2"/>
  <c r="AA149" i="2" s="1"/>
  <c r="AB149" i="2" s="1"/>
  <c r="K149" i="2"/>
  <c r="L149" i="2" s="1"/>
  <c r="J150" i="2"/>
  <c r="BE152" i="2" l="1"/>
  <c r="BF151" i="2"/>
  <c r="BG151" i="2" s="1"/>
  <c r="BH151" i="2" s="1"/>
  <c r="EG152" i="2"/>
  <c r="EH151" i="2"/>
  <c r="EI151" i="2" s="1"/>
  <c r="EJ151" i="2" s="1"/>
  <c r="DA151" i="2"/>
  <c r="DB150" i="2"/>
  <c r="DC150" i="2" s="1"/>
  <c r="DD150" i="2" s="1"/>
  <c r="DQ151" i="2"/>
  <c r="DR150" i="2"/>
  <c r="DS150" i="2" s="1"/>
  <c r="DT150" i="2" s="1"/>
  <c r="EW151" i="2"/>
  <c r="EX150" i="2"/>
  <c r="EY150" i="2" s="1"/>
  <c r="EZ150" i="2" s="1"/>
  <c r="CK152" i="2"/>
  <c r="CL151" i="2"/>
  <c r="CM151" i="2" s="1"/>
  <c r="CN151" i="2" s="1"/>
  <c r="BU152" i="2"/>
  <c r="BV151" i="2"/>
  <c r="BW151" i="2" s="1"/>
  <c r="BX151" i="2" s="1"/>
  <c r="Y151" i="2"/>
  <c r="Z150" i="2"/>
  <c r="AA150" i="2" s="1"/>
  <c r="AB150" i="2" s="1"/>
  <c r="K150" i="2"/>
  <c r="L150" i="2" s="1"/>
  <c r="J151" i="2"/>
  <c r="CK153" i="2" l="1"/>
  <c r="CL153" i="2" s="1"/>
  <c r="CM153" i="2" s="1"/>
  <c r="CN153" i="2" s="1"/>
  <c r="CL152" i="2"/>
  <c r="CM152" i="2" s="1"/>
  <c r="CN152" i="2" s="1"/>
  <c r="DQ152" i="2"/>
  <c r="DR151" i="2"/>
  <c r="DS151" i="2" s="1"/>
  <c r="DT151" i="2" s="1"/>
  <c r="EG153" i="2"/>
  <c r="EH153" i="2" s="1"/>
  <c r="EI153" i="2" s="1"/>
  <c r="EJ153" i="2" s="1"/>
  <c r="EH152" i="2"/>
  <c r="EI152" i="2" s="1"/>
  <c r="EJ152" i="2" s="1"/>
  <c r="BU153" i="2"/>
  <c r="BV153" i="2" s="1"/>
  <c r="BW153" i="2" s="1"/>
  <c r="BX153" i="2" s="1"/>
  <c r="BV152" i="2"/>
  <c r="BW152" i="2" s="1"/>
  <c r="BX152" i="2" s="1"/>
  <c r="EW152" i="2"/>
  <c r="EX151" i="2"/>
  <c r="EY151" i="2" s="1"/>
  <c r="EZ151" i="2" s="1"/>
  <c r="DA152" i="2"/>
  <c r="DB151" i="2"/>
  <c r="DC151" i="2" s="1"/>
  <c r="DD151" i="2" s="1"/>
  <c r="BE153" i="2"/>
  <c r="BF153" i="2" s="1"/>
  <c r="BG153" i="2" s="1"/>
  <c r="BH153" i="2" s="1"/>
  <c r="BF152" i="2"/>
  <c r="BG152" i="2" s="1"/>
  <c r="BH152" i="2" s="1"/>
  <c r="Y152" i="2"/>
  <c r="Z151" i="2"/>
  <c r="AA151" i="2" s="1"/>
  <c r="AB151" i="2" s="1"/>
  <c r="K151" i="2"/>
  <c r="L151" i="2" s="1"/>
  <c r="J152" i="2"/>
  <c r="DA153" i="2" l="1"/>
  <c r="DB153" i="2" s="1"/>
  <c r="DC153" i="2" s="1"/>
  <c r="DD153" i="2" s="1"/>
  <c r="DB152" i="2"/>
  <c r="DC152" i="2" s="1"/>
  <c r="DD152" i="2" s="1"/>
  <c r="DQ153" i="2"/>
  <c r="DR153" i="2" s="1"/>
  <c r="DS153" i="2" s="1"/>
  <c r="DT153" i="2" s="1"/>
  <c r="DR152" i="2"/>
  <c r="DS152" i="2" s="1"/>
  <c r="DT152" i="2" s="1"/>
  <c r="EW153" i="2"/>
  <c r="EX153" i="2" s="1"/>
  <c r="EY153" i="2" s="1"/>
  <c r="EZ153" i="2" s="1"/>
  <c r="EX152" i="2"/>
  <c r="EY152" i="2" s="1"/>
  <c r="EZ152" i="2" s="1"/>
  <c r="Y153" i="2"/>
  <c r="Z153" i="2" s="1"/>
  <c r="AA153" i="2" s="1"/>
  <c r="AB153" i="2" s="1"/>
  <c r="Z152" i="2"/>
  <c r="AA152" i="2" s="1"/>
  <c r="AB152" i="2" s="1"/>
  <c r="K152" i="2"/>
  <c r="L152" i="2" s="1"/>
  <c r="J153" i="2" l="1"/>
  <c r="K153" i="2" s="1"/>
  <c r="L153" i="2" s="1"/>
  <c r="M8" i="4"/>
  <c r="M16" i="4" s="1"/>
  <c r="AZ19" i="2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Y19" i="2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X19" i="2"/>
  <c r="AO20" i="2"/>
  <c r="AO21" i="2" s="1"/>
  <c r="BA19" i="2" l="1"/>
  <c r="AP20" i="2"/>
  <c r="AQ20" i="2" s="1"/>
  <c r="AP21" i="2"/>
  <c r="AO22" i="2"/>
  <c r="AX20" i="2"/>
  <c r="N8" i="4"/>
  <c r="N16" i="4" s="1"/>
  <c r="AR20" i="2" l="1"/>
  <c r="BA20" i="2"/>
  <c r="AX21" i="2"/>
  <c r="AP22" i="2"/>
  <c r="AO23" i="2"/>
  <c r="AQ21" i="2"/>
  <c r="AR21" i="2" s="1"/>
  <c r="BA21" i="2" l="1"/>
  <c r="AX22" i="2"/>
  <c r="AQ22" i="2"/>
  <c r="AR22" i="2" s="1"/>
  <c r="AO24" i="2"/>
  <c r="AP23" i="2"/>
  <c r="BA22" i="2" l="1"/>
  <c r="AX23" i="2"/>
  <c r="AP24" i="2"/>
  <c r="AO25" i="2"/>
  <c r="AQ23" i="2"/>
  <c r="AR23" i="2" s="1"/>
  <c r="C8" i="4" l="1"/>
  <c r="D8" i="4"/>
  <c r="AP25" i="2"/>
  <c r="AO26" i="2"/>
  <c r="BA23" i="2"/>
  <c r="AX24" i="2"/>
  <c r="AQ24" i="2"/>
  <c r="AR24" i="2" s="1"/>
  <c r="E8" i="4" l="1"/>
  <c r="I8" i="4" s="1"/>
  <c r="BA24" i="2"/>
  <c r="AX25" i="2"/>
  <c r="AP26" i="2"/>
  <c r="AO27" i="2"/>
  <c r="AQ25" i="2"/>
  <c r="AR25" i="2" s="1"/>
  <c r="I16" i="4" l="1"/>
  <c r="J8" i="4"/>
  <c r="J16" i="4" s="1"/>
  <c r="AP27" i="2"/>
  <c r="AO28" i="2"/>
  <c r="BA25" i="2"/>
  <c r="AX26" i="2"/>
  <c r="AQ26" i="2"/>
  <c r="AR26" i="2" s="1"/>
  <c r="BA26" i="2" l="1"/>
  <c r="AX27" i="2"/>
  <c r="AP28" i="2"/>
  <c r="AO29" i="2"/>
  <c r="AQ27" i="2"/>
  <c r="AR27" i="2" s="1"/>
  <c r="AP29" i="2" l="1"/>
  <c r="AO30" i="2"/>
  <c r="BA27" i="2"/>
  <c r="AX28" i="2"/>
  <c r="AQ28" i="2"/>
  <c r="AR28" i="2" s="1"/>
  <c r="BA28" i="2" l="1"/>
  <c r="AX29" i="2"/>
  <c r="AP30" i="2"/>
  <c r="AO31" i="2"/>
  <c r="AQ29" i="2"/>
  <c r="AR29" i="2" s="1"/>
  <c r="AQ30" i="2" l="1"/>
  <c r="AR30" i="2" s="1"/>
  <c r="AP31" i="2"/>
  <c r="AO32" i="2"/>
  <c r="BA29" i="2"/>
  <c r="AX30" i="2"/>
  <c r="AQ31" i="2" l="1"/>
  <c r="AR31" i="2" s="1"/>
  <c r="BA30" i="2"/>
  <c r="AX31" i="2"/>
  <c r="AP32" i="2"/>
  <c r="AO33" i="2"/>
  <c r="AQ32" i="2" l="1"/>
  <c r="AR32" i="2" s="1"/>
  <c r="AP33" i="2"/>
  <c r="AO34" i="2"/>
  <c r="BA31" i="2"/>
  <c r="AX32" i="2"/>
  <c r="BA32" i="2" l="1"/>
  <c r="AX33" i="2"/>
  <c r="AP34" i="2"/>
  <c r="AO35" i="2"/>
  <c r="AQ33" i="2"/>
  <c r="AR33" i="2" s="1"/>
  <c r="AQ34" i="2" l="1"/>
  <c r="AR34" i="2" s="1"/>
  <c r="AP35" i="2"/>
  <c r="AO36" i="2"/>
  <c r="BA33" i="2"/>
  <c r="K8" i="4" s="1"/>
  <c r="AX34" i="2"/>
  <c r="K16" i="4" l="1"/>
  <c r="L8" i="4"/>
  <c r="BA34" i="2"/>
  <c r="AX35" i="2"/>
  <c r="AP36" i="2"/>
  <c r="AO37" i="2"/>
  <c r="AQ35" i="2"/>
  <c r="AR35" i="2" s="1"/>
  <c r="AP37" i="2" l="1"/>
  <c r="AO38" i="2"/>
  <c r="BA35" i="2"/>
  <c r="AX36" i="2"/>
  <c r="L16" i="4"/>
  <c r="O8" i="4"/>
  <c r="O16" i="4" s="1"/>
  <c r="AQ36" i="2"/>
  <c r="AR36" i="2" s="1"/>
  <c r="BA36" i="2" l="1"/>
  <c r="AX37" i="2"/>
  <c r="AP38" i="2"/>
  <c r="AO39" i="2"/>
  <c r="AQ37" i="2"/>
  <c r="AR37" i="2" s="1"/>
  <c r="BA37" i="2" l="1"/>
  <c r="AX38" i="2"/>
  <c r="AP39" i="2"/>
  <c r="AO40" i="2"/>
  <c r="AQ38" i="2"/>
  <c r="AR38" i="2" s="1"/>
  <c r="BA38" i="2" l="1"/>
  <c r="AX39" i="2"/>
  <c r="AP40" i="2"/>
  <c r="AO41" i="2"/>
  <c r="AQ39" i="2"/>
  <c r="AR39" i="2" s="1"/>
  <c r="BA39" i="2" l="1"/>
  <c r="AX40" i="2"/>
  <c r="AP41" i="2"/>
  <c r="AO42" i="2"/>
  <c r="AQ40" i="2"/>
  <c r="AR40" i="2" s="1"/>
  <c r="BA40" i="2" l="1"/>
  <c r="AX41" i="2"/>
  <c r="AP42" i="2"/>
  <c r="AO43" i="2"/>
  <c r="AQ41" i="2"/>
  <c r="AR41" i="2" s="1"/>
  <c r="BA41" i="2" l="1"/>
  <c r="AX42" i="2"/>
  <c r="AP43" i="2"/>
  <c r="AO44" i="2"/>
  <c r="AQ42" i="2"/>
  <c r="AR42" i="2" s="1"/>
  <c r="BA42" i="2" l="1"/>
  <c r="AX43" i="2"/>
  <c r="AP44" i="2"/>
  <c r="AO45" i="2"/>
  <c r="AQ43" i="2"/>
  <c r="AR43" i="2" s="1"/>
  <c r="BA43" i="2" l="1"/>
  <c r="AX44" i="2"/>
  <c r="AP45" i="2"/>
  <c r="AO46" i="2"/>
  <c r="AQ44" i="2"/>
  <c r="AR44" i="2" s="1"/>
  <c r="BA44" i="2" l="1"/>
  <c r="AX45" i="2"/>
  <c r="AP46" i="2"/>
  <c r="AO47" i="2"/>
  <c r="AQ45" i="2"/>
  <c r="AR45" i="2" s="1"/>
  <c r="BA45" i="2" l="1"/>
  <c r="AX46" i="2"/>
  <c r="AP47" i="2"/>
  <c r="AO48" i="2"/>
  <c r="AQ46" i="2"/>
  <c r="AR46" i="2" s="1"/>
  <c r="BA46" i="2" l="1"/>
  <c r="AX47" i="2"/>
  <c r="AP48" i="2"/>
  <c r="AO49" i="2"/>
  <c r="AQ47" i="2"/>
  <c r="AR47" i="2" s="1"/>
  <c r="AP49" i="2" l="1"/>
  <c r="AO50" i="2"/>
  <c r="BA47" i="2"/>
  <c r="AX48" i="2"/>
  <c r="AQ48" i="2"/>
  <c r="AR48" i="2" s="1"/>
  <c r="BA48" i="2" l="1"/>
  <c r="AX49" i="2"/>
  <c r="AP50" i="2"/>
  <c r="AO51" i="2"/>
  <c r="AQ49" i="2"/>
  <c r="AR49" i="2" s="1"/>
  <c r="AP51" i="2" l="1"/>
  <c r="AO52" i="2"/>
  <c r="BA49" i="2"/>
  <c r="AX50" i="2"/>
  <c r="AQ50" i="2"/>
  <c r="AR50" i="2" s="1"/>
  <c r="BA50" i="2" l="1"/>
  <c r="AX51" i="2"/>
  <c r="AP52" i="2"/>
  <c r="AO53" i="2"/>
  <c r="AQ51" i="2"/>
  <c r="AR51" i="2" s="1"/>
  <c r="AP53" i="2" l="1"/>
  <c r="AO54" i="2"/>
  <c r="BA51" i="2"/>
  <c r="AX52" i="2"/>
  <c r="AQ52" i="2"/>
  <c r="AR52" i="2" s="1"/>
  <c r="BA52" i="2" l="1"/>
  <c r="AX53" i="2"/>
  <c r="AP54" i="2"/>
  <c r="AO55" i="2"/>
  <c r="AQ53" i="2"/>
  <c r="AR53" i="2" s="1"/>
  <c r="AP55" i="2" l="1"/>
  <c r="AO56" i="2"/>
  <c r="BA53" i="2"/>
  <c r="AX54" i="2"/>
  <c r="AQ54" i="2"/>
  <c r="AR54" i="2" s="1"/>
  <c r="BA54" i="2" l="1"/>
  <c r="AX55" i="2"/>
  <c r="AP56" i="2"/>
  <c r="AO57" i="2"/>
  <c r="AQ55" i="2"/>
  <c r="AR55" i="2" s="1"/>
  <c r="AP57" i="2" l="1"/>
  <c r="AO58" i="2"/>
  <c r="BA55" i="2"/>
  <c r="AX56" i="2"/>
  <c r="AQ56" i="2"/>
  <c r="AR56" i="2" s="1"/>
  <c r="BA56" i="2" l="1"/>
  <c r="AX57" i="2"/>
  <c r="AP58" i="2"/>
  <c r="AO59" i="2"/>
  <c r="AQ57" i="2"/>
  <c r="AR57" i="2" s="1"/>
  <c r="AP59" i="2" l="1"/>
  <c r="AO60" i="2"/>
  <c r="BA57" i="2"/>
  <c r="AX58" i="2"/>
  <c r="AQ58" i="2"/>
  <c r="AR58" i="2" s="1"/>
  <c r="BA58" i="2" l="1"/>
  <c r="AX59" i="2"/>
  <c r="AP60" i="2"/>
  <c r="AO61" i="2"/>
  <c r="AQ59" i="2"/>
  <c r="AR59" i="2" s="1"/>
  <c r="AP61" i="2" l="1"/>
  <c r="AO62" i="2"/>
  <c r="BA59" i="2"/>
  <c r="AX60" i="2"/>
  <c r="AQ60" i="2"/>
  <c r="AR60" i="2" s="1"/>
  <c r="BA60" i="2" l="1"/>
  <c r="AX61" i="2"/>
  <c r="AP62" i="2"/>
  <c r="AO63" i="2"/>
  <c r="AQ61" i="2"/>
  <c r="AR61" i="2" s="1"/>
  <c r="AP63" i="2" l="1"/>
  <c r="AO64" i="2"/>
  <c r="BA61" i="2"/>
  <c r="AX62" i="2"/>
  <c r="AQ62" i="2"/>
  <c r="AR62" i="2" s="1"/>
  <c r="BA62" i="2" l="1"/>
  <c r="AX63" i="2"/>
  <c r="AP64" i="2"/>
  <c r="AO65" i="2"/>
  <c r="AQ63" i="2"/>
  <c r="AR63" i="2" s="1"/>
  <c r="AP65" i="2" l="1"/>
  <c r="AO66" i="2"/>
  <c r="BA63" i="2"/>
  <c r="AX64" i="2"/>
  <c r="AQ64" i="2"/>
  <c r="AR64" i="2" s="1"/>
  <c r="BA64" i="2" l="1"/>
  <c r="AX65" i="2"/>
  <c r="AP66" i="2"/>
  <c r="AO67" i="2"/>
  <c r="AQ65" i="2"/>
  <c r="AR65" i="2" s="1"/>
  <c r="AP67" i="2" l="1"/>
  <c r="AO68" i="2"/>
  <c r="BA65" i="2"/>
  <c r="AX66" i="2"/>
  <c r="AQ66" i="2"/>
  <c r="AR66" i="2" s="1"/>
  <c r="BA66" i="2" l="1"/>
  <c r="AX67" i="2"/>
  <c r="AP68" i="2"/>
  <c r="AO69" i="2"/>
  <c r="AQ67" i="2"/>
  <c r="AR67" i="2" s="1"/>
  <c r="AP69" i="2" l="1"/>
  <c r="AO70" i="2"/>
  <c r="BA67" i="2"/>
  <c r="AX68" i="2"/>
  <c r="AQ68" i="2"/>
  <c r="AR68" i="2" s="1"/>
  <c r="BA68" i="2" l="1"/>
  <c r="AX69" i="2"/>
  <c r="AP70" i="2"/>
  <c r="AO71" i="2"/>
  <c r="AQ69" i="2"/>
  <c r="AR69" i="2" s="1"/>
  <c r="AP71" i="2" l="1"/>
  <c r="AO72" i="2"/>
  <c r="BA69" i="2"/>
  <c r="AX70" i="2"/>
  <c r="AQ70" i="2"/>
  <c r="AR70" i="2" s="1"/>
  <c r="BA70" i="2" l="1"/>
  <c r="AX71" i="2"/>
  <c r="AP72" i="2"/>
  <c r="AO73" i="2"/>
  <c r="AQ71" i="2"/>
  <c r="AR71" i="2" s="1"/>
  <c r="AP73" i="2" l="1"/>
  <c r="AO74" i="2"/>
  <c r="BA71" i="2"/>
  <c r="AX72" i="2"/>
  <c r="AQ72" i="2"/>
  <c r="AR72" i="2" s="1"/>
  <c r="BA72" i="2" l="1"/>
  <c r="AX73" i="2"/>
  <c r="AP74" i="2"/>
  <c r="AO75" i="2"/>
  <c r="AQ73" i="2"/>
  <c r="AR73" i="2" s="1"/>
  <c r="AP75" i="2" l="1"/>
  <c r="AO76" i="2"/>
  <c r="BA73" i="2"/>
  <c r="AX74" i="2"/>
  <c r="AQ74" i="2"/>
  <c r="AR74" i="2" s="1"/>
  <c r="BA74" i="2" l="1"/>
  <c r="AX75" i="2"/>
  <c r="AP76" i="2"/>
  <c r="AO77" i="2"/>
  <c r="AQ75" i="2"/>
  <c r="AR75" i="2" s="1"/>
  <c r="AP77" i="2" l="1"/>
  <c r="AO78" i="2"/>
  <c r="BA75" i="2"/>
  <c r="AX76" i="2"/>
  <c r="AQ76" i="2"/>
  <c r="AR76" i="2" s="1"/>
  <c r="BA76" i="2" l="1"/>
  <c r="AX77" i="2"/>
  <c r="AP78" i="2"/>
  <c r="AO79" i="2"/>
  <c r="AQ77" i="2"/>
  <c r="AR77" i="2" s="1"/>
  <c r="AP79" i="2" l="1"/>
  <c r="AO80" i="2"/>
  <c r="BA77" i="2"/>
  <c r="AX78" i="2"/>
  <c r="AQ78" i="2"/>
  <c r="AR78" i="2" s="1"/>
  <c r="BA78" i="2" l="1"/>
  <c r="AX79" i="2"/>
  <c r="AP80" i="2"/>
  <c r="AO81" i="2"/>
  <c r="AQ79" i="2"/>
  <c r="AR79" i="2" s="1"/>
  <c r="AP81" i="2" l="1"/>
  <c r="AO82" i="2"/>
  <c r="BA79" i="2"/>
  <c r="AX80" i="2"/>
  <c r="AQ80" i="2"/>
  <c r="AR80" i="2" s="1"/>
  <c r="BA80" i="2" l="1"/>
  <c r="AX81" i="2"/>
  <c r="AP82" i="2"/>
  <c r="AO83" i="2"/>
  <c r="AQ81" i="2"/>
  <c r="AR81" i="2" s="1"/>
  <c r="AP83" i="2" l="1"/>
  <c r="AO84" i="2"/>
  <c r="BA81" i="2"/>
  <c r="AX82" i="2"/>
  <c r="AQ82" i="2"/>
  <c r="AR82" i="2" s="1"/>
  <c r="BA82" i="2" l="1"/>
  <c r="AX83" i="2"/>
  <c r="AP84" i="2"/>
  <c r="AO85" i="2"/>
  <c r="AQ83" i="2"/>
  <c r="AR83" i="2" s="1"/>
  <c r="AQ84" i="2" l="1"/>
  <c r="AR84" i="2" s="1"/>
  <c r="AP85" i="2"/>
  <c r="AO86" i="2"/>
  <c r="BA83" i="2"/>
  <c r="AX84" i="2"/>
  <c r="AQ85" i="2" l="1"/>
  <c r="AR85" i="2" s="1"/>
  <c r="BA84" i="2"/>
  <c r="AX85" i="2"/>
  <c r="AP86" i="2"/>
  <c r="AO87" i="2"/>
  <c r="AQ86" i="2" l="1"/>
  <c r="AR86" i="2" s="1"/>
  <c r="AP87" i="2"/>
  <c r="AO88" i="2"/>
  <c r="BA85" i="2"/>
  <c r="AX86" i="2"/>
  <c r="AQ87" i="2" l="1"/>
  <c r="AR87" i="2" s="1"/>
  <c r="BA86" i="2"/>
  <c r="AX87" i="2"/>
  <c r="AP88" i="2"/>
  <c r="AO89" i="2"/>
  <c r="AQ88" i="2" l="1"/>
  <c r="AR88" i="2" s="1"/>
  <c r="AP89" i="2"/>
  <c r="AO90" i="2"/>
  <c r="BA87" i="2"/>
  <c r="AX88" i="2"/>
  <c r="AQ89" i="2" l="1"/>
  <c r="AR89" i="2" s="1"/>
  <c r="BA88" i="2"/>
  <c r="AX89" i="2"/>
  <c r="AP90" i="2"/>
  <c r="AO91" i="2"/>
  <c r="AQ90" i="2" l="1"/>
  <c r="AR90" i="2" s="1"/>
  <c r="AP91" i="2"/>
  <c r="AO92" i="2"/>
  <c r="BA89" i="2"/>
  <c r="AX90" i="2"/>
  <c r="AQ91" i="2" l="1"/>
  <c r="AR91" i="2" s="1"/>
  <c r="BA90" i="2"/>
  <c r="AX91" i="2"/>
  <c r="AP92" i="2"/>
  <c r="AO93" i="2"/>
  <c r="AQ92" i="2" l="1"/>
  <c r="AR92" i="2" s="1"/>
  <c r="AP93" i="2"/>
  <c r="AO94" i="2"/>
  <c r="BA91" i="2"/>
  <c r="AX92" i="2"/>
  <c r="AQ93" i="2" l="1"/>
  <c r="AR93" i="2" s="1"/>
  <c r="BA92" i="2"/>
  <c r="AX93" i="2"/>
  <c r="AP94" i="2"/>
  <c r="AO95" i="2"/>
  <c r="AQ94" i="2" l="1"/>
  <c r="AR94" i="2" s="1"/>
  <c r="AP95" i="2"/>
  <c r="AO96" i="2"/>
  <c r="BA93" i="2"/>
  <c r="AX94" i="2"/>
  <c r="AQ95" i="2" l="1"/>
  <c r="AR95" i="2" s="1"/>
  <c r="BA94" i="2"/>
  <c r="AX95" i="2"/>
  <c r="AP96" i="2"/>
  <c r="AO97" i="2"/>
  <c r="AQ96" i="2" l="1"/>
  <c r="AR96" i="2" s="1"/>
  <c r="AP97" i="2"/>
  <c r="AO98" i="2"/>
  <c r="BA95" i="2"/>
  <c r="AX96" i="2"/>
  <c r="AQ97" i="2" l="1"/>
  <c r="AR97" i="2" s="1"/>
  <c r="BA96" i="2"/>
  <c r="AX97" i="2"/>
  <c r="AP98" i="2"/>
  <c r="AO99" i="2"/>
  <c r="AQ98" i="2" l="1"/>
  <c r="AR98" i="2" s="1"/>
  <c r="AP99" i="2"/>
  <c r="AO100" i="2"/>
  <c r="BA97" i="2"/>
  <c r="AX98" i="2"/>
  <c r="AQ99" i="2" l="1"/>
  <c r="AR99" i="2" s="1"/>
  <c r="BA98" i="2"/>
  <c r="AX99" i="2"/>
  <c r="AP100" i="2"/>
  <c r="AO101" i="2"/>
  <c r="AQ100" i="2" l="1"/>
  <c r="AR100" i="2" s="1"/>
  <c r="AP101" i="2"/>
  <c r="AO102" i="2"/>
  <c r="BA99" i="2"/>
  <c r="AX100" i="2"/>
  <c r="AQ101" i="2" l="1"/>
  <c r="AR101" i="2" s="1"/>
  <c r="BA100" i="2"/>
  <c r="AX101" i="2"/>
  <c r="AP102" i="2"/>
  <c r="AO103" i="2"/>
  <c r="AQ102" i="2" l="1"/>
  <c r="AR102" i="2" s="1"/>
  <c r="AP103" i="2"/>
  <c r="AO104" i="2"/>
  <c r="BA101" i="2"/>
  <c r="AX102" i="2"/>
  <c r="AQ103" i="2" l="1"/>
  <c r="AR103" i="2" s="1"/>
  <c r="BA102" i="2"/>
  <c r="AX103" i="2"/>
  <c r="AP104" i="2"/>
  <c r="AO105" i="2"/>
  <c r="AQ104" i="2" l="1"/>
  <c r="AR104" i="2" s="1"/>
  <c r="AP105" i="2"/>
  <c r="AO106" i="2"/>
  <c r="BA103" i="2"/>
  <c r="AX104" i="2"/>
  <c r="AQ105" i="2" l="1"/>
  <c r="AR105" i="2" s="1"/>
  <c r="BA104" i="2"/>
  <c r="AX105" i="2"/>
  <c r="AP106" i="2"/>
  <c r="AO107" i="2"/>
  <c r="AQ106" i="2" l="1"/>
  <c r="AR106" i="2" s="1"/>
  <c r="AP107" i="2"/>
  <c r="AO108" i="2"/>
  <c r="BA105" i="2"/>
  <c r="AX106" i="2"/>
  <c r="AQ107" i="2" l="1"/>
  <c r="AR107" i="2" s="1"/>
  <c r="BA106" i="2"/>
  <c r="AX107" i="2"/>
  <c r="AP108" i="2"/>
  <c r="AO109" i="2"/>
  <c r="AQ108" i="2" l="1"/>
  <c r="AR108" i="2" s="1"/>
  <c r="AP109" i="2"/>
  <c r="AO110" i="2"/>
  <c r="BA107" i="2"/>
  <c r="AX108" i="2"/>
  <c r="AQ109" i="2" l="1"/>
  <c r="AR109" i="2" s="1"/>
  <c r="BA108" i="2"/>
  <c r="AX109" i="2"/>
  <c r="AP110" i="2"/>
  <c r="AO111" i="2"/>
  <c r="AQ110" i="2" l="1"/>
  <c r="AR110" i="2" s="1"/>
  <c r="AP111" i="2"/>
  <c r="AO112" i="2"/>
  <c r="BA109" i="2"/>
  <c r="AX110" i="2"/>
  <c r="AQ111" i="2" l="1"/>
  <c r="AR111" i="2" s="1"/>
  <c r="BA110" i="2"/>
  <c r="AX111" i="2"/>
  <c r="AP112" i="2"/>
  <c r="AO113" i="2"/>
  <c r="AQ112" i="2" l="1"/>
  <c r="AR112" i="2" s="1"/>
  <c r="AP113" i="2"/>
  <c r="AO114" i="2"/>
  <c r="BA111" i="2"/>
  <c r="AX112" i="2"/>
  <c r="AQ113" i="2" l="1"/>
  <c r="AR113" i="2" s="1"/>
  <c r="BA112" i="2"/>
  <c r="AX113" i="2"/>
  <c r="AP114" i="2"/>
  <c r="AO115" i="2"/>
  <c r="AQ114" i="2" l="1"/>
  <c r="AR114" i="2" s="1"/>
  <c r="AP115" i="2"/>
  <c r="AO116" i="2"/>
  <c r="BA113" i="2"/>
  <c r="AX114" i="2"/>
  <c r="AQ115" i="2" l="1"/>
  <c r="AR115" i="2" s="1"/>
  <c r="BA114" i="2"/>
  <c r="AX115" i="2"/>
  <c r="AP116" i="2"/>
  <c r="AO117" i="2"/>
  <c r="AQ116" i="2" l="1"/>
  <c r="AR116" i="2" s="1"/>
  <c r="AP117" i="2"/>
  <c r="AO118" i="2"/>
  <c r="BA115" i="2"/>
  <c r="AX116" i="2"/>
  <c r="AQ117" i="2" l="1"/>
  <c r="AR117" i="2" s="1"/>
  <c r="BA116" i="2"/>
  <c r="AX117" i="2"/>
  <c r="AP118" i="2"/>
  <c r="AO119" i="2"/>
  <c r="AQ118" i="2" l="1"/>
  <c r="AR118" i="2" s="1"/>
  <c r="AP119" i="2"/>
  <c r="AO120" i="2"/>
  <c r="BA117" i="2"/>
  <c r="AX118" i="2"/>
  <c r="AQ119" i="2" l="1"/>
  <c r="AR119" i="2" s="1"/>
  <c r="BA118" i="2"/>
  <c r="AX119" i="2"/>
  <c r="AP120" i="2"/>
  <c r="AO121" i="2"/>
  <c r="AQ120" i="2" l="1"/>
  <c r="AR120" i="2" s="1"/>
  <c r="AP121" i="2"/>
  <c r="AO122" i="2"/>
  <c r="BA119" i="2"/>
  <c r="AX120" i="2"/>
  <c r="AQ121" i="2" l="1"/>
  <c r="AR121" i="2" s="1"/>
  <c r="BA120" i="2"/>
  <c r="AX121" i="2"/>
  <c r="AP122" i="2"/>
  <c r="AO123" i="2"/>
  <c r="AQ122" i="2" l="1"/>
  <c r="AR122" i="2" s="1"/>
  <c r="AP123" i="2"/>
  <c r="AO124" i="2"/>
  <c r="BA121" i="2"/>
  <c r="AX122" i="2"/>
  <c r="AQ123" i="2" l="1"/>
  <c r="AR123" i="2" s="1"/>
  <c r="AX123" i="2"/>
  <c r="BA122" i="2"/>
  <c r="AP124" i="2"/>
  <c r="AO125" i="2"/>
  <c r="AQ124" i="2" l="1"/>
  <c r="AR124" i="2" s="1"/>
  <c r="BA123" i="2"/>
  <c r="AX124" i="2"/>
  <c r="AP125" i="2"/>
  <c r="AO126" i="2"/>
  <c r="AQ125" i="2" l="1"/>
  <c r="AR125" i="2" s="1"/>
  <c r="AP126" i="2"/>
  <c r="AO127" i="2"/>
  <c r="AX125" i="2"/>
  <c r="BA124" i="2"/>
  <c r="AQ126" i="2" l="1"/>
  <c r="AR126" i="2" s="1"/>
  <c r="AP127" i="2"/>
  <c r="AO128" i="2"/>
  <c r="BA125" i="2"/>
  <c r="AX126" i="2"/>
  <c r="AQ127" i="2" l="1"/>
  <c r="AR127" i="2" s="1"/>
  <c r="AX127" i="2"/>
  <c r="BA126" i="2"/>
  <c r="AP128" i="2"/>
  <c r="AO129" i="2"/>
  <c r="AQ128" i="2" l="1"/>
  <c r="AR128" i="2" s="1"/>
  <c r="BA127" i="2"/>
  <c r="AX128" i="2"/>
  <c r="AP129" i="2"/>
  <c r="AO130" i="2"/>
  <c r="AQ129" i="2" l="1"/>
  <c r="AR129" i="2" s="1"/>
  <c r="AP130" i="2"/>
  <c r="AO131" i="2"/>
  <c r="AX129" i="2"/>
  <c r="BA128" i="2"/>
  <c r="AQ130" i="2" l="1"/>
  <c r="AR130" i="2" s="1"/>
  <c r="AP131" i="2"/>
  <c r="AO132" i="2"/>
  <c r="BA129" i="2"/>
  <c r="AX130" i="2"/>
  <c r="AQ131" i="2" l="1"/>
  <c r="AR131" i="2" s="1"/>
  <c r="AX131" i="2"/>
  <c r="BA130" i="2"/>
  <c r="AP132" i="2"/>
  <c r="AO133" i="2"/>
  <c r="AQ132" i="2" l="1"/>
  <c r="AR132" i="2" s="1"/>
  <c r="BA131" i="2"/>
  <c r="AX132" i="2"/>
  <c r="AP133" i="2"/>
  <c r="AO134" i="2"/>
  <c r="AQ133" i="2" l="1"/>
  <c r="AR133" i="2" s="1"/>
  <c r="AP134" i="2"/>
  <c r="AO135" i="2"/>
  <c r="AX133" i="2"/>
  <c r="BA132" i="2"/>
  <c r="AQ134" i="2" l="1"/>
  <c r="AR134" i="2" s="1"/>
  <c r="AP135" i="2"/>
  <c r="AO136" i="2"/>
  <c r="BA133" i="2"/>
  <c r="AX134" i="2"/>
  <c r="AQ135" i="2" l="1"/>
  <c r="AR135" i="2" s="1"/>
  <c r="AX135" i="2"/>
  <c r="BA134" i="2"/>
  <c r="AP136" i="2"/>
  <c r="AO137" i="2"/>
  <c r="AQ136" i="2" l="1"/>
  <c r="AR136" i="2" s="1"/>
  <c r="BA135" i="2"/>
  <c r="AX136" i="2"/>
  <c r="AP137" i="2"/>
  <c r="AO138" i="2"/>
  <c r="AQ137" i="2" l="1"/>
  <c r="AR137" i="2" s="1"/>
  <c r="AP138" i="2"/>
  <c r="AO139" i="2"/>
  <c r="AX137" i="2"/>
  <c r="BA136" i="2"/>
  <c r="BA137" i="2" l="1"/>
  <c r="AX138" i="2"/>
  <c r="AQ138" i="2"/>
  <c r="AR138" i="2" s="1"/>
  <c r="AP139" i="2"/>
  <c r="AO140" i="2"/>
  <c r="AQ139" i="2" l="1"/>
  <c r="AR139" i="2" s="1"/>
  <c r="AP140" i="2"/>
  <c r="AO141" i="2"/>
  <c r="AX139" i="2"/>
  <c r="BA138" i="2"/>
  <c r="AQ140" i="2" l="1"/>
  <c r="AR140" i="2" s="1"/>
  <c r="AP141" i="2"/>
  <c r="AO142" i="2"/>
  <c r="BA139" i="2"/>
  <c r="AX140" i="2"/>
  <c r="AQ141" i="2" l="1"/>
  <c r="AR141" i="2" s="1"/>
  <c r="AX141" i="2"/>
  <c r="BA140" i="2"/>
  <c r="AP142" i="2"/>
  <c r="AO143" i="2"/>
  <c r="AQ142" i="2" l="1"/>
  <c r="AR142" i="2" s="1"/>
  <c r="BA141" i="2"/>
  <c r="AX142" i="2"/>
  <c r="AP143" i="2"/>
  <c r="AO144" i="2"/>
  <c r="AQ143" i="2" l="1"/>
  <c r="AR143" i="2" s="1"/>
  <c r="AP144" i="2"/>
  <c r="AO145" i="2"/>
  <c r="AX143" i="2"/>
  <c r="BA142" i="2"/>
  <c r="AQ144" i="2" l="1"/>
  <c r="AR144" i="2" s="1"/>
  <c r="AP145" i="2"/>
  <c r="AO146" i="2"/>
  <c r="BA143" i="2"/>
  <c r="AX144" i="2"/>
  <c r="AQ145" i="2" l="1"/>
  <c r="AR145" i="2" s="1"/>
  <c r="AX145" i="2"/>
  <c r="BA144" i="2"/>
  <c r="AP146" i="2"/>
  <c r="AO147" i="2"/>
  <c r="AQ146" i="2" l="1"/>
  <c r="AR146" i="2" s="1"/>
  <c r="BA145" i="2"/>
  <c r="AX146" i="2"/>
  <c r="AP147" i="2"/>
  <c r="AO148" i="2"/>
  <c r="AQ147" i="2" l="1"/>
  <c r="AR147" i="2" s="1"/>
  <c r="AP148" i="2"/>
  <c r="AO149" i="2"/>
  <c r="AX147" i="2"/>
  <c r="BA146" i="2"/>
  <c r="AQ148" i="2" l="1"/>
  <c r="AR148" i="2" s="1"/>
  <c r="AP149" i="2"/>
  <c r="AO150" i="2"/>
  <c r="BA147" i="2"/>
  <c r="AX148" i="2"/>
  <c r="AQ149" i="2" l="1"/>
  <c r="AR149" i="2" s="1"/>
  <c r="AX149" i="2"/>
  <c r="BA148" i="2"/>
  <c r="AP150" i="2"/>
  <c r="AO151" i="2"/>
  <c r="AQ150" i="2" l="1"/>
  <c r="AR150" i="2" s="1"/>
  <c r="BA149" i="2"/>
  <c r="AX150" i="2"/>
  <c r="AP151" i="2"/>
  <c r="AO152" i="2"/>
  <c r="AQ151" i="2" l="1"/>
  <c r="AR151" i="2" s="1"/>
  <c r="AP152" i="2"/>
  <c r="AO153" i="2"/>
  <c r="AP153" i="2" s="1"/>
  <c r="AX151" i="2"/>
  <c r="BA150" i="2"/>
  <c r="AQ152" i="2" l="1"/>
  <c r="AR152" i="2" s="1"/>
  <c r="AQ153" i="2"/>
  <c r="AR153" i="2" s="1"/>
  <c r="BA151" i="2"/>
  <c r="AX152" i="2"/>
  <c r="AX153" i="2" l="1"/>
  <c r="BA153" i="2" s="1"/>
  <c r="BA152" i="2"/>
</calcChain>
</file>

<file path=xl/sharedStrings.xml><?xml version="1.0" encoding="utf-8"?>
<sst xmlns="http://schemas.openxmlformats.org/spreadsheetml/2006/main" count="904" uniqueCount="309">
  <si>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</si>
  <si>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</si>
  <si>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</si>
  <si>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</si>
  <si>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</si>
  <si>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</si>
  <si>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</si>
  <si>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</si>
  <si>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</si>
  <si>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</si>
  <si>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</si>
  <si>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</si>
  <si>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</si>
  <si>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</si>
  <si>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</si>
  <si>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</si>
  <si>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</si>
  <si>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</si>
  <si>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</si>
  <si>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</si>
  <si>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</si>
  <si>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</si>
  <si>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</si>
  <si>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</si>
  <si>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</si>
  <si>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</si>
  <si>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</si>
  <si>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</si>
  <si>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</si>
  <si>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</si>
  <si>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</si>
  <si>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</si>
  <si>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</si>
  <si>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</si>
  <si>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</si>
  <si>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</si>
  <si>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</si>
  <si>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</si>
  <si>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</si>
  <si>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</si>
  <si>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</si>
  <si>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</si>
  <si>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</si>
  <si>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</si>
  <si>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</si>
  <si>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</si>
  <si>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</si>
  <si>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</si>
  <si>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</si>
  <si>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</si>
  <si>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</si>
  <si>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</si>
  <si>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</si>
  <si>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</si>
  <si>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</si>
  <si>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</si>
  <si>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</si>
  <si>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</si>
  <si>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</si>
  <si>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</si>
  <si>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</si>
  <si>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</si>
  <si>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</si>
  <si>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</si>
  <si>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</si>
  <si>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</si>
  <si>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</si>
  <si>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</si>
  <si>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</si>
  <si>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</si>
  <si>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</si>
  <si>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</si>
  <si>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</si>
  <si>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</si>
  <si>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</si>
  <si>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</si>
  <si>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</si>
  <si>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</si>
  <si>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</si>
  <si>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</si>
  <si>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</si>
  <si>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</si>
  <si>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</si>
  <si>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</si>
  <si>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</si>
  <si>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</si>
  <si>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</si>
  <si>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</si>
  <si>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</si>
  <si>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</si>
  <si>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</si>
  <si>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</si>
  <si>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</si>
  <si>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</si>
  <si>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</si>
  <si>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</si>
  <si>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</si>
  <si>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</si>
  <si>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</si>
  <si>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</si>
  <si>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</si>
  <si>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</si>
  <si>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</si>
  <si>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</si>
  <si>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</si>
  <si>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</si>
  <si>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</si>
  <si>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</si>
  <si>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</si>
  <si>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</si>
  <si>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</si>
  <si>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</si>
  <si>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</si>
  <si>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</si>
  <si>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</si>
  <si>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</si>
  <si>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</si>
  <si>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</si>
  <si>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</si>
  <si>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</si>
  <si>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</si>
  <si>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</si>
  <si>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</si>
  <si>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</si>
  <si>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</si>
  <si>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</si>
  <si>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</si>
  <si>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</si>
  <si>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</si>
  <si>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</si>
  <si>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</si>
  <si>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</si>
  <si>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</si>
  <si>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</si>
  <si>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</si>
  <si>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</si>
  <si>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</si>
  <si>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</si>
  <si>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</si>
  <si>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</si>
  <si>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</si>
  <si>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</si>
  <si>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</si>
  <si>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</si>
  <si>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</si>
  <si>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</si>
  <si>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</si>
  <si>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</si>
  <si>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</si>
  <si>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</si>
  <si>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</si>
  <si>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</si>
  <si>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</si>
  <si>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</si>
  <si>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</si>
  <si>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</si>
  <si>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</si>
  <si>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</si>
  <si>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</si>
  <si>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</si>
  <si>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</si>
  <si>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</si>
  <si>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</si>
  <si>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</si>
  <si>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</si>
  <si>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</si>
  <si>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</si>
  <si>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</si>
  <si>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</si>
  <si>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</si>
  <si>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</si>
  <si>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</si>
  <si>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</si>
  <si>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</si>
  <si>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</si>
  <si>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</si>
  <si>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</si>
  <si>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</si>
  <si>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</si>
  <si>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</si>
  <si>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</si>
  <si>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</si>
  <si>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</si>
  <si>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</si>
  <si>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</si>
  <si>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</si>
  <si>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</si>
  <si>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</si>
  <si>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</si>
  <si>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</si>
  <si>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</si>
  <si>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</si>
  <si>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</si>
  <si>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r>
      <t>Biomasse 
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</si>
  <si>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</si>
  <si>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</si>
  <si>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</si>
  <si>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</si>
  <si>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</si>
  <si>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</si>
  <si>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Biomasse 
totale 
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</si>
  <si>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</si>
  <si>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</si>
  <si>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</si>
  <si>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</si>
  <si>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</si>
  <si>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</si>
  <si>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</si>
  <si>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</si>
  <si>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</si>
  <si>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</si>
  <si>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</si>
  <si>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</si>
  <si>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</si>
  <si>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</si>
  <si>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</si>
  <si>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</si>
  <si>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</si>
  <si>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</si>
  <si>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</si>
  <si>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</si>
  <si>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</si>
  <si>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</si>
  <si>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</si>
  <si>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</si>
  <si>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</si>
  <si>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</si>
  <si>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</si>
  <si>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Δstock biomasse 
30 ans (tCO₂/ha)</t>
  </si>
  <si>
    <t>Stock moyen 
de long terme (tCO₂/ha)</t>
  </si>
  <si>
    <t>Stock biomasse 
(tCO₂/ha)</t>
  </si>
  <si>
    <t>Stock bois 
mort (tCO₂/ha)</t>
  </si>
  <si>
    <t>Stock sol 
(tCO₂/ha)</t>
  </si>
  <si>
    <t>Stock litière 
(tCO₂/ha)</t>
  </si>
  <si>
    <t>Entrer une surface en hectares</t>
  </si>
  <si>
    <t>Vérification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</si>
  <si>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CNPF.</t>
    </r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</si>
  <si>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</si>
  <si>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</si>
  <si>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</si>
  <si>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</si>
  <si>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</si>
  <si>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</si>
  <si>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</si>
  <si>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</si>
  <si>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</si>
  <si>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</si>
  <si>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</si>
  <si>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</si>
  <si>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</si>
  <si>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</si>
  <si>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</si>
  <si>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</si>
  <si>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</si>
  <si>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</si>
  <si>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</si>
  <si>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</si>
  <si>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</si>
  <si>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</si>
  <si>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</si>
  <si>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</si>
  <si>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</si>
  <si>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</si>
  <si>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</si>
  <si>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</si>
  <si>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</si>
  <si>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</si>
  <si>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</si>
  <si>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</si>
  <si>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</si>
  <si>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</si>
  <si>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</si>
  <si>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</si>
  <si>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</si>
  <si>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</si>
  <si>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</si>
  <si>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</si>
  <si>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</si>
  <si>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t>Choisir le scénario de référence (selon la méthode utilisée)</t>
  </si>
  <si>
    <t>Scénario :</t>
  </si>
  <si>
    <t>Veuillez choisir l'essence de colonisation</t>
  </si>
  <si>
    <t>Choisir la nature de culture à l'année 0</t>
  </si>
  <si>
    <r>
      <rPr>
        <sz val="14"/>
        <color theme="1"/>
        <rFont val="Calibri"/>
        <family val="2"/>
      </rPr>
      <t>À</t>
    </r>
    <r>
      <rPr>
        <sz val="14"/>
        <color theme="1"/>
        <rFont val="Calibri"/>
        <family val="2"/>
        <scheme val="minor"/>
      </rPr>
      <t xml:space="preserve"> partir du 1er avril 2021, tout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</si>
  <si>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</si>
  <si>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</si>
  <si>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</si>
  <si>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→ Si scénario 2, 3, 4 ou 5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</si>
  <si>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</si>
  <si>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</si>
  <si>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</si>
  <si>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</si>
  <si>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</si>
  <si>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</si>
  <si>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</si>
  <si>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</si>
  <si>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</si>
  <si>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</si>
  <si>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</si>
  <si>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</si>
  <si>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</si>
  <si>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</si>
  <si>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</si>
  <si>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</si>
  <si>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</si>
  <si>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</si>
  <si>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</si>
  <si>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</si>
  <si>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t>Volume bois fort (m³/ha)</t>
  </si>
  <si>
    <t>Accroissement courant (m³/ha/an)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</si>
</sst>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6" borderId="4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164" fontId="0" fillId="6" borderId="4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40" xfId="0" applyNumberFormat="1" applyFill="1" applyBorder="1" applyAlignment="1" applyProtection="1">
      <alignment horizontal="center" vertical="center"/>
      <protection hidden="1"/>
    </xf>
    <xf numFmtId="9" fontId="0" fillId="5" borderId="0" xfId="1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7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8" fontId="0" fillId="4" borderId="1" xfId="0" applyNumberFormat="1" applyFill="1" applyBorder="1" applyAlignment="1" applyProtection="1">
      <alignment horizontal="center" vertical="center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ont="1" applyFill="1" applyBorder="1" applyAlignment="1" applyProtection="1">
      <alignment horizontal="center" vertical="center"/>
      <protection hidden="1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9" fillId="0" borderId="44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0" fillId="0" borderId="0" xfId="0" applyFill="1" applyProtection="1">
      <protection hidden="1"/>
    </xf>
    <xf numFmtId="0" fontId="16" fillId="0" borderId="0" xfId="0" applyFont="1" applyBorder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5" fillId="0" borderId="47" xfId="0" applyFont="1" applyBorder="1" applyProtection="1">
      <protection hidden="1"/>
    </xf>
    <xf numFmtId="0" fontId="0" fillId="0" borderId="47" xfId="0" applyBorder="1" applyAlignment="1" applyProtection="1">
      <alignment wrapText="1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 wrapText="1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30" xfId="0" applyFont="1" applyFill="1" applyBorder="1" applyAlignment="1" applyProtection="1">
      <alignment horizontal="center" vertical="center" wrapText="1"/>
      <protection hidden="1"/>
    </xf>
    <xf numFmtId="0" fontId="3" fillId="13" borderId="12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3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2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15" borderId="28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3" borderId="29" xfId="0" applyNumberFormat="1" applyFill="1" applyBorder="1" applyAlignment="1" applyProtection="1">
      <alignment horizontal="center"/>
      <protection hidden="1"/>
    </xf>
    <xf numFmtId="1" fontId="0" fillId="16" borderId="33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7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1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3" borderId="20" xfId="0" applyNumberFormat="1" applyFill="1" applyBorder="1" applyAlignment="1" applyProtection="1">
      <alignment horizontal="center"/>
      <protection hidden="1"/>
    </xf>
    <xf numFmtId="1" fontId="0" fillId="3" borderId="22" xfId="0" applyNumberFormat="1" applyFill="1" applyBorder="1" applyAlignment="1" applyProtection="1">
      <alignment horizontal="center"/>
      <protection hidden="1"/>
    </xf>
    <xf numFmtId="1" fontId="0" fillId="16" borderId="34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0" borderId="38" xfId="0" applyNumberFormat="1" applyFill="1" applyBorder="1" applyAlignment="1" applyProtection="1">
      <alignment horizontal="center"/>
      <protection hidden="1"/>
    </xf>
    <xf numFmtId="1" fontId="1" fillId="13" borderId="25" xfId="0" applyNumberFormat="1" applyFont="1" applyFill="1" applyBorder="1" applyAlignment="1" applyProtection="1">
      <alignment horizontal="center"/>
      <protection hidden="1"/>
    </xf>
    <xf numFmtId="1" fontId="1" fillId="13" borderId="35" xfId="0" applyNumberFormat="1" applyFont="1" applyFill="1" applyBorder="1" applyAlignment="1" applyProtection="1">
      <alignment horizontal="center"/>
      <protection hidden="1"/>
    </xf>
    <xf numFmtId="1" fontId="1" fillId="9" borderId="25" xfId="0" applyNumberFormat="1" applyFont="1" applyFill="1" applyBorder="1" applyAlignment="1" applyProtection="1">
      <alignment horizontal="center"/>
      <protection hidden="1"/>
    </xf>
    <xf numFmtId="1" fontId="1" fillId="9" borderId="27" xfId="0" applyNumberFormat="1" applyFont="1" applyFill="1" applyBorder="1" applyAlignment="1" applyProtection="1">
      <alignment horizontal="center"/>
      <protection hidden="1"/>
    </xf>
    <xf numFmtId="1" fontId="1" fillId="17" borderId="36" xfId="0" applyNumberFormat="1" applyFont="1" applyFill="1" applyBorder="1" applyAlignment="1" applyProtection="1">
      <alignment horizontal="center"/>
      <protection hidden="1"/>
    </xf>
    <xf numFmtId="1" fontId="1" fillId="17" borderId="35" xfId="0" applyNumberFormat="1" applyFont="1" applyFill="1" applyBorder="1" applyAlignment="1" applyProtection="1">
      <alignment horizontal="center"/>
      <protection hidden="1"/>
    </xf>
    <xf numFmtId="1" fontId="1" fillId="10" borderId="3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51" xfId="0" applyNumberFormat="1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0" fontId="0" fillId="8" borderId="17" xfId="0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8" fillId="4" borderId="0" xfId="0" applyFont="1" applyFill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4" borderId="7" xfId="0" applyFont="1" applyFill="1" applyBorder="1" applyAlignment="1" applyProtection="1">
      <alignment horizontal="center" vertic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/>
      <protection hidden="1"/>
    </xf>
    <xf numFmtId="0" fontId="7" fillId="4" borderId="49" xfId="0" applyFont="1" applyFill="1" applyBorder="1" applyAlignment="1" applyProtection="1">
      <alignment horizontal="center"/>
      <protection hidden="1"/>
    </xf>
    <xf numFmtId="0" fontId="7" fillId="4" borderId="50" xfId="0" applyFont="1" applyFill="1" applyBorder="1" applyAlignment="1" applyProtection="1">
      <alignment horizontal="center"/>
      <protection hidden="1"/>
    </xf>
    <xf numFmtId="0" fontId="7" fillId="2" borderId="43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4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1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5" fillId="0" borderId="47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0</xdr:rowOff>
        </xdr:from>
        <xdr:to>
          <xdr:col>1</xdr:col>
          <xdr:colOff>571500</xdr:colOff>
          <xdr:row>7</xdr:row>
          <xdr:rowOff>0</xdr:rowOff>
        </xdr:to>
        <xdr:sp macro="" textlink="">
          <xdr:nvSpPr>
            <xdr:cNvPr id="7185" name="Option Button 17" descr="Scénario 1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0</xdr:rowOff>
        </xdr:from>
        <xdr:to>
          <xdr:col>1</xdr:col>
          <xdr:colOff>571500</xdr:colOff>
          <xdr:row>8</xdr:row>
          <xdr:rowOff>0</xdr:rowOff>
        </xdr:to>
        <xdr:sp macro="" textlink="">
          <xdr:nvSpPr>
            <xdr:cNvPr id="7186" name="Option Button 18" descr="Scénario 1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0</xdr:rowOff>
        </xdr:from>
        <xdr:to>
          <xdr:col>1</xdr:col>
          <xdr:colOff>571500</xdr:colOff>
          <xdr:row>9</xdr:row>
          <xdr:rowOff>0</xdr:rowOff>
        </xdr:to>
        <xdr:sp macro="" textlink="">
          <xdr:nvSpPr>
            <xdr:cNvPr id="7187" name="Option Button 19" descr="Scénario 1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7189" name="Option Button 21" descr="Scénario 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0</xdr:rowOff>
        </xdr:from>
        <xdr:to>
          <xdr:col>5</xdr:col>
          <xdr:colOff>571500</xdr:colOff>
          <xdr:row>8</xdr:row>
          <xdr:rowOff>0</xdr:rowOff>
        </xdr:to>
        <xdr:sp macro="" textlink="">
          <xdr:nvSpPr>
            <xdr:cNvPr id="7190" name="Option Button 22" descr="Scénario 1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T41"/>
  <sheetViews>
    <sheetView showGridLines="0" showRowColHeaders="0" zoomScaleNormal="100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" spans="1:2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x14ac:dyDescent="0.25">
      <c r="A12" s="14"/>
      <c r="B12" s="243" t="s">
        <v>236</v>
      </c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14"/>
      <c r="O12" s="14"/>
      <c r="P12" s="14"/>
      <c r="Q12" s="14"/>
      <c r="R12" s="14"/>
      <c r="S12" s="14"/>
      <c r="T12" s="14"/>
    </row>
    <row r="13" spans="1:20" ht="15" customHeight="1" x14ac:dyDescent="0.25">
      <c r="A13" s="14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14"/>
      <c r="O13" s="14"/>
      <c r="P13" s="14"/>
      <c r="Q13" s="14"/>
      <c r="R13" s="14"/>
      <c r="S13" s="14"/>
      <c r="T13" s="14"/>
    </row>
    <row r="14" spans="1:20" ht="15" customHeight="1" x14ac:dyDescent="0.25">
      <c r="A14" s="14"/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14"/>
      <c r="O14" s="14"/>
      <c r="P14" s="14"/>
      <c r="Q14" s="14"/>
      <c r="R14" s="14"/>
      <c r="S14" s="14"/>
      <c r="T14" s="14"/>
    </row>
    <row r="15" spans="1:20" ht="18.75" customHeight="1" x14ac:dyDescent="0.25">
      <c r="A15" s="14"/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14"/>
      <c r="O15" s="14"/>
      <c r="P15" s="14"/>
      <c r="Q15" s="14"/>
      <c r="R15" s="14"/>
      <c r="S15" s="14"/>
      <c r="T15" s="14"/>
    </row>
    <row r="16" spans="1:20" ht="18.75" customHeight="1" x14ac:dyDescent="0.25">
      <c r="A16" s="14"/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2" customHeight="1" x14ac:dyDescent="0.25">
      <c r="A18" s="14"/>
      <c r="B18" s="243" t="s">
        <v>282</v>
      </c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14"/>
      <c r="O18" s="14"/>
      <c r="P18" s="14"/>
      <c r="Q18" s="14"/>
      <c r="R18" s="14"/>
      <c r="S18" s="14"/>
      <c r="T18" s="14"/>
    </row>
    <row r="19" spans="1:20" ht="12" customHeight="1" x14ac:dyDescent="0.25">
      <c r="A19" s="14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14"/>
      <c r="O19" s="14"/>
      <c r="P19" s="14"/>
      <c r="Q19" s="14"/>
      <c r="R19" s="14"/>
      <c r="S19" s="14"/>
      <c r="T19" s="14"/>
    </row>
    <row r="20" spans="1:20" ht="12" customHeight="1" x14ac:dyDescent="0.25">
      <c r="A20" s="14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14"/>
      <c r="O20" s="14"/>
      <c r="P20" s="14"/>
      <c r="Q20" s="14"/>
      <c r="R20" s="14"/>
      <c r="S20" s="14"/>
      <c r="T20" s="14"/>
    </row>
    <row r="21" spans="1:20" ht="12" customHeight="1" x14ac:dyDescent="0.25">
      <c r="A21" s="14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14"/>
      <c r="O21" s="14"/>
      <c r="P21" s="14"/>
      <c r="Q21" s="14"/>
      <c r="R21" s="14"/>
      <c r="S21" s="14"/>
      <c r="T21" s="14"/>
    </row>
    <row r="22" spans="1:20" ht="12" customHeight="1" x14ac:dyDescent="0.25">
      <c r="A22" s="14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14"/>
      <c r="O22" s="14"/>
      <c r="P22" s="14"/>
      <c r="Q22" s="14"/>
      <c r="R22" s="14"/>
      <c r="S22" s="14"/>
      <c r="T22" s="14"/>
    </row>
    <row r="23" spans="1:20" ht="12" customHeight="1" x14ac:dyDescent="0.25">
      <c r="A23" s="14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14"/>
      <c r="O23" s="14"/>
      <c r="P23" s="14"/>
      <c r="Q23" s="14"/>
      <c r="R23" s="14"/>
      <c r="S23" s="14"/>
      <c r="T23" s="14"/>
    </row>
    <row r="24" spans="1:20" ht="12" customHeight="1" x14ac:dyDescent="0.25">
      <c r="A24" s="14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14"/>
      <c r="O24" s="14"/>
      <c r="P24" s="14"/>
      <c r="Q24" s="14"/>
      <c r="R24" s="14"/>
      <c r="S24" s="14"/>
      <c r="T24" s="14"/>
    </row>
    <row r="25" spans="1:20" ht="12" customHeight="1" x14ac:dyDescent="0.25">
      <c r="A25" s="14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14"/>
      <c r="O25" s="14"/>
      <c r="P25" s="14"/>
      <c r="Q25" s="14"/>
      <c r="R25" s="14"/>
      <c r="S25" s="14"/>
      <c r="T25" s="14"/>
    </row>
    <row r="26" spans="1:20" ht="12" customHeight="1" x14ac:dyDescent="0.25">
      <c r="A26" s="14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14"/>
      <c r="O26" s="14"/>
      <c r="P26" s="14"/>
      <c r="Q26" s="14"/>
      <c r="R26" s="14"/>
      <c r="S26" s="14"/>
      <c r="T26" s="14"/>
    </row>
    <row r="27" spans="1:20" ht="12" customHeight="1" x14ac:dyDescent="0.25">
      <c r="A27" s="14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14"/>
      <c r="O27" s="14"/>
      <c r="P27" s="14"/>
      <c r="Q27" s="14"/>
      <c r="R27" s="14"/>
      <c r="S27" s="14"/>
      <c r="T27" s="14"/>
    </row>
    <row r="28" spans="1:20" ht="12" customHeight="1" x14ac:dyDescent="0.25">
      <c r="A28" s="14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14"/>
      <c r="O28" s="14"/>
      <c r="P28" s="14"/>
      <c r="Q28" s="14"/>
      <c r="R28" s="14"/>
      <c r="S28" s="14"/>
      <c r="T28" s="14"/>
    </row>
    <row r="29" spans="1:20" ht="12" customHeight="1" x14ac:dyDescent="0.25">
      <c r="A29" s="14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14"/>
      <c r="O29" s="14"/>
      <c r="P29" s="14"/>
      <c r="Q29" s="14"/>
      <c r="R29" s="14"/>
      <c r="S29" s="14"/>
      <c r="T29" s="14"/>
    </row>
    <row r="30" spans="1:20" ht="12" customHeight="1" x14ac:dyDescent="0.25">
      <c r="A30" s="14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14"/>
      <c r="O30" s="14"/>
      <c r="P30" s="14"/>
      <c r="Q30" s="14"/>
      <c r="R30" s="14"/>
      <c r="S30" s="14"/>
      <c r="T30" s="14"/>
    </row>
    <row r="31" spans="1:20" ht="12" customHeight="1" x14ac:dyDescent="0.25">
      <c r="A31" s="14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</sheetData>
  <sheetProtection algorithmName="SHA-512" hashValue="e+BBXlh8RbCSPnq/3mTK2MRxos48ijqD5deF4b46CoowPgcy2gh7Rnhpb7sQ0qlBbuuKB4hMROy6NmkD32bBjA==" saltValue="jXJZRfE9GjQsctmmWdfzOQ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A332"/>
  <sheetViews>
    <sheetView topLeftCell="A34" zoomScaleNormal="100" workbookViewId="0">
      <selection activeCell="D35" sqref="D35"/>
    </sheetView>
  </sheetViews>
  <sheetFormatPr baseColWidth="10" defaultRowHeight="15" x14ac:dyDescent="0.25"/>
  <cols>
    <col min="1" max="1" width="13.7109375" style="48" customWidth="1"/>
    <col min="2" max="2" width="28.85546875" style="48" bestFit="1" customWidth="1"/>
    <col min="3" max="3" width="14.85546875" style="48" bestFit="1" customWidth="1"/>
    <col min="4" max="4" width="16.42578125" style="48" customWidth="1"/>
    <col min="5" max="5" width="14.7109375" style="48" customWidth="1"/>
    <col min="6" max="6" width="28.85546875" style="48" bestFit="1" customWidth="1"/>
    <col min="7" max="8" width="14.7109375" style="48" customWidth="1"/>
    <col min="9" max="9" width="17" style="48" customWidth="1"/>
    <col min="10" max="10" width="13.85546875" style="48" customWidth="1"/>
    <col min="11" max="16384" width="11.42578125" style="48"/>
  </cols>
  <sheetData>
    <row r="1" spans="1:27" x14ac:dyDescent="0.25">
      <c r="A1" s="15"/>
      <c r="B1" s="15"/>
      <c r="C1" s="248" t="s">
        <v>189</v>
      </c>
      <c r="D1" s="248"/>
      <c r="E1" s="24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7" thickBot="1" x14ac:dyDescent="0.3">
      <c r="A3" s="15"/>
      <c r="B3" s="249" t="s">
        <v>191</v>
      </c>
      <c r="C3" s="250"/>
      <c r="D3" s="250"/>
      <c r="E3" s="250"/>
      <c r="F3" s="251"/>
      <c r="G3" s="94"/>
      <c r="H3" s="95"/>
      <c r="I3" s="95"/>
      <c r="J3" s="9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6.25" x14ac:dyDescent="0.25">
      <c r="A4" s="97"/>
      <c r="B4" s="97"/>
      <c r="C4" s="97"/>
      <c r="D4" s="97"/>
      <c r="E4" s="97"/>
      <c r="F4" s="97"/>
      <c r="G4" s="97"/>
      <c r="H4" s="95"/>
      <c r="I4" s="95"/>
      <c r="J4" s="9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6.25" x14ac:dyDescent="0.25">
      <c r="A5" s="259" t="s">
        <v>237</v>
      </c>
      <c r="B5" s="259"/>
      <c r="C5" s="49">
        <v>1</v>
      </c>
      <c r="D5" s="260" t="s">
        <v>234</v>
      </c>
      <c r="E5" s="261"/>
      <c r="F5" s="97"/>
      <c r="G5" s="97"/>
      <c r="H5" s="95"/>
      <c r="I5" s="95"/>
      <c r="J5" s="9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50" customFormat="1" x14ac:dyDescent="0.25">
      <c r="A6" s="98"/>
      <c r="B6" s="98"/>
      <c r="C6" s="102"/>
      <c r="D6" s="93"/>
      <c r="E6" s="93"/>
      <c r="F6" s="52"/>
      <c r="G6" s="52"/>
      <c r="H6" s="100"/>
      <c r="I6" s="100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ht="26.25" x14ac:dyDescent="0.25">
      <c r="A7" s="257" t="s">
        <v>226</v>
      </c>
      <c r="B7" s="257"/>
      <c r="C7" s="97"/>
      <c r="D7" s="97"/>
      <c r="E7" s="15"/>
      <c r="F7" s="97"/>
      <c r="G7" s="97"/>
      <c r="H7" s="95"/>
      <c r="I7" s="95"/>
      <c r="J7" s="9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28.5" customHeight="1" x14ac:dyDescent="0.25">
      <c r="A8" s="15"/>
      <c r="B8" s="51" t="s">
        <v>179</v>
      </c>
      <c r="C8" s="52" t="s">
        <v>276</v>
      </c>
      <c r="D8" s="53" t="s">
        <v>277</v>
      </c>
      <c r="E8" s="54" t="s">
        <v>275</v>
      </c>
      <c r="F8" s="55" t="s">
        <v>235</v>
      </c>
      <c r="G8" s="15"/>
      <c r="H8" s="15"/>
      <c r="I8" s="103"/>
      <c r="J8" s="9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x14ac:dyDescent="0.25">
      <c r="A9" s="56" t="s">
        <v>165</v>
      </c>
      <c r="B9" s="57" t="s">
        <v>12</v>
      </c>
      <c r="C9" s="58">
        <v>0.8</v>
      </c>
      <c r="D9" s="59">
        <f t="shared" ref="D9:D18" si="0">C9*$C$5</f>
        <v>0.8</v>
      </c>
      <c r="E9" s="60">
        <v>150</v>
      </c>
      <c r="F9" s="61" t="str">
        <f t="array" ref="F9">IF(E9="","",IF(INDEX(A:A,MAX(IF(ISNUMBER($A$36:$A$55),ROW($A$36:$A$55),"")))&lt;&gt;E9,"Corrigez : révolution incorrecte","OK"))</f>
        <v>OK</v>
      </c>
      <c r="G9" s="15"/>
      <c r="H9" s="15"/>
      <c r="I9" s="118"/>
      <c r="J9" s="9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x14ac:dyDescent="0.25">
      <c r="A10" s="56" t="s">
        <v>166</v>
      </c>
      <c r="B10" s="57"/>
      <c r="C10" s="58"/>
      <c r="D10" s="59">
        <f t="shared" si="0"/>
        <v>0</v>
      </c>
      <c r="E10" s="60"/>
      <c r="F10" s="61" t="str">
        <f t="array" ref="F10">IF(E10="","",IF(INDEX(A:A,MAX(IF(ISNUMBER($A$62:$A$81),ROW($A$62:$A$81),"")))&lt;&gt;E10,"Corrigez : révolution incorrecte","OK"))</f>
        <v/>
      </c>
      <c r="G10" s="15"/>
      <c r="H10" s="15"/>
      <c r="I10" s="118"/>
      <c r="J10" s="9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x14ac:dyDescent="0.25">
      <c r="A11" s="56" t="s">
        <v>167</v>
      </c>
      <c r="B11" s="57"/>
      <c r="C11" s="58"/>
      <c r="D11" s="59">
        <f t="shared" si="0"/>
        <v>0</v>
      </c>
      <c r="E11" s="60"/>
      <c r="F11" s="61" t="str">
        <f t="array" ref="F11">IF(E11="","",IF(INDEX(A:A,MAX(IF(ISNUMBER($A$88:$A$107),ROW($A$88:$A$107),"")))&lt;&gt;E11,"Corrigez : révolution incorrecte","OK"))</f>
        <v/>
      </c>
      <c r="G11" s="15"/>
      <c r="H11" s="113"/>
      <c r="I11" s="118"/>
      <c r="J11" s="9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x14ac:dyDescent="0.25">
      <c r="A12" s="56" t="s">
        <v>168</v>
      </c>
      <c r="B12" s="57"/>
      <c r="C12" s="58"/>
      <c r="D12" s="59">
        <f t="shared" si="0"/>
        <v>0</v>
      </c>
      <c r="E12" s="60"/>
      <c r="F12" s="61" t="str">
        <f t="array" ref="F12">IF(E12="","",IF(INDEX(A:A,MAX(IF(ISNUMBER($A$114:$A$133),ROW($A$114:$A$133),"")))&lt;&gt;E12,"Corrigez : révolution incorrecte","OK"))</f>
        <v/>
      </c>
      <c r="G12" s="15"/>
      <c r="H12" s="113"/>
      <c r="I12" s="118"/>
      <c r="J12" s="9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x14ac:dyDescent="0.25">
      <c r="A13" s="56" t="s">
        <v>169</v>
      </c>
      <c r="B13" s="57"/>
      <c r="C13" s="58"/>
      <c r="D13" s="59">
        <f t="shared" si="0"/>
        <v>0</v>
      </c>
      <c r="E13" s="60"/>
      <c r="F13" s="61" t="str">
        <f t="array" ref="F13">IF(E13="","",IF(INDEX(A:A,MAX(IF(ISNUMBER($A$140:$A$159),ROW($A$140:$A$159),"")))&lt;&gt;E13,"Corrigez : révolution incorrecte","OK"))</f>
        <v/>
      </c>
      <c r="G13" s="15"/>
      <c r="H13" s="113"/>
      <c r="I13" s="118"/>
      <c r="J13" s="96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x14ac:dyDescent="0.25">
      <c r="A14" s="56" t="s">
        <v>170</v>
      </c>
      <c r="B14" s="57"/>
      <c r="C14" s="58"/>
      <c r="D14" s="59">
        <f t="shared" si="0"/>
        <v>0</v>
      </c>
      <c r="E14" s="60"/>
      <c r="F14" s="61" t="str">
        <f t="array" ref="F14">IF(E14="","",IF(INDEX(A:A,MAX(IF(ISNUMBER($A$166:$A$185),ROW($A$166:$A$185),"")))&lt;&gt;E14,"Corrigez : révolution incorrecte","OK"))</f>
        <v/>
      </c>
      <c r="G14" s="15"/>
      <c r="H14" s="113"/>
      <c r="I14" s="118"/>
      <c r="J14" s="9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x14ac:dyDescent="0.25">
      <c r="A15" s="56" t="s">
        <v>171</v>
      </c>
      <c r="B15" s="57"/>
      <c r="C15" s="58"/>
      <c r="D15" s="59">
        <f t="shared" si="0"/>
        <v>0</v>
      </c>
      <c r="E15" s="60"/>
      <c r="F15" s="61" t="str">
        <f t="array" ref="F15">IF(E15="","",IF(INDEX(A:A,MAX(IF(ISNUMBER($A$192:$A$211),ROW($A$192:$A$211),"")))&lt;&gt;E15,"Corrigez : révolution incorrecte","OK"))</f>
        <v/>
      </c>
      <c r="G15" s="15"/>
      <c r="H15" s="113"/>
      <c r="I15" s="118"/>
      <c r="J15" s="96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x14ac:dyDescent="0.25">
      <c r="A16" s="56" t="s">
        <v>172</v>
      </c>
      <c r="B16" s="57"/>
      <c r="C16" s="58"/>
      <c r="D16" s="59">
        <f t="shared" si="0"/>
        <v>0</v>
      </c>
      <c r="E16" s="60"/>
      <c r="F16" s="61" t="str">
        <f t="array" ref="F16">IF(E16="","",IF(INDEX(A:A,MAX(IF(ISNUMBER($A$218:$A$237),ROW($A$218:$A$237),"")))&lt;&gt;E16,"Corrigez : révolution incorrecte","OK"))</f>
        <v/>
      </c>
      <c r="G16" s="15"/>
      <c r="H16" s="113"/>
      <c r="I16" s="118"/>
      <c r="J16" s="96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x14ac:dyDescent="0.25">
      <c r="A17" s="56" t="s">
        <v>173</v>
      </c>
      <c r="B17" s="57"/>
      <c r="C17" s="58"/>
      <c r="D17" s="59">
        <f t="shared" si="0"/>
        <v>0</v>
      </c>
      <c r="E17" s="60"/>
      <c r="F17" s="61" t="str">
        <f t="array" ref="F17">IF(E17="","",IF(INDEX(A:A,MAX(IF(ISNUMBER($A$244:$A$263),ROW($A$244:$A$263),"")))&lt;&gt;E17,"Corrigez : révolution incorrecte","OK"))</f>
        <v/>
      </c>
      <c r="G17" s="15"/>
      <c r="H17" s="113"/>
      <c r="I17" s="118"/>
      <c r="J17" s="9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x14ac:dyDescent="0.25">
      <c r="A18" s="56" t="s">
        <v>174</v>
      </c>
      <c r="B18" s="57"/>
      <c r="C18" s="58"/>
      <c r="D18" s="59">
        <f t="shared" si="0"/>
        <v>0</v>
      </c>
      <c r="E18" s="60"/>
      <c r="F18" s="61" t="str">
        <f t="array" ref="F18">IF(E18="","",IF(INDEX(A:A,MAX(IF(ISNUMBER($A$270:$A$289),ROW($A$270:$A$289),"")))&lt;&gt;E18,"Corrigez : révolution incorrecte","OK"))</f>
        <v/>
      </c>
      <c r="G18" s="15"/>
      <c r="H18" s="113"/>
      <c r="I18" s="118"/>
      <c r="J18" s="9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x14ac:dyDescent="0.25">
      <c r="A19" s="99"/>
      <c r="B19" s="91" t="s">
        <v>175</v>
      </c>
      <c r="C19" s="62">
        <f>SUM(C9:C18)</f>
        <v>0.8</v>
      </c>
      <c r="D19" s="63">
        <f>SUM(D9:D18)</f>
        <v>0.8</v>
      </c>
      <c r="E19" s="15"/>
      <c r="F19" s="106"/>
      <c r="G19" s="106"/>
      <c r="H19" s="107"/>
      <c r="I19" s="106"/>
      <c r="J19" s="96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x14ac:dyDescent="0.25">
      <c r="A20" s="99"/>
      <c r="B20" s="64" t="s">
        <v>235</v>
      </c>
      <c r="C20" s="65" t="str">
        <f>IF(C19&gt;100%,"Erreur : corrigez","OK")</f>
        <v>OK</v>
      </c>
      <c r="D20" s="104"/>
      <c r="E20" s="15"/>
      <c r="F20" s="100"/>
      <c r="G20" s="100"/>
      <c r="H20" s="107"/>
      <c r="I20" s="106"/>
      <c r="J20" s="9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25">
      <c r="A21" s="15"/>
      <c r="B21" s="15"/>
      <c r="C21" s="15"/>
      <c r="D21" s="15"/>
      <c r="E21" s="15"/>
      <c r="F21" s="15"/>
      <c r="G21" s="15"/>
      <c r="H21" s="108"/>
      <c r="I21" s="109"/>
      <c r="J21" s="9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50" customFormat="1" ht="21" x14ac:dyDescent="0.35">
      <c r="A22" s="252" t="s">
        <v>238</v>
      </c>
      <c r="B22" s="252"/>
      <c r="C22" s="102"/>
      <c r="D22" s="102"/>
      <c r="E22" s="102"/>
      <c r="F22" s="102"/>
      <c r="G22" s="102"/>
      <c r="H22" s="110"/>
      <c r="I22" s="101"/>
      <c r="J22" s="101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x14ac:dyDescent="0.25">
      <c r="A23" s="15"/>
      <c r="B23" s="15"/>
      <c r="C23" s="15"/>
      <c r="D23" s="15"/>
      <c r="E23" s="15"/>
      <c r="F23" s="15"/>
      <c r="G23" s="15"/>
      <c r="H23" s="111"/>
      <c r="I23" s="96"/>
      <c r="J23" s="96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x14ac:dyDescent="0.25">
      <c r="A24" s="66" t="s">
        <v>218</v>
      </c>
      <c r="B24" s="67" t="s">
        <v>224</v>
      </c>
      <c r="C24" s="68">
        <v>0</v>
      </c>
      <c r="D24" s="69" t="s">
        <v>239</v>
      </c>
      <c r="E24" s="112"/>
      <c r="F24" s="112"/>
      <c r="G24" s="112"/>
      <c r="H24" s="113"/>
      <c r="I24" s="112"/>
      <c r="J24" s="1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x14ac:dyDescent="0.25">
      <c r="A25" s="66" t="s">
        <v>220</v>
      </c>
      <c r="B25" s="67" t="s">
        <v>219</v>
      </c>
      <c r="C25" s="70">
        <v>0.1</v>
      </c>
      <c r="D25" s="105"/>
      <c r="E25" s="15"/>
      <c r="F25" s="105"/>
      <c r="G25" s="114"/>
      <c r="H25" s="113"/>
      <c r="I25" s="114"/>
      <c r="J25" s="1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x14ac:dyDescent="0.25">
      <c r="A26" s="66" t="s">
        <v>222</v>
      </c>
      <c r="B26" s="67" t="s">
        <v>221</v>
      </c>
      <c r="C26" s="68">
        <v>0</v>
      </c>
      <c r="D26" s="69" t="s">
        <v>240</v>
      </c>
      <c r="E26" s="112"/>
      <c r="F26" s="112"/>
      <c r="G26" s="112"/>
      <c r="H26" s="15"/>
      <c r="I26" s="112"/>
      <c r="J26" s="1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x14ac:dyDescent="0.25">
      <c r="A27" s="66" t="s">
        <v>223</v>
      </c>
      <c r="B27" s="67" t="s">
        <v>225</v>
      </c>
      <c r="C27" s="68">
        <v>0</v>
      </c>
      <c r="D27" s="69" t="s">
        <v>241</v>
      </c>
      <c r="E27" s="112"/>
      <c r="F27" s="112"/>
      <c r="G27" s="112"/>
      <c r="H27" s="15"/>
      <c r="I27" s="112"/>
      <c r="J27" s="112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x14ac:dyDescent="0.25">
      <c r="A28" s="15"/>
      <c r="B28" s="15"/>
      <c r="C28" s="15"/>
      <c r="D28" s="15"/>
      <c r="E28" s="15"/>
      <c r="F28" s="15"/>
      <c r="G28" s="15"/>
      <c r="H28" s="96"/>
      <c r="I28" s="96"/>
      <c r="J28" s="96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x14ac:dyDescent="0.25">
      <c r="A29" s="15"/>
      <c r="B29" s="15"/>
      <c r="C29" s="15"/>
      <c r="D29" s="15"/>
      <c r="E29" s="15"/>
      <c r="F29" s="15"/>
      <c r="G29" s="15"/>
      <c r="H29" s="96"/>
      <c r="I29" s="96"/>
      <c r="J29" s="96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50" customFormat="1" ht="21" x14ac:dyDescent="0.25">
      <c r="A30" s="258" t="s">
        <v>227</v>
      </c>
      <c r="B30" s="258"/>
      <c r="C30" s="102"/>
      <c r="D30" s="102"/>
      <c r="E30" s="102"/>
      <c r="F30" s="102"/>
      <c r="G30" s="102"/>
      <c r="H30" s="101"/>
      <c r="I30" s="101"/>
      <c r="J30" s="10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1:27" x14ac:dyDescent="0.25">
      <c r="A31" s="15"/>
      <c r="B31" s="15"/>
      <c r="C31" s="15"/>
      <c r="D31" s="15"/>
      <c r="E31" s="15"/>
      <c r="F31" s="15"/>
      <c r="G31" s="15"/>
      <c r="H31" s="96"/>
      <c r="I31" s="96"/>
      <c r="J31" s="96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x14ac:dyDescent="0.25">
      <c r="A32" s="71" t="s">
        <v>165</v>
      </c>
      <c r="B32" s="72" t="str">
        <f>IF(B9="","",B9)</f>
        <v>Chêne pubescent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x14ac:dyDescent="0.25">
      <c r="A33" s="7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25">
      <c r="A34" s="102"/>
      <c r="B34" s="92" t="s">
        <v>185</v>
      </c>
      <c r="C34" s="253" t="s">
        <v>186</v>
      </c>
      <c r="D34" s="253"/>
      <c r="E34" s="254" t="s">
        <v>187</v>
      </c>
      <c r="F34" s="255"/>
      <c r="G34" s="255"/>
      <c r="H34" s="256"/>
      <c r="I34" s="115"/>
      <c r="J34" s="116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45" x14ac:dyDescent="0.25">
      <c r="A35" s="91" t="s">
        <v>180</v>
      </c>
      <c r="B35" s="91" t="s">
        <v>307</v>
      </c>
      <c r="C35" s="73" t="s">
        <v>188</v>
      </c>
      <c r="D35" s="73" t="s">
        <v>257</v>
      </c>
      <c r="E35" s="91" t="s">
        <v>183</v>
      </c>
      <c r="F35" s="91" t="s">
        <v>181</v>
      </c>
      <c r="G35" s="91" t="s">
        <v>184</v>
      </c>
      <c r="H35" s="91" t="s">
        <v>182</v>
      </c>
      <c r="I35" s="73" t="s">
        <v>308</v>
      </c>
      <c r="J35" s="117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x14ac:dyDescent="0.25">
      <c r="A36" s="74">
        <v>20</v>
      </c>
      <c r="B36" s="74">
        <v>42</v>
      </c>
      <c r="C36" s="74"/>
      <c r="D36" s="74"/>
      <c r="E36" s="75"/>
      <c r="F36" s="75"/>
      <c r="G36" s="75"/>
      <c r="H36" s="75"/>
      <c r="I36" s="87">
        <f>IFERROR(B36/A36,"")</f>
        <v>2.1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x14ac:dyDescent="0.25">
      <c r="A37" s="74">
        <v>25</v>
      </c>
      <c r="B37" s="74">
        <f>62+8</f>
        <v>70</v>
      </c>
      <c r="C37" s="74">
        <v>1</v>
      </c>
      <c r="D37" s="74">
        <v>8</v>
      </c>
      <c r="E37" s="75"/>
      <c r="F37" s="75"/>
      <c r="G37" s="75"/>
      <c r="H37" s="75">
        <v>1</v>
      </c>
      <c r="I37" s="87">
        <f t="shared" ref="I37:I55" si="1">IF(A37&lt;&gt;0,(B37-(B36-D36))/(A37-A36),"")</f>
        <v>5.6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25">
      <c r="A38" s="74">
        <v>30</v>
      </c>
      <c r="B38" s="74">
        <f>76+21</f>
        <v>97</v>
      </c>
      <c r="C38" s="74"/>
      <c r="D38" s="74"/>
      <c r="E38" s="75"/>
      <c r="F38" s="75"/>
      <c r="G38" s="75"/>
      <c r="H38" s="75"/>
      <c r="I38" s="87">
        <f t="shared" si="1"/>
        <v>7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25">
      <c r="A39" s="74">
        <v>35</v>
      </c>
      <c r="B39" s="74">
        <f>98+21+21</f>
        <v>140</v>
      </c>
      <c r="C39" s="74">
        <v>2</v>
      </c>
      <c r="D39" s="74">
        <f>21+21</f>
        <v>42</v>
      </c>
      <c r="E39" s="75"/>
      <c r="F39" s="75"/>
      <c r="G39" s="75"/>
      <c r="H39" s="75"/>
      <c r="I39" s="87">
        <f t="shared" si="1"/>
        <v>8.6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25">
      <c r="A40" s="74">
        <v>40</v>
      </c>
      <c r="B40" s="74">
        <f>116+21</f>
        <v>137</v>
      </c>
      <c r="C40" s="74"/>
      <c r="D40" s="74"/>
      <c r="E40" s="75"/>
      <c r="F40" s="75"/>
      <c r="G40" s="75"/>
      <c r="H40" s="75"/>
      <c r="I40" s="87">
        <f t="shared" si="1"/>
        <v>7.8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25">
      <c r="A41" s="74">
        <v>45</v>
      </c>
      <c r="B41" s="74">
        <f>137+21+21</f>
        <v>179</v>
      </c>
      <c r="C41" s="74">
        <v>3</v>
      </c>
      <c r="D41" s="74">
        <f>21+21</f>
        <v>42</v>
      </c>
      <c r="E41" s="75"/>
      <c r="F41" s="75"/>
      <c r="G41" s="75"/>
      <c r="H41" s="75"/>
      <c r="I41" s="87">
        <f t="shared" si="1"/>
        <v>8.4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25">
      <c r="A42" s="74">
        <v>50</v>
      </c>
      <c r="B42" s="74">
        <f>157+21</f>
        <v>178</v>
      </c>
      <c r="C42" s="74"/>
      <c r="D42" s="74"/>
      <c r="E42" s="75"/>
      <c r="F42" s="75"/>
      <c r="G42" s="75"/>
      <c r="H42" s="75"/>
      <c r="I42" s="87">
        <f t="shared" si="1"/>
        <v>8.1999999999999993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25">
      <c r="A43" s="74">
        <v>55</v>
      </c>
      <c r="B43" s="74">
        <f>176+21+21</f>
        <v>218</v>
      </c>
      <c r="C43" s="74">
        <v>4</v>
      </c>
      <c r="D43" s="74">
        <f>21+21</f>
        <v>42</v>
      </c>
      <c r="E43" s="75"/>
      <c r="F43" s="75"/>
      <c r="G43" s="75"/>
      <c r="H43" s="75"/>
      <c r="I43" s="87">
        <f t="shared" si="1"/>
        <v>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25">
      <c r="A44" s="74">
        <v>60</v>
      </c>
      <c r="B44" s="74">
        <f>193+21</f>
        <v>214</v>
      </c>
      <c r="C44" s="74"/>
      <c r="D44" s="74"/>
      <c r="E44" s="75"/>
      <c r="F44" s="75"/>
      <c r="G44" s="75"/>
      <c r="H44" s="75"/>
      <c r="I44" s="87">
        <f t="shared" si="1"/>
        <v>7.6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25">
      <c r="A45" s="74">
        <v>65</v>
      </c>
      <c r="B45" s="74">
        <f>208+21+21</f>
        <v>250</v>
      </c>
      <c r="C45" s="74">
        <v>5</v>
      </c>
      <c r="D45" s="74">
        <f>21+21</f>
        <v>42</v>
      </c>
      <c r="E45" s="75"/>
      <c r="F45" s="75"/>
      <c r="G45" s="75"/>
      <c r="H45" s="75"/>
      <c r="I45" s="87">
        <f t="shared" si="1"/>
        <v>7.2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25">
      <c r="A46" s="74">
        <v>70</v>
      </c>
      <c r="B46" s="74">
        <f>221+21</f>
        <v>242</v>
      </c>
      <c r="C46" s="74"/>
      <c r="D46" s="74"/>
      <c r="E46" s="75"/>
      <c r="F46" s="75"/>
      <c r="G46" s="75"/>
      <c r="H46" s="75"/>
      <c r="I46" s="87">
        <f t="shared" si="1"/>
        <v>6.8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25">
      <c r="A47" s="74">
        <v>75</v>
      </c>
      <c r="B47" s="74">
        <f>231+21+21</f>
        <v>273</v>
      </c>
      <c r="C47" s="74">
        <v>6</v>
      </c>
      <c r="D47" s="74">
        <f>21+21</f>
        <v>42</v>
      </c>
      <c r="E47" s="75"/>
      <c r="F47" s="75"/>
      <c r="G47" s="75"/>
      <c r="H47" s="75"/>
      <c r="I47" s="87">
        <f t="shared" si="1"/>
        <v>6.2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25">
      <c r="A48" s="74">
        <v>85</v>
      </c>
      <c r="B48" s="74">
        <f>248+21+21</f>
        <v>290</v>
      </c>
      <c r="C48" s="74">
        <v>7</v>
      </c>
      <c r="D48" s="74">
        <f>21+21</f>
        <v>42</v>
      </c>
      <c r="E48" s="75"/>
      <c r="F48" s="75"/>
      <c r="G48" s="75"/>
      <c r="H48" s="75"/>
      <c r="I48" s="87">
        <f t="shared" si="1"/>
        <v>5.9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x14ac:dyDescent="0.25">
      <c r="A49" s="74">
        <v>95</v>
      </c>
      <c r="B49" s="74">
        <f>258+21+21</f>
        <v>300</v>
      </c>
      <c r="C49" s="74">
        <v>8</v>
      </c>
      <c r="D49" s="74">
        <f>21+21</f>
        <v>42</v>
      </c>
      <c r="E49" s="75"/>
      <c r="F49" s="75"/>
      <c r="G49" s="75"/>
      <c r="H49" s="75"/>
      <c r="I49" s="87">
        <f t="shared" si="1"/>
        <v>5.2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x14ac:dyDescent="0.25">
      <c r="A50" s="74">
        <v>105</v>
      </c>
      <c r="B50" s="74">
        <f>264+21+20</f>
        <v>305</v>
      </c>
      <c r="C50" s="74">
        <v>9</v>
      </c>
      <c r="D50" s="74">
        <f>21+20</f>
        <v>41</v>
      </c>
      <c r="E50" s="75"/>
      <c r="F50" s="75"/>
      <c r="G50" s="75"/>
      <c r="H50" s="75"/>
      <c r="I50" s="87">
        <f t="shared" si="1"/>
        <v>4.7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x14ac:dyDescent="0.25">
      <c r="A51" s="74">
        <v>115</v>
      </c>
      <c r="B51" s="74">
        <f>267+19+18</f>
        <v>304</v>
      </c>
      <c r="C51" s="74">
        <v>10</v>
      </c>
      <c r="D51" s="74">
        <f>19+18</f>
        <v>37</v>
      </c>
      <c r="E51" s="75"/>
      <c r="F51" s="75"/>
      <c r="G51" s="75"/>
      <c r="H51" s="75"/>
      <c r="I51" s="87">
        <f t="shared" si="1"/>
        <v>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x14ac:dyDescent="0.25">
      <c r="A52" s="74">
        <v>125</v>
      </c>
      <c r="B52" s="74">
        <f>268+17+16</f>
        <v>301</v>
      </c>
      <c r="C52" s="74">
        <v>11</v>
      </c>
      <c r="D52" s="74">
        <f>17+16</f>
        <v>33</v>
      </c>
      <c r="E52" s="75"/>
      <c r="F52" s="75"/>
      <c r="G52" s="75"/>
      <c r="H52" s="75"/>
      <c r="I52" s="87">
        <f t="shared" si="1"/>
        <v>3.4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x14ac:dyDescent="0.25">
      <c r="A53" s="74">
        <v>135</v>
      </c>
      <c r="B53" s="74">
        <f>269+15+14</f>
        <v>298</v>
      </c>
      <c r="C53" s="74">
        <v>12</v>
      </c>
      <c r="D53" s="74">
        <f>15+14</f>
        <v>29</v>
      </c>
      <c r="E53" s="75"/>
      <c r="F53" s="75"/>
      <c r="G53" s="75"/>
      <c r="H53" s="75"/>
      <c r="I53" s="87">
        <f t="shared" si="1"/>
        <v>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x14ac:dyDescent="0.25">
      <c r="A54" s="74">
        <v>145</v>
      </c>
      <c r="B54" s="74">
        <f>269+13+13</f>
        <v>295</v>
      </c>
      <c r="C54" s="74"/>
      <c r="D54" s="74"/>
      <c r="E54" s="75"/>
      <c r="F54" s="75"/>
      <c r="G54" s="75"/>
      <c r="H54" s="75"/>
      <c r="I54" s="87">
        <f t="shared" si="1"/>
        <v>2.6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x14ac:dyDescent="0.25">
      <c r="A55" s="74">
        <v>150</v>
      </c>
      <c r="B55" s="74">
        <f>268+13+13+12</f>
        <v>306</v>
      </c>
      <c r="C55" s="74">
        <v>13</v>
      </c>
      <c r="D55" s="74">
        <f>B55</f>
        <v>306</v>
      </c>
      <c r="E55" s="75"/>
      <c r="F55" s="75"/>
      <c r="G55" s="75"/>
      <c r="H55" s="75"/>
      <c r="I55" s="87">
        <f t="shared" si="1"/>
        <v>2.2000000000000002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x14ac:dyDescent="0.25">
      <c r="A58" s="71" t="s">
        <v>166</v>
      </c>
      <c r="B58" s="76" t="str">
        <f>IF(B10="","",B10)</f>
        <v/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x14ac:dyDescent="0.25">
      <c r="A59" s="71"/>
      <c r="B59" s="12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x14ac:dyDescent="0.25">
      <c r="A60" s="122"/>
      <c r="B60" s="92" t="s">
        <v>185</v>
      </c>
      <c r="C60" s="253" t="s">
        <v>186</v>
      </c>
      <c r="D60" s="253"/>
      <c r="E60" s="254" t="s">
        <v>187</v>
      </c>
      <c r="F60" s="255"/>
      <c r="G60" s="255"/>
      <c r="H60" s="256"/>
      <c r="I60" s="115"/>
      <c r="J60" s="11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45" x14ac:dyDescent="0.25">
      <c r="A61" s="91" t="s">
        <v>180</v>
      </c>
      <c r="B61" s="91" t="s">
        <v>307</v>
      </c>
      <c r="C61" s="73" t="s">
        <v>188</v>
      </c>
      <c r="D61" s="73" t="s">
        <v>257</v>
      </c>
      <c r="E61" s="91" t="s">
        <v>183</v>
      </c>
      <c r="F61" s="91" t="s">
        <v>181</v>
      </c>
      <c r="G61" s="91" t="s">
        <v>184</v>
      </c>
      <c r="H61" s="91" t="s">
        <v>182</v>
      </c>
      <c r="I61" s="73" t="s">
        <v>308</v>
      </c>
      <c r="J61" s="117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x14ac:dyDescent="0.25">
      <c r="A62" s="74"/>
      <c r="B62" s="74"/>
      <c r="C62" s="74"/>
      <c r="D62" s="74"/>
      <c r="E62" s="75"/>
      <c r="F62" s="75"/>
      <c r="G62" s="75"/>
      <c r="H62" s="75"/>
      <c r="I62" s="88" t="str">
        <f>IFERROR(B62/A62,"")</f>
        <v/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x14ac:dyDescent="0.25">
      <c r="A63" s="74"/>
      <c r="B63" s="74"/>
      <c r="C63" s="74"/>
      <c r="D63" s="74"/>
      <c r="E63" s="75"/>
      <c r="F63" s="75"/>
      <c r="G63" s="75"/>
      <c r="H63" s="75"/>
      <c r="I63" s="87" t="str">
        <f t="shared" ref="I63:I81" si="2">IF(A63&lt;&gt;0,(B63-(B62-D62))/(A63-A62),"")</f>
        <v/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x14ac:dyDescent="0.25">
      <c r="A64" s="74"/>
      <c r="B64" s="74"/>
      <c r="C64" s="74"/>
      <c r="D64" s="74"/>
      <c r="E64" s="75"/>
      <c r="F64" s="75"/>
      <c r="G64" s="75"/>
      <c r="H64" s="75"/>
      <c r="I64" s="87" t="str">
        <f t="shared" si="2"/>
        <v/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x14ac:dyDescent="0.25">
      <c r="A65" s="74"/>
      <c r="B65" s="74"/>
      <c r="C65" s="74"/>
      <c r="D65" s="74"/>
      <c r="E65" s="75"/>
      <c r="F65" s="75"/>
      <c r="G65" s="75"/>
      <c r="H65" s="75"/>
      <c r="I65" s="87" t="str">
        <f t="shared" si="2"/>
        <v/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x14ac:dyDescent="0.25">
      <c r="A66" s="74"/>
      <c r="B66" s="74"/>
      <c r="C66" s="74"/>
      <c r="D66" s="74"/>
      <c r="E66" s="75"/>
      <c r="F66" s="75"/>
      <c r="G66" s="75"/>
      <c r="H66" s="75"/>
      <c r="I66" s="87" t="str">
        <f t="shared" si="2"/>
        <v/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x14ac:dyDescent="0.25">
      <c r="A67" s="74"/>
      <c r="B67" s="74"/>
      <c r="C67" s="74"/>
      <c r="D67" s="74"/>
      <c r="E67" s="75"/>
      <c r="F67" s="75"/>
      <c r="G67" s="75"/>
      <c r="H67" s="75"/>
      <c r="I67" s="87" t="str">
        <f t="shared" si="2"/>
        <v/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x14ac:dyDescent="0.25">
      <c r="A68" s="74"/>
      <c r="B68" s="74"/>
      <c r="C68" s="74"/>
      <c r="D68" s="74"/>
      <c r="E68" s="75"/>
      <c r="F68" s="75"/>
      <c r="G68" s="75"/>
      <c r="H68" s="75"/>
      <c r="I68" s="87" t="str">
        <f t="shared" si="2"/>
        <v/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x14ac:dyDescent="0.25">
      <c r="A69" s="74"/>
      <c r="B69" s="74"/>
      <c r="C69" s="74"/>
      <c r="D69" s="74"/>
      <c r="E69" s="75"/>
      <c r="F69" s="75"/>
      <c r="G69" s="75"/>
      <c r="H69" s="75"/>
      <c r="I69" s="87" t="str">
        <f t="shared" si="2"/>
        <v/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x14ac:dyDescent="0.25">
      <c r="A70" s="74"/>
      <c r="B70" s="74"/>
      <c r="C70" s="74"/>
      <c r="D70" s="74"/>
      <c r="E70" s="75"/>
      <c r="F70" s="75"/>
      <c r="G70" s="75"/>
      <c r="H70" s="75"/>
      <c r="I70" s="87" t="str">
        <f t="shared" si="2"/>
        <v/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x14ac:dyDescent="0.25">
      <c r="A71" s="74"/>
      <c r="B71" s="74"/>
      <c r="C71" s="74"/>
      <c r="D71" s="74"/>
      <c r="E71" s="75"/>
      <c r="F71" s="75"/>
      <c r="G71" s="75"/>
      <c r="H71" s="75"/>
      <c r="I71" s="87" t="str">
        <f t="shared" si="2"/>
        <v/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x14ac:dyDescent="0.25">
      <c r="A72" s="74"/>
      <c r="B72" s="74"/>
      <c r="C72" s="74"/>
      <c r="D72" s="74"/>
      <c r="E72" s="75"/>
      <c r="F72" s="75"/>
      <c r="G72" s="75"/>
      <c r="H72" s="75"/>
      <c r="I72" s="87" t="str">
        <f t="shared" si="2"/>
        <v/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x14ac:dyDescent="0.25">
      <c r="A73" s="74"/>
      <c r="B73" s="74"/>
      <c r="C73" s="74"/>
      <c r="D73" s="74"/>
      <c r="E73" s="75"/>
      <c r="F73" s="75"/>
      <c r="G73" s="75"/>
      <c r="H73" s="75"/>
      <c r="I73" s="87" t="str">
        <f t="shared" si="2"/>
        <v/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x14ac:dyDescent="0.25">
      <c r="A74" s="74"/>
      <c r="B74" s="74"/>
      <c r="C74" s="74"/>
      <c r="D74" s="74"/>
      <c r="E74" s="75"/>
      <c r="F74" s="75"/>
      <c r="G74" s="75"/>
      <c r="H74" s="75"/>
      <c r="I74" s="87" t="str">
        <f t="shared" si="2"/>
        <v/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x14ac:dyDescent="0.25">
      <c r="A75" s="74"/>
      <c r="B75" s="74"/>
      <c r="C75" s="74"/>
      <c r="D75" s="74"/>
      <c r="E75" s="75"/>
      <c r="F75" s="75"/>
      <c r="G75" s="75"/>
      <c r="H75" s="75"/>
      <c r="I75" s="87" t="str">
        <f t="shared" si="2"/>
        <v/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x14ac:dyDescent="0.25">
      <c r="A76" s="74"/>
      <c r="B76" s="74"/>
      <c r="C76" s="74"/>
      <c r="D76" s="74"/>
      <c r="E76" s="75"/>
      <c r="F76" s="75"/>
      <c r="G76" s="75"/>
      <c r="H76" s="75"/>
      <c r="I76" s="87" t="str">
        <f t="shared" si="2"/>
        <v/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x14ac:dyDescent="0.25">
      <c r="A77" s="74"/>
      <c r="B77" s="74"/>
      <c r="C77" s="74"/>
      <c r="D77" s="74"/>
      <c r="E77" s="75"/>
      <c r="F77" s="75"/>
      <c r="G77" s="75"/>
      <c r="H77" s="75"/>
      <c r="I77" s="87" t="str">
        <f t="shared" si="2"/>
        <v/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x14ac:dyDescent="0.25">
      <c r="A78" s="74"/>
      <c r="B78" s="74"/>
      <c r="C78" s="74"/>
      <c r="D78" s="74"/>
      <c r="E78" s="75"/>
      <c r="F78" s="75"/>
      <c r="G78" s="75"/>
      <c r="H78" s="75"/>
      <c r="I78" s="87" t="str">
        <f t="shared" si="2"/>
        <v/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x14ac:dyDescent="0.25">
      <c r="A79" s="74"/>
      <c r="B79" s="74"/>
      <c r="C79" s="74"/>
      <c r="D79" s="74"/>
      <c r="E79" s="75"/>
      <c r="F79" s="75"/>
      <c r="G79" s="75"/>
      <c r="H79" s="75"/>
      <c r="I79" s="87" t="str">
        <f t="shared" si="2"/>
        <v/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x14ac:dyDescent="0.25">
      <c r="A80" s="74"/>
      <c r="B80" s="74"/>
      <c r="C80" s="74"/>
      <c r="D80" s="74"/>
      <c r="E80" s="75"/>
      <c r="F80" s="75"/>
      <c r="G80" s="75"/>
      <c r="H80" s="75"/>
      <c r="I80" s="87" t="str">
        <f t="shared" si="2"/>
        <v/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x14ac:dyDescent="0.25">
      <c r="A81" s="74"/>
      <c r="B81" s="74"/>
      <c r="C81" s="74"/>
      <c r="D81" s="74"/>
      <c r="E81" s="75"/>
      <c r="F81" s="75"/>
      <c r="G81" s="75"/>
      <c r="H81" s="75"/>
      <c r="I81" s="87" t="str">
        <f t="shared" si="2"/>
        <v/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x14ac:dyDescent="0.25">
      <c r="A84" s="71" t="s">
        <v>167</v>
      </c>
      <c r="B84" s="76" t="str">
        <f>IF(B11="","",B11)</f>
        <v/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x14ac:dyDescent="0.25">
      <c r="A85" s="71"/>
      <c r="B85" s="120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x14ac:dyDescent="0.25">
      <c r="A86" s="121"/>
      <c r="B86" s="91" t="s">
        <v>185</v>
      </c>
      <c r="C86" s="244" t="s">
        <v>186</v>
      </c>
      <c r="D86" s="244"/>
      <c r="E86" s="245" t="s">
        <v>187</v>
      </c>
      <c r="F86" s="246"/>
      <c r="G86" s="246"/>
      <c r="H86" s="247"/>
      <c r="I86" s="119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45" x14ac:dyDescent="0.25">
      <c r="A87" s="91" t="s">
        <v>180</v>
      </c>
      <c r="B87" s="91" t="s">
        <v>307</v>
      </c>
      <c r="C87" s="73" t="s">
        <v>188</v>
      </c>
      <c r="D87" s="73" t="s">
        <v>257</v>
      </c>
      <c r="E87" s="91" t="s">
        <v>183</v>
      </c>
      <c r="F87" s="91" t="s">
        <v>181</v>
      </c>
      <c r="G87" s="91" t="s">
        <v>184</v>
      </c>
      <c r="H87" s="91" t="s">
        <v>182</v>
      </c>
      <c r="I87" s="73" t="s">
        <v>308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x14ac:dyDescent="0.25">
      <c r="A88" s="77"/>
      <c r="B88" s="77"/>
      <c r="C88" s="77"/>
      <c r="D88" s="77"/>
      <c r="E88" s="89"/>
      <c r="F88" s="89"/>
      <c r="G88" s="89"/>
      <c r="H88" s="89"/>
      <c r="I88" s="87" t="str">
        <f>IFERROR(B88/A88,"")</f>
        <v/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x14ac:dyDescent="0.25">
      <c r="A89" s="77"/>
      <c r="B89" s="77"/>
      <c r="C89" s="77"/>
      <c r="D89" s="77"/>
      <c r="E89" s="89"/>
      <c r="F89" s="89"/>
      <c r="G89" s="89"/>
      <c r="H89" s="89"/>
      <c r="I89" s="87" t="str">
        <f t="shared" ref="I89:I107" si="3">IF(A89&lt;&gt;0,(B89-(B88-D88))/(A89-A88),"")</f>
        <v/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x14ac:dyDescent="0.25">
      <c r="A90" s="77"/>
      <c r="B90" s="77"/>
      <c r="C90" s="77"/>
      <c r="D90" s="77"/>
      <c r="E90" s="89"/>
      <c r="F90" s="89"/>
      <c r="G90" s="89"/>
      <c r="H90" s="89"/>
      <c r="I90" s="87" t="str">
        <f t="shared" si="3"/>
        <v/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x14ac:dyDescent="0.25">
      <c r="A91" s="77"/>
      <c r="B91" s="77"/>
      <c r="C91" s="77"/>
      <c r="D91" s="77"/>
      <c r="E91" s="89"/>
      <c r="F91" s="89"/>
      <c r="G91" s="89"/>
      <c r="H91" s="89"/>
      <c r="I91" s="87" t="str">
        <f t="shared" si="3"/>
        <v/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x14ac:dyDescent="0.25">
      <c r="A92" s="77"/>
      <c r="B92" s="77"/>
      <c r="C92" s="77"/>
      <c r="D92" s="77"/>
      <c r="E92" s="89"/>
      <c r="F92" s="89"/>
      <c r="G92" s="89"/>
      <c r="H92" s="89"/>
      <c r="I92" s="87" t="str">
        <f t="shared" si="3"/>
        <v/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x14ac:dyDescent="0.25">
      <c r="A93" s="77"/>
      <c r="B93" s="77"/>
      <c r="C93" s="77"/>
      <c r="D93" s="77"/>
      <c r="E93" s="89"/>
      <c r="F93" s="89"/>
      <c r="G93" s="89"/>
      <c r="H93" s="89"/>
      <c r="I93" s="87" t="str">
        <f t="shared" si="3"/>
        <v/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25">
      <c r="A94" s="77"/>
      <c r="B94" s="77"/>
      <c r="C94" s="77"/>
      <c r="D94" s="77"/>
      <c r="E94" s="89"/>
      <c r="F94" s="89"/>
      <c r="G94" s="89"/>
      <c r="H94" s="89"/>
      <c r="I94" s="87" t="str">
        <f t="shared" si="3"/>
        <v/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25">
      <c r="A95" s="77"/>
      <c r="B95" s="77"/>
      <c r="C95" s="77"/>
      <c r="D95" s="77"/>
      <c r="E95" s="89"/>
      <c r="F95" s="89"/>
      <c r="G95" s="89"/>
      <c r="H95" s="89"/>
      <c r="I95" s="87" t="str">
        <f t="shared" si="3"/>
        <v/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25">
      <c r="A96" s="77"/>
      <c r="B96" s="77"/>
      <c r="C96" s="77"/>
      <c r="D96" s="77"/>
      <c r="E96" s="89"/>
      <c r="F96" s="89"/>
      <c r="G96" s="89"/>
      <c r="H96" s="89"/>
      <c r="I96" s="87" t="str">
        <f t="shared" si="3"/>
        <v/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25">
      <c r="A97" s="77"/>
      <c r="B97" s="77"/>
      <c r="C97" s="77"/>
      <c r="D97" s="77"/>
      <c r="E97" s="89"/>
      <c r="F97" s="89"/>
      <c r="G97" s="89"/>
      <c r="H97" s="89"/>
      <c r="I97" s="87" t="str">
        <f t="shared" si="3"/>
        <v/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25">
      <c r="A98" s="77"/>
      <c r="B98" s="77"/>
      <c r="C98" s="77"/>
      <c r="D98" s="77"/>
      <c r="E98" s="89"/>
      <c r="F98" s="89"/>
      <c r="G98" s="89"/>
      <c r="H98" s="89"/>
      <c r="I98" s="87" t="str">
        <f t="shared" si="3"/>
        <v/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25">
      <c r="A99" s="77"/>
      <c r="B99" s="77"/>
      <c r="C99" s="77"/>
      <c r="D99" s="77"/>
      <c r="E99" s="89"/>
      <c r="F99" s="89"/>
      <c r="G99" s="89"/>
      <c r="H99" s="89"/>
      <c r="I99" s="87" t="str">
        <f t="shared" si="3"/>
        <v/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25">
      <c r="A100" s="77"/>
      <c r="B100" s="77"/>
      <c r="C100" s="77"/>
      <c r="D100" s="77"/>
      <c r="E100" s="90"/>
      <c r="F100" s="90"/>
      <c r="G100" s="90"/>
      <c r="H100" s="90"/>
      <c r="I100" s="87" t="str">
        <f t="shared" si="3"/>
        <v/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25">
      <c r="A101" s="77"/>
      <c r="B101" s="77"/>
      <c r="C101" s="77"/>
      <c r="D101" s="77"/>
      <c r="E101" s="90"/>
      <c r="F101" s="90"/>
      <c r="G101" s="90"/>
      <c r="H101" s="90"/>
      <c r="I101" s="87" t="str">
        <f t="shared" si="3"/>
        <v/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25">
      <c r="A102" s="77"/>
      <c r="B102" s="77"/>
      <c r="C102" s="77"/>
      <c r="D102" s="77"/>
      <c r="E102" s="90"/>
      <c r="F102" s="90"/>
      <c r="G102" s="90"/>
      <c r="H102" s="90"/>
      <c r="I102" s="87" t="str">
        <f t="shared" si="3"/>
        <v/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25">
      <c r="A103" s="77"/>
      <c r="B103" s="77"/>
      <c r="C103" s="77"/>
      <c r="D103" s="77"/>
      <c r="E103" s="90"/>
      <c r="F103" s="90"/>
      <c r="G103" s="90"/>
      <c r="H103" s="90"/>
      <c r="I103" s="87" t="str">
        <f t="shared" si="3"/>
        <v/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25">
      <c r="A104" s="77"/>
      <c r="B104" s="77"/>
      <c r="C104" s="77"/>
      <c r="D104" s="77"/>
      <c r="E104" s="90"/>
      <c r="F104" s="90"/>
      <c r="G104" s="90"/>
      <c r="H104" s="90"/>
      <c r="I104" s="87" t="str">
        <f t="shared" si="3"/>
        <v/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25">
      <c r="A105" s="77"/>
      <c r="B105" s="77"/>
      <c r="C105" s="77"/>
      <c r="D105" s="77"/>
      <c r="E105" s="90"/>
      <c r="F105" s="90"/>
      <c r="G105" s="90"/>
      <c r="H105" s="90"/>
      <c r="I105" s="87" t="str">
        <f t="shared" si="3"/>
        <v/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25">
      <c r="A106" s="77"/>
      <c r="B106" s="77"/>
      <c r="C106" s="77"/>
      <c r="D106" s="77"/>
      <c r="E106" s="90"/>
      <c r="F106" s="90"/>
      <c r="G106" s="90"/>
      <c r="H106" s="90"/>
      <c r="I106" s="87" t="str">
        <f t="shared" si="3"/>
        <v/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25">
      <c r="A107" s="77"/>
      <c r="B107" s="77"/>
      <c r="C107" s="77"/>
      <c r="D107" s="77"/>
      <c r="E107" s="90"/>
      <c r="F107" s="90"/>
      <c r="G107" s="90"/>
      <c r="H107" s="90"/>
      <c r="I107" s="87" t="str">
        <f t="shared" si="3"/>
        <v/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x14ac:dyDescent="0.25">
      <c r="A110" s="71" t="s">
        <v>168</v>
      </c>
      <c r="B110" s="76" t="str">
        <f>IF(B12="","",B12)</f>
        <v/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25">
      <c r="A111" s="71"/>
      <c r="B111" s="120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25">
      <c r="A112" s="121"/>
      <c r="B112" s="91" t="s">
        <v>185</v>
      </c>
      <c r="C112" s="244" t="s">
        <v>186</v>
      </c>
      <c r="D112" s="244"/>
      <c r="E112" s="245" t="s">
        <v>187</v>
      </c>
      <c r="F112" s="246"/>
      <c r="G112" s="246"/>
      <c r="H112" s="247"/>
      <c r="I112" s="119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45" x14ac:dyDescent="0.25">
      <c r="A113" s="91" t="s">
        <v>180</v>
      </c>
      <c r="B113" s="91" t="s">
        <v>307</v>
      </c>
      <c r="C113" s="73" t="s">
        <v>188</v>
      </c>
      <c r="D113" s="73" t="s">
        <v>257</v>
      </c>
      <c r="E113" s="91" t="s">
        <v>183</v>
      </c>
      <c r="F113" s="91" t="s">
        <v>181</v>
      </c>
      <c r="G113" s="91" t="s">
        <v>184</v>
      </c>
      <c r="H113" s="91" t="s">
        <v>182</v>
      </c>
      <c r="I113" s="73" t="s">
        <v>308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25">
      <c r="A114" s="77"/>
      <c r="B114" s="77"/>
      <c r="C114" s="77"/>
      <c r="D114" s="77"/>
      <c r="E114" s="89"/>
      <c r="F114" s="89"/>
      <c r="G114" s="89"/>
      <c r="H114" s="89"/>
      <c r="I114" s="87" t="str">
        <f>IFERROR(B114/A114,"")</f>
        <v/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25">
      <c r="A115" s="77"/>
      <c r="B115" s="77"/>
      <c r="C115" s="77"/>
      <c r="D115" s="77"/>
      <c r="E115" s="89"/>
      <c r="F115" s="89"/>
      <c r="G115" s="89"/>
      <c r="H115" s="89"/>
      <c r="I115" s="87" t="str">
        <f t="shared" ref="I115:I133" si="4">IF(A115&lt;&gt;0,(B115-(B114-D114))/(A115-A114),"")</f>
        <v/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x14ac:dyDescent="0.25">
      <c r="A116" s="77"/>
      <c r="B116" s="77"/>
      <c r="C116" s="77"/>
      <c r="D116" s="77"/>
      <c r="E116" s="89"/>
      <c r="F116" s="89"/>
      <c r="G116" s="89"/>
      <c r="H116" s="89"/>
      <c r="I116" s="87" t="str">
        <f t="shared" si="4"/>
        <v/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x14ac:dyDescent="0.25">
      <c r="A117" s="77"/>
      <c r="B117" s="77"/>
      <c r="C117" s="77"/>
      <c r="D117" s="77"/>
      <c r="E117" s="89"/>
      <c r="F117" s="89"/>
      <c r="G117" s="89"/>
      <c r="H117" s="89"/>
      <c r="I117" s="87" t="str">
        <f t="shared" si="4"/>
        <v/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x14ac:dyDescent="0.25">
      <c r="A118" s="77"/>
      <c r="B118" s="77"/>
      <c r="C118" s="77"/>
      <c r="D118" s="77"/>
      <c r="E118" s="89"/>
      <c r="F118" s="89"/>
      <c r="G118" s="89"/>
      <c r="H118" s="89"/>
      <c r="I118" s="87" t="str">
        <f t="shared" si="4"/>
        <v/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x14ac:dyDescent="0.25">
      <c r="A119" s="77"/>
      <c r="B119" s="77"/>
      <c r="C119" s="77"/>
      <c r="D119" s="77"/>
      <c r="E119" s="89"/>
      <c r="F119" s="89"/>
      <c r="G119" s="89"/>
      <c r="H119" s="89"/>
      <c r="I119" s="87" t="str">
        <f t="shared" si="4"/>
        <v/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x14ac:dyDescent="0.25">
      <c r="A120" s="77"/>
      <c r="B120" s="77"/>
      <c r="C120" s="77"/>
      <c r="D120" s="77"/>
      <c r="E120" s="89"/>
      <c r="F120" s="89"/>
      <c r="G120" s="89"/>
      <c r="H120" s="89"/>
      <c r="I120" s="87" t="str">
        <f t="shared" si="4"/>
        <v/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x14ac:dyDescent="0.25">
      <c r="A121" s="77"/>
      <c r="B121" s="77"/>
      <c r="C121" s="77"/>
      <c r="D121" s="77"/>
      <c r="E121" s="89"/>
      <c r="F121" s="89"/>
      <c r="G121" s="89"/>
      <c r="H121" s="89"/>
      <c r="I121" s="87" t="str">
        <f t="shared" si="4"/>
        <v/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x14ac:dyDescent="0.25">
      <c r="A122" s="77"/>
      <c r="B122" s="77"/>
      <c r="C122" s="77"/>
      <c r="D122" s="77"/>
      <c r="E122" s="89"/>
      <c r="F122" s="89"/>
      <c r="G122" s="89"/>
      <c r="H122" s="89"/>
      <c r="I122" s="87" t="str">
        <f t="shared" si="4"/>
        <v/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x14ac:dyDescent="0.25">
      <c r="A123" s="77"/>
      <c r="B123" s="77"/>
      <c r="C123" s="77"/>
      <c r="D123" s="77"/>
      <c r="E123" s="89"/>
      <c r="F123" s="89"/>
      <c r="G123" s="89"/>
      <c r="H123" s="89"/>
      <c r="I123" s="87" t="str">
        <f t="shared" si="4"/>
        <v/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x14ac:dyDescent="0.25">
      <c r="A124" s="77"/>
      <c r="B124" s="77"/>
      <c r="C124" s="77"/>
      <c r="D124" s="77"/>
      <c r="E124" s="89"/>
      <c r="F124" s="89"/>
      <c r="G124" s="89"/>
      <c r="H124" s="89"/>
      <c r="I124" s="87" t="str">
        <f t="shared" si="4"/>
        <v/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x14ac:dyDescent="0.25">
      <c r="A125" s="77"/>
      <c r="B125" s="77"/>
      <c r="C125" s="77"/>
      <c r="D125" s="77"/>
      <c r="E125" s="89"/>
      <c r="F125" s="89"/>
      <c r="G125" s="89"/>
      <c r="H125" s="89"/>
      <c r="I125" s="87" t="str">
        <f t="shared" si="4"/>
        <v/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x14ac:dyDescent="0.25">
      <c r="A126" s="77"/>
      <c r="B126" s="77"/>
      <c r="C126" s="77"/>
      <c r="D126" s="77"/>
      <c r="E126" s="90"/>
      <c r="F126" s="90"/>
      <c r="G126" s="90"/>
      <c r="H126" s="90"/>
      <c r="I126" s="87" t="str">
        <f t="shared" si="4"/>
        <v/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x14ac:dyDescent="0.25">
      <c r="A127" s="77"/>
      <c r="B127" s="77"/>
      <c r="C127" s="77"/>
      <c r="D127" s="77"/>
      <c r="E127" s="90"/>
      <c r="F127" s="90"/>
      <c r="G127" s="90"/>
      <c r="H127" s="90"/>
      <c r="I127" s="87" t="str">
        <f t="shared" si="4"/>
        <v/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x14ac:dyDescent="0.25">
      <c r="A128" s="77"/>
      <c r="B128" s="77"/>
      <c r="C128" s="77"/>
      <c r="D128" s="77"/>
      <c r="E128" s="90"/>
      <c r="F128" s="90"/>
      <c r="G128" s="90"/>
      <c r="H128" s="90"/>
      <c r="I128" s="87" t="str">
        <f t="shared" si="4"/>
        <v/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x14ac:dyDescent="0.25">
      <c r="A129" s="77"/>
      <c r="B129" s="77"/>
      <c r="C129" s="77"/>
      <c r="D129" s="77"/>
      <c r="E129" s="90"/>
      <c r="F129" s="90"/>
      <c r="G129" s="90"/>
      <c r="H129" s="90"/>
      <c r="I129" s="87" t="str">
        <f t="shared" si="4"/>
        <v/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x14ac:dyDescent="0.25">
      <c r="A130" s="77"/>
      <c r="B130" s="77"/>
      <c r="C130" s="77"/>
      <c r="D130" s="77"/>
      <c r="E130" s="90"/>
      <c r="F130" s="90"/>
      <c r="G130" s="90"/>
      <c r="H130" s="90"/>
      <c r="I130" s="87" t="str">
        <f t="shared" si="4"/>
        <v/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x14ac:dyDescent="0.25">
      <c r="A131" s="77"/>
      <c r="B131" s="77"/>
      <c r="C131" s="77"/>
      <c r="D131" s="77"/>
      <c r="E131" s="90"/>
      <c r="F131" s="90"/>
      <c r="G131" s="90"/>
      <c r="H131" s="90"/>
      <c r="I131" s="87" t="str">
        <f t="shared" si="4"/>
        <v/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x14ac:dyDescent="0.25">
      <c r="A132" s="77"/>
      <c r="B132" s="77"/>
      <c r="C132" s="77"/>
      <c r="D132" s="77"/>
      <c r="E132" s="90"/>
      <c r="F132" s="90"/>
      <c r="G132" s="90"/>
      <c r="H132" s="90"/>
      <c r="I132" s="87" t="str">
        <f t="shared" si="4"/>
        <v/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x14ac:dyDescent="0.25">
      <c r="A133" s="77"/>
      <c r="B133" s="77"/>
      <c r="C133" s="77"/>
      <c r="D133" s="77"/>
      <c r="E133" s="90"/>
      <c r="F133" s="90"/>
      <c r="G133" s="90"/>
      <c r="H133" s="90"/>
      <c r="I133" s="87" t="str">
        <f t="shared" si="4"/>
        <v/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x14ac:dyDescent="0.25">
      <c r="A136" s="71" t="s">
        <v>169</v>
      </c>
      <c r="B136" s="76" t="str">
        <f>IF(B13="","",B13)</f>
        <v/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x14ac:dyDescent="0.25">
      <c r="A137" s="71"/>
      <c r="B137" s="120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x14ac:dyDescent="0.25">
      <c r="A138" s="121"/>
      <c r="B138" s="91" t="s">
        <v>185</v>
      </c>
      <c r="C138" s="244" t="s">
        <v>186</v>
      </c>
      <c r="D138" s="244"/>
      <c r="E138" s="245" t="s">
        <v>187</v>
      </c>
      <c r="F138" s="246"/>
      <c r="G138" s="246"/>
      <c r="H138" s="247"/>
      <c r="I138" s="119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45" x14ac:dyDescent="0.25">
      <c r="A139" s="91" t="s">
        <v>180</v>
      </c>
      <c r="B139" s="91" t="s">
        <v>307</v>
      </c>
      <c r="C139" s="73" t="s">
        <v>188</v>
      </c>
      <c r="D139" s="73" t="s">
        <v>257</v>
      </c>
      <c r="E139" s="91" t="s">
        <v>183</v>
      </c>
      <c r="F139" s="91" t="s">
        <v>181</v>
      </c>
      <c r="G139" s="91" t="s">
        <v>184</v>
      </c>
      <c r="H139" s="91" t="s">
        <v>182</v>
      </c>
      <c r="I139" s="73" t="s">
        <v>308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x14ac:dyDescent="0.25">
      <c r="A140" s="77"/>
      <c r="B140" s="78"/>
      <c r="C140" s="77"/>
      <c r="D140" s="77"/>
      <c r="E140" s="89"/>
      <c r="F140" s="89"/>
      <c r="G140" s="89"/>
      <c r="H140" s="89"/>
      <c r="I140" s="79" t="str">
        <f>IFERROR(B140/A140,"")</f>
        <v/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x14ac:dyDescent="0.25">
      <c r="A141" s="77"/>
      <c r="B141" s="78"/>
      <c r="C141" s="77"/>
      <c r="D141" s="77"/>
      <c r="E141" s="89"/>
      <c r="F141" s="89"/>
      <c r="G141" s="89"/>
      <c r="H141" s="89"/>
      <c r="I141" s="79" t="str">
        <f t="shared" ref="I141:I159" si="5">IF(A141&lt;&gt;0,(B141-(B140-D140))/(A141-A140),"")</f>
        <v/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x14ac:dyDescent="0.25">
      <c r="A142" s="77"/>
      <c r="B142" s="78"/>
      <c r="C142" s="77"/>
      <c r="D142" s="77"/>
      <c r="E142" s="89"/>
      <c r="F142" s="89"/>
      <c r="G142" s="89"/>
      <c r="H142" s="89"/>
      <c r="I142" s="79" t="str">
        <f t="shared" si="5"/>
        <v/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x14ac:dyDescent="0.25">
      <c r="A143" s="77"/>
      <c r="B143" s="78"/>
      <c r="C143" s="77"/>
      <c r="D143" s="77"/>
      <c r="E143" s="89"/>
      <c r="F143" s="89"/>
      <c r="G143" s="89"/>
      <c r="H143" s="89"/>
      <c r="I143" s="79" t="str">
        <f t="shared" si="5"/>
        <v/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x14ac:dyDescent="0.25">
      <c r="A144" s="77"/>
      <c r="B144" s="78"/>
      <c r="C144" s="77"/>
      <c r="D144" s="77"/>
      <c r="E144" s="89"/>
      <c r="F144" s="89"/>
      <c r="G144" s="89"/>
      <c r="H144" s="89"/>
      <c r="I144" s="79" t="str">
        <f t="shared" si="5"/>
        <v/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x14ac:dyDescent="0.25">
      <c r="A145" s="77"/>
      <c r="B145" s="78"/>
      <c r="C145" s="77"/>
      <c r="D145" s="77"/>
      <c r="E145" s="89"/>
      <c r="F145" s="89"/>
      <c r="G145" s="89"/>
      <c r="H145" s="89"/>
      <c r="I145" s="79" t="str">
        <f t="shared" si="5"/>
        <v/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x14ac:dyDescent="0.25">
      <c r="A146" s="77"/>
      <c r="B146" s="78"/>
      <c r="C146" s="77"/>
      <c r="D146" s="77"/>
      <c r="E146" s="89"/>
      <c r="F146" s="89"/>
      <c r="G146" s="89"/>
      <c r="H146" s="89"/>
      <c r="I146" s="79" t="str">
        <f t="shared" si="5"/>
        <v/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x14ac:dyDescent="0.25">
      <c r="A147" s="77"/>
      <c r="B147" s="78"/>
      <c r="C147" s="77"/>
      <c r="D147" s="77"/>
      <c r="E147" s="89"/>
      <c r="F147" s="89"/>
      <c r="G147" s="89"/>
      <c r="H147" s="89"/>
      <c r="I147" s="79" t="str">
        <f t="shared" si="5"/>
        <v/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x14ac:dyDescent="0.25">
      <c r="A148" s="77"/>
      <c r="B148" s="78"/>
      <c r="C148" s="77"/>
      <c r="D148" s="77"/>
      <c r="E148" s="89"/>
      <c r="F148" s="89"/>
      <c r="G148" s="89"/>
      <c r="H148" s="89"/>
      <c r="I148" s="79" t="str">
        <f t="shared" si="5"/>
        <v/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x14ac:dyDescent="0.25">
      <c r="A149" s="77"/>
      <c r="B149" s="78"/>
      <c r="C149" s="77"/>
      <c r="D149" s="77"/>
      <c r="E149" s="89"/>
      <c r="F149" s="89"/>
      <c r="G149" s="89"/>
      <c r="H149" s="89"/>
      <c r="I149" s="79" t="str">
        <f t="shared" si="5"/>
        <v/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x14ac:dyDescent="0.25">
      <c r="A150" s="77"/>
      <c r="B150" s="78"/>
      <c r="C150" s="77"/>
      <c r="D150" s="77"/>
      <c r="E150" s="89"/>
      <c r="F150" s="89"/>
      <c r="G150" s="89"/>
      <c r="H150" s="89"/>
      <c r="I150" s="79" t="str">
        <f t="shared" si="5"/>
        <v/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x14ac:dyDescent="0.25">
      <c r="A151" s="77"/>
      <c r="B151" s="78"/>
      <c r="C151" s="77"/>
      <c r="D151" s="77"/>
      <c r="E151" s="89"/>
      <c r="F151" s="89"/>
      <c r="G151" s="89"/>
      <c r="H151" s="89"/>
      <c r="I151" s="79" t="str">
        <f t="shared" si="5"/>
        <v/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x14ac:dyDescent="0.25">
      <c r="A152" s="77"/>
      <c r="B152" s="78"/>
      <c r="C152" s="77"/>
      <c r="D152" s="77"/>
      <c r="E152" s="90"/>
      <c r="F152" s="90"/>
      <c r="G152" s="90"/>
      <c r="H152" s="90"/>
      <c r="I152" s="79" t="str">
        <f t="shared" si="5"/>
        <v/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x14ac:dyDescent="0.25">
      <c r="A153" s="77"/>
      <c r="B153" s="78"/>
      <c r="C153" s="77"/>
      <c r="D153" s="77"/>
      <c r="E153" s="90"/>
      <c r="F153" s="90"/>
      <c r="G153" s="90"/>
      <c r="H153" s="90"/>
      <c r="I153" s="79" t="str">
        <f t="shared" si="5"/>
        <v/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x14ac:dyDescent="0.25">
      <c r="A154" s="77"/>
      <c r="B154" s="78"/>
      <c r="C154" s="77"/>
      <c r="D154" s="77"/>
      <c r="E154" s="90"/>
      <c r="F154" s="90"/>
      <c r="G154" s="90"/>
      <c r="H154" s="90"/>
      <c r="I154" s="79" t="str">
        <f t="shared" si="5"/>
        <v/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x14ac:dyDescent="0.25">
      <c r="A155" s="77"/>
      <c r="B155" s="78"/>
      <c r="C155" s="77"/>
      <c r="D155" s="77"/>
      <c r="E155" s="90"/>
      <c r="F155" s="90"/>
      <c r="G155" s="90"/>
      <c r="H155" s="90"/>
      <c r="I155" s="79" t="str">
        <f t="shared" si="5"/>
        <v/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x14ac:dyDescent="0.25">
      <c r="A156" s="77"/>
      <c r="B156" s="78"/>
      <c r="C156" s="77"/>
      <c r="D156" s="77"/>
      <c r="E156" s="90"/>
      <c r="F156" s="90"/>
      <c r="G156" s="90"/>
      <c r="H156" s="90"/>
      <c r="I156" s="79" t="str">
        <f t="shared" si="5"/>
        <v/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x14ac:dyDescent="0.25">
      <c r="A157" s="77"/>
      <c r="B157" s="78"/>
      <c r="C157" s="77"/>
      <c r="D157" s="77"/>
      <c r="E157" s="90"/>
      <c r="F157" s="90"/>
      <c r="G157" s="90"/>
      <c r="H157" s="90"/>
      <c r="I157" s="79" t="str">
        <f t="shared" si="5"/>
        <v/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x14ac:dyDescent="0.25">
      <c r="A158" s="77"/>
      <c r="B158" s="78"/>
      <c r="C158" s="77"/>
      <c r="D158" s="77"/>
      <c r="E158" s="90"/>
      <c r="F158" s="90"/>
      <c r="G158" s="90"/>
      <c r="H158" s="90"/>
      <c r="I158" s="79" t="str">
        <f t="shared" si="5"/>
        <v/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x14ac:dyDescent="0.25">
      <c r="A159" s="77"/>
      <c r="B159" s="78"/>
      <c r="C159" s="77"/>
      <c r="D159" s="78"/>
      <c r="E159" s="90"/>
      <c r="F159" s="90"/>
      <c r="G159" s="90"/>
      <c r="H159" s="90"/>
      <c r="I159" s="79" t="str">
        <f t="shared" si="5"/>
        <v/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x14ac:dyDescent="0.25">
      <c r="A162" s="71" t="s">
        <v>170</v>
      </c>
      <c r="B162" s="76" t="str">
        <f>IF(B14="","",B14)</f>
        <v/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x14ac:dyDescent="0.25">
      <c r="A163" s="71"/>
      <c r="B163" s="120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x14ac:dyDescent="0.25">
      <c r="A164" s="121"/>
      <c r="B164" s="91" t="s">
        <v>185</v>
      </c>
      <c r="C164" s="244" t="s">
        <v>186</v>
      </c>
      <c r="D164" s="244"/>
      <c r="E164" s="245" t="s">
        <v>187</v>
      </c>
      <c r="F164" s="246"/>
      <c r="G164" s="246"/>
      <c r="H164" s="247"/>
      <c r="I164" s="119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45" x14ac:dyDescent="0.25">
      <c r="A165" s="91" t="s">
        <v>180</v>
      </c>
      <c r="B165" s="91" t="s">
        <v>307</v>
      </c>
      <c r="C165" s="73" t="s">
        <v>188</v>
      </c>
      <c r="D165" s="73" t="s">
        <v>257</v>
      </c>
      <c r="E165" s="91" t="s">
        <v>183</v>
      </c>
      <c r="F165" s="91" t="s">
        <v>181</v>
      </c>
      <c r="G165" s="91" t="s">
        <v>184</v>
      </c>
      <c r="H165" s="91" t="s">
        <v>182</v>
      </c>
      <c r="I165" s="73" t="s">
        <v>308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x14ac:dyDescent="0.25">
      <c r="A166" s="77"/>
      <c r="B166" s="77"/>
      <c r="C166" s="77"/>
      <c r="D166" s="77"/>
      <c r="E166" s="89"/>
      <c r="F166" s="89"/>
      <c r="G166" s="89"/>
      <c r="H166" s="89"/>
      <c r="I166" s="87" t="str">
        <f>IFERROR(B166/A166,"")</f>
        <v/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x14ac:dyDescent="0.25">
      <c r="A167" s="77"/>
      <c r="B167" s="77"/>
      <c r="C167" s="77"/>
      <c r="D167" s="77"/>
      <c r="E167" s="89"/>
      <c r="F167" s="89"/>
      <c r="G167" s="89"/>
      <c r="H167" s="89"/>
      <c r="I167" s="87" t="str">
        <f t="shared" ref="I167:I185" si="6">IF(A167&lt;&gt;0,(B167-(B166-D166))/(A167-A166),"")</f>
        <v/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x14ac:dyDescent="0.25">
      <c r="A168" s="77"/>
      <c r="B168" s="77"/>
      <c r="C168" s="77"/>
      <c r="D168" s="77"/>
      <c r="E168" s="89"/>
      <c r="F168" s="89"/>
      <c r="G168" s="89"/>
      <c r="H168" s="89"/>
      <c r="I168" s="87" t="str">
        <f t="shared" si="6"/>
        <v/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x14ac:dyDescent="0.25">
      <c r="A169" s="77"/>
      <c r="B169" s="77"/>
      <c r="C169" s="77"/>
      <c r="D169" s="77"/>
      <c r="E169" s="89"/>
      <c r="F169" s="89"/>
      <c r="G169" s="89"/>
      <c r="H169" s="89"/>
      <c r="I169" s="87" t="str">
        <f t="shared" si="6"/>
        <v/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x14ac:dyDescent="0.25">
      <c r="A170" s="77"/>
      <c r="B170" s="77"/>
      <c r="C170" s="77"/>
      <c r="D170" s="77"/>
      <c r="E170" s="89"/>
      <c r="F170" s="89"/>
      <c r="G170" s="89"/>
      <c r="H170" s="89"/>
      <c r="I170" s="87" t="str">
        <f t="shared" si="6"/>
        <v/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x14ac:dyDescent="0.25">
      <c r="A171" s="77"/>
      <c r="B171" s="77"/>
      <c r="C171" s="77"/>
      <c r="D171" s="77"/>
      <c r="E171" s="89"/>
      <c r="F171" s="89"/>
      <c r="G171" s="89"/>
      <c r="H171" s="89"/>
      <c r="I171" s="87" t="str">
        <f t="shared" si="6"/>
        <v/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x14ac:dyDescent="0.25">
      <c r="A172" s="77"/>
      <c r="B172" s="77"/>
      <c r="C172" s="77"/>
      <c r="D172" s="77"/>
      <c r="E172" s="89"/>
      <c r="F172" s="89"/>
      <c r="G172" s="89"/>
      <c r="H172" s="89"/>
      <c r="I172" s="87" t="str">
        <f t="shared" si="6"/>
        <v/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x14ac:dyDescent="0.25">
      <c r="A173" s="77"/>
      <c r="B173" s="77"/>
      <c r="C173" s="77"/>
      <c r="D173" s="77"/>
      <c r="E173" s="89"/>
      <c r="F173" s="89"/>
      <c r="G173" s="89"/>
      <c r="H173" s="89"/>
      <c r="I173" s="87" t="str">
        <f t="shared" si="6"/>
        <v/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x14ac:dyDescent="0.25">
      <c r="A174" s="77"/>
      <c r="B174" s="77"/>
      <c r="C174" s="77"/>
      <c r="D174" s="77"/>
      <c r="E174" s="89"/>
      <c r="F174" s="89"/>
      <c r="G174" s="89"/>
      <c r="H174" s="89"/>
      <c r="I174" s="87" t="str">
        <f t="shared" si="6"/>
        <v/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x14ac:dyDescent="0.25">
      <c r="A175" s="77"/>
      <c r="B175" s="77"/>
      <c r="C175" s="77"/>
      <c r="D175" s="77"/>
      <c r="E175" s="89"/>
      <c r="F175" s="89"/>
      <c r="G175" s="89"/>
      <c r="H175" s="89"/>
      <c r="I175" s="87" t="str">
        <f t="shared" si="6"/>
        <v/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x14ac:dyDescent="0.25">
      <c r="A176" s="77"/>
      <c r="B176" s="77"/>
      <c r="C176" s="77"/>
      <c r="D176" s="77"/>
      <c r="E176" s="89"/>
      <c r="F176" s="89"/>
      <c r="G176" s="89"/>
      <c r="H176" s="89"/>
      <c r="I176" s="87" t="str">
        <f t="shared" si="6"/>
        <v/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x14ac:dyDescent="0.25">
      <c r="A177" s="77"/>
      <c r="B177" s="77"/>
      <c r="C177" s="77"/>
      <c r="D177" s="77"/>
      <c r="E177" s="89"/>
      <c r="F177" s="89"/>
      <c r="G177" s="89"/>
      <c r="H177" s="89"/>
      <c r="I177" s="87" t="str">
        <f t="shared" si="6"/>
        <v/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x14ac:dyDescent="0.25">
      <c r="A178" s="77"/>
      <c r="B178" s="77"/>
      <c r="C178" s="77"/>
      <c r="D178" s="77"/>
      <c r="E178" s="90"/>
      <c r="F178" s="90"/>
      <c r="G178" s="90"/>
      <c r="H178" s="90"/>
      <c r="I178" s="87" t="str">
        <f t="shared" si="6"/>
        <v/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x14ac:dyDescent="0.25">
      <c r="A179" s="77"/>
      <c r="B179" s="77"/>
      <c r="C179" s="77"/>
      <c r="D179" s="77"/>
      <c r="E179" s="90"/>
      <c r="F179" s="90"/>
      <c r="G179" s="90"/>
      <c r="H179" s="90"/>
      <c r="I179" s="87" t="str">
        <f t="shared" si="6"/>
        <v/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x14ac:dyDescent="0.25">
      <c r="A180" s="77"/>
      <c r="B180" s="77"/>
      <c r="C180" s="77"/>
      <c r="D180" s="77"/>
      <c r="E180" s="90"/>
      <c r="F180" s="90"/>
      <c r="G180" s="90"/>
      <c r="H180" s="90"/>
      <c r="I180" s="87" t="str">
        <f t="shared" si="6"/>
        <v/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x14ac:dyDescent="0.25">
      <c r="A181" s="77"/>
      <c r="B181" s="77"/>
      <c r="C181" s="77"/>
      <c r="D181" s="77"/>
      <c r="E181" s="90"/>
      <c r="F181" s="90"/>
      <c r="G181" s="90"/>
      <c r="H181" s="90"/>
      <c r="I181" s="87" t="str">
        <f t="shared" si="6"/>
        <v/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x14ac:dyDescent="0.25">
      <c r="A182" s="77"/>
      <c r="B182" s="77"/>
      <c r="C182" s="77"/>
      <c r="D182" s="77"/>
      <c r="E182" s="90"/>
      <c r="F182" s="90"/>
      <c r="G182" s="90"/>
      <c r="H182" s="90"/>
      <c r="I182" s="87" t="str">
        <f t="shared" si="6"/>
        <v/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x14ac:dyDescent="0.25">
      <c r="A183" s="77"/>
      <c r="B183" s="77"/>
      <c r="C183" s="77"/>
      <c r="D183" s="77"/>
      <c r="E183" s="90"/>
      <c r="F183" s="90"/>
      <c r="G183" s="90"/>
      <c r="H183" s="90"/>
      <c r="I183" s="87" t="str">
        <f t="shared" si="6"/>
        <v/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x14ac:dyDescent="0.25">
      <c r="A184" s="77"/>
      <c r="B184" s="77"/>
      <c r="C184" s="77"/>
      <c r="D184" s="77"/>
      <c r="E184" s="90"/>
      <c r="F184" s="90"/>
      <c r="G184" s="90"/>
      <c r="H184" s="90"/>
      <c r="I184" s="87" t="str">
        <f t="shared" si="6"/>
        <v/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x14ac:dyDescent="0.25">
      <c r="A185" s="77"/>
      <c r="B185" s="77"/>
      <c r="C185" s="77"/>
      <c r="D185" s="77"/>
      <c r="E185" s="90"/>
      <c r="F185" s="90"/>
      <c r="G185" s="90"/>
      <c r="H185" s="90"/>
      <c r="I185" s="87" t="str">
        <f t="shared" si="6"/>
        <v/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x14ac:dyDescent="0.25">
      <c r="A188" s="71" t="s">
        <v>171</v>
      </c>
      <c r="B188" s="76" t="str">
        <f>IF(B15="","",B15)</f>
        <v/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x14ac:dyDescent="0.25">
      <c r="A189" s="71"/>
      <c r="B189" s="120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x14ac:dyDescent="0.25">
      <c r="A190" s="121"/>
      <c r="B190" s="91" t="s">
        <v>185</v>
      </c>
      <c r="C190" s="244" t="s">
        <v>186</v>
      </c>
      <c r="D190" s="244"/>
      <c r="E190" s="245" t="s">
        <v>187</v>
      </c>
      <c r="F190" s="246"/>
      <c r="G190" s="246"/>
      <c r="H190" s="247"/>
      <c r="I190" s="119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45" x14ac:dyDescent="0.25">
      <c r="A191" s="91" t="s">
        <v>180</v>
      </c>
      <c r="B191" s="91" t="s">
        <v>307</v>
      </c>
      <c r="C191" s="73" t="s">
        <v>188</v>
      </c>
      <c r="D191" s="73" t="s">
        <v>257</v>
      </c>
      <c r="E191" s="91" t="s">
        <v>183</v>
      </c>
      <c r="F191" s="91" t="s">
        <v>181</v>
      </c>
      <c r="G191" s="91" t="s">
        <v>184</v>
      </c>
      <c r="H191" s="91" t="s">
        <v>182</v>
      </c>
      <c r="I191" s="73" t="s">
        <v>308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x14ac:dyDescent="0.25">
      <c r="A192" s="77"/>
      <c r="B192" s="77"/>
      <c r="C192" s="77"/>
      <c r="D192" s="77"/>
      <c r="E192" s="89"/>
      <c r="F192" s="89"/>
      <c r="G192" s="89"/>
      <c r="H192" s="89"/>
      <c r="I192" s="87" t="str">
        <f>IFERROR(B192/A192,"")</f>
        <v/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x14ac:dyDescent="0.25">
      <c r="A193" s="77"/>
      <c r="B193" s="77"/>
      <c r="C193" s="77"/>
      <c r="D193" s="77"/>
      <c r="E193" s="89"/>
      <c r="F193" s="89"/>
      <c r="G193" s="89"/>
      <c r="H193" s="89"/>
      <c r="I193" s="87" t="str">
        <f t="shared" ref="I193:I211" si="7">IF(A193&lt;&gt;0,(B193-(B192-D192))/(A193-A192),"")</f>
        <v/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x14ac:dyDescent="0.25">
      <c r="A194" s="77"/>
      <c r="B194" s="77"/>
      <c r="C194" s="77"/>
      <c r="D194" s="77"/>
      <c r="E194" s="89"/>
      <c r="F194" s="89"/>
      <c r="G194" s="89"/>
      <c r="H194" s="89"/>
      <c r="I194" s="87" t="str">
        <f t="shared" si="7"/>
        <v/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x14ac:dyDescent="0.25">
      <c r="A195" s="77"/>
      <c r="B195" s="77"/>
      <c r="C195" s="77"/>
      <c r="D195" s="77"/>
      <c r="E195" s="89"/>
      <c r="F195" s="89"/>
      <c r="G195" s="89"/>
      <c r="H195" s="89"/>
      <c r="I195" s="87" t="str">
        <f t="shared" si="7"/>
        <v/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x14ac:dyDescent="0.25">
      <c r="A196" s="77"/>
      <c r="B196" s="77"/>
      <c r="C196" s="77"/>
      <c r="D196" s="77"/>
      <c r="E196" s="89"/>
      <c r="F196" s="89"/>
      <c r="G196" s="89"/>
      <c r="H196" s="89"/>
      <c r="I196" s="87" t="str">
        <f t="shared" si="7"/>
        <v/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x14ac:dyDescent="0.25">
      <c r="A197" s="77"/>
      <c r="B197" s="77"/>
      <c r="C197" s="77"/>
      <c r="D197" s="77"/>
      <c r="E197" s="89"/>
      <c r="F197" s="89"/>
      <c r="G197" s="89"/>
      <c r="H197" s="89"/>
      <c r="I197" s="87" t="str">
        <f t="shared" si="7"/>
        <v/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x14ac:dyDescent="0.25">
      <c r="A198" s="77"/>
      <c r="B198" s="77"/>
      <c r="C198" s="77"/>
      <c r="D198" s="77"/>
      <c r="E198" s="89"/>
      <c r="F198" s="89"/>
      <c r="G198" s="89"/>
      <c r="H198" s="89"/>
      <c r="I198" s="87" t="str">
        <f t="shared" si="7"/>
        <v/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x14ac:dyDescent="0.25">
      <c r="A199" s="77"/>
      <c r="B199" s="77"/>
      <c r="C199" s="77"/>
      <c r="D199" s="77"/>
      <c r="E199" s="89"/>
      <c r="F199" s="89"/>
      <c r="G199" s="89"/>
      <c r="H199" s="89"/>
      <c r="I199" s="87" t="str">
        <f t="shared" si="7"/>
        <v/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x14ac:dyDescent="0.25">
      <c r="A200" s="77"/>
      <c r="B200" s="77"/>
      <c r="C200" s="77"/>
      <c r="D200" s="77"/>
      <c r="E200" s="89"/>
      <c r="F200" s="89"/>
      <c r="G200" s="89"/>
      <c r="H200" s="89"/>
      <c r="I200" s="87" t="str">
        <f t="shared" si="7"/>
        <v/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x14ac:dyDescent="0.25">
      <c r="A201" s="77"/>
      <c r="B201" s="77"/>
      <c r="C201" s="77"/>
      <c r="D201" s="77"/>
      <c r="E201" s="89"/>
      <c r="F201" s="89"/>
      <c r="G201" s="89"/>
      <c r="H201" s="89"/>
      <c r="I201" s="87" t="str">
        <f t="shared" si="7"/>
        <v/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x14ac:dyDescent="0.25">
      <c r="A202" s="77"/>
      <c r="B202" s="77"/>
      <c r="C202" s="77"/>
      <c r="D202" s="77"/>
      <c r="E202" s="89"/>
      <c r="F202" s="89"/>
      <c r="G202" s="89"/>
      <c r="H202" s="89"/>
      <c r="I202" s="87" t="str">
        <f t="shared" si="7"/>
        <v/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x14ac:dyDescent="0.25">
      <c r="A203" s="77"/>
      <c r="B203" s="77"/>
      <c r="C203" s="77"/>
      <c r="D203" s="77"/>
      <c r="E203" s="89"/>
      <c r="F203" s="89"/>
      <c r="G203" s="89"/>
      <c r="H203" s="89"/>
      <c r="I203" s="87" t="str">
        <f t="shared" si="7"/>
        <v/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x14ac:dyDescent="0.25">
      <c r="A204" s="77"/>
      <c r="B204" s="77"/>
      <c r="C204" s="77"/>
      <c r="D204" s="77"/>
      <c r="E204" s="90"/>
      <c r="F204" s="90"/>
      <c r="G204" s="90"/>
      <c r="H204" s="90"/>
      <c r="I204" s="87" t="str">
        <f t="shared" si="7"/>
        <v/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x14ac:dyDescent="0.25">
      <c r="A205" s="77"/>
      <c r="B205" s="77"/>
      <c r="C205" s="77"/>
      <c r="D205" s="77"/>
      <c r="E205" s="90"/>
      <c r="F205" s="90"/>
      <c r="G205" s="90"/>
      <c r="H205" s="90"/>
      <c r="I205" s="87" t="str">
        <f t="shared" si="7"/>
        <v/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x14ac:dyDescent="0.25">
      <c r="A206" s="77"/>
      <c r="B206" s="77"/>
      <c r="C206" s="77"/>
      <c r="D206" s="77"/>
      <c r="E206" s="90"/>
      <c r="F206" s="90"/>
      <c r="G206" s="90"/>
      <c r="H206" s="90"/>
      <c r="I206" s="87" t="str">
        <f t="shared" si="7"/>
        <v/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x14ac:dyDescent="0.25">
      <c r="A207" s="77"/>
      <c r="B207" s="77"/>
      <c r="C207" s="77"/>
      <c r="D207" s="77"/>
      <c r="E207" s="90"/>
      <c r="F207" s="90"/>
      <c r="G207" s="90"/>
      <c r="H207" s="90"/>
      <c r="I207" s="87" t="str">
        <f t="shared" si="7"/>
        <v/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x14ac:dyDescent="0.25">
      <c r="A208" s="77"/>
      <c r="B208" s="77"/>
      <c r="C208" s="77"/>
      <c r="D208" s="77"/>
      <c r="E208" s="90"/>
      <c r="F208" s="90"/>
      <c r="G208" s="90"/>
      <c r="H208" s="90"/>
      <c r="I208" s="87" t="str">
        <f t="shared" si="7"/>
        <v/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x14ac:dyDescent="0.25">
      <c r="A209" s="77"/>
      <c r="B209" s="77"/>
      <c r="C209" s="77"/>
      <c r="D209" s="77"/>
      <c r="E209" s="90"/>
      <c r="F209" s="90"/>
      <c r="G209" s="90"/>
      <c r="H209" s="90"/>
      <c r="I209" s="87" t="str">
        <f t="shared" si="7"/>
        <v/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x14ac:dyDescent="0.25">
      <c r="A210" s="77"/>
      <c r="B210" s="77"/>
      <c r="C210" s="77"/>
      <c r="D210" s="77"/>
      <c r="E210" s="90"/>
      <c r="F210" s="90"/>
      <c r="G210" s="90"/>
      <c r="H210" s="90"/>
      <c r="I210" s="87" t="str">
        <f t="shared" si="7"/>
        <v/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x14ac:dyDescent="0.25">
      <c r="A211" s="77"/>
      <c r="B211" s="77"/>
      <c r="C211" s="77"/>
      <c r="D211" s="77"/>
      <c r="E211" s="90"/>
      <c r="F211" s="90"/>
      <c r="G211" s="90"/>
      <c r="H211" s="90"/>
      <c r="I211" s="87" t="str">
        <f t="shared" si="7"/>
        <v/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x14ac:dyDescent="0.25">
      <c r="A214" s="71" t="s">
        <v>172</v>
      </c>
      <c r="B214" s="76" t="str">
        <f>IF(B16="","",B16)</f>
        <v/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x14ac:dyDescent="0.25">
      <c r="A215" s="71"/>
      <c r="B215" s="120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x14ac:dyDescent="0.25">
      <c r="A216" s="121"/>
      <c r="B216" s="91" t="s">
        <v>185</v>
      </c>
      <c r="C216" s="244" t="s">
        <v>186</v>
      </c>
      <c r="D216" s="244"/>
      <c r="E216" s="245" t="s">
        <v>187</v>
      </c>
      <c r="F216" s="246"/>
      <c r="G216" s="246"/>
      <c r="H216" s="247"/>
      <c r="I216" s="119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45" x14ac:dyDescent="0.25">
      <c r="A217" s="91" t="s">
        <v>180</v>
      </c>
      <c r="B217" s="91" t="s">
        <v>307</v>
      </c>
      <c r="C217" s="73" t="s">
        <v>188</v>
      </c>
      <c r="D217" s="73" t="s">
        <v>257</v>
      </c>
      <c r="E217" s="91" t="s">
        <v>183</v>
      </c>
      <c r="F217" s="91" t="s">
        <v>181</v>
      </c>
      <c r="G217" s="91" t="s">
        <v>184</v>
      </c>
      <c r="H217" s="91" t="s">
        <v>182</v>
      </c>
      <c r="I217" s="73" t="s">
        <v>308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x14ac:dyDescent="0.25">
      <c r="A218" s="77"/>
      <c r="B218" s="77"/>
      <c r="C218" s="77"/>
      <c r="D218" s="77"/>
      <c r="E218" s="89"/>
      <c r="F218" s="89"/>
      <c r="G218" s="89"/>
      <c r="H218" s="89"/>
      <c r="I218" s="87" t="str">
        <f>IFERROR(B218/A218,"")</f>
        <v/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x14ac:dyDescent="0.25">
      <c r="A219" s="77"/>
      <c r="B219" s="77"/>
      <c r="C219" s="77"/>
      <c r="D219" s="77"/>
      <c r="E219" s="89"/>
      <c r="F219" s="89"/>
      <c r="G219" s="89"/>
      <c r="H219" s="89"/>
      <c r="I219" s="87" t="str">
        <f t="shared" ref="I219:I237" si="8">IF(A219&lt;&gt;0,(B219-(B218-D218))/(A219-A218),"")</f>
        <v/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x14ac:dyDescent="0.25">
      <c r="A220" s="77"/>
      <c r="B220" s="77"/>
      <c r="C220" s="77"/>
      <c r="D220" s="77"/>
      <c r="E220" s="89"/>
      <c r="F220" s="89"/>
      <c r="G220" s="89"/>
      <c r="H220" s="89"/>
      <c r="I220" s="87" t="str">
        <f t="shared" si="8"/>
        <v/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x14ac:dyDescent="0.25">
      <c r="A221" s="77"/>
      <c r="B221" s="77"/>
      <c r="C221" s="77"/>
      <c r="D221" s="77"/>
      <c r="E221" s="89"/>
      <c r="F221" s="89"/>
      <c r="G221" s="89"/>
      <c r="H221" s="89"/>
      <c r="I221" s="87" t="str">
        <f t="shared" si="8"/>
        <v/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x14ac:dyDescent="0.25">
      <c r="A222" s="77"/>
      <c r="B222" s="77"/>
      <c r="C222" s="77"/>
      <c r="D222" s="77"/>
      <c r="E222" s="89"/>
      <c r="F222" s="89"/>
      <c r="G222" s="89"/>
      <c r="H222" s="89"/>
      <c r="I222" s="87" t="str">
        <f t="shared" si="8"/>
        <v/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x14ac:dyDescent="0.25">
      <c r="A223" s="77"/>
      <c r="B223" s="77"/>
      <c r="C223" s="77"/>
      <c r="D223" s="77"/>
      <c r="E223" s="89"/>
      <c r="F223" s="89"/>
      <c r="G223" s="89"/>
      <c r="H223" s="89"/>
      <c r="I223" s="87" t="str">
        <f t="shared" si="8"/>
        <v/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x14ac:dyDescent="0.25">
      <c r="A224" s="77"/>
      <c r="B224" s="77"/>
      <c r="C224" s="77"/>
      <c r="D224" s="77"/>
      <c r="E224" s="89"/>
      <c r="F224" s="89"/>
      <c r="G224" s="89"/>
      <c r="H224" s="89"/>
      <c r="I224" s="87" t="str">
        <f t="shared" si="8"/>
        <v/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x14ac:dyDescent="0.25">
      <c r="A225" s="77"/>
      <c r="B225" s="77"/>
      <c r="C225" s="77"/>
      <c r="D225" s="77"/>
      <c r="E225" s="89"/>
      <c r="F225" s="89"/>
      <c r="G225" s="89"/>
      <c r="H225" s="89"/>
      <c r="I225" s="87" t="str">
        <f t="shared" si="8"/>
        <v/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x14ac:dyDescent="0.25">
      <c r="A226" s="77"/>
      <c r="B226" s="77"/>
      <c r="C226" s="77"/>
      <c r="D226" s="77"/>
      <c r="E226" s="89"/>
      <c r="F226" s="89"/>
      <c r="G226" s="89"/>
      <c r="H226" s="89"/>
      <c r="I226" s="87" t="str">
        <f t="shared" si="8"/>
        <v/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x14ac:dyDescent="0.25">
      <c r="A227" s="77"/>
      <c r="B227" s="77"/>
      <c r="C227" s="77"/>
      <c r="D227" s="77"/>
      <c r="E227" s="89"/>
      <c r="F227" s="89"/>
      <c r="G227" s="89"/>
      <c r="H227" s="89"/>
      <c r="I227" s="87" t="str">
        <f t="shared" si="8"/>
        <v/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x14ac:dyDescent="0.25">
      <c r="A228" s="77"/>
      <c r="B228" s="77"/>
      <c r="C228" s="77"/>
      <c r="D228" s="77"/>
      <c r="E228" s="89"/>
      <c r="F228" s="89"/>
      <c r="G228" s="89"/>
      <c r="H228" s="89"/>
      <c r="I228" s="87" t="str">
        <f t="shared" si="8"/>
        <v/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x14ac:dyDescent="0.25">
      <c r="A229" s="77"/>
      <c r="B229" s="77"/>
      <c r="C229" s="77"/>
      <c r="D229" s="77"/>
      <c r="E229" s="89"/>
      <c r="F229" s="89"/>
      <c r="G229" s="89"/>
      <c r="H229" s="89"/>
      <c r="I229" s="87" t="str">
        <f t="shared" si="8"/>
        <v/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x14ac:dyDescent="0.25">
      <c r="A230" s="77"/>
      <c r="B230" s="77"/>
      <c r="C230" s="77"/>
      <c r="D230" s="77"/>
      <c r="E230" s="90"/>
      <c r="F230" s="90"/>
      <c r="G230" s="90"/>
      <c r="H230" s="90"/>
      <c r="I230" s="87" t="str">
        <f t="shared" si="8"/>
        <v/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x14ac:dyDescent="0.25">
      <c r="A231" s="77"/>
      <c r="B231" s="77"/>
      <c r="C231" s="77"/>
      <c r="D231" s="77"/>
      <c r="E231" s="90"/>
      <c r="F231" s="90"/>
      <c r="G231" s="90"/>
      <c r="H231" s="90"/>
      <c r="I231" s="87" t="str">
        <f t="shared" si="8"/>
        <v/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x14ac:dyDescent="0.25">
      <c r="A232" s="77"/>
      <c r="B232" s="77"/>
      <c r="C232" s="77"/>
      <c r="D232" s="77"/>
      <c r="E232" s="90"/>
      <c r="F232" s="90"/>
      <c r="G232" s="90"/>
      <c r="H232" s="90"/>
      <c r="I232" s="87" t="str">
        <f t="shared" si="8"/>
        <v/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x14ac:dyDescent="0.25">
      <c r="A233" s="77"/>
      <c r="B233" s="77"/>
      <c r="C233" s="77"/>
      <c r="D233" s="77"/>
      <c r="E233" s="90"/>
      <c r="F233" s="90"/>
      <c r="G233" s="90"/>
      <c r="H233" s="90"/>
      <c r="I233" s="87" t="str">
        <f t="shared" si="8"/>
        <v/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x14ac:dyDescent="0.25">
      <c r="A234" s="77"/>
      <c r="B234" s="77"/>
      <c r="C234" s="77"/>
      <c r="D234" s="77"/>
      <c r="E234" s="90"/>
      <c r="F234" s="90"/>
      <c r="G234" s="90"/>
      <c r="H234" s="90"/>
      <c r="I234" s="87" t="str">
        <f t="shared" si="8"/>
        <v/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x14ac:dyDescent="0.25">
      <c r="A235" s="77"/>
      <c r="B235" s="77"/>
      <c r="C235" s="77"/>
      <c r="D235" s="77"/>
      <c r="E235" s="90"/>
      <c r="F235" s="90"/>
      <c r="G235" s="90"/>
      <c r="H235" s="90"/>
      <c r="I235" s="87" t="str">
        <f t="shared" si="8"/>
        <v/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x14ac:dyDescent="0.25">
      <c r="A236" s="77"/>
      <c r="B236" s="77"/>
      <c r="C236" s="77"/>
      <c r="D236" s="77"/>
      <c r="E236" s="90"/>
      <c r="F236" s="90"/>
      <c r="G236" s="90"/>
      <c r="H236" s="90"/>
      <c r="I236" s="87" t="str">
        <f t="shared" si="8"/>
        <v/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x14ac:dyDescent="0.25">
      <c r="A237" s="77"/>
      <c r="B237" s="77"/>
      <c r="C237" s="77"/>
      <c r="D237" s="77"/>
      <c r="E237" s="90"/>
      <c r="F237" s="90"/>
      <c r="G237" s="90"/>
      <c r="H237" s="90"/>
      <c r="I237" s="87" t="str">
        <f t="shared" si="8"/>
        <v/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x14ac:dyDescent="0.25">
      <c r="A240" s="71" t="s">
        <v>173</v>
      </c>
      <c r="B240" s="76" t="str">
        <f>IF(B17="","",B17)</f>
        <v/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x14ac:dyDescent="0.25">
      <c r="A241" s="71"/>
      <c r="B241" s="120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x14ac:dyDescent="0.25">
      <c r="A242" s="121"/>
      <c r="B242" s="91" t="s">
        <v>185</v>
      </c>
      <c r="C242" s="244" t="s">
        <v>186</v>
      </c>
      <c r="D242" s="244"/>
      <c r="E242" s="245" t="s">
        <v>187</v>
      </c>
      <c r="F242" s="246"/>
      <c r="G242" s="246"/>
      <c r="H242" s="247"/>
      <c r="I242" s="119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45" x14ac:dyDescent="0.25">
      <c r="A243" s="91" t="s">
        <v>180</v>
      </c>
      <c r="B243" s="91" t="s">
        <v>307</v>
      </c>
      <c r="C243" s="73" t="s">
        <v>188</v>
      </c>
      <c r="D243" s="73" t="s">
        <v>257</v>
      </c>
      <c r="E243" s="91" t="s">
        <v>183</v>
      </c>
      <c r="F243" s="91" t="s">
        <v>181</v>
      </c>
      <c r="G243" s="91" t="s">
        <v>184</v>
      </c>
      <c r="H243" s="91" t="s">
        <v>182</v>
      </c>
      <c r="I243" s="73" t="s">
        <v>308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x14ac:dyDescent="0.25">
      <c r="A244" s="77"/>
      <c r="B244" s="77"/>
      <c r="C244" s="77"/>
      <c r="D244" s="77"/>
      <c r="E244" s="89"/>
      <c r="F244" s="89"/>
      <c r="G244" s="89"/>
      <c r="H244" s="89"/>
      <c r="I244" s="87" t="str">
        <f>IFERROR(B244/A244,"")</f>
        <v/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x14ac:dyDescent="0.25">
      <c r="A245" s="77"/>
      <c r="B245" s="77"/>
      <c r="C245" s="77"/>
      <c r="D245" s="77"/>
      <c r="E245" s="89"/>
      <c r="F245" s="89"/>
      <c r="G245" s="89"/>
      <c r="H245" s="89"/>
      <c r="I245" s="87" t="str">
        <f t="shared" ref="I245:I263" si="9">IF(A245&lt;&gt;0,(B245-(B244-D244))/(A245-A244),"")</f>
        <v/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x14ac:dyDescent="0.25">
      <c r="A246" s="77"/>
      <c r="B246" s="77"/>
      <c r="C246" s="77"/>
      <c r="D246" s="77"/>
      <c r="E246" s="89"/>
      <c r="F246" s="89"/>
      <c r="G246" s="89"/>
      <c r="H246" s="89"/>
      <c r="I246" s="87" t="str">
        <f t="shared" si="9"/>
        <v/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x14ac:dyDescent="0.25">
      <c r="A247" s="77"/>
      <c r="B247" s="77"/>
      <c r="C247" s="77"/>
      <c r="D247" s="77"/>
      <c r="E247" s="89"/>
      <c r="F247" s="89"/>
      <c r="G247" s="89"/>
      <c r="H247" s="89"/>
      <c r="I247" s="87" t="str">
        <f t="shared" si="9"/>
        <v/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x14ac:dyDescent="0.25">
      <c r="A248" s="77"/>
      <c r="B248" s="77"/>
      <c r="C248" s="77"/>
      <c r="D248" s="77"/>
      <c r="E248" s="89"/>
      <c r="F248" s="89"/>
      <c r="G248" s="89"/>
      <c r="H248" s="89"/>
      <c r="I248" s="87" t="str">
        <f t="shared" si="9"/>
        <v/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x14ac:dyDescent="0.25">
      <c r="A249" s="77"/>
      <c r="B249" s="77"/>
      <c r="C249" s="77"/>
      <c r="D249" s="77"/>
      <c r="E249" s="89"/>
      <c r="F249" s="89"/>
      <c r="G249" s="89"/>
      <c r="H249" s="89"/>
      <c r="I249" s="87" t="str">
        <f t="shared" si="9"/>
        <v/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x14ac:dyDescent="0.25">
      <c r="A250" s="77"/>
      <c r="B250" s="77"/>
      <c r="C250" s="77"/>
      <c r="D250" s="77"/>
      <c r="E250" s="89"/>
      <c r="F250" s="89"/>
      <c r="G250" s="89"/>
      <c r="H250" s="89"/>
      <c r="I250" s="87" t="str">
        <f t="shared" si="9"/>
        <v/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x14ac:dyDescent="0.25">
      <c r="A251" s="77"/>
      <c r="B251" s="77"/>
      <c r="C251" s="77"/>
      <c r="D251" s="77"/>
      <c r="E251" s="89"/>
      <c r="F251" s="89"/>
      <c r="G251" s="89"/>
      <c r="H251" s="89"/>
      <c r="I251" s="87" t="str">
        <f t="shared" si="9"/>
        <v/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x14ac:dyDescent="0.25">
      <c r="A252" s="77"/>
      <c r="B252" s="77"/>
      <c r="C252" s="77"/>
      <c r="D252" s="77"/>
      <c r="E252" s="89"/>
      <c r="F252" s="89"/>
      <c r="G252" s="89"/>
      <c r="H252" s="89"/>
      <c r="I252" s="87" t="str">
        <f t="shared" si="9"/>
        <v/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x14ac:dyDescent="0.25">
      <c r="A253" s="77"/>
      <c r="B253" s="77"/>
      <c r="C253" s="77"/>
      <c r="D253" s="77"/>
      <c r="E253" s="89"/>
      <c r="F253" s="89"/>
      <c r="G253" s="89"/>
      <c r="H253" s="89"/>
      <c r="I253" s="87" t="str">
        <f t="shared" si="9"/>
        <v/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x14ac:dyDescent="0.25">
      <c r="A254" s="77"/>
      <c r="B254" s="77"/>
      <c r="C254" s="77"/>
      <c r="D254" s="77"/>
      <c r="E254" s="89"/>
      <c r="F254" s="89"/>
      <c r="G254" s="89"/>
      <c r="H254" s="89"/>
      <c r="I254" s="87" t="str">
        <f t="shared" si="9"/>
        <v/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x14ac:dyDescent="0.25">
      <c r="A255" s="77"/>
      <c r="B255" s="77"/>
      <c r="C255" s="77"/>
      <c r="D255" s="77"/>
      <c r="E255" s="89"/>
      <c r="F255" s="89"/>
      <c r="G255" s="89"/>
      <c r="H255" s="89"/>
      <c r="I255" s="87" t="str">
        <f t="shared" si="9"/>
        <v/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x14ac:dyDescent="0.25">
      <c r="A256" s="77"/>
      <c r="B256" s="77"/>
      <c r="C256" s="77"/>
      <c r="D256" s="77"/>
      <c r="E256" s="90"/>
      <c r="F256" s="90"/>
      <c r="G256" s="90"/>
      <c r="H256" s="90"/>
      <c r="I256" s="87" t="str">
        <f t="shared" si="9"/>
        <v/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x14ac:dyDescent="0.25">
      <c r="A257" s="77"/>
      <c r="B257" s="77"/>
      <c r="C257" s="77"/>
      <c r="D257" s="77"/>
      <c r="E257" s="90"/>
      <c r="F257" s="90"/>
      <c r="G257" s="90"/>
      <c r="H257" s="90"/>
      <c r="I257" s="87" t="str">
        <f t="shared" si="9"/>
        <v/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x14ac:dyDescent="0.25">
      <c r="A258" s="77"/>
      <c r="B258" s="77"/>
      <c r="C258" s="77"/>
      <c r="D258" s="77"/>
      <c r="E258" s="90"/>
      <c r="F258" s="90"/>
      <c r="G258" s="90"/>
      <c r="H258" s="90"/>
      <c r="I258" s="87" t="str">
        <f t="shared" si="9"/>
        <v/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x14ac:dyDescent="0.25">
      <c r="A259" s="77"/>
      <c r="B259" s="77"/>
      <c r="C259" s="77"/>
      <c r="D259" s="77"/>
      <c r="E259" s="90"/>
      <c r="F259" s="90"/>
      <c r="G259" s="90"/>
      <c r="H259" s="90"/>
      <c r="I259" s="87" t="str">
        <f t="shared" si="9"/>
        <v/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x14ac:dyDescent="0.25">
      <c r="A260" s="77"/>
      <c r="B260" s="77"/>
      <c r="C260" s="77"/>
      <c r="D260" s="77"/>
      <c r="E260" s="90"/>
      <c r="F260" s="90"/>
      <c r="G260" s="90"/>
      <c r="H260" s="90"/>
      <c r="I260" s="87" t="str">
        <f t="shared" si="9"/>
        <v/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x14ac:dyDescent="0.25">
      <c r="A261" s="77"/>
      <c r="B261" s="77"/>
      <c r="C261" s="77"/>
      <c r="D261" s="77"/>
      <c r="E261" s="90"/>
      <c r="F261" s="90"/>
      <c r="G261" s="90"/>
      <c r="H261" s="90"/>
      <c r="I261" s="87" t="str">
        <f t="shared" si="9"/>
        <v/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x14ac:dyDescent="0.25">
      <c r="A262" s="77"/>
      <c r="B262" s="77"/>
      <c r="C262" s="77"/>
      <c r="D262" s="77"/>
      <c r="E262" s="90"/>
      <c r="F262" s="90"/>
      <c r="G262" s="90"/>
      <c r="H262" s="90"/>
      <c r="I262" s="87" t="str">
        <f t="shared" si="9"/>
        <v/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x14ac:dyDescent="0.25">
      <c r="A263" s="77"/>
      <c r="B263" s="77"/>
      <c r="C263" s="77"/>
      <c r="D263" s="77"/>
      <c r="E263" s="90"/>
      <c r="F263" s="90"/>
      <c r="G263" s="90"/>
      <c r="H263" s="90"/>
      <c r="I263" s="87" t="str">
        <f t="shared" si="9"/>
        <v/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x14ac:dyDescent="0.25">
      <c r="A266" s="71" t="s">
        <v>174</v>
      </c>
      <c r="B266" s="76" t="str">
        <f>IF(B18="","",B18)</f>
        <v/>
      </c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x14ac:dyDescent="0.25">
      <c r="A267" s="71"/>
      <c r="B267" s="120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x14ac:dyDescent="0.25">
      <c r="A268" s="121"/>
      <c r="B268" s="91" t="s">
        <v>185</v>
      </c>
      <c r="C268" s="244" t="s">
        <v>186</v>
      </c>
      <c r="D268" s="244"/>
      <c r="E268" s="245" t="s">
        <v>187</v>
      </c>
      <c r="F268" s="246"/>
      <c r="G268" s="246"/>
      <c r="H268" s="247"/>
      <c r="I268" s="119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45" x14ac:dyDescent="0.25">
      <c r="A269" s="91" t="s">
        <v>180</v>
      </c>
      <c r="B269" s="91" t="s">
        <v>307</v>
      </c>
      <c r="C269" s="73" t="s">
        <v>188</v>
      </c>
      <c r="D269" s="73" t="s">
        <v>257</v>
      </c>
      <c r="E269" s="91" t="s">
        <v>183</v>
      </c>
      <c r="F269" s="91" t="s">
        <v>181</v>
      </c>
      <c r="G269" s="91" t="s">
        <v>184</v>
      </c>
      <c r="H269" s="91" t="s">
        <v>182</v>
      </c>
      <c r="I269" s="73" t="s">
        <v>308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x14ac:dyDescent="0.25">
      <c r="A270" s="77"/>
      <c r="B270" s="77"/>
      <c r="C270" s="77"/>
      <c r="D270" s="77"/>
      <c r="E270" s="89"/>
      <c r="F270" s="89"/>
      <c r="G270" s="89"/>
      <c r="H270" s="89"/>
      <c r="I270" s="87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x14ac:dyDescent="0.25">
      <c r="A271" s="77"/>
      <c r="B271" s="77"/>
      <c r="C271" s="77"/>
      <c r="D271" s="77"/>
      <c r="E271" s="89"/>
      <c r="F271" s="89"/>
      <c r="G271" s="89"/>
      <c r="H271" s="89"/>
      <c r="I271" s="87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x14ac:dyDescent="0.25">
      <c r="A272" s="77"/>
      <c r="B272" s="77"/>
      <c r="C272" s="77"/>
      <c r="D272" s="77"/>
      <c r="E272" s="89"/>
      <c r="F272" s="89"/>
      <c r="G272" s="89"/>
      <c r="H272" s="89"/>
      <c r="I272" s="87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x14ac:dyDescent="0.25">
      <c r="A273" s="77"/>
      <c r="B273" s="77"/>
      <c r="C273" s="77"/>
      <c r="D273" s="77"/>
      <c r="E273" s="89"/>
      <c r="F273" s="89"/>
      <c r="G273" s="89"/>
      <c r="H273" s="89"/>
      <c r="I273" s="87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x14ac:dyDescent="0.25">
      <c r="A274" s="77"/>
      <c r="B274" s="77"/>
      <c r="C274" s="77"/>
      <c r="D274" s="77"/>
      <c r="E274" s="89"/>
      <c r="F274" s="89"/>
      <c r="G274" s="89"/>
      <c r="H274" s="89"/>
      <c r="I274" s="87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x14ac:dyDescent="0.25">
      <c r="A275" s="77"/>
      <c r="B275" s="77"/>
      <c r="C275" s="77"/>
      <c r="D275" s="77"/>
      <c r="E275" s="89"/>
      <c r="F275" s="89"/>
      <c r="G275" s="89"/>
      <c r="H275" s="89"/>
      <c r="I275" s="87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x14ac:dyDescent="0.25">
      <c r="A276" s="77"/>
      <c r="B276" s="77"/>
      <c r="C276" s="77"/>
      <c r="D276" s="77"/>
      <c r="E276" s="89"/>
      <c r="F276" s="89"/>
      <c r="G276" s="89"/>
      <c r="H276" s="89"/>
      <c r="I276" s="87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x14ac:dyDescent="0.25">
      <c r="A277" s="77"/>
      <c r="B277" s="77"/>
      <c r="C277" s="77"/>
      <c r="D277" s="77"/>
      <c r="E277" s="89"/>
      <c r="F277" s="89"/>
      <c r="G277" s="89"/>
      <c r="H277" s="89"/>
      <c r="I277" s="87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x14ac:dyDescent="0.25">
      <c r="A278" s="77"/>
      <c r="B278" s="77"/>
      <c r="C278" s="77"/>
      <c r="D278" s="77"/>
      <c r="E278" s="89"/>
      <c r="F278" s="89"/>
      <c r="G278" s="89"/>
      <c r="H278" s="89"/>
      <c r="I278" s="8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x14ac:dyDescent="0.25">
      <c r="A279" s="77"/>
      <c r="B279" s="77"/>
      <c r="C279" s="77"/>
      <c r="D279" s="77"/>
      <c r="E279" s="89"/>
      <c r="F279" s="89"/>
      <c r="G279" s="89"/>
      <c r="H279" s="89"/>
      <c r="I279" s="8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x14ac:dyDescent="0.25">
      <c r="A280" s="77"/>
      <c r="B280" s="77"/>
      <c r="C280" s="77"/>
      <c r="D280" s="77"/>
      <c r="E280" s="89"/>
      <c r="F280" s="89"/>
      <c r="G280" s="89"/>
      <c r="H280" s="89"/>
      <c r="I280" s="87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x14ac:dyDescent="0.25">
      <c r="A281" s="77"/>
      <c r="B281" s="77"/>
      <c r="C281" s="77"/>
      <c r="D281" s="77"/>
      <c r="E281" s="89"/>
      <c r="F281" s="89"/>
      <c r="G281" s="89"/>
      <c r="H281" s="89"/>
      <c r="I281" s="87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x14ac:dyDescent="0.25">
      <c r="A282" s="77"/>
      <c r="B282" s="77"/>
      <c r="C282" s="77"/>
      <c r="D282" s="77"/>
      <c r="E282" s="89"/>
      <c r="F282" s="89"/>
      <c r="G282" s="89"/>
      <c r="H282" s="89"/>
      <c r="I282" s="87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x14ac:dyDescent="0.25">
      <c r="A283" s="77"/>
      <c r="B283" s="77"/>
      <c r="C283" s="77"/>
      <c r="D283" s="77"/>
      <c r="E283" s="89"/>
      <c r="F283" s="89"/>
      <c r="G283" s="89"/>
      <c r="H283" s="89"/>
      <c r="I283" s="87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x14ac:dyDescent="0.25">
      <c r="A284" s="77"/>
      <c r="B284" s="77"/>
      <c r="C284" s="77"/>
      <c r="D284" s="77"/>
      <c r="E284" s="89"/>
      <c r="F284" s="89"/>
      <c r="G284" s="89"/>
      <c r="H284" s="89"/>
      <c r="I284" s="87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x14ac:dyDescent="0.25">
      <c r="A285" s="77"/>
      <c r="B285" s="77"/>
      <c r="C285" s="77"/>
      <c r="D285" s="77"/>
      <c r="E285" s="89"/>
      <c r="F285" s="89"/>
      <c r="G285" s="89"/>
      <c r="H285" s="89"/>
      <c r="I285" s="87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x14ac:dyDescent="0.25">
      <c r="A286" s="77"/>
      <c r="B286" s="77"/>
      <c r="C286" s="77"/>
      <c r="D286" s="77"/>
      <c r="E286" s="89"/>
      <c r="F286" s="89"/>
      <c r="G286" s="89"/>
      <c r="H286" s="89"/>
      <c r="I286" s="87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x14ac:dyDescent="0.25">
      <c r="A287" s="77"/>
      <c r="B287" s="77"/>
      <c r="C287" s="77"/>
      <c r="D287" s="77"/>
      <c r="E287" s="89"/>
      <c r="F287" s="89"/>
      <c r="G287" s="89"/>
      <c r="H287" s="89"/>
      <c r="I287" s="87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x14ac:dyDescent="0.25">
      <c r="A288" s="77"/>
      <c r="B288" s="77"/>
      <c r="C288" s="77"/>
      <c r="D288" s="77"/>
      <c r="E288" s="89"/>
      <c r="F288" s="89"/>
      <c r="G288" s="89"/>
      <c r="H288" s="89"/>
      <c r="I288" s="87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x14ac:dyDescent="0.25">
      <c r="A289" s="77"/>
      <c r="B289" s="77"/>
      <c r="C289" s="77"/>
      <c r="D289" s="77"/>
      <c r="E289" s="89"/>
      <c r="F289" s="89"/>
      <c r="G289" s="89"/>
      <c r="H289" s="89"/>
      <c r="I289" s="87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</sheetData>
  <sheetProtection algorithmName="SHA-512" hashValue="gFzbGGoj2+sCOkvcZk28/goTpmb2gYGBUv+Zr+ajjNDYIWFB1YVZ3r7mFg1on0VDmZc1TbAiE5o7PIhGMlomhA==" saltValue="rZ12B/C7hyqTGaKyZQ7Y2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I90"/>
  <sheetViews>
    <sheetView zoomScaleNormal="100" workbookViewId="0">
      <selection activeCell="G14" sqref="G14"/>
    </sheetView>
  </sheetViews>
  <sheetFormatPr baseColWidth="10" defaultRowHeight="15" x14ac:dyDescent="0.25"/>
  <cols>
    <col min="1" max="1" width="3.5703125" style="1" customWidth="1"/>
    <col min="2" max="2" width="10" style="1" customWidth="1"/>
    <col min="3" max="3" width="62.140625" style="1" customWidth="1"/>
    <col min="4" max="4" width="4.28515625" style="1" customWidth="1"/>
    <col min="5" max="5" width="3.5703125" style="1" customWidth="1"/>
    <col min="6" max="6" width="9.5703125" style="1" customWidth="1"/>
    <col min="7" max="7" width="73.28515625" style="1" bestFit="1" customWidth="1"/>
    <col min="8" max="16384" width="11.42578125" style="1"/>
  </cols>
  <sheetData>
    <row r="1" spans="1:35" ht="15.75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23" t="s">
        <v>279</v>
      </c>
      <c r="N1" s="123">
        <v>4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27" thickBot="1" x14ac:dyDescent="0.45">
      <c r="A2" s="15"/>
      <c r="B2" s="264" t="s">
        <v>190</v>
      </c>
      <c r="C2" s="265"/>
      <c r="D2" s="265"/>
      <c r="E2" s="265"/>
      <c r="F2" s="265"/>
      <c r="G2" s="266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25">
      <c r="A4" s="262" t="s">
        <v>278</v>
      </c>
      <c r="B4" s="262"/>
      <c r="C4" s="262"/>
      <c r="D4" s="262"/>
      <c r="E4" s="262"/>
      <c r="F4" s="262"/>
      <c r="G4" s="262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7" customFormat="1" ht="19.5" customHeight="1" x14ac:dyDescent="0.25">
      <c r="A6" s="263" t="s">
        <v>214</v>
      </c>
      <c r="B6" s="263"/>
      <c r="C6" s="263"/>
      <c r="D6" s="124"/>
      <c r="E6" s="263" t="s">
        <v>215</v>
      </c>
      <c r="F6" s="263"/>
      <c r="G6" s="263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ht="17.25" customHeight="1" x14ac:dyDescent="0.25">
      <c r="A7" s="3"/>
      <c r="B7" s="8"/>
      <c r="C7" s="131" t="s">
        <v>177</v>
      </c>
      <c r="D7" s="15"/>
      <c r="E7" s="3"/>
      <c r="F7" s="9"/>
      <c r="G7" s="128" t="s">
        <v>212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7.25" customHeight="1" x14ac:dyDescent="0.25">
      <c r="A8" s="3"/>
      <c r="B8" s="11"/>
      <c r="C8" s="132" t="s">
        <v>216</v>
      </c>
      <c r="D8" s="15"/>
      <c r="E8" s="3"/>
      <c r="F8" s="12"/>
      <c r="G8" s="134" t="s">
        <v>213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17.25" customHeight="1" x14ac:dyDescent="0.25">
      <c r="A9" s="3"/>
      <c r="B9" s="13"/>
      <c r="C9" s="133" t="s">
        <v>217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7" customFormat="1" ht="21" customHeight="1" x14ac:dyDescent="0.25">
      <c r="A12" s="125"/>
      <c r="B12" s="126"/>
      <c r="C12" s="127" t="s">
        <v>285</v>
      </c>
      <c r="D12" s="125"/>
      <c r="E12" s="125"/>
      <c r="F12" s="126"/>
      <c r="G12" s="127" t="s">
        <v>286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7" customFormat="1" ht="22.5" customHeight="1" x14ac:dyDescent="0.25">
      <c r="A13" s="125"/>
      <c r="B13" s="125"/>
      <c r="C13" s="130" t="s">
        <v>281</v>
      </c>
      <c r="D13" s="125"/>
      <c r="E13" s="125"/>
      <c r="F13" s="125"/>
      <c r="G13" s="129" t="s">
        <v>280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</row>
    <row r="14" spans="1:35" x14ac:dyDescent="0.25">
      <c r="A14" s="15"/>
      <c r="B14" s="15"/>
      <c r="C14" s="10" t="s">
        <v>209</v>
      </c>
      <c r="D14" s="15"/>
      <c r="E14" s="15"/>
      <c r="F14" s="15"/>
      <c r="G14" s="128" t="s">
        <v>148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x14ac:dyDescent="0.25">
      <c r="A23" s="15"/>
      <c r="B23" s="102"/>
      <c r="C23" s="10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x14ac:dyDescent="0.25">
      <c r="A24" s="15"/>
      <c r="B24" s="15"/>
      <c r="C24" s="15"/>
      <c r="D24" s="10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x14ac:dyDescent="0.25">
      <c r="A28" s="102"/>
      <c r="B28" s="15"/>
      <c r="C28" s="15"/>
      <c r="D28" s="15"/>
      <c r="E28" s="102"/>
      <c r="F28" s="10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35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35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35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35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35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35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1:35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35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35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35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</sheetData>
  <mergeCells count="4">
    <mergeCell ref="A4:G4"/>
    <mergeCell ref="E6:G6"/>
    <mergeCell ref="A6:C6"/>
    <mergeCell ref="B2:G2"/>
  </mergeCells>
  <conditionalFormatting sqref="G13:G14">
    <cfRule type="expression" dxfId="1" priority="4">
      <formula>OR(ISBLANK($N$1)=TRUE,$N$1=1)</formula>
    </cfRule>
  </conditionalFormatting>
  <conditionalFormatting sqref="C13:C14">
    <cfRule type="expression" dxfId="0" priority="1">
      <formula>$N$1&lt;&gt;1</formula>
    </cfRule>
  </conditionalFormatting>
  <dataValidations count="2">
    <dataValidation type="whole" operator="equal" allowBlank="1" showInputMessage="1" showErrorMessage="1" sqref="E14:E16 A7:A9 E7:E8">
      <formula1>1</formula1>
    </dataValidation>
    <dataValidation type="list" allowBlank="1" showInputMessage="1" showErrorMessage="1" sqref="G14">
      <formula1>Essences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5" r:id="rId4" name="Option Button 17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6</xdr:row>
                    <xdr:rowOff>0</xdr:rowOff>
                  </from>
                  <to>
                    <xdr:col>1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Option Button 18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7</xdr:row>
                    <xdr:rowOff>0</xdr:rowOff>
                  </from>
                  <to>
                    <xdr:col>1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6" name="Option Button 19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8</xdr:row>
                    <xdr:rowOff>0</xdr:rowOff>
                  </from>
                  <to>
                    <xdr:col>1</xdr:col>
                    <xdr:colOff>571500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7" name="Option Button 21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8" name="Option Button 22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7</xdr:row>
                    <xdr:rowOff>0</xdr:rowOff>
                  </from>
                  <to>
                    <xdr:col>5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Paramètres!$A$92:$A$94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I153"/>
  <sheetViews>
    <sheetView workbookViewId="0">
      <selection activeCell="I7" sqref="I7"/>
    </sheetView>
  </sheetViews>
  <sheetFormatPr baseColWidth="10" defaultRowHeight="15" x14ac:dyDescent="0.25"/>
  <cols>
    <col min="1" max="1" width="6.85546875" style="15" bestFit="1" customWidth="1"/>
    <col min="2" max="4" width="11.42578125" style="15"/>
    <col min="5" max="5" width="9.7109375" style="15" bestFit="1" customWidth="1"/>
    <col min="6" max="6" width="10.5703125" style="15" bestFit="1" customWidth="1"/>
    <col min="7" max="7" width="14" style="15" bestFit="1" customWidth="1"/>
    <col min="8" max="8" width="14" style="15" customWidth="1"/>
    <col min="9" max="15" width="11.42578125" style="15"/>
    <col min="16" max="16" width="11.7109375" style="15" bestFit="1" customWidth="1"/>
    <col min="17" max="17" width="14.5703125" style="15" bestFit="1" customWidth="1"/>
    <col min="18" max="18" width="12.42578125" style="15" bestFit="1" customWidth="1"/>
    <col min="19" max="19" width="9.7109375" style="15" bestFit="1" customWidth="1"/>
    <col min="20" max="20" width="11" style="15" bestFit="1" customWidth="1"/>
    <col min="21" max="21" width="9.42578125" style="15" bestFit="1" customWidth="1"/>
    <col min="22" max="22" width="11.42578125" style="15"/>
    <col min="23" max="24" width="14" style="15" bestFit="1" customWidth="1"/>
    <col min="25" max="25" width="10.5703125" style="15" bestFit="1" customWidth="1"/>
    <col min="26" max="26" width="9.42578125" style="15" bestFit="1" customWidth="1"/>
    <col min="27" max="28" width="10.5703125" style="15" bestFit="1" customWidth="1"/>
    <col min="29" max="29" width="9" style="15" bestFit="1" customWidth="1"/>
    <col min="30" max="30" width="10.5703125" style="15" bestFit="1" customWidth="1"/>
    <col min="31" max="31" width="9.28515625" style="15" bestFit="1" customWidth="1"/>
    <col min="32" max="32" width="11.7109375" style="15" bestFit="1" customWidth="1"/>
    <col min="33" max="33" width="8.42578125" style="15" bestFit="1" customWidth="1"/>
    <col min="34" max="34" width="9.42578125" style="15" bestFit="1" customWidth="1"/>
    <col min="35" max="35" width="9.7109375" style="15" bestFit="1" customWidth="1"/>
    <col min="36" max="36" width="11" style="15" bestFit="1" customWidth="1"/>
    <col min="37" max="37" width="9.42578125" style="15" bestFit="1" customWidth="1"/>
    <col min="38" max="38" width="10.5703125" style="15" bestFit="1" customWidth="1"/>
    <col min="39" max="39" width="14.28515625" style="15" customWidth="1"/>
    <col min="40" max="40" width="14" style="15" customWidth="1"/>
    <col min="41" max="41" width="10.5703125" style="15" bestFit="1" customWidth="1"/>
    <col min="42" max="42" width="9.42578125" style="15" bestFit="1" customWidth="1"/>
    <col min="43" max="44" width="10.5703125" style="15" bestFit="1" customWidth="1"/>
    <col min="45" max="45" width="9" style="15" bestFit="1" customWidth="1"/>
    <col min="46" max="46" width="10.5703125" style="15" bestFit="1" customWidth="1"/>
    <col min="47" max="47" width="9.28515625" style="15" bestFit="1" customWidth="1"/>
    <col min="48" max="48" width="11.7109375" style="15" bestFit="1" customWidth="1"/>
    <col min="49" max="49" width="8.42578125" style="15" bestFit="1" customWidth="1"/>
    <col min="50" max="50" width="9.42578125" style="15" bestFit="1" customWidth="1"/>
    <col min="51" max="51" width="9.7109375" style="15" bestFit="1" customWidth="1"/>
    <col min="52" max="52" width="11" style="15" bestFit="1" customWidth="1"/>
    <col min="53" max="53" width="9.42578125" style="15" bestFit="1" customWidth="1"/>
    <col min="54" max="54" width="10.5703125" style="15" bestFit="1" customWidth="1"/>
    <col min="55" max="55" width="14" style="15" bestFit="1" customWidth="1"/>
    <col min="56" max="56" width="13.85546875" style="15" customWidth="1"/>
    <col min="57" max="57" width="10.5703125" style="15" bestFit="1" customWidth="1"/>
    <col min="58" max="58" width="9.42578125" style="15" bestFit="1" customWidth="1"/>
    <col min="59" max="60" width="10.5703125" style="15" bestFit="1" customWidth="1"/>
    <col min="61" max="61" width="11.42578125" style="15"/>
    <col min="62" max="62" width="10.5703125" style="15" bestFit="1" customWidth="1"/>
    <col min="63" max="63" width="9.28515625" style="15" bestFit="1" customWidth="1"/>
    <col min="64" max="64" width="11.7109375" style="15" bestFit="1" customWidth="1"/>
    <col min="65" max="65" width="8.42578125" style="15" bestFit="1" customWidth="1"/>
    <col min="66" max="66" width="9.42578125" style="15" bestFit="1" customWidth="1"/>
    <col min="67" max="67" width="9.7109375" style="15" bestFit="1" customWidth="1"/>
    <col min="68" max="68" width="11" style="15" bestFit="1" customWidth="1"/>
    <col min="69" max="69" width="9.42578125" style="15" bestFit="1" customWidth="1"/>
    <col min="70" max="70" width="11.42578125" style="15"/>
    <col min="71" max="72" width="14" style="15" customWidth="1"/>
    <col min="73" max="73" width="10.5703125" style="15" bestFit="1" customWidth="1"/>
    <col min="74" max="74" width="9.42578125" style="15" bestFit="1" customWidth="1"/>
    <col min="75" max="76" width="10.5703125" style="15" bestFit="1" customWidth="1"/>
    <col min="77" max="77" width="9" style="15" bestFit="1" customWidth="1"/>
    <col min="78" max="78" width="10.5703125" style="15" bestFit="1" customWidth="1"/>
    <col min="79" max="79" width="9.28515625" style="15" bestFit="1" customWidth="1"/>
    <col min="80" max="80" width="11.7109375" style="15" bestFit="1" customWidth="1"/>
    <col min="81" max="81" width="8.42578125" style="15" bestFit="1" customWidth="1"/>
    <col min="82" max="82" width="9.42578125" style="15" bestFit="1" customWidth="1"/>
    <col min="83" max="83" width="9.7109375" style="15" bestFit="1" customWidth="1"/>
    <col min="84" max="84" width="11" style="15" bestFit="1" customWidth="1"/>
    <col min="85" max="85" width="9.42578125" style="15" bestFit="1" customWidth="1"/>
    <col min="86" max="86" width="10.5703125" style="15" bestFit="1" customWidth="1"/>
    <col min="87" max="87" width="14.28515625" style="15" customWidth="1"/>
    <col min="88" max="88" width="14" style="15" bestFit="1" customWidth="1"/>
    <col min="89" max="89" width="10.5703125" style="15" bestFit="1" customWidth="1"/>
    <col min="90" max="90" width="9.42578125" style="15" bestFit="1" customWidth="1"/>
    <col min="91" max="92" width="10.5703125" style="15" bestFit="1" customWidth="1"/>
    <col min="93" max="93" width="9" style="15" bestFit="1" customWidth="1"/>
    <col min="94" max="94" width="10.5703125" style="15" bestFit="1" customWidth="1"/>
    <col min="95" max="95" width="9.28515625" style="15" bestFit="1" customWidth="1"/>
    <col min="96" max="96" width="11.7109375" style="15" bestFit="1" customWidth="1"/>
    <col min="97" max="97" width="8.42578125" style="15" bestFit="1" customWidth="1"/>
    <col min="98" max="98" width="9.42578125" style="15" bestFit="1" customWidth="1"/>
    <col min="99" max="99" width="9.7109375" style="15" bestFit="1" customWidth="1"/>
    <col min="100" max="100" width="11" style="15" bestFit="1" customWidth="1"/>
    <col min="101" max="101" width="9.42578125" style="15" bestFit="1" customWidth="1"/>
    <col min="102" max="102" width="10.5703125" style="15" bestFit="1" customWidth="1"/>
    <col min="103" max="104" width="14" style="15" customWidth="1"/>
    <col min="105" max="105" width="10.5703125" style="15" bestFit="1" customWidth="1"/>
    <col min="106" max="106" width="9.42578125" style="15" bestFit="1" customWidth="1"/>
    <col min="107" max="108" width="10.5703125" style="15" bestFit="1" customWidth="1"/>
    <col min="109" max="109" width="9" style="15" bestFit="1" customWidth="1"/>
    <col min="110" max="110" width="10.5703125" style="15" bestFit="1" customWidth="1"/>
    <col min="111" max="111" width="9.28515625" style="15" bestFit="1" customWidth="1"/>
    <col min="112" max="112" width="11.7109375" style="15" bestFit="1" customWidth="1"/>
    <col min="113" max="113" width="8.42578125" style="15" bestFit="1" customWidth="1"/>
    <col min="114" max="114" width="9.42578125" style="15" bestFit="1" customWidth="1"/>
    <col min="115" max="115" width="9.7109375" style="15" bestFit="1" customWidth="1"/>
    <col min="116" max="116" width="11" style="15" bestFit="1" customWidth="1"/>
    <col min="117" max="117" width="9.42578125" style="15" bestFit="1" customWidth="1"/>
    <col min="118" max="118" width="11.42578125" style="15"/>
    <col min="119" max="120" width="14" style="15" bestFit="1" customWidth="1"/>
    <col min="121" max="121" width="10.5703125" style="15" bestFit="1" customWidth="1"/>
    <col min="122" max="122" width="9.42578125" style="15" bestFit="1" customWidth="1"/>
    <col min="123" max="124" width="10.5703125" style="15" bestFit="1" customWidth="1"/>
    <col min="125" max="125" width="9" style="15" bestFit="1" customWidth="1"/>
    <col min="126" max="126" width="10.5703125" style="15" bestFit="1" customWidth="1"/>
    <col min="127" max="127" width="9.28515625" style="15" bestFit="1" customWidth="1"/>
    <col min="128" max="128" width="11.7109375" style="15" bestFit="1" customWidth="1"/>
    <col min="129" max="129" width="8.140625" style="15" bestFit="1" customWidth="1"/>
    <col min="130" max="130" width="9.42578125" style="15" bestFit="1" customWidth="1"/>
    <col min="131" max="131" width="9.7109375" style="15" bestFit="1" customWidth="1"/>
    <col min="132" max="132" width="11" style="15" bestFit="1" customWidth="1"/>
    <col min="133" max="133" width="9.42578125" style="15" bestFit="1" customWidth="1"/>
    <col min="134" max="134" width="10.5703125" style="15" bestFit="1" customWidth="1"/>
    <col min="135" max="136" width="14" style="15" bestFit="1" customWidth="1"/>
    <col min="137" max="137" width="10.5703125" style="15" bestFit="1" customWidth="1"/>
    <col min="138" max="138" width="9.42578125" style="15" bestFit="1" customWidth="1"/>
    <col min="139" max="140" width="10.5703125" style="15" bestFit="1" customWidth="1"/>
    <col min="141" max="141" width="9" style="15" bestFit="1" customWidth="1"/>
    <col min="142" max="142" width="10.5703125" style="15" bestFit="1" customWidth="1"/>
    <col min="143" max="143" width="9.28515625" style="15" bestFit="1" customWidth="1"/>
    <col min="144" max="144" width="11.42578125" style="15"/>
    <col min="145" max="145" width="8.42578125" style="15" bestFit="1" customWidth="1"/>
    <col min="146" max="146" width="9.42578125" style="15" bestFit="1" customWidth="1"/>
    <col min="147" max="147" width="9.7109375" style="15" bestFit="1" customWidth="1"/>
    <col min="148" max="148" width="11" style="15" bestFit="1" customWidth="1"/>
    <col min="149" max="149" width="9.42578125" style="15" bestFit="1" customWidth="1"/>
    <col min="150" max="150" width="10.5703125" style="15" bestFit="1" customWidth="1"/>
    <col min="151" max="151" width="14" style="15" customWidth="1"/>
    <col min="152" max="152" width="14.28515625" style="15" customWidth="1"/>
    <col min="153" max="153" width="10.5703125" style="15" bestFit="1" customWidth="1"/>
    <col min="154" max="154" width="9.42578125" style="15" bestFit="1" customWidth="1"/>
    <col min="155" max="156" width="10.5703125" style="15" bestFit="1" customWidth="1"/>
    <col min="157" max="157" width="9" style="15" bestFit="1" customWidth="1"/>
    <col min="158" max="158" width="10.5703125" style="15" bestFit="1" customWidth="1"/>
    <col min="159" max="159" width="9.28515625" style="15" bestFit="1" customWidth="1"/>
    <col min="160" max="160" width="11.7109375" style="15" bestFit="1" customWidth="1"/>
    <col min="161" max="161" width="8.42578125" style="15" bestFit="1" customWidth="1"/>
    <col min="162" max="162" width="9.42578125" style="15" bestFit="1" customWidth="1"/>
    <col min="163" max="163" width="9.7109375" style="15" bestFit="1" customWidth="1"/>
    <col min="164" max="164" width="11" style="15" bestFit="1" customWidth="1"/>
    <col min="165" max="165" width="9.42578125" style="15" bestFit="1" customWidth="1"/>
    <col min="166" max="16384" width="11.42578125" style="15"/>
  </cols>
  <sheetData>
    <row r="1" spans="1:165" ht="27" thickBot="1" x14ac:dyDescent="0.45">
      <c r="B1" s="270" t="s">
        <v>176</v>
      </c>
      <c r="C1" s="270"/>
      <c r="D1" s="270"/>
      <c r="E1" s="271"/>
      <c r="F1" s="268" t="str">
        <f>IF('Données projet'!$B$9="","",'Données projet'!$B$9)</f>
        <v>Chêne pubescent</v>
      </c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7" t="str">
        <f>IF('Données projet'!$B$10="","",'Données projet'!$B$10)</f>
        <v/>
      </c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7" t="str">
        <f>IF('Données projet'!$B$11="","",'Données projet'!$B$11)</f>
        <v/>
      </c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9"/>
      <c r="BB1" s="267" t="str">
        <f>IF('Données projet'!$B$12="","",'Données projet'!$B$12)</f>
        <v/>
      </c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9"/>
      <c r="BR1" s="267" t="str">
        <f>IF('Données projet'!$B$13="","",'Données projet'!$B$13)</f>
        <v/>
      </c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9"/>
      <c r="CH1" s="267" t="str">
        <f>IF('Données projet'!$B$14="","",'Données projet'!$B$14)</f>
        <v/>
      </c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9"/>
      <c r="CX1" s="267" t="str">
        <f>IF('Données projet'!$B$15="","",'Données projet'!$B$15)</f>
        <v/>
      </c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9"/>
      <c r="DN1" s="267" t="str">
        <f>IF('Données projet'!$B$16="","",'Données projet'!$B$16)</f>
        <v/>
      </c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9"/>
      <c r="ED1" s="267" t="str">
        <f>IF('Données projet'!$B$17="","",'Données projet'!$B$17)</f>
        <v/>
      </c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9"/>
      <c r="ET1" s="267" t="str">
        <f>IF('Données projet'!$B$18="","",'Données projet'!$B$18)</f>
        <v/>
      </c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  <c r="FH1" s="268"/>
      <c r="FI1" s="269"/>
    </row>
    <row r="2" spans="1:165" ht="60.75" thickBot="1" x14ac:dyDescent="0.3">
      <c r="A2" s="16" t="s">
        <v>178</v>
      </c>
      <c r="B2" s="17" t="s">
        <v>194</v>
      </c>
      <c r="C2" s="17" t="s">
        <v>195</v>
      </c>
      <c r="D2" s="17" t="s">
        <v>299</v>
      </c>
      <c r="E2" s="18" t="s">
        <v>193</v>
      </c>
      <c r="F2" s="19" t="s">
        <v>192</v>
      </c>
      <c r="G2" s="19" t="s">
        <v>196</v>
      </c>
      <c r="H2" s="19" t="s">
        <v>196</v>
      </c>
      <c r="I2" s="19" t="s">
        <v>197</v>
      </c>
      <c r="J2" s="19" t="s">
        <v>199</v>
      </c>
      <c r="K2" s="19" t="s">
        <v>198</v>
      </c>
      <c r="L2" s="19" t="s">
        <v>200</v>
      </c>
      <c r="M2" s="20" t="s">
        <v>201</v>
      </c>
      <c r="N2" s="21" t="s">
        <v>202</v>
      </c>
      <c r="O2" s="20" t="s">
        <v>183</v>
      </c>
      <c r="P2" s="20" t="s">
        <v>181</v>
      </c>
      <c r="Q2" s="20" t="s">
        <v>203</v>
      </c>
      <c r="R2" s="21" t="s">
        <v>204</v>
      </c>
      <c r="S2" s="21" t="s">
        <v>205</v>
      </c>
      <c r="T2" s="21" t="s">
        <v>206</v>
      </c>
      <c r="U2" s="21" t="s">
        <v>207</v>
      </c>
      <c r="V2" s="22" t="s">
        <v>192</v>
      </c>
      <c r="W2" s="19" t="s">
        <v>196</v>
      </c>
      <c r="X2" s="19" t="s">
        <v>196</v>
      </c>
      <c r="Y2" s="19" t="s">
        <v>197</v>
      </c>
      <c r="Z2" s="19" t="s">
        <v>199</v>
      </c>
      <c r="AA2" s="19" t="s">
        <v>198</v>
      </c>
      <c r="AB2" s="19" t="s">
        <v>200</v>
      </c>
      <c r="AC2" s="20" t="s">
        <v>201</v>
      </c>
      <c r="AD2" s="21" t="s">
        <v>202</v>
      </c>
      <c r="AE2" s="20" t="s">
        <v>183</v>
      </c>
      <c r="AF2" s="20" t="s">
        <v>181</v>
      </c>
      <c r="AG2" s="21" t="s">
        <v>253</v>
      </c>
      <c r="AH2" s="21" t="s">
        <v>204</v>
      </c>
      <c r="AI2" s="21" t="s">
        <v>205</v>
      </c>
      <c r="AJ2" s="21" t="s">
        <v>206</v>
      </c>
      <c r="AK2" s="21" t="s">
        <v>207</v>
      </c>
      <c r="AL2" s="22" t="s">
        <v>192</v>
      </c>
      <c r="AM2" s="19" t="s">
        <v>196</v>
      </c>
      <c r="AN2" s="19" t="s">
        <v>196</v>
      </c>
      <c r="AO2" s="19" t="s">
        <v>197</v>
      </c>
      <c r="AP2" s="19" t="s">
        <v>199</v>
      </c>
      <c r="AQ2" s="19" t="s">
        <v>198</v>
      </c>
      <c r="AR2" s="19" t="s">
        <v>200</v>
      </c>
      <c r="AS2" s="20" t="s">
        <v>201</v>
      </c>
      <c r="AT2" s="21" t="s">
        <v>202</v>
      </c>
      <c r="AU2" s="20" t="s">
        <v>183</v>
      </c>
      <c r="AV2" s="20" t="s">
        <v>181</v>
      </c>
      <c r="AW2" s="21" t="s">
        <v>253</v>
      </c>
      <c r="AX2" s="21" t="s">
        <v>204</v>
      </c>
      <c r="AY2" s="21" t="s">
        <v>205</v>
      </c>
      <c r="AZ2" s="21" t="s">
        <v>206</v>
      </c>
      <c r="BA2" s="23" t="s">
        <v>207</v>
      </c>
      <c r="BB2" s="22" t="s">
        <v>192</v>
      </c>
      <c r="BC2" s="19" t="s">
        <v>196</v>
      </c>
      <c r="BD2" s="19" t="s">
        <v>196</v>
      </c>
      <c r="BE2" s="19" t="s">
        <v>197</v>
      </c>
      <c r="BF2" s="19" t="s">
        <v>199</v>
      </c>
      <c r="BG2" s="19" t="s">
        <v>198</v>
      </c>
      <c r="BH2" s="19" t="s">
        <v>200</v>
      </c>
      <c r="BI2" s="20" t="s">
        <v>201</v>
      </c>
      <c r="BJ2" s="21" t="s">
        <v>202</v>
      </c>
      <c r="BK2" s="20" t="s">
        <v>183</v>
      </c>
      <c r="BL2" s="20" t="s">
        <v>181</v>
      </c>
      <c r="BM2" s="21" t="s">
        <v>253</v>
      </c>
      <c r="BN2" s="21" t="s">
        <v>204</v>
      </c>
      <c r="BO2" s="21" t="s">
        <v>205</v>
      </c>
      <c r="BP2" s="21" t="s">
        <v>206</v>
      </c>
      <c r="BQ2" s="23" t="s">
        <v>207</v>
      </c>
      <c r="BR2" s="22" t="s">
        <v>192</v>
      </c>
      <c r="BS2" s="19" t="s">
        <v>196</v>
      </c>
      <c r="BT2" s="19" t="s">
        <v>196</v>
      </c>
      <c r="BU2" s="19" t="s">
        <v>197</v>
      </c>
      <c r="BV2" s="19" t="s">
        <v>199</v>
      </c>
      <c r="BW2" s="19" t="s">
        <v>198</v>
      </c>
      <c r="BX2" s="19" t="s">
        <v>200</v>
      </c>
      <c r="BY2" s="20" t="s">
        <v>201</v>
      </c>
      <c r="BZ2" s="21" t="s">
        <v>202</v>
      </c>
      <c r="CA2" s="20" t="s">
        <v>183</v>
      </c>
      <c r="CB2" s="20" t="s">
        <v>181</v>
      </c>
      <c r="CC2" s="21" t="s">
        <v>253</v>
      </c>
      <c r="CD2" s="21" t="s">
        <v>204</v>
      </c>
      <c r="CE2" s="21" t="s">
        <v>205</v>
      </c>
      <c r="CF2" s="21" t="s">
        <v>206</v>
      </c>
      <c r="CG2" s="23" t="s">
        <v>207</v>
      </c>
      <c r="CH2" s="22" t="s">
        <v>192</v>
      </c>
      <c r="CI2" s="19" t="s">
        <v>196</v>
      </c>
      <c r="CJ2" s="19" t="s">
        <v>196</v>
      </c>
      <c r="CK2" s="19" t="s">
        <v>197</v>
      </c>
      <c r="CL2" s="19" t="s">
        <v>199</v>
      </c>
      <c r="CM2" s="19" t="s">
        <v>198</v>
      </c>
      <c r="CN2" s="19" t="s">
        <v>200</v>
      </c>
      <c r="CO2" s="20" t="s">
        <v>201</v>
      </c>
      <c r="CP2" s="21" t="s">
        <v>202</v>
      </c>
      <c r="CQ2" s="20" t="s">
        <v>183</v>
      </c>
      <c r="CR2" s="20" t="s">
        <v>181</v>
      </c>
      <c r="CS2" s="21" t="s">
        <v>253</v>
      </c>
      <c r="CT2" s="21" t="s">
        <v>204</v>
      </c>
      <c r="CU2" s="21" t="s">
        <v>205</v>
      </c>
      <c r="CV2" s="21" t="s">
        <v>206</v>
      </c>
      <c r="CW2" s="23" t="s">
        <v>207</v>
      </c>
      <c r="CX2" s="22" t="s">
        <v>192</v>
      </c>
      <c r="CY2" s="19" t="s">
        <v>196</v>
      </c>
      <c r="CZ2" s="19" t="s">
        <v>196</v>
      </c>
      <c r="DA2" s="19" t="s">
        <v>197</v>
      </c>
      <c r="DB2" s="19" t="s">
        <v>199</v>
      </c>
      <c r="DC2" s="19" t="s">
        <v>198</v>
      </c>
      <c r="DD2" s="19" t="s">
        <v>200</v>
      </c>
      <c r="DE2" s="20" t="s">
        <v>201</v>
      </c>
      <c r="DF2" s="21" t="s">
        <v>202</v>
      </c>
      <c r="DG2" s="20" t="s">
        <v>183</v>
      </c>
      <c r="DH2" s="20" t="s">
        <v>181</v>
      </c>
      <c r="DI2" s="21" t="s">
        <v>253</v>
      </c>
      <c r="DJ2" s="21" t="s">
        <v>204</v>
      </c>
      <c r="DK2" s="21" t="s">
        <v>205</v>
      </c>
      <c r="DL2" s="21" t="s">
        <v>206</v>
      </c>
      <c r="DM2" s="23" t="s">
        <v>207</v>
      </c>
      <c r="DN2" s="22" t="s">
        <v>192</v>
      </c>
      <c r="DO2" s="19" t="s">
        <v>196</v>
      </c>
      <c r="DP2" s="19" t="s">
        <v>196</v>
      </c>
      <c r="DQ2" s="19" t="s">
        <v>197</v>
      </c>
      <c r="DR2" s="19" t="s">
        <v>199</v>
      </c>
      <c r="DS2" s="19" t="s">
        <v>198</v>
      </c>
      <c r="DT2" s="19" t="s">
        <v>200</v>
      </c>
      <c r="DU2" s="20" t="s">
        <v>201</v>
      </c>
      <c r="DV2" s="21" t="s">
        <v>202</v>
      </c>
      <c r="DW2" s="20" t="s">
        <v>183</v>
      </c>
      <c r="DX2" s="20" t="s">
        <v>181</v>
      </c>
      <c r="DY2" s="21" t="s">
        <v>254</v>
      </c>
      <c r="DZ2" s="21" t="s">
        <v>204</v>
      </c>
      <c r="EA2" s="21" t="s">
        <v>205</v>
      </c>
      <c r="EB2" s="21" t="s">
        <v>206</v>
      </c>
      <c r="EC2" s="23" t="s">
        <v>207</v>
      </c>
      <c r="ED2" s="22" t="s">
        <v>192</v>
      </c>
      <c r="EE2" s="19" t="s">
        <v>196</v>
      </c>
      <c r="EF2" s="19" t="s">
        <v>196</v>
      </c>
      <c r="EG2" s="19" t="s">
        <v>197</v>
      </c>
      <c r="EH2" s="19" t="s">
        <v>199</v>
      </c>
      <c r="EI2" s="19" t="s">
        <v>198</v>
      </c>
      <c r="EJ2" s="19" t="s">
        <v>200</v>
      </c>
      <c r="EK2" s="20" t="s">
        <v>201</v>
      </c>
      <c r="EL2" s="21" t="s">
        <v>202</v>
      </c>
      <c r="EM2" s="20" t="s">
        <v>183</v>
      </c>
      <c r="EN2" s="20" t="s">
        <v>181</v>
      </c>
      <c r="EO2" s="21" t="s">
        <v>253</v>
      </c>
      <c r="EP2" s="21" t="s">
        <v>204</v>
      </c>
      <c r="EQ2" s="21" t="s">
        <v>205</v>
      </c>
      <c r="ER2" s="21" t="s">
        <v>206</v>
      </c>
      <c r="ES2" s="23" t="s">
        <v>207</v>
      </c>
      <c r="ET2" s="22" t="s">
        <v>192</v>
      </c>
      <c r="EU2" s="19" t="s">
        <v>196</v>
      </c>
      <c r="EV2" s="19" t="s">
        <v>196</v>
      </c>
      <c r="EW2" s="19" t="s">
        <v>197</v>
      </c>
      <c r="EX2" s="19" t="s">
        <v>199</v>
      </c>
      <c r="EY2" s="19" t="s">
        <v>198</v>
      </c>
      <c r="EZ2" s="19" t="s">
        <v>200</v>
      </c>
      <c r="FA2" s="20" t="s">
        <v>201</v>
      </c>
      <c r="FB2" s="21" t="s">
        <v>202</v>
      </c>
      <c r="FC2" s="20" t="s">
        <v>183</v>
      </c>
      <c r="FD2" s="20" t="s">
        <v>181</v>
      </c>
      <c r="FE2" s="21" t="s">
        <v>253</v>
      </c>
      <c r="FF2" s="21" t="s">
        <v>204</v>
      </c>
      <c r="FG2" s="21" t="s">
        <v>205</v>
      </c>
      <c r="FH2" s="21" t="s">
        <v>206</v>
      </c>
      <c r="FI2" s="23" t="s">
        <v>207</v>
      </c>
    </row>
    <row r="3" spans="1:165" x14ac:dyDescent="0.25">
      <c r="A3" s="24">
        <v>0</v>
      </c>
      <c r="B3" s="25">
        <f>IF('Scénario référence'!$N$1=1,5,0)</f>
        <v>0</v>
      </c>
      <c r="C3" s="26">
        <v>0</v>
      </c>
      <c r="D3" s="26">
        <f>IF(B3=0,0,IF('Scénario référence'!$N$1=1,0,EXP(-1.0587+0.8836*LN(B3)+0.284)*0.475))</f>
        <v>0</v>
      </c>
      <c r="E3" s="27">
        <f>IF('Scénario référence'!$N$1=1,B3*44/12,(C3+D3)*0.475*44/12)</f>
        <v>0</v>
      </c>
      <c r="F3" s="28">
        <v>0</v>
      </c>
      <c r="G3" s="28" t="e">
        <f>VLOOKUP(A3,'Données projet'!$A$35:$I$55,9,0)</f>
        <v>#N/A</v>
      </c>
      <c r="H3" s="28">
        <v>0</v>
      </c>
      <c r="I3" s="28">
        <v>0</v>
      </c>
      <c r="J3" s="28">
        <f>I3*VLOOKUP('Données projet'!$B$9,Paramètres!$A$1:$I$88,3,0)*VLOOKUP('Données projet'!$B$9,Paramètres!$A$1:$I$88,5,0)</f>
        <v>0</v>
      </c>
      <c r="K3" s="28">
        <v>0</v>
      </c>
      <c r="L3" s="29">
        <f>(J3+K3)*0.475*44/12</f>
        <v>0</v>
      </c>
      <c r="M3" s="30">
        <f>IF(ISNA(VLOOKUP(A3,'Données projet'!$A$35:$I$55,3,0)),0,VLOOKUP(A3,'Données projet'!$A$35:$I$55,3,0))</f>
        <v>0</v>
      </c>
      <c r="N3" s="30">
        <f>IF(ISNA(VLOOKUP(A3,'Données projet'!$A$35:$I$55,4,0)),0,VLOOKUP(A3,'Données projet'!$A$35:$I$55,4,0))</f>
        <v>0</v>
      </c>
      <c r="O3" s="31">
        <f>IF(ISNA(VLOOKUP(A3,'Données projet'!$A$35:$I$55,5,0)),0%,VLOOKUP(A3,'Données projet'!$A$35:$I$55,5,0)*VLOOKUP('Données projet'!$B$9,Paramètres!$A$1:$I$88,7,0))</f>
        <v>0</v>
      </c>
      <c r="P3" s="31">
        <f>IF(ISNA(VLOOKUP(A3,'Données projet'!$A$35:$I$55,6,0)),0%,VLOOKUP(A3,'Données projet'!$A$35:$I$55,6,0)*VLOOKUP('Données projet'!$B$9,Paramètres!$A$1:$I$88,7,0))</f>
        <v>0</v>
      </c>
      <c r="Q3" s="31">
        <f>IF(ISNA(VLOOKUP(A3,'Données projet'!$A$35:$I$55,7,0)),0%,VLOOKUP(A3,'Données projet'!$A$35:$I$55,7,0))</f>
        <v>0</v>
      </c>
      <c r="R3" s="30">
        <v>0</v>
      </c>
      <c r="S3" s="30">
        <v>0</v>
      </c>
      <c r="T3" s="30">
        <v>0</v>
      </c>
      <c r="U3" s="30">
        <f>SUM(R3:T3)</f>
        <v>0</v>
      </c>
      <c r="V3" s="32">
        <v>0</v>
      </c>
      <c r="W3" s="33" t="e">
        <f>VLOOKUP(A3,'Données projet'!$A$61:$I$81,9,0)</f>
        <v>#N/A</v>
      </c>
      <c r="X3" s="33">
        <v>0</v>
      </c>
      <c r="Y3" s="33">
        <v>0</v>
      </c>
      <c r="Z3" s="34" t="e">
        <f>Y3*VLOOKUP('Données projet'!$B$10,Paramètres!$A$1:$I$88,3,0)*VLOOKUP('Données projet'!$B$10,Paramètres!$A$1:$I$88,5,0)</f>
        <v>#N/A</v>
      </c>
      <c r="AA3" s="33">
        <v>0</v>
      </c>
      <c r="AB3" s="35" t="e">
        <f>(Z3+AA3)*0.475*44/12</f>
        <v>#N/A</v>
      </c>
      <c r="AC3" s="36">
        <f>IF(ISNA(VLOOKUP(A3,'Données projet'!$A$61:$I$81,3,0)),0,VLOOKUP(A3,'Données projet'!$A$61:$I$81,3,0))</f>
        <v>0</v>
      </c>
      <c r="AD3" s="36">
        <f>IF(ISNA(VLOOKUP(A3,'Données projet'!$A$61:$I$81,4,0)),0,VLOOKUP(A3,'Données projet'!$A$61:$I$81,4,0))</f>
        <v>0</v>
      </c>
      <c r="AE3" s="37">
        <f>IF(ISNA(VLOOKUP(A3,'Données projet'!$A$61:$I$81,5,0)),0%,VLOOKUP(A3,'Données projet'!$A$61:$I$81,5,0)*VLOOKUP('Données projet'!$B$10,Paramètres!$A$1:$I$88,7,0))</f>
        <v>0</v>
      </c>
      <c r="AF3" s="37">
        <f>IF(ISNA(VLOOKUP(A3,'Données projet'!$A$61:$I$81,6,0)),0%,VLOOKUP(A3,'Données projet'!$A$61:$I$81,6,0)*VLOOKUP('Données projet'!$B$10,Paramètres!$A$1:$I$88,7,0))</f>
        <v>0</v>
      </c>
      <c r="AG3" s="37">
        <f>IF(ISNA(VLOOKUP(A3,'Données projet'!$A$61:$I$81,7,0)),0%,VLOOKUP(A3,'Données projet'!$A$61:$I$81,7,0))</f>
        <v>0</v>
      </c>
      <c r="AH3" s="36">
        <v>0</v>
      </c>
      <c r="AI3" s="36">
        <v>0</v>
      </c>
      <c r="AJ3" s="36">
        <v>0</v>
      </c>
      <c r="AK3" s="36">
        <f>SUM(AH3:AJ3)</f>
        <v>0</v>
      </c>
      <c r="AL3" s="32">
        <v>0</v>
      </c>
      <c r="AM3" s="33" t="e">
        <f>VLOOKUP(A3,'Données projet'!$A$87:$I$107,9,0)</f>
        <v>#N/A</v>
      </c>
      <c r="AN3" s="33">
        <v>0</v>
      </c>
      <c r="AO3" s="33">
        <v>0</v>
      </c>
      <c r="AP3" s="38" t="e">
        <f>AO3*VLOOKUP('Données projet'!$B$11,Paramètres!$A$1:$I$88,3,0)*VLOOKUP('Données projet'!$B$11,Paramètres!$A$1:$I$88,5,0)</f>
        <v>#N/A</v>
      </c>
      <c r="AQ3" s="33">
        <v>0</v>
      </c>
      <c r="AR3" s="35" t="e">
        <f>(AP3+AQ3)*0.475*44/12</f>
        <v>#N/A</v>
      </c>
      <c r="AS3" s="36">
        <f>IF(ISNA(VLOOKUP(A3,'Données projet'!$A$87:$I$107,3,0)),0,VLOOKUP(A3,'Données projet'!$A$87:$I$107,3,0))</f>
        <v>0</v>
      </c>
      <c r="AT3" s="36">
        <f>IF(ISNA(VLOOKUP(A3,'Données projet'!$A$87:$I$107,4,0)),0,VLOOKUP(A3,'Données projet'!$A$87:$I$107,4,0))</f>
        <v>0</v>
      </c>
      <c r="AU3" s="37">
        <f>IF(ISNA(VLOOKUP(A3,'Données projet'!$A$87:$I$107,5,0)),0%,VLOOKUP(A3,'Données projet'!$A$87:$I$107,5,0)*VLOOKUP('Données projet'!$B$11,Paramètres!$A$1:$I$88,7,0))</f>
        <v>0</v>
      </c>
      <c r="AV3" s="37">
        <f>IF(ISNA(VLOOKUP(A3,'Données projet'!$A$87:$I$107,6,0)),0%,VLOOKUP(A3,'Données projet'!$A$87:$I$107,6,0)*VLOOKUP('Données projet'!$B$11,Paramètres!$A$1:$I$88,7,0))</f>
        <v>0</v>
      </c>
      <c r="AW3" s="37">
        <f>IF(ISNA(VLOOKUP(A3,'Données projet'!$A$87:$I$107,7,0)),0%,VLOOKUP(A3,'Données projet'!$A$87:$I$107,7,0))</f>
        <v>0</v>
      </c>
      <c r="AX3" s="36">
        <v>0</v>
      </c>
      <c r="AY3" s="36">
        <v>0</v>
      </c>
      <c r="AZ3" s="36">
        <v>0</v>
      </c>
      <c r="BA3" s="39">
        <f>SUM(AX3:AZ3)</f>
        <v>0</v>
      </c>
      <c r="BB3" s="32">
        <v>0</v>
      </c>
      <c r="BC3" s="33" t="e">
        <f>VLOOKUP(A3,'Données projet'!$A$113:$I$133,9,0)</f>
        <v>#N/A</v>
      </c>
      <c r="BD3" s="33">
        <v>0</v>
      </c>
      <c r="BE3" s="33">
        <v>0</v>
      </c>
      <c r="BF3" s="38" t="e">
        <f>BE3*VLOOKUP('Données projet'!$B$12,Paramètres!$A$1:$I$88,3,0)*VLOOKUP('Données projet'!$B$12,Paramètres!$A$1:$I$88,5,0)</f>
        <v>#N/A</v>
      </c>
      <c r="BG3" s="33">
        <v>0</v>
      </c>
      <c r="BH3" s="35" t="e">
        <f>(BF3+BG3)*0.475*44/12</f>
        <v>#N/A</v>
      </c>
      <c r="BI3" s="36">
        <f>IF(ISNA(VLOOKUP(A3,'Données projet'!$A$113:$I$133,3,0)),0,VLOOKUP(A3,'Données projet'!$A$113:$I$133,3,0))</f>
        <v>0</v>
      </c>
      <c r="BJ3" s="36">
        <f>IF(ISNA(VLOOKUP(A3,'Données projet'!$A$113:$I$133,4,0)),0,VLOOKUP(A3,'Données projet'!$A$113:$I$133,4,0))</f>
        <v>0</v>
      </c>
      <c r="BK3" s="37">
        <f>IF(ISNA(VLOOKUP(A3,'Données projet'!$A$113:$I$133,5,0)),0%,VLOOKUP(A3,'Données projet'!$A$113:$I$133,5,0)*VLOOKUP('Données projet'!$B$12,Paramètres!$A$1:$I$88,7,0))</f>
        <v>0</v>
      </c>
      <c r="BL3" s="37">
        <f>IF(ISNA(VLOOKUP(A3,'Données projet'!$A$113:$I$133,6,0)),0%,VLOOKUP(A3,'Données projet'!$A$113:$I$133,6,0)*VLOOKUP('Données projet'!$B$12,Paramètres!$A$1:$I$88,7,0))</f>
        <v>0</v>
      </c>
      <c r="BM3" s="37">
        <f>IF(ISNA(VLOOKUP(A3,'Données projet'!$A$113:$I$133,7,0)),0%,VLOOKUP(A3,'Données projet'!$A$113:$I$133,7,0))</f>
        <v>0</v>
      </c>
      <c r="BN3" s="36">
        <v>0</v>
      </c>
      <c r="BO3" s="36">
        <v>0</v>
      </c>
      <c r="BP3" s="36">
        <v>0</v>
      </c>
      <c r="BQ3" s="39">
        <f>SUM(BN3:BP3)</f>
        <v>0</v>
      </c>
      <c r="BR3" s="32">
        <v>0</v>
      </c>
      <c r="BS3" s="33" t="e">
        <f>VLOOKUP(A3,'Données projet'!$A$139:$I$159,9,0)</f>
        <v>#N/A</v>
      </c>
      <c r="BT3" s="33">
        <v>0</v>
      </c>
      <c r="BU3" s="33">
        <v>0</v>
      </c>
      <c r="BV3" s="38" t="e">
        <f>BU3*VLOOKUP('Données projet'!$B$13,Paramètres!$A$1:$I$88,3,0)*VLOOKUP('Données projet'!$B$13,Paramètres!$A$1:$I$88,5,0)</f>
        <v>#N/A</v>
      </c>
      <c r="BW3" s="33">
        <v>0</v>
      </c>
      <c r="BX3" s="35" t="e">
        <f>(BV3+BW3)*0.475*44/12</f>
        <v>#N/A</v>
      </c>
      <c r="BY3" s="36">
        <f>IF(ISNA(VLOOKUP(A3,'Données projet'!$A$139:$I$159,3,0)),0,VLOOKUP(A3,'Données projet'!$A$139:$I$159,3,0))</f>
        <v>0</v>
      </c>
      <c r="BZ3" s="36">
        <f>IF(ISNA(VLOOKUP(A3,'Données projet'!$A$139:$I$159,4,0)),0,VLOOKUP(A3,'Données projet'!$A$139:$I$159,4,0))</f>
        <v>0</v>
      </c>
      <c r="CA3" s="37">
        <f>IF(ISNA(VLOOKUP(A3,'Données projet'!$A$139:$I$159,5,0)),0%,VLOOKUP(A3,'Données projet'!$A$139:$I$159,5,0)*VLOOKUP('Données projet'!$B$13,Paramètres!$A$1:$I$88,7,0))</f>
        <v>0</v>
      </c>
      <c r="CB3" s="37">
        <f>IF(ISNA(VLOOKUP(A3,'Données projet'!$A$139:$I$159,6,0)),0%,VLOOKUP(A3,'Données projet'!$A$139:$I$159,6,0)*VLOOKUP('Données projet'!$B$13,Paramètres!$A$1:$I$88,7,0))</f>
        <v>0</v>
      </c>
      <c r="CC3" s="37">
        <f>IF(ISNA(VLOOKUP(A3,'Données projet'!$A$139:$I$159,7,0)),0%,VLOOKUP(A3,'Données projet'!$A$139:$I$159,7,0))</f>
        <v>0</v>
      </c>
      <c r="CD3" s="36">
        <v>0</v>
      </c>
      <c r="CE3" s="36">
        <v>0</v>
      </c>
      <c r="CF3" s="36">
        <v>0</v>
      </c>
      <c r="CG3" s="39">
        <f>SUM(CD3:CF3)</f>
        <v>0</v>
      </c>
      <c r="CH3" s="32">
        <v>0</v>
      </c>
      <c r="CI3" s="33" t="e">
        <f>VLOOKUP(A3,'Données projet'!$A$165:$I$185,9,0)</f>
        <v>#N/A</v>
      </c>
      <c r="CJ3" s="33">
        <v>0</v>
      </c>
      <c r="CK3" s="33">
        <v>0</v>
      </c>
      <c r="CL3" s="38" t="e">
        <f>CK3*VLOOKUP('Données projet'!$B$14,Paramètres!$A$1:$I$88,3,0)*VLOOKUP('Données projet'!$B$14,Paramètres!$A$1:$I$88,5,0)</f>
        <v>#N/A</v>
      </c>
      <c r="CM3" s="33">
        <v>0</v>
      </c>
      <c r="CN3" s="35" t="e">
        <f>(CL3+CM3)*0.475*44/12</f>
        <v>#N/A</v>
      </c>
      <c r="CO3" s="36">
        <f>IF(ISNA(VLOOKUP(A3,'Données projet'!$A$165:$I$185,3,0)),0,VLOOKUP(A3,'Données projet'!$A$165:$I$185,3,0))</f>
        <v>0</v>
      </c>
      <c r="CP3" s="36">
        <f>IF(ISNA(VLOOKUP(A3,'Données projet'!$A$165:$I$185,4,0)),0,VLOOKUP(A3,'Données projet'!$A$165:$I$185,4,0))</f>
        <v>0</v>
      </c>
      <c r="CQ3" s="37">
        <f>IF(ISNA(VLOOKUP(A3,'Données projet'!$A$165:$I$185,5,0)),0%,VLOOKUP(A3,'Données projet'!$A$165:$I$185,5,0)*VLOOKUP('Données projet'!$B$14,Paramètres!$A$1:$I$88,7,0))</f>
        <v>0</v>
      </c>
      <c r="CR3" s="37">
        <f>IF(ISNA(VLOOKUP(A3,'Données projet'!$A$165:$I$185,6,0)),0%,VLOOKUP(A3,'Données projet'!$A$165:$I$185,6,0)*VLOOKUP('Données projet'!$B$14,Paramètres!$A$1:$I$88,7,0))</f>
        <v>0</v>
      </c>
      <c r="CS3" s="37">
        <f>IF(ISNA(VLOOKUP(A3,'Données projet'!$A$165:$I$185,7,0)),0%,VLOOKUP(A3,'Données projet'!$A$165:$I$185,7,0))</f>
        <v>0</v>
      </c>
      <c r="CT3" s="36">
        <v>0</v>
      </c>
      <c r="CU3" s="36">
        <v>0</v>
      </c>
      <c r="CV3" s="36">
        <v>0</v>
      </c>
      <c r="CW3" s="39">
        <f>SUM(CT3:CV3)</f>
        <v>0</v>
      </c>
      <c r="CX3" s="32">
        <v>0</v>
      </c>
      <c r="CY3" s="33" t="e">
        <f>VLOOKUP(A3,'Données projet'!$A$191:$I$211,9,0)</f>
        <v>#N/A</v>
      </c>
      <c r="CZ3" s="33">
        <v>0</v>
      </c>
      <c r="DA3" s="33">
        <v>0</v>
      </c>
      <c r="DB3" s="38" t="e">
        <f>DA3*VLOOKUP('Données projet'!$B$15,Paramètres!$A$1:$I$88,3,0)*VLOOKUP('Données projet'!$B$15,Paramètres!$A$1:$I$88,5,0)</f>
        <v>#N/A</v>
      </c>
      <c r="DC3" s="33">
        <v>0</v>
      </c>
      <c r="DD3" s="35" t="e">
        <f>(DB3+DC3)*0.475*44/12</f>
        <v>#N/A</v>
      </c>
      <c r="DE3" s="36">
        <f>IF(ISNA(VLOOKUP(A3,'Données projet'!$A$191:$I$211,3,0)),0,VLOOKUP(A3,'Données projet'!$A$191:$I$211,3,0))</f>
        <v>0</v>
      </c>
      <c r="DF3" s="36">
        <f>IF(ISNA(VLOOKUP(A3,'Données projet'!$A$191:$I$211,4,0)),0,VLOOKUP(A3,'Données projet'!$A$191:$I$211,4,0))</f>
        <v>0</v>
      </c>
      <c r="DG3" s="37">
        <f>IF(ISNA(VLOOKUP(A3,'Données projet'!$A$191:$I$211,5,0)),0%,VLOOKUP(A3,'Données projet'!$A$191:$I$211,5,0)*VLOOKUP('Données projet'!$B$15,Paramètres!$A$1:$I$88,7,0))</f>
        <v>0</v>
      </c>
      <c r="DH3" s="37">
        <f>IF(ISNA(VLOOKUP(A3,'Données projet'!$A$191:$I$211,6,0)),0%,VLOOKUP(A3,'Données projet'!$A$191:$I$211,6,0)*VLOOKUP('Données projet'!$B$15,Paramètres!$A$1:$I$88,7,0))</f>
        <v>0</v>
      </c>
      <c r="DI3" s="37">
        <f>IF(ISNA(VLOOKUP(A3,'Données projet'!$A$191:$I$211,7,0)),0%,VLOOKUP(A3,'Données projet'!$A$191:$I$211,7,0))</f>
        <v>0</v>
      </c>
      <c r="DJ3" s="36">
        <v>0</v>
      </c>
      <c r="DK3" s="36">
        <v>0</v>
      </c>
      <c r="DL3" s="36">
        <v>0</v>
      </c>
      <c r="DM3" s="39">
        <f>SUM(DJ3:DL3)</f>
        <v>0</v>
      </c>
      <c r="DN3" s="32">
        <v>0</v>
      </c>
      <c r="DO3" s="33" t="e">
        <f>VLOOKUP(A3,'Données projet'!$A$217:$I$237,9,0)</f>
        <v>#N/A</v>
      </c>
      <c r="DP3" s="33">
        <v>0</v>
      </c>
      <c r="DQ3" s="33">
        <v>0</v>
      </c>
      <c r="DR3" s="38" t="e">
        <f>DQ3*VLOOKUP('Données projet'!$B$16,Paramètres!$A$1:$I$88,3,0)*VLOOKUP('Données projet'!$B$16,Paramètres!$A$1:$I$88,5,0)</f>
        <v>#N/A</v>
      </c>
      <c r="DS3" s="33">
        <v>0</v>
      </c>
      <c r="DT3" s="35" t="e">
        <f>(DR3+DS3)*0.475*44/12</f>
        <v>#N/A</v>
      </c>
      <c r="DU3" s="36">
        <f>IF(ISNA(VLOOKUP(A3,'Données projet'!$A$217:$I$237,3,0)),0,VLOOKUP(A3,'Données projet'!$A$217:$I$237,3,0))</f>
        <v>0</v>
      </c>
      <c r="DV3" s="36">
        <f>IF(ISNA(VLOOKUP(A3,'Données projet'!$A$217:$I$237,4,0)),0,VLOOKUP(A3,'Données projet'!$A$217:$I$237,4,0))</f>
        <v>0</v>
      </c>
      <c r="DW3" s="37">
        <f>IF(ISNA(VLOOKUP(A3,'Données projet'!$A$217:$I$237,5,0)),0%,VLOOKUP(A3,'Données projet'!$A$217:$I$237,5,0)*VLOOKUP('Données projet'!$B$16,Paramètres!$A$1:$I$88,7,0))</f>
        <v>0</v>
      </c>
      <c r="DX3" s="37">
        <f>IF(ISNA(VLOOKUP(A3,'Données projet'!$A$217:$I$237,6,0)),0%,VLOOKUP(A3,'Données projet'!$A$217:$I$237,6,0)*VLOOKUP('Données projet'!$B$16,Paramètres!$A$1:$I$88,7,0))</f>
        <v>0</v>
      </c>
      <c r="DY3" s="37">
        <f>IF(ISNA(VLOOKUP(A3,'Données projet'!$A$217:$I$237,7,0)),0%,VLOOKUP(A3,'Données projet'!$A$217:$I$237,7,0))</f>
        <v>0</v>
      </c>
      <c r="DZ3" s="36">
        <v>0</v>
      </c>
      <c r="EA3" s="36">
        <v>0</v>
      </c>
      <c r="EB3" s="36">
        <v>0</v>
      </c>
      <c r="EC3" s="39">
        <f>SUM(DZ3:EB3)</f>
        <v>0</v>
      </c>
      <c r="ED3" s="32">
        <v>0</v>
      </c>
      <c r="EE3" s="33" t="e">
        <f>VLOOKUP(A3,'Données projet'!$A$243:$I$263,9,0)</f>
        <v>#N/A</v>
      </c>
      <c r="EF3" s="33">
        <v>0</v>
      </c>
      <c r="EG3" s="33">
        <v>0</v>
      </c>
      <c r="EH3" s="38" t="e">
        <f>EG3*VLOOKUP('Données projet'!$B$17,Paramètres!$A$1:$I$88,3,0)*VLOOKUP('Données projet'!$B$17,Paramètres!$A$1:$I$88,5,0)</f>
        <v>#N/A</v>
      </c>
      <c r="EI3" s="33">
        <v>0</v>
      </c>
      <c r="EJ3" s="35" t="e">
        <f>(EH3+EI3)*0.475*44/12</f>
        <v>#N/A</v>
      </c>
      <c r="EK3" s="36">
        <f>IF(ISNA(VLOOKUP(A3,'Données projet'!$A$243:$I$263,3,0)),0,VLOOKUP(A3,'Données projet'!$A$243:$I$263,3,0))</f>
        <v>0</v>
      </c>
      <c r="EL3" s="36">
        <f>IF(ISNA(VLOOKUP(A3,'Données projet'!$A$243:$I$263,4,0)),0,VLOOKUP(A3,'Données projet'!$A$243:$I$263,4,0))</f>
        <v>0</v>
      </c>
      <c r="EM3" s="37">
        <f>IF(ISNA(VLOOKUP(A3,'Données projet'!$A$243:$I$263,5,0)),0%,VLOOKUP(A3,'Données projet'!$A$243:$I$263,5,0)*VLOOKUP('Données projet'!$B$17,Paramètres!$A$1:$I$88,7,0))</f>
        <v>0</v>
      </c>
      <c r="EN3" s="37">
        <f>IF(ISNA(VLOOKUP(A3,'Données projet'!$A$243:$I$263,6,0)),0%,VLOOKUP(A3,'Données projet'!$A$243:$I$263,6,0)*VLOOKUP('Données projet'!$B$17,Paramètres!$A$1:$I$88,7,0))</f>
        <v>0</v>
      </c>
      <c r="EO3" s="37">
        <f>IF(ISNA(VLOOKUP(A3,'Données projet'!$A$243:$I$263,7,0)),0%,VLOOKUP(A3,'Données projet'!$A$243:$I$263,7,0))</f>
        <v>0</v>
      </c>
      <c r="EP3" s="36">
        <v>0</v>
      </c>
      <c r="EQ3" s="36">
        <v>0</v>
      </c>
      <c r="ER3" s="36">
        <v>0</v>
      </c>
      <c r="ES3" s="39">
        <f>SUM(EP3:ER3)</f>
        <v>0</v>
      </c>
      <c r="ET3" s="32">
        <v>0</v>
      </c>
      <c r="EU3" s="33" t="e">
        <f>VLOOKUP(A3,'Données projet'!$A$269:$I$289,9,0)</f>
        <v>#N/A</v>
      </c>
      <c r="EV3" s="33">
        <v>0</v>
      </c>
      <c r="EW3" s="33">
        <v>0</v>
      </c>
      <c r="EX3" s="38" t="e">
        <f>EW3*VLOOKUP('Données projet'!$B$18,Paramètres!$A$1:$I$88,3,0)*VLOOKUP('Données projet'!$B$18,Paramètres!$A$1:$I$88,5,0)</f>
        <v>#N/A</v>
      </c>
      <c r="EY3" s="33">
        <v>0</v>
      </c>
      <c r="EZ3" s="35" t="e">
        <f>(EX3+EY3)*0.475*44/12</f>
        <v>#N/A</v>
      </c>
      <c r="FA3" s="36">
        <f>IF(ISNA(VLOOKUP(A3,'Données projet'!$A$269:$I$289,3,0)),0,VLOOKUP(A3,'Données projet'!$A$269:$I$289,3,0))</f>
        <v>0</v>
      </c>
      <c r="FB3" s="36">
        <f>IF(ISNA(VLOOKUP(A3,'Données projet'!$A$269:$I$289,4,0)),0,VLOOKUP(A3,'Données projet'!$A$269:$I$289,4,0))</f>
        <v>0</v>
      </c>
      <c r="FC3" s="37">
        <f>IF(ISNA(VLOOKUP(A3,'Données projet'!$A$269:$I$289,5,0)),0%,VLOOKUP(A3,'Données projet'!$A$269:$I$289,5,0)*VLOOKUP('Données projet'!$B$18,Paramètres!$A$1:$I$88,7,0))</f>
        <v>0</v>
      </c>
      <c r="FD3" s="37">
        <f>IF(ISNA(VLOOKUP(A3,'Données projet'!$A$269:$I$289,6,0)),0%,VLOOKUP(A3,'Données projet'!$A$269:$I$289,6,0)*VLOOKUP('Données projet'!$B$18,Paramètres!$A$1:$I$88,7,0))</f>
        <v>0</v>
      </c>
      <c r="FE3" s="37">
        <f>IF(ISNA(VLOOKUP(A3,'Données projet'!$A$269:$I$289,7,0)),0%,VLOOKUP(A3,'Données projet'!$A$269:$I$289,7,0))</f>
        <v>0</v>
      </c>
      <c r="FF3" s="36">
        <v>0</v>
      </c>
      <c r="FG3" s="36">
        <v>0</v>
      </c>
      <c r="FH3" s="36">
        <v>0</v>
      </c>
      <c r="FI3" s="39">
        <f>SUM(FF3:FH3)</f>
        <v>0</v>
      </c>
    </row>
    <row r="4" spans="1:165" x14ac:dyDescent="0.25">
      <c r="A4" s="24">
        <f>A3+1</f>
        <v>1</v>
      </c>
      <c r="B4" s="25">
        <f>IF('Scénario référence'!$N$1=1,5,0)</f>
        <v>0</v>
      </c>
      <c r="C4" s="40">
        <f>IF(OR('Scénario référence'!$N$1=2,'Scénario référence'!$N$1=4),C3+1*VLOOKUP('Scénario référence'!$G$14,Paramètres!$A$1:$I$88,3,0)*VLOOKUP('Scénario référence'!$G$14,Paramètres!$A$1:$I$88,5,0),IF(OR('Scénario référence'!$N$1=3,'Scénario référence'!$N$1=5),C3+0.5*VLOOKUP('Scénario référence'!$G$14,Paramètres!$A$1:$I$88,3,0)*VLOOKUP('Scénario référence'!$G$14,Paramètres!$A$1:$I$88,5,0),0))</f>
        <v>0.54600000000000004</v>
      </c>
      <c r="D4" s="26">
        <f>IFERROR(EXP(-1.0587+0.8836*LN(C4)+0.284),0)</f>
        <v>0.26998241883213048</v>
      </c>
      <c r="E4" s="27">
        <f>IF('Scénario référence'!$N$1=1,B4*44/12,(C4+D4)*0.475*44/12)</f>
        <v>1.4211693794659606</v>
      </c>
      <c r="F4" s="28" t="e">
        <f>VLOOKUP(A4,'Données projet'!$A$35:$I$55,2,0)</f>
        <v>#N/A</v>
      </c>
      <c r="G4" s="28" t="e">
        <f>VLOOKUP(A4,'Données projet'!$A$35:$I$55,9,0)</f>
        <v>#N/A</v>
      </c>
      <c r="H4" s="33">
        <f t="array" ref="H4">INDEX(G:G,MIN(IF(ISNUMBER(G4:G200),ROW(G4:G200),"")))</f>
        <v>2.1</v>
      </c>
      <c r="I4" s="28">
        <f>I3+H4-N3</f>
        <v>2.1</v>
      </c>
      <c r="J4" s="41">
        <f>I4*VLOOKUP('Données projet'!$B$9,Paramètres!$A$1:$I$88,3,0)*VLOOKUP('Données projet'!$B$9,Paramètres!$A$1:$I$88,5,0)</f>
        <v>2.1294000000000004</v>
      </c>
      <c r="K4" s="41">
        <f>EXP(-1.0587+0.8836*LN(J4)+0.284)</f>
        <v>0.89866984833715102</v>
      </c>
      <c r="L4" s="42">
        <f t="shared" ref="L4:L67" si="0">(J4+K4)*0.475*44/12</f>
        <v>5.273888319187205</v>
      </c>
      <c r="M4" s="30">
        <f>IF(ISNA(VLOOKUP(A4,'Données projet'!$A$35:$I$55,3,0)),0,VLOOKUP(A4,'Données projet'!$A$35:$I$55,3,0))</f>
        <v>0</v>
      </c>
      <c r="N4" s="30">
        <f>IF(ISNA(VLOOKUP(A4,'Données projet'!$A$35:$I$55,4,0)),0,VLOOKUP(A4,'Données projet'!$A$35:$I$55,4,0))</f>
        <v>0</v>
      </c>
      <c r="O4" s="31">
        <f>IF(ISNA(VLOOKUP(A4,'Données projet'!$A$35:$I$55,5,0)),0%,VLOOKUP(A4,'Données projet'!$A$35:$I$55,5,0)*VLOOKUP('Données projet'!$B$9,Paramètres!$A$1:$I$88,7,0))</f>
        <v>0</v>
      </c>
      <c r="P4" s="31">
        <f>IF(ISNA(VLOOKUP(A4,'Données projet'!$A$35:$I$55,6,0)),0%,VLOOKUP(A4,'Données projet'!$A$35:$I$55,6,0)*VLOOKUP('Données projet'!$B$9,Paramètres!$A$1:$I$88,7,0))</f>
        <v>0</v>
      </c>
      <c r="Q4" s="31">
        <f>IF(ISNA(VLOOKUP(A4,'Données projet'!$A$35:$I$55,7,0)),0%,VLOOKUP(A4,'Données projet'!$A$35:$I$55,7,0))</f>
        <v>0</v>
      </c>
      <c r="R4" s="43">
        <f>EXP(-LN(2)/35)*R3+(1-EXP(-LN(2)/35))/(LN(2)/35)*N4*O4*VLOOKUP('Données projet'!$B$9,Paramètres!$A$1:$I$88,3,0)*0.475*44/12</f>
        <v>0</v>
      </c>
      <c r="S4" s="43">
        <f>EXP(-LN(2)/25)*S3+(1-EXP(-LN(2)/25))/(LN(2)/25)*Calculateur!N4*Calculateur!P4*VLOOKUP('Données projet'!$B$9,Paramètres!$A$1:$I$88,3,0)*0.475*44/12</f>
        <v>0</v>
      </c>
      <c r="T4" s="43">
        <f>EXP(-LN(2)/2)*T3+(1-EXP(-LN(2)/2))/(LN(2)/2)*N4*Q4*VLOOKUP('Données projet'!$B$9,Paramètres!$A$1:$I$88,3,0)*0.475*44/12</f>
        <v>0</v>
      </c>
      <c r="U4" s="43">
        <f t="shared" ref="U4:U67" si="1">SUM(R4:T4)</f>
        <v>0</v>
      </c>
      <c r="V4" s="32" t="e">
        <f>VLOOKUP(A4,'Données projet'!$A$61:$I$81,2,0)</f>
        <v>#N/A</v>
      </c>
      <c r="W4" s="33" t="e">
        <f>VLOOKUP(A4,'Données projet'!$A$61:$I$81,9,0)</f>
        <v>#N/A</v>
      </c>
      <c r="X4" s="33">
        <f t="array" ref="X4">INDEX(W:W,MIN(IF(ISNUMBER(W4:W200),ROW(W4:W200),"")))</f>
        <v>0</v>
      </c>
      <c r="Y4" s="33">
        <f>Y3+X4-AD3</f>
        <v>0</v>
      </c>
      <c r="Z4" s="34" t="e">
        <f>Y4*VLOOKUP('Données projet'!$B$10,Paramètres!$A$1:$I$88,3,0)*VLOOKUP('Données projet'!$B$10,Paramètres!$A$1:$I$88,5,0)</f>
        <v>#N/A</v>
      </c>
      <c r="AA4" s="34" t="e">
        <f>EXP(-1.0587+0.8836*LN(Z4)+0.284)</f>
        <v>#N/A</v>
      </c>
      <c r="AB4" s="44" t="e">
        <f t="shared" ref="AB4:AB67" si="2">(Z4+AA4)*0.475*44/12</f>
        <v>#N/A</v>
      </c>
      <c r="AC4" s="36">
        <f>IF(ISNA(VLOOKUP(A4,'Données projet'!$A$61:$I$81,3,0)),0,VLOOKUP(A4,'Données projet'!$A$61:$I$81,3,0))</f>
        <v>0</v>
      </c>
      <c r="AD4" s="36">
        <f>IF(ISNA(VLOOKUP(A4,'Données projet'!$A$61:$I$81,4,0)),0,VLOOKUP(A4,'Données projet'!$A$61:$I$81,4,0))</f>
        <v>0</v>
      </c>
      <c r="AE4" s="37">
        <f>IF(ISNA(VLOOKUP(A4,'Données projet'!$A$61:$I$81,5,0)),0%,VLOOKUP(A4,'Données projet'!$A$61:$I$81,5,0)*VLOOKUP('Données projet'!$B$10,Paramètres!$A$1:$I$88,7,0))</f>
        <v>0</v>
      </c>
      <c r="AF4" s="37">
        <f>IF(ISNA(VLOOKUP(A4,'Données projet'!$A$61:$I$81,6,0)),0%,VLOOKUP(A4,'Données projet'!$A$61:$I$81,6,0)*VLOOKUP('Données projet'!$B$10,Paramètres!$A$1:$I$88,7,0))</f>
        <v>0</v>
      </c>
      <c r="AG4" s="37">
        <f>IF(ISNA(VLOOKUP(A4,'Données projet'!$A$61:$I$81,7,0)),0%,VLOOKUP(A4,'Données projet'!$A$61:$I$81,7,0))</f>
        <v>0</v>
      </c>
      <c r="AH4" s="45">
        <f>EXP(-LN(2)/35)*AH3+(1-EXP(-LN(2)/35))/(LN(2)/35)*AD4*AE4*VLOOKUP('Données projet'!$B$9,Paramètres!$A$1:$I$88,3,0)*0.475*44/12</f>
        <v>0</v>
      </c>
      <c r="AI4" s="45">
        <f>EXP(-LN(2)/25)*AI3+(1-EXP(-LN(2)/25))/(LN(2)/25)*Calculateur!AD4*Calculateur!AF4*VLOOKUP('Données projet'!$B$9,Paramètres!$A$1:$I$88,3,0)*0.475*44/12</f>
        <v>0</v>
      </c>
      <c r="AJ4" s="45">
        <f>EXP(-LN(2)/2)*AJ3+(1-EXP(-LN(2)/2))/(LN(2)/2)*AD4*AG4*VLOOKUP('Données projet'!$B$9,Paramètres!$A$1:$I$88,3,0)*0.475*44/12</f>
        <v>0</v>
      </c>
      <c r="AK4" s="45">
        <f t="shared" ref="AK4:AK67" si="3">SUM(AH4:AJ4)</f>
        <v>0</v>
      </c>
      <c r="AL4" s="32" t="e">
        <f>VLOOKUP(A4,'Données projet'!$A$87:$I$107,2,0)</f>
        <v>#N/A</v>
      </c>
      <c r="AM4" s="33" t="e">
        <f>VLOOKUP(A4,'Données projet'!$A$87:$I$107,9,0)</f>
        <v>#N/A</v>
      </c>
      <c r="AN4" s="33">
        <f t="array" ref="AN4">INDEX(AM:AM,MIN(IF(ISNUMBER(AM4:AM200),ROW(AM4:AM200),"")))</f>
        <v>0</v>
      </c>
      <c r="AO4" s="33">
        <f>AO3+AN4-AT3</f>
        <v>0</v>
      </c>
      <c r="AP4" s="34" t="e">
        <f>AO4*VLOOKUP('Données projet'!$B$11,Paramètres!$A$1:$I$88,3,0)*VLOOKUP('Données projet'!$B$11,Paramètres!$A$1:$I$88,5,0)</f>
        <v>#N/A</v>
      </c>
      <c r="AQ4" s="34" t="e">
        <f>EXP(-1.0587+0.8836*LN(AP4)+0.284)</f>
        <v>#N/A</v>
      </c>
      <c r="AR4" s="44" t="e">
        <f t="shared" ref="AR4:AR67" si="4">(AP4+AQ4)*0.475*44/12</f>
        <v>#N/A</v>
      </c>
      <c r="AS4" s="36">
        <f>IF(ISNA(VLOOKUP(A4,'Données projet'!$A$87:$I$107,3,0)),0,VLOOKUP(A4,'Données projet'!$A$87:$I$107,3,0))</f>
        <v>0</v>
      </c>
      <c r="AT4" s="36">
        <f>IF(ISNA(VLOOKUP(A4,'Données projet'!$A$87:$I$107,4,0)),0,VLOOKUP(A4,'Données projet'!$A$87:$I$107,4,0))</f>
        <v>0</v>
      </c>
      <c r="AU4" s="37">
        <f>IF(ISNA(VLOOKUP(A4,'Données projet'!$A$87:$I$107,5,0)),0%,VLOOKUP(A4,'Données projet'!$A$87:$I$107,5,0)*VLOOKUP('Données projet'!$B$11,Paramètres!$A$1:$I$88,7,0))</f>
        <v>0</v>
      </c>
      <c r="AV4" s="37">
        <f>IF(ISNA(VLOOKUP(A4,'Données projet'!$A$87:$I$107,6,0)),0%,VLOOKUP(A4,'Données projet'!$A$87:$I$107,6,0)*VLOOKUP('Données projet'!$B$11,Paramètres!$A$1:$I$88,7,0))</f>
        <v>0</v>
      </c>
      <c r="AW4" s="37">
        <f>IF(ISNA(VLOOKUP(A4,'Données projet'!$A$87:$I$107,7,0)),0%,VLOOKUP(A4,'Données projet'!$A$87:$I$107,7,0))</f>
        <v>0</v>
      </c>
      <c r="AX4" s="45">
        <f>EXP(-LN(2)/35)*AX3+(1-EXP(-LN(2)/35))/(LN(2)/35)*AT4*AU4*VLOOKUP('Données projet'!$B$9,Paramètres!$A$1:$I$88,3,0)*0.475*44/12</f>
        <v>0</v>
      </c>
      <c r="AY4" s="45">
        <f>EXP(-LN(2)/25)*AY3+(1-EXP(-LN(2)/25))/(LN(2)/25)*Calculateur!AT4*Calculateur!AV4*VLOOKUP('Données projet'!$B$9,Paramètres!$A$1:$I$88,3,0)*0.475*44/12</f>
        <v>0</v>
      </c>
      <c r="AZ4" s="45">
        <f>EXP(-LN(2)/2)*AZ3+(1-EXP(-LN(2)/2))/(LN(2)/2)*AT4*AW4*VLOOKUP('Données projet'!$B$9,Paramètres!$A$1:$I$88,3,0)*0.475*44/12</f>
        <v>0</v>
      </c>
      <c r="BA4" s="46">
        <f t="shared" ref="BA4:BA67" si="5">SUM(AX4:AZ4)</f>
        <v>0</v>
      </c>
      <c r="BB4" s="32" t="e">
        <f>VLOOKUP(A4,'Données projet'!$A$113:$I$133,2,0)</f>
        <v>#N/A</v>
      </c>
      <c r="BC4" s="33" t="e">
        <f>VLOOKUP(A4,'Données projet'!$A$113:$I$133,9,0)</f>
        <v>#N/A</v>
      </c>
      <c r="BD4" s="33">
        <f t="array" ref="BD4">INDEX(BC:BC,MIN(IF(ISNUMBER(BC4:BC200),ROW(BC4:BC200),"")))</f>
        <v>0</v>
      </c>
      <c r="BE4" s="33">
        <f>BE3+BD4-BJ3</f>
        <v>0</v>
      </c>
      <c r="BF4" s="34" t="e">
        <f>BE4*VLOOKUP('Données projet'!$B$12,Paramètres!$A$1:$I$88,3,0)*VLOOKUP('Données projet'!$B$12,Paramètres!$A$1:$I$88,5,0)</f>
        <v>#N/A</v>
      </c>
      <c r="BG4" s="34" t="e">
        <f>EXP(-1.0587+0.8836*LN(BF4)+0.284)</f>
        <v>#N/A</v>
      </c>
      <c r="BH4" s="44" t="e">
        <f t="shared" ref="BH4:BH67" si="6">(BF4+BG4)*0.475*44/12</f>
        <v>#N/A</v>
      </c>
      <c r="BI4" s="36">
        <f>IF(ISNA(VLOOKUP(A4,'Données projet'!$A$113:$I$133,3,0)),0,VLOOKUP(A4,'Données projet'!$A$113:$I$133,3,0))</f>
        <v>0</v>
      </c>
      <c r="BJ4" s="36">
        <f>IF(ISNA(VLOOKUP(A4,'Données projet'!$A$113:$I$133,4,0)),0,VLOOKUP(A4,'Données projet'!$A$113:$I$133,4,0))</f>
        <v>0</v>
      </c>
      <c r="BK4" s="37">
        <f>IF(ISNA(VLOOKUP(A4,'Données projet'!$A$113:$I$133,5,0)),0%,VLOOKUP(A4,'Données projet'!$A$113:$I$133,5,0)*VLOOKUP('Données projet'!$B$12,Paramètres!$A$1:$I$88,7,0))</f>
        <v>0</v>
      </c>
      <c r="BL4" s="37">
        <f>IF(ISNA(VLOOKUP(A4,'Données projet'!$A$113:$I$133,6,0)),0%,VLOOKUP(A4,'Données projet'!$A$113:$I$133,6,0)*VLOOKUP('Données projet'!$B$12,Paramètres!$A$1:$I$88,7,0))</f>
        <v>0</v>
      </c>
      <c r="BM4" s="37">
        <f>IF(ISNA(VLOOKUP(A4,'Données projet'!$A$113:$I$133,7,0)),0%,VLOOKUP(A4,'Données projet'!$A$113:$I$133,7,0))</f>
        <v>0</v>
      </c>
      <c r="BN4" s="45">
        <f>EXP(-LN(2)/35)*BN3+(1-EXP(-LN(2)/35))/(LN(2)/35)*BJ4*BK4*VLOOKUP('Données projet'!$B$9,Paramètres!$A$1:$I$88,3,0)*0.475*44/12</f>
        <v>0</v>
      </c>
      <c r="BO4" s="45">
        <f>EXP(-LN(2)/25)*BO3+(1-EXP(-LN(2)/25))/(LN(2)/25)*Calculateur!BJ4*Calculateur!BL4*VLOOKUP('Données projet'!$B$9,Paramètres!$A$1:$I$88,3,0)*0.475*44/12</f>
        <v>0</v>
      </c>
      <c r="BP4" s="45">
        <f>EXP(-LN(2)/2)*BP3+(1-EXP(-LN(2)/2))/(LN(2)/2)*BJ4*BM4*VLOOKUP('Données projet'!$B$9,Paramètres!$A$1:$I$88,3,0)*0.475*44/12</f>
        <v>0</v>
      </c>
      <c r="BQ4" s="46">
        <f t="shared" ref="BQ4:BQ67" si="7">SUM(BN4:BP4)</f>
        <v>0</v>
      </c>
      <c r="BR4" s="32" t="e">
        <f>VLOOKUP(A4,'Données projet'!$A$139:$I$159,2,0)</f>
        <v>#N/A</v>
      </c>
      <c r="BS4" s="33" t="e">
        <f>VLOOKUP(A4,'Données projet'!$A$139:$I$159,9,0)</f>
        <v>#N/A</v>
      </c>
      <c r="BT4" s="33">
        <f t="array" ref="BT4">INDEX(BS:BS,MIN(IF(ISNUMBER(BS4:BS200),ROW(BS4:BS200),"")))</f>
        <v>0</v>
      </c>
      <c r="BU4" s="33">
        <f>BU3+BT4-BZ3</f>
        <v>0</v>
      </c>
      <c r="BV4" s="38" t="e">
        <f>BU4*VLOOKUP('Données projet'!$B$13,Paramètres!$A$1:$I$88,3,0)*VLOOKUP('Données projet'!$B$13,Paramètres!$A$1:$I$88,5,0)</f>
        <v>#N/A</v>
      </c>
      <c r="BW4" s="34" t="e">
        <f>EXP(-1.0587+0.8836*LN(BV4)+0.284)</f>
        <v>#N/A</v>
      </c>
      <c r="BX4" s="44" t="e">
        <f t="shared" ref="BX4:BX67" si="8">(BV4+BW4)*0.475*44/12</f>
        <v>#N/A</v>
      </c>
      <c r="BY4" s="36">
        <f>IF(ISNA(VLOOKUP(A4,'Données projet'!$A$139:$I$159,3,0)),0,VLOOKUP(A4,'Données projet'!$A$139:$I$159,3,0))</f>
        <v>0</v>
      </c>
      <c r="BZ4" s="36">
        <f>IF(ISNA(VLOOKUP(A4,'Données projet'!$A$139:$I$159,4,0)),0,VLOOKUP(A4,'Données projet'!$A$139:$I$159,4,0))</f>
        <v>0</v>
      </c>
      <c r="CA4" s="37">
        <f>IF(ISNA(VLOOKUP(A4,'Données projet'!$A$139:$I$159,5,0)),0%,VLOOKUP(A4,'Données projet'!$A$139:$I$159,5,0)*VLOOKUP('Données projet'!$B$13,Paramètres!$A$1:$I$88,7,0))</f>
        <v>0</v>
      </c>
      <c r="CB4" s="37">
        <f>IF(ISNA(VLOOKUP(A4,'Données projet'!$A$139:$I$159,6,0)),0%,VLOOKUP(A4,'Données projet'!$A$139:$I$159,6,0)*VLOOKUP('Données projet'!$B$13,Paramètres!$A$1:$I$88,7,0))</f>
        <v>0</v>
      </c>
      <c r="CC4" s="37">
        <f>IF(ISNA(VLOOKUP(A4,'Données projet'!$A$139:$I$159,7,0)),0%,VLOOKUP(A4,'Données projet'!$A$139:$I$159,7,0))</f>
        <v>0</v>
      </c>
      <c r="CD4" s="45">
        <f>EXP(-LN(2)/35)*CD3+(1-EXP(-LN(2)/35))/(LN(2)/35)*BZ4*CA4*VLOOKUP('Données projet'!$B$9,Paramètres!$A$1:$I$88,3,0)*0.475*44/12</f>
        <v>0</v>
      </c>
      <c r="CE4" s="45">
        <f>EXP(-LN(2)/25)*CE3+(1-EXP(-LN(2)/25))/(LN(2)/25)*Calculateur!BZ4*Calculateur!CB4*VLOOKUP('Données projet'!$B$9,Paramètres!$A$1:$I$88,3,0)*0.475*44/12</f>
        <v>0</v>
      </c>
      <c r="CF4" s="45">
        <f>EXP(-LN(2)/2)*CF3+(1-EXP(-LN(2)/2))/(LN(2)/2)*BZ4*CC4*VLOOKUP('Données projet'!$B$9,Paramètres!$A$1:$I$88,3,0)*0.475*44/12</f>
        <v>0</v>
      </c>
      <c r="CG4" s="46">
        <f t="shared" ref="CG4:CG67" si="9">SUM(CD4:CF4)</f>
        <v>0</v>
      </c>
      <c r="CH4" s="32" t="e">
        <f>VLOOKUP(A4,'Données projet'!$A$165:$I$185,2,0)</f>
        <v>#N/A</v>
      </c>
      <c r="CI4" s="33" t="e">
        <f>VLOOKUP(A4,'Données projet'!$A$165:$I$185,9,0)</f>
        <v>#N/A</v>
      </c>
      <c r="CJ4" s="33">
        <f t="array" ref="CJ4">INDEX(CI:CI,MIN(IF(ISNUMBER(CI4:CI200),ROW(CI4:CI200),"")))</f>
        <v>0</v>
      </c>
      <c r="CK4" s="33">
        <f>CK3+CJ4-CP3</f>
        <v>0</v>
      </c>
      <c r="CL4" s="38" t="e">
        <f>CK4*VLOOKUP('Données projet'!$B$14,Paramètres!$A$1:$I$88,3,0)*VLOOKUP('Données projet'!$B$14,Paramètres!$A$1:$I$88,5,0)</f>
        <v>#N/A</v>
      </c>
      <c r="CM4" s="34" t="e">
        <f>EXP(-1.0587+0.8836*LN(CL4)+0.284)</f>
        <v>#N/A</v>
      </c>
      <c r="CN4" s="44" t="e">
        <f t="shared" ref="CN4:CN67" si="10">(CL4+CM4)*0.475*44/12</f>
        <v>#N/A</v>
      </c>
      <c r="CO4" s="36">
        <f>IF(ISNA(VLOOKUP(A4,'Données projet'!$A$165:$I$185,3,0)),0,VLOOKUP(A4,'Données projet'!$A$165:$I$185,3,0))</f>
        <v>0</v>
      </c>
      <c r="CP4" s="36">
        <f>IF(ISNA(VLOOKUP(A4,'Données projet'!$A$165:$I$185,4,0)),0,VLOOKUP(A4,'Données projet'!$A$165:$I$185,4,0))</f>
        <v>0</v>
      </c>
      <c r="CQ4" s="37">
        <f>IF(ISNA(VLOOKUP(A4,'Données projet'!$A$165:$I$185,5,0)),0%,VLOOKUP(A4,'Données projet'!$A$165:$I$185,5,0)*VLOOKUP('Données projet'!$B$14,Paramètres!$A$1:$I$88,7,0))</f>
        <v>0</v>
      </c>
      <c r="CR4" s="37">
        <f>IF(ISNA(VLOOKUP(A4,'Données projet'!$A$165:$I$185,6,0)),0%,VLOOKUP(A4,'Données projet'!$A$165:$I$185,6,0)*VLOOKUP('Données projet'!$B$14,Paramètres!$A$1:$I$88,7,0))</f>
        <v>0</v>
      </c>
      <c r="CS4" s="37">
        <f>IF(ISNA(VLOOKUP(A4,'Données projet'!$A$165:$I$185,7,0)),0%,VLOOKUP(A4,'Données projet'!$A$165:$I$185,7,0))</f>
        <v>0</v>
      </c>
      <c r="CT4" s="45">
        <f>EXP(-LN(2)/35)*CT3+(1-EXP(-LN(2)/35))/(LN(2)/35)*CP4*CQ4*VLOOKUP('Données projet'!$B$9,Paramètres!$A$1:$I$88,3,0)*0.475*44/12</f>
        <v>0</v>
      </c>
      <c r="CU4" s="45">
        <f>EXP(-LN(2)/25)*CU3+(1-EXP(-LN(2)/25))/(LN(2)/25)*Calculateur!CP4*Calculateur!CR4*VLOOKUP('Données projet'!$B$9,Paramètres!$A$1:$I$88,3,0)*0.475*44/12</f>
        <v>0</v>
      </c>
      <c r="CV4" s="45">
        <f>EXP(-LN(2)/2)*CV3+(1-EXP(-LN(2)/2))/(LN(2)/2)*CP4*CS4*VLOOKUP('Données projet'!$B$9,Paramètres!$A$1:$I$88,3,0)*0.475*44/12</f>
        <v>0</v>
      </c>
      <c r="CW4" s="46">
        <f t="shared" ref="CW4:CW67" si="11">SUM(CT4:CV4)</f>
        <v>0</v>
      </c>
      <c r="CX4" s="32" t="e">
        <f>VLOOKUP(A4,'Données projet'!$A$191:$I$211,2,0)</f>
        <v>#N/A</v>
      </c>
      <c r="CY4" s="33" t="e">
        <f>VLOOKUP(A4,'Données projet'!$A$191:$I$211,9,0)</f>
        <v>#N/A</v>
      </c>
      <c r="CZ4" s="33">
        <f t="array" ref="CZ4">INDEX(CY:CY,MIN(IF(ISNUMBER(CY4:CY200),ROW(CY4:CY200),"")))</f>
        <v>0</v>
      </c>
      <c r="DA4" s="33">
        <f>DA3+CZ4-DF3</f>
        <v>0</v>
      </c>
      <c r="DB4" s="38" t="e">
        <f>DA4*VLOOKUP('Données projet'!$B$15,Paramètres!$A$1:$I$88,3,0)*VLOOKUP('Données projet'!$B$15,Paramètres!$A$1:$I$88,5,0)</f>
        <v>#N/A</v>
      </c>
      <c r="DC4" s="34" t="e">
        <f>EXP(-1.0587+0.8836*LN(DB4)+0.284)</f>
        <v>#N/A</v>
      </c>
      <c r="DD4" s="44" t="e">
        <f t="shared" ref="DD4:DD67" si="12">(DB4+DC4)*0.475*44/12</f>
        <v>#N/A</v>
      </c>
      <c r="DE4" s="36">
        <f>IF(ISNA(VLOOKUP(A4,'Données projet'!$A$191:$I$211,3,0)),0,VLOOKUP(A4,'Données projet'!$A$191:$I$211,3,0))</f>
        <v>0</v>
      </c>
      <c r="DF4" s="36">
        <f>IF(ISNA(VLOOKUP(A4,'Données projet'!$A$191:$I$211,4,0)),0,VLOOKUP(A4,'Données projet'!$A$191:$I$211,4,0))</f>
        <v>0</v>
      </c>
      <c r="DG4" s="37">
        <f>IF(ISNA(VLOOKUP(A4,'Données projet'!$A$191:$I$211,5,0)),0%,VLOOKUP(A4,'Données projet'!$A$191:$I$211,5,0)*VLOOKUP('Données projet'!$B$15,Paramètres!$A$1:$I$88,7,0))</f>
        <v>0</v>
      </c>
      <c r="DH4" s="37">
        <f>IF(ISNA(VLOOKUP(A4,'Données projet'!$A$191:$I$211,6,0)),0%,VLOOKUP(A4,'Données projet'!$A$191:$I$211,6,0)*VLOOKUP('Données projet'!$B$15,Paramètres!$A$1:$I$88,7,0))</f>
        <v>0</v>
      </c>
      <c r="DI4" s="37">
        <f>IF(ISNA(VLOOKUP(A4,'Données projet'!$A$191:$I$211,7,0)),0%,VLOOKUP(A4,'Données projet'!$A$191:$I$211,7,0))</f>
        <v>0</v>
      </c>
      <c r="DJ4" s="45">
        <f>EXP(-LN(2)/35)*DJ3+(1-EXP(-LN(2)/35))/(LN(2)/35)*DF4*DG4*VLOOKUP('Données projet'!$B$9,Paramètres!$A$1:$I$88,3,0)*0.475*44/12</f>
        <v>0</v>
      </c>
      <c r="DK4" s="45">
        <f>EXP(-LN(2)/25)*DK3+(1-EXP(-LN(2)/25))/(LN(2)/25)*Calculateur!DF4*Calculateur!DH4*VLOOKUP('Données projet'!$B$9,Paramètres!$A$1:$I$88,3,0)*0.475*44/12</f>
        <v>0</v>
      </c>
      <c r="DL4" s="45">
        <f>EXP(-LN(2)/2)*DL3+(1-EXP(-LN(2)/2))/(LN(2)/2)*DF4*DI4*VLOOKUP('Données projet'!$B$9,Paramètres!$A$1:$I$88,3,0)*0.475*44/12</f>
        <v>0</v>
      </c>
      <c r="DM4" s="46">
        <f t="shared" ref="DM4:DM67" si="13">SUM(DJ4:DL4)</f>
        <v>0</v>
      </c>
      <c r="DN4" s="32" t="e">
        <f>VLOOKUP(A4,'Données projet'!$A$217:$I$237,2,0)</f>
        <v>#N/A</v>
      </c>
      <c r="DO4" s="33" t="e">
        <f>VLOOKUP(A4,'Données projet'!$A$217:$I$237,9,0)</f>
        <v>#N/A</v>
      </c>
      <c r="DP4" s="33">
        <f t="array" ref="DP4">INDEX(DO:DO,MIN(IF(ISNUMBER(DO4:DO200),ROW(DO4:DO200),"")))</f>
        <v>0</v>
      </c>
      <c r="DQ4" s="33">
        <f>DQ3+DP4-DV3</f>
        <v>0</v>
      </c>
      <c r="DR4" s="38" t="e">
        <f>DQ4*VLOOKUP('Données projet'!$B$16,Paramètres!$A$1:$I$88,3,0)*VLOOKUP('Données projet'!$B$16,Paramètres!$A$1:$I$88,5,0)</f>
        <v>#N/A</v>
      </c>
      <c r="DS4" s="34" t="e">
        <f>EXP(-1.0587+0.8836*LN(DR4)+0.284)</f>
        <v>#N/A</v>
      </c>
      <c r="DT4" s="44" t="e">
        <f t="shared" ref="DT4:DT67" si="14">(DR4+DS4)*0.475*44/12</f>
        <v>#N/A</v>
      </c>
      <c r="DU4" s="36">
        <f>IF(ISNA(VLOOKUP(A4,'Données projet'!$A$217:$I$237,3,0)),0,VLOOKUP(A4,'Données projet'!$A$217:$I$237,3,0))</f>
        <v>0</v>
      </c>
      <c r="DV4" s="36">
        <f>IF(ISNA(VLOOKUP(A4,'Données projet'!$A$217:$I$237,4,0)),0,VLOOKUP(A4,'Données projet'!$A$217:$I$237,4,0))</f>
        <v>0</v>
      </c>
      <c r="DW4" s="37">
        <f>IF(ISNA(VLOOKUP(A4,'Données projet'!$A$217:$I$237,5,0)),0%,VLOOKUP(A4,'Données projet'!$A$217:$I$237,5,0)*VLOOKUP('Données projet'!$B$16,Paramètres!$A$1:$I$88,7,0))</f>
        <v>0</v>
      </c>
      <c r="DX4" s="37">
        <f>IF(ISNA(VLOOKUP(A4,'Données projet'!$A$217:$I$237,6,0)),0%,VLOOKUP(A4,'Données projet'!$A$217:$I$237,6,0)*VLOOKUP('Données projet'!$B$16,Paramètres!$A$1:$I$88,7,0))</f>
        <v>0</v>
      </c>
      <c r="DY4" s="37">
        <f>IF(ISNA(VLOOKUP(A4,'Données projet'!$A$217:$I$237,7,0)),0%,VLOOKUP(A4,'Données projet'!$A$217:$I$237,7,0))</f>
        <v>0</v>
      </c>
      <c r="DZ4" s="45">
        <f>EXP(-LN(2)/35)*DZ3+(1-EXP(-LN(2)/35))/(LN(2)/35)*DV4*DW4*VLOOKUP('Données projet'!$B$9,Paramètres!$A$1:$I$88,3,0)*0.475*44/12</f>
        <v>0</v>
      </c>
      <c r="EA4" s="45">
        <f>EXP(-LN(2)/25)*EA3+(1-EXP(-LN(2)/25))/(LN(2)/25)*Calculateur!DV4*Calculateur!DX4*VLOOKUP('Données projet'!$B$9,Paramètres!$A$1:$I$88,3,0)*0.475*44/12</f>
        <v>0</v>
      </c>
      <c r="EB4" s="45">
        <f>EXP(-LN(2)/2)*EB3+(1-EXP(-LN(2)/2))/(LN(2)/2)*DV4*DY4*VLOOKUP('Données projet'!$B$9,Paramètres!$A$1:$I$88,3,0)*0.475*44/12</f>
        <v>0</v>
      </c>
      <c r="EC4" s="46">
        <f t="shared" ref="EC4:EC67" si="15">SUM(DZ4:EB4)</f>
        <v>0</v>
      </c>
      <c r="ED4" s="32" t="e">
        <f>VLOOKUP(A4,'Données projet'!$A$243:$I$263,2,0)</f>
        <v>#N/A</v>
      </c>
      <c r="EE4" s="33" t="e">
        <f>VLOOKUP(A4,'Données projet'!$A$243:$I$263,9,0)</f>
        <v>#N/A</v>
      </c>
      <c r="EF4" s="33">
        <f t="array" ref="EF4">INDEX(EE:EE,MIN(IF(ISNUMBER(EE4:EE200),ROW(EE4:EE200),"")))</f>
        <v>0</v>
      </c>
      <c r="EG4" s="33">
        <f>EG3+EF4-EL3</f>
        <v>0</v>
      </c>
      <c r="EH4" s="38" t="e">
        <f>EG4*VLOOKUP('Données projet'!$B$17,Paramètres!$A$1:$I$88,3,0)*VLOOKUP('Données projet'!$B$17,Paramètres!$A$1:$I$88,5,0)</f>
        <v>#N/A</v>
      </c>
      <c r="EI4" s="34" t="e">
        <f>EXP(-1.0587+0.8836*LN(EH4)+0.284)</f>
        <v>#N/A</v>
      </c>
      <c r="EJ4" s="44" t="e">
        <f t="shared" ref="EJ4:EJ67" si="16">(EH4+EI4)*0.475*44/12</f>
        <v>#N/A</v>
      </c>
      <c r="EK4" s="36">
        <f>IF(ISNA(VLOOKUP(A4,'Données projet'!$A$243:$I$263,3,0)),0,VLOOKUP(A4,'Données projet'!$A$243:$I$263,3,0))</f>
        <v>0</v>
      </c>
      <c r="EL4" s="36">
        <f>IF(ISNA(VLOOKUP(A4,'Données projet'!$A$243:$I$263,4,0)),0,VLOOKUP(A4,'Données projet'!$A$243:$I$263,4,0))</f>
        <v>0</v>
      </c>
      <c r="EM4" s="37">
        <f>IF(ISNA(VLOOKUP(A4,'Données projet'!$A$243:$I$263,5,0)),0%,VLOOKUP(A4,'Données projet'!$A$243:$I$263,5,0)*VLOOKUP('Données projet'!$B$17,Paramètres!$A$1:$I$88,7,0))</f>
        <v>0</v>
      </c>
      <c r="EN4" s="37">
        <f>IF(ISNA(VLOOKUP(A4,'Données projet'!$A$243:$I$263,6,0)),0%,VLOOKUP(A4,'Données projet'!$A$243:$I$263,6,0)*VLOOKUP('Données projet'!$B$17,Paramètres!$A$1:$I$88,7,0))</f>
        <v>0</v>
      </c>
      <c r="EO4" s="37">
        <f>IF(ISNA(VLOOKUP(A4,'Données projet'!$A$243:$I$263,7,0)),0%,VLOOKUP(A4,'Données projet'!$A$243:$I$263,7,0))</f>
        <v>0</v>
      </c>
      <c r="EP4" s="45">
        <f>EXP(-LN(2)/35)*EP3+(1-EXP(-LN(2)/35))/(LN(2)/35)*EL4*EM4*VLOOKUP('Données projet'!$B$9,Paramètres!$A$1:$I$88,3,0)*0.475*44/12</f>
        <v>0</v>
      </c>
      <c r="EQ4" s="45">
        <f>EXP(-LN(2)/25)*EQ3+(1-EXP(-LN(2)/25))/(LN(2)/25)*Calculateur!EL4*Calculateur!EN4*VLOOKUP('Données projet'!$B$9,Paramètres!$A$1:$I$88,3,0)*0.475*44/12</f>
        <v>0</v>
      </c>
      <c r="ER4" s="45">
        <f>EXP(-LN(2)/2)*ER3+(1-EXP(-LN(2)/2))/(LN(2)/2)*EL4*EO4*VLOOKUP('Données projet'!$B$9,Paramètres!$A$1:$I$88,3,0)*0.475*44/12</f>
        <v>0</v>
      </c>
      <c r="ES4" s="46">
        <f t="shared" ref="ES4:ES67" si="17">SUM(EP4:ER4)</f>
        <v>0</v>
      </c>
      <c r="ET4" s="32" t="e">
        <f>VLOOKUP(A4,'Données projet'!$A$269:$I$289,2,0)</f>
        <v>#N/A</v>
      </c>
      <c r="EU4" s="33" t="e">
        <f>VLOOKUP(A4,'Données projet'!$A$269:$I$289,9,0)</f>
        <v>#N/A</v>
      </c>
      <c r="EV4" s="33">
        <f t="array" ref="EV4">INDEX(EU:EU,MIN(IF(ISNUMBER(EU4:EU200),ROW(EU4:EU200),"")))</f>
        <v>0</v>
      </c>
      <c r="EW4" s="33">
        <f>EW3+EV4-FB3</f>
        <v>0</v>
      </c>
      <c r="EX4" s="38" t="e">
        <f>EW4*VLOOKUP('Données projet'!$B$18,Paramètres!$A$1:$I$88,3,0)*VLOOKUP('Données projet'!$B$18,Paramètres!$A$1:$I$88,5,0)</f>
        <v>#N/A</v>
      </c>
      <c r="EY4" s="34" t="e">
        <f>EXP(-1.0587+0.8836*LN(EX4)+0.284)</f>
        <v>#N/A</v>
      </c>
      <c r="EZ4" s="44" t="e">
        <f t="shared" ref="EZ4:EZ67" si="18">(EX4+EY4)*0.475*44/12</f>
        <v>#N/A</v>
      </c>
      <c r="FA4" s="36">
        <f>IF(ISNA(VLOOKUP(A4,'Données projet'!$A$269:$I$289,3,0)),0,VLOOKUP(A4,'Données projet'!$A$269:$I$289,3,0))</f>
        <v>0</v>
      </c>
      <c r="FB4" s="36">
        <f>IF(ISNA(VLOOKUP(A4,'Données projet'!$A$269:$I$289,4,0)),0,VLOOKUP(A4,'Données projet'!$A$269:$I$289,4,0))</f>
        <v>0</v>
      </c>
      <c r="FC4" s="37">
        <f>IF(ISNA(VLOOKUP(A4,'Données projet'!$A$269:$I$289,5,0)),0%,VLOOKUP(A4,'Données projet'!$A$269:$I$289,5,0)*VLOOKUP('Données projet'!$B$18,Paramètres!$A$1:$I$88,7,0))</f>
        <v>0</v>
      </c>
      <c r="FD4" s="37">
        <f>IF(ISNA(VLOOKUP(A4,'Données projet'!$A$269:$I$289,6,0)),0%,VLOOKUP(A4,'Données projet'!$A$269:$I$289,6,0)*VLOOKUP('Données projet'!$B$18,Paramètres!$A$1:$I$88,7,0))</f>
        <v>0</v>
      </c>
      <c r="FE4" s="37">
        <f>IF(ISNA(VLOOKUP(A4,'Données projet'!$A$269:$I$289,7,0)),0%,VLOOKUP(A4,'Données projet'!$A$269:$I$289,7,0))</f>
        <v>0</v>
      </c>
      <c r="FF4" s="45">
        <f>EXP(-LN(2)/35)*FF3+(1-EXP(-LN(2)/35))/(LN(2)/35)*FB4*FC4*VLOOKUP('Données projet'!$B$9,Paramètres!$A$1:$I$88,3,0)*0.475*44/12</f>
        <v>0</v>
      </c>
      <c r="FG4" s="45">
        <f>EXP(-LN(2)/25)*FG3+(1-EXP(-LN(2)/25))/(LN(2)/25)*Calculateur!FB4*Calculateur!FD4*VLOOKUP('Données projet'!$B$9,Paramètres!$A$1:$I$88,3,0)*0.475*44/12</f>
        <v>0</v>
      </c>
      <c r="FH4" s="45">
        <f>EXP(-LN(2)/2)*FH3+(1-EXP(-LN(2)/2))/(LN(2)/2)*FB4*FE4*VLOOKUP('Données projet'!$B$9,Paramètres!$A$1:$I$88,3,0)*0.475*44/12</f>
        <v>0</v>
      </c>
      <c r="FI4" s="46">
        <f t="shared" ref="FI4:FI67" si="19">SUM(FF4:FH4)</f>
        <v>0</v>
      </c>
    </row>
    <row r="5" spans="1:165" x14ac:dyDescent="0.25">
      <c r="A5" s="24">
        <f t="shared" ref="A5:A68" si="20">A4+1</f>
        <v>2</v>
      </c>
      <c r="B5" s="25">
        <f>IF('Scénario référence'!$N$1=1,5,0)</f>
        <v>0</v>
      </c>
      <c r="C5" s="40">
        <f>IF(OR('Scénario référence'!$N$1=2,'Scénario référence'!$N$1=4),C4+1*VLOOKUP('Scénario référence'!$G$14,Paramètres!$A$1:$I$88,3,0)*VLOOKUP('Scénario référence'!$G$14,Paramètres!$A$1:$I$88,5,0),IF(OR('Scénario référence'!$N$1=3,'Scénario référence'!$N$1=5),C4+0.5*VLOOKUP('Scénario référence'!$G$14,Paramètres!$A$1:$I$88,3,0)*VLOOKUP('Scénario référence'!$G$14,Paramètres!$A$1:$I$88,5,0),0))</f>
        <v>1.0920000000000001</v>
      </c>
      <c r="D5" s="26">
        <f t="shared" ref="D5:D68" si="21">IFERROR(EXP(-1.0587+0.8836*LN(C5)+0.284),0)</f>
        <v>0.49811037558348636</v>
      </c>
      <c r="E5" s="27">
        <f>IF('Scénario référence'!$N$1=1,B5*44/12,(C5+D5)*0.475*44/12)</f>
        <v>2.7694422374745717</v>
      </c>
      <c r="F5" s="28" t="e">
        <f>VLOOKUP(A5,'Données projet'!$A$35:$I$55,2,0)</f>
        <v>#N/A</v>
      </c>
      <c r="G5" s="28" t="e">
        <f>VLOOKUP(A5,'Données projet'!$A$35:$I$55,9,0)</f>
        <v>#N/A</v>
      </c>
      <c r="H5" s="33">
        <f t="array" ref="H5">INDEX(G:G,MIN(IF(ISNUMBER(G5:G201),ROW(G5:G201),"")))</f>
        <v>2.1</v>
      </c>
      <c r="I5" s="28">
        <f t="shared" ref="I5:I68" si="22">I4+H5-N4</f>
        <v>4.2</v>
      </c>
      <c r="J5" s="41">
        <f>I5*VLOOKUP('Données projet'!$B$9,Paramètres!$A$1:$I$88,3,0)*VLOOKUP('Données projet'!$B$9,Paramètres!$A$1:$I$88,5,0)</f>
        <v>4.2588000000000008</v>
      </c>
      <c r="K5" s="41">
        <f t="shared" ref="K5:K68" si="23">EXP(-1.0587+0.8836*LN(J5)+0.284)</f>
        <v>1.6580219468257464</v>
      </c>
      <c r="L5" s="42">
        <f t="shared" si="0"/>
        <v>10.305131557388178</v>
      </c>
      <c r="M5" s="30">
        <f>IF(ISNA(VLOOKUP(A5,'Données projet'!$A$35:$I$55,3,0)),0,VLOOKUP(A5,'Données projet'!$A$35:$I$55,3,0))</f>
        <v>0</v>
      </c>
      <c r="N5" s="30">
        <f>IF(ISNA(VLOOKUP(A5,'Données projet'!$A$35:$I$55,4,0)),0,VLOOKUP(A5,'Données projet'!$A$35:$I$55,4,0))</f>
        <v>0</v>
      </c>
      <c r="O5" s="31">
        <f>IF(ISNA(VLOOKUP(A5,'Données projet'!$A$35:$I$55,5,0)),0%,VLOOKUP(A5,'Données projet'!$A$35:$I$55,5,0)*VLOOKUP('Données projet'!$B$9,Paramètres!$A$1:$I$88,7,0))</f>
        <v>0</v>
      </c>
      <c r="P5" s="31">
        <f>IF(ISNA(VLOOKUP(A5,'Données projet'!$A$35:$I$55,6,0)),0%,VLOOKUP(A5,'Données projet'!$A$35:$I$55,6,0)*VLOOKUP('Données projet'!$B$9,Paramètres!$A$1:$I$88,7,0))</f>
        <v>0</v>
      </c>
      <c r="Q5" s="31">
        <f>IF(ISNA(VLOOKUP(A5,'Données projet'!$A$35:$I$55,7,0)),0%,VLOOKUP(A5,'Données projet'!$A$35:$I$55,7,0))</f>
        <v>0</v>
      </c>
      <c r="R5" s="43">
        <f>EXP(-LN(2)/35)*R4+(1-EXP(-LN(2)/35))/(LN(2)/35)*N5*O5*VLOOKUP('Données projet'!$B$9,Paramètres!$A$1:$I$88,3,0)*0.475*44/12</f>
        <v>0</v>
      </c>
      <c r="S5" s="43">
        <f>EXP(-LN(2)/25)*S4+(1-EXP(-LN(2)/25))/(LN(2)/25)*Calculateur!N5*Calculateur!P5*VLOOKUP('Données projet'!$B$9,Paramètres!$A$1:$I$88,3,0)*0.475*44/12</f>
        <v>0</v>
      </c>
      <c r="T5" s="43">
        <f>EXP(-LN(2)/2)*T4+(1-EXP(-LN(2)/2))/(LN(2)/2)*N5*Q5*VLOOKUP('Données projet'!$B$9,Paramètres!$A$1:$I$88,3,0)*0.475*44/12</f>
        <v>0</v>
      </c>
      <c r="U5" s="43">
        <f t="shared" si="1"/>
        <v>0</v>
      </c>
      <c r="V5" s="32" t="e">
        <f>VLOOKUP(A5,'Données projet'!$A$61:$I$81,2,0)</f>
        <v>#N/A</v>
      </c>
      <c r="W5" s="33" t="e">
        <f>VLOOKUP(A5,'Données projet'!$A$61:$I$81,9,0)</f>
        <v>#N/A</v>
      </c>
      <c r="X5" s="33">
        <f t="array" ref="X5">INDEX(W:W,MIN(IF(ISNUMBER(W5:W201),ROW(W5:W201),"")))</f>
        <v>0</v>
      </c>
      <c r="Y5" s="33">
        <f t="shared" ref="Y5:Y68" si="24">Y4+X5-AD4</f>
        <v>0</v>
      </c>
      <c r="Z5" s="34" t="e">
        <f>Y5*VLOOKUP('Données projet'!$B$10,Paramètres!$A$1:$I$88,3,0)*VLOOKUP('Données projet'!$B$10,Paramètres!$A$1:$I$88,5,0)</f>
        <v>#N/A</v>
      </c>
      <c r="AA5" s="34" t="e">
        <f t="shared" ref="AA5:AA68" si="25">EXP(-1.0587+0.8836*LN(Z5)+0.284)</f>
        <v>#N/A</v>
      </c>
      <c r="AB5" s="44" t="e">
        <f t="shared" si="2"/>
        <v>#N/A</v>
      </c>
      <c r="AC5" s="36">
        <f>IF(ISNA(VLOOKUP(A5,'Données projet'!$A$61:$I$81,3,0)),0,VLOOKUP(A5,'Données projet'!$A$61:$I$81,3,0))</f>
        <v>0</v>
      </c>
      <c r="AD5" s="36">
        <f>IF(ISNA(VLOOKUP(A5,'Données projet'!$A$61:$I$81,4,0)),0,VLOOKUP(A5,'Données projet'!$A$61:$I$81,4,0))</f>
        <v>0</v>
      </c>
      <c r="AE5" s="37">
        <f>IF(ISNA(VLOOKUP(A5,'Données projet'!$A$61:$I$81,5,0)),0%,VLOOKUP(A5,'Données projet'!$A$61:$I$81,5,0)*VLOOKUP('Données projet'!$B$10,Paramètres!$A$1:$I$88,7,0))</f>
        <v>0</v>
      </c>
      <c r="AF5" s="37">
        <f>IF(ISNA(VLOOKUP(A5,'Données projet'!$A$61:$I$81,6,0)),0%,VLOOKUP(A5,'Données projet'!$A$61:$I$81,6,0)*VLOOKUP('Données projet'!$B$10,Paramètres!$A$1:$I$88,7,0))</f>
        <v>0</v>
      </c>
      <c r="AG5" s="37">
        <f>IF(ISNA(VLOOKUP(A5,'Données projet'!$A$61:$I$81,7,0)),0%,VLOOKUP(A5,'Données projet'!$A$61:$I$81,7,0))</f>
        <v>0</v>
      </c>
      <c r="AH5" s="45">
        <f>EXP(-LN(2)/35)*AH4+(1-EXP(-LN(2)/35))/(LN(2)/35)*AD5*AE5*VLOOKUP('Données projet'!$B$9,Paramètres!$A$1:$I$88,3,0)*0.475*44/12</f>
        <v>0</v>
      </c>
      <c r="AI5" s="45">
        <f>EXP(-LN(2)/25)*AI4+(1-EXP(-LN(2)/25))/(LN(2)/25)*Calculateur!AD5*Calculateur!AF5*VLOOKUP('Données projet'!$B$9,Paramètres!$A$1:$I$88,3,0)*0.475*44/12</f>
        <v>0</v>
      </c>
      <c r="AJ5" s="45">
        <f>EXP(-LN(2)/2)*AJ4+(1-EXP(-LN(2)/2))/(LN(2)/2)*AD5*AG5*VLOOKUP('Données projet'!$B$9,Paramètres!$A$1:$I$88,3,0)*0.475*44/12</f>
        <v>0</v>
      </c>
      <c r="AK5" s="45">
        <f t="shared" si="3"/>
        <v>0</v>
      </c>
      <c r="AL5" s="32" t="e">
        <f>VLOOKUP(A5,'Données projet'!$A$87:$I$107,2,0)</f>
        <v>#N/A</v>
      </c>
      <c r="AM5" s="33" t="e">
        <f>VLOOKUP(A5,'Données projet'!$A$87:$I$107,9,0)</f>
        <v>#N/A</v>
      </c>
      <c r="AN5" s="33">
        <f t="array" ref="AN5">INDEX(AM:AM,MIN(IF(ISNUMBER(AM5:AM201),ROW(AM5:AM201),"")))</f>
        <v>0</v>
      </c>
      <c r="AO5" s="33">
        <f t="shared" ref="AO5:AO68" si="26">AO4+AN5-AT4</f>
        <v>0</v>
      </c>
      <c r="AP5" s="34" t="e">
        <f>AO5*VLOOKUP('Données projet'!$B$11,Paramètres!$A$1:$I$88,3,0)*VLOOKUP('Données projet'!$B$11,Paramètres!$A$1:$I$88,5,0)</f>
        <v>#N/A</v>
      </c>
      <c r="AQ5" s="34" t="e">
        <f t="shared" ref="AQ5:AQ68" si="27">EXP(-1.0587+0.8836*LN(AP5)+0.284)</f>
        <v>#N/A</v>
      </c>
      <c r="AR5" s="44" t="e">
        <f t="shared" si="4"/>
        <v>#N/A</v>
      </c>
      <c r="AS5" s="36">
        <f>IF(ISNA(VLOOKUP(A5,'Données projet'!$A$87:$I$107,3,0)),0,VLOOKUP(A5,'Données projet'!$A$87:$I$107,3,0))</f>
        <v>0</v>
      </c>
      <c r="AT5" s="36">
        <f>IF(ISNA(VLOOKUP(A5,'Données projet'!$A$87:$I$107,4,0)),0,VLOOKUP(A5,'Données projet'!$A$87:$I$107,4,0))</f>
        <v>0</v>
      </c>
      <c r="AU5" s="37">
        <f>IF(ISNA(VLOOKUP(A5,'Données projet'!$A$87:$I$107,5,0)),0%,VLOOKUP(A5,'Données projet'!$A$87:$I$107,5,0)*VLOOKUP('Données projet'!$B$11,Paramètres!$A$1:$I$88,7,0))</f>
        <v>0</v>
      </c>
      <c r="AV5" s="37">
        <f>IF(ISNA(VLOOKUP(A5,'Données projet'!$A$87:$I$107,6,0)),0%,VLOOKUP(A5,'Données projet'!$A$87:$I$107,6,0)*VLOOKUP('Données projet'!$B$11,Paramètres!$A$1:$I$88,7,0))</f>
        <v>0</v>
      </c>
      <c r="AW5" s="37">
        <f>IF(ISNA(VLOOKUP(A5,'Données projet'!$A$87:$I$107,7,0)),0%,VLOOKUP(A5,'Données projet'!$A$87:$I$107,7,0))</f>
        <v>0</v>
      </c>
      <c r="AX5" s="45">
        <f>EXP(-LN(2)/35)*AX4+(1-EXP(-LN(2)/35))/(LN(2)/35)*AT5*AU5*VLOOKUP('Données projet'!$B$9,Paramètres!$A$1:$I$88,3,0)*0.475*44/12</f>
        <v>0</v>
      </c>
      <c r="AY5" s="45">
        <f>EXP(-LN(2)/25)*AY4+(1-EXP(-LN(2)/25))/(LN(2)/25)*Calculateur!AT5*Calculateur!AV5*VLOOKUP('Données projet'!$B$9,Paramètres!$A$1:$I$88,3,0)*0.475*44/12</f>
        <v>0</v>
      </c>
      <c r="AZ5" s="45">
        <f>EXP(-LN(2)/2)*AZ4+(1-EXP(-LN(2)/2))/(LN(2)/2)*AT5*AW5*VLOOKUP('Données projet'!$B$9,Paramètres!$A$1:$I$88,3,0)*0.475*44/12</f>
        <v>0</v>
      </c>
      <c r="BA5" s="46">
        <f t="shared" si="5"/>
        <v>0</v>
      </c>
      <c r="BB5" s="32" t="e">
        <f>VLOOKUP(A5,'Données projet'!$A$113:$I$133,2,0)</f>
        <v>#N/A</v>
      </c>
      <c r="BC5" s="33" t="e">
        <f>VLOOKUP(A5,'Données projet'!$A$113:$I$133,9,0)</f>
        <v>#N/A</v>
      </c>
      <c r="BD5" s="33">
        <f t="array" ref="BD5">INDEX(BC:BC,MIN(IF(ISNUMBER(BC5:BC201),ROW(BC5:BC201),"")))</f>
        <v>0</v>
      </c>
      <c r="BE5" s="33">
        <f t="shared" ref="BE5:BE68" si="28">BE4+BD5-BJ4</f>
        <v>0</v>
      </c>
      <c r="BF5" s="34" t="e">
        <f>BE5*VLOOKUP('Données projet'!$B$12,Paramètres!$A$1:$I$88,3,0)*VLOOKUP('Données projet'!$B$12,Paramètres!$A$1:$I$88,5,0)</f>
        <v>#N/A</v>
      </c>
      <c r="BG5" s="34" t="e">
        <f t="shared" ref="BG5:BG68" si="29">EXP(-1.0587+0.8836*LN(BF5)+0.284)</f>
        <v>#N/A</v>
      </c>
      <c r="BH5" s="44" t="e">
        <f t="shared" si="6"/>
        <v>#N/A</v>
      </c>
      <c r="BI5" s="36">
        <f>IF(ISNA(VLOOKUP(A5,'Données projet'!$A$113:$I$133,3,0)),0,VLOOKUP(A5,'Données projet'!$A$113:$I$133,3,0))</f>
        <v>0</v>
      </c>
      <c r="BJ5" s="36">
        <f>IF(ISNA(VLOOKUP(A5,'Données projet'!$A$113:$I$133,4,0)),0,VLOOKUP(A5,'Données projet'!$A$113:$I$133,4,0))</f>
        <v>0</v>
      </c>
      <c r="BK5" s="37">
        <f>IF(ISNA(VLOOKUP(A5,'Données projet'!$A$113:$I$133,5,0)),0%,VLOOKUP(A5,'Données projet'!$A$113:$I$133,5,0)*VLOOKUP('Données projet'!$B$12,Paramètres!$A$1:$I$88,7,0))</f>
        <v>0</v>
      </c>
      <c r="BL5" s="37">
        <f>IF(ISNA(VLOOKUP(A5,'Données projet'!$A$113:$I$133,6,0)),0%,VLOOKUP(A5,'Données projet'!$A$113:$I$133,6,0)*VLOOKUP('Données projet'!$B$12,Paramètres!$A$1:$I$88,7,0))</f>
        <v>0</v>
      </c>
      <c r="BM5" s="37">
        <f>IF(ISNA(VLOOKUP(A5,'Données projet'!$A$113:$I$133,7,0)),0%,VLOOKUP(A5,'Données projet'!$A$113:$I$133,7,0))</f>
        <v>0</v>
      </c>
      <c r="BN5" s="45">
        <f>EXP(-LN(2)/35)*BN4+(1-EXP(-LN(2)/35))/(LN(2)/35)*BJ5*BK5*VLOOKUP('Données projet'!$B$9,Paramètres!$A$1:$I$88,3,0)*0.475*44/12</f>
        <v>0</v>
      </c>
      <c r="BO5" s="45">
        <f>EXP(-LN(2)/25)*BO4+(1-EXP(-LN(2)/25))/(LN(2)/25)*Calculateur!BJ5*Calculateur!BL5*VLOOKUP('Données projet'!$B$9,Paramètres!$A$1:$I$88,3,0)*0.475*44/12</f>
        <v>0</v>
      </c>
      <c r="BP5" s="45">
        <f>EXP(-LN(2)/2)*BP4+(1-EXP(-LN(2)/2))/(LN(2)/2)*BJ5*BM5*VLOOKUP('Données projet'!$B$9,Paramètres!$A$1:$I$88,3,0)*0.475*44/12</f>
        <v>0</v>
      </c>
      <c r="BQ5" s="46">
        <f t="shared" si="7"/>
        <v>0</v>
      </c>
      <c r="BR5" s="32" t="e">
        <f>VLOOKUP(A5,'Données projet'!$A$139:$I$159,2,0)</f>
        <v>#N/A</v>
      </c>
      <c r="BS5" s="33" t="e">
        <f>VLOOKUP(A5,'Données projet'!$A$139:$I$159,9,0)</f>
        <v>#N/A</v>
      </c>
      <c r="BT5" s="33">
        <f t="array" ref="BT5">INDEX(BS:BS,MIN(IF(ISNUMBER(BS5:BS201),ROW(BS5:BS201),"")))</f>
        <v>0</v>
      </c>
      <c r="BU5" s="33">
        <f>BU4+BT5-BZ4</f>
        <v>0</v>
      </c>
      <c r="BV5" s="38" t="e">
        <f>BU5*VLOOKUP('Données projet'!$B$13,Paramètres!$A$1:$I$88,3,0)*VLOOKUP('Données projet'!$B$13,Paramètres!$A$1:$I$88,5,0)</f>
        <v>#N/A</v>
      </c>
      <c r="BW5" s="34" t="e">
        <f t="shared" ref="BW5:BW68" si="30">EXP(-1.0587+0.8836*LN(BV5)+0.284)</f>
        <v>#N/A</v>
      </c>
      <c r="BX5" s="44" t="e">
        <f t="shared" si="8"/>
        <v>#N/A</v>
      </c>
      <c r="BY5" s="36">
        <f>IF(ISNA(VLOOKUP(A5,'Données projet'!$A$139:$I$159,3,0)),0,VLOOKUP(A5,'Données projet'!$A$139:$I$159,3,0))</f>
        <v>0</v>
      </c>
      <c r="BZ5" s="36">
        <f>IF(ISNA(VLOOKUP(A5,'Données projet'!$A$139:$I$159,4,0)),0,VLOOKUP(A5,'Données projet'!$A$139:$I$159,4,0))</f>
        <v>0</v>
      </c>
      <c r="CA5" s="37">
        <f>IF(ISNA(VLOOKUP(A5,'Données projet'!$A$139:$I$159,5,0)),0%,VLOOKUP(A5,'Données projet'!$A$139:$I$159,5,0)*VLOOKUP('Données projet'!$B$13,Paramètres!$A$1:$I$88,7,0))</f>
        <v>0</v>
      </c>
      <c r="CB5" s="37">
        <f>IF(ISNA(VLOOKUP(A5,'Données projet'!$A$139:$I$159,6,0)),0%,VLOOKUP(A5,'Données projet'!$A$139:$I$159,6,0)*VLOOKUP('Données projet'!$B$13,Paramètres!$A$1:$I$88,7,0))</f>
        <v>0</v>
      </c>
      <c r="CC5" s="37">
        <f>IF(ISNA(VLOOKUP(A5,'Données projet'!$A$139:$I$159,7,0)),0%,VLOOKUP(A5,'Données projet'!$A$139:$I$159,7,0))</f>
        <v>0</v>
      </c>
      <c r="CD5" s="45">
        <f>EXP(-LN(2)/35)*CD4+(1-EXP(-LN(2)/35))/(LN(2)/35)*BZ5*CA5*VLOOKUP('Données projet'!$B$9,Paramètres!$A$1:$I$88,3,0)*0.475*44/12</f>
        <v>0</v>
      </c>
      <c r="CE5" s="45">
        <f>EXP(-LN(2)/25)*CE4+(1-EXP(-LN(2)/25))/(LN(2)/25)*Calculateur!BZ5*Calculateur!CB5*VLOOKUP('Données projet'!$B$9,Paramètres!$A$1:$I$88,3,0)*0.475*44/12</f>
        <v>0</v>
      </c>
      <c r="CF5" s="45">
        <f>EXP(-LN(2)/2)*CF4+(1-EXP(-LN(2)/2))/(LN(2)/2)*BZ5*CC5*VLOOKUP('Données projet'!$B$9,Paramètres!$A$1:$I$88,3,0)*0.475*44/12</f>
        <v>0</v>
      </c>
      <c r="CG5" s="46">
        <f t="shared" si="9"/>
        <v>0</v>
      </c>
      <c r="CH5" s="32" t="e">
        <f>VLOOKUP(A5,'Données projet'!$A$165:$I$185,2,0)</f>
        <v>#N/A</v>
      </c>
      <c r="CI5" s="33" t="e">
        <f>VLOOKUP(A5,'Données projet'!$A$165:$I$185,9,0)</f>
        <v>#N/A</v>
      </c>
      <c r="CJ5" s="33">
        <f t="array" ref="CJ5">INDEX(CI:CI,MIN(IF(ISNUMBER(CI5:CI201),ROW(CI5:CI201),"")))</f>
        <v>0</v>
      </c>
      <c r="CK5" s="33">
        <f t="shared" ref="CK5:CK68" si="31">CK4+CJ5-CP4</f>
        <v>0</v>
      </c>
      <c r="CL5" s="38" t="e">
        <f>CK5*VLOOKUP('Données projet'!$B$14,Paramètres!$A$1:$I$88,3,0)*VLOOKUP('Données projet'!$B$14,Paramètres!$A$1:$I$88,5,0)</f>
        <v>#N/A</v>
      </c>
      <c r="CM5" s="34" t="e">
        <f t="shared" ref="CM5:CM68" si="32">EXP(-1.0587+0.8836*LN(CL5)+0.284)</f>
        <v>#N/A</v>
      </c>
      <c r="CN5" s="44" t="e">
        <f t="shared" si="10"/>
        <v>#N/A</v>
      </c>
      <c r="CO5" s="36">
        <f>IF(ISNA(VLOOKUP(A5,'Données projet'!$A$165:$I$185,3,0)),0,VLOOKUP(A5,'Données projet'!$A$165:$I$185,3,0))</f>
        <v>0</v>
      </c>
      <c r="CP5" s="36">
        <f>IF(ISNA(VLOOKUP(A5,'Données projet'!$A$165:$I$185,4,0)),0,VLOOKUP(A5,'Données projet'!$A$165:$I$185,4,0))</f>
        <v>0</v>
      </c>
      <c r="CQ5" s="37">
        <f>IF(ISNA(VLOOKUP(A5,'Données projet'!$A$165:$I$185,5,0)),0%,VLOOKUP(A5,'Données projet'!$A$165:$I$185,5,0)*VLOOKUP('Données projet'!$B$14,Paramètres!$A$1:$I$88,7,0))</f>
        <v>0</v>
      </c>
      <c r="CR5" s="37">
        <f>IF(ISNA(VLOOKUP(A5,'Données projet'!$A$165:$I$185,6,0)),0%,VLOOKUP(A5,'Données projet'!$A$165:$I$185,6,0)*VLOOKUP('Données projet'!$B$14,Paramètres!$A$1:$I$88,7,0))</f>
        <v>0</v>
      </c>
      <c r="CS5" s="37">
        <f>IF(ISNA(VLOOKUP(A5,'Données projet'!$A$165:$I$185,7,0)),0%,VLOOKUP(A5,'Données projet'!$A$165:$I$185,7,0))</f>
        <v>0</v>
      </c>
      <c r="CT5" s="45">
        <f>EXP(-LN(2)/35)*CT4+(1-EXP(-LN(2)/35))/(LN(2)/35)*CP5*CQ5*VLOOKUP('Données projet'!$B$9,Paramètres!$A$1:$I$88,3,0)*0.475*44/12</f>
        <v>0</v>
      </c>
      <c r="CU5" s="45">
        <f>EXP(-LN(2)/25)*CU4+(1-EXP(-LN(2)/25))/(LN(2)/25)*Calculateur!CP5*Calculateur!CR5*VLOOKUP('Données projet'!$B$9,Paramètres!$A$1:$I$88,3,0)*0.475*44/12</f>
        <v>0</v>
      </c>
      <c r="CV5" s="45">
        <f>EXP(-LN(2)/2)*CV4+(1-EXP(-LN(2)/2))/(LN(2)/2)*CP5*CS5*VLOOKUP('Données projet'!$B$9,Paramètres!$A$1:$I$88,3,0)*0.475*44/12</f>
        <v>0</v>
      </c>
      <c r="CW5" s="46">
        <f t="shared" si="11"/>
        <v>0</v>
      </c>
      <c r="CX5" s="32" t="e">
        <f>VLOOKUP(A5,'Données projet'!$A$191:$I$211,2,0)</f>
        <v>#N/A</v>
      </c>
      <c r="CY5" s="33" t="e">
        <f>VLOOKUP(A5,'Données projet'!$A$191:$I$211,9,0)</f>
        <v>#N/A</v>
      </c>
      <c r="CZ5" s="33">
        <f t="array" ref="CZ5">INDEX(CY:CY,MIN(IF(ISNUMBER(CY5:CY201),ROW(CY5:CY201),"")))</f>
        <v>0</v>
      </c>
      <c r="DA5" s="33">
        <f t="shared" ref="DA5:DA68" si="33">DA4+CZ5-DF4</f>
        <v>0</v>
      </c>
      <c r="DB5" s="38" t="e">
        <f>DA5*VLOOKUP('Données projet'!$B$15,Paramètres!$A$1:$I$88,3,0)*VLOOKUP('Données projet'!$B$15,Paramètres!$A$1:$I$88,5,0)</f>
        <v>#N/A</v>
      </c>
      <c r="DC5" s="34" t="e">
        <f t="shared" ref="DC5:DC68" si="34">EXP(-1.0587+0.8836*LN(DB5)+0.284)</f>
        <v>#N/A</v>
      </c>
      <c r="DD5" s="44" t="e">
        <f t="shared" si="12"/>
        <v>#N/A</v>
      </c>
      <c r="DE5" s="36">
        <f>IF(ISNA(VLOOKUP(A5,'Données projet'!$A$191:$I$211,3,0)),0,VLOOKUP(A5,'Données projet'!$A$191:$I$211,3,0))</f>
        <v>0</v>
      </c>
      <c r="DF5" s="36">
        <f>IF(ISNA(VLOOKUP(A5,'Données projet'!$A$191:$I$211,4,0)),0,VLOOKUP(A5,'Données projet'!$A$191:$I$211,4,0))</f>
        <v>0</v>
      </c>
      <c r="DG5" s="37">
        <f>IF(ISNA(VLOOKUP(A5,'Données projet'!$A$191:$I$211,5,0)),0%,VLOOKUP(A5,'Données projet'!$A$191:$I$211,5,0)*VLOOKUP('Données projet'!$B$15,Paramètres!$A$1:$I$88,7,0))</f>
        <v>0</v>
      </c>
      <c r="DH5" s="37">
        <f>IF(ISNA(VLOOKUP(A5,'Données projet'!$A$191:$I$211,6,0)),0%,VLOOKUP(A5,'Données projet'!$A$191:$I$211,6,0)*VLOOKUP('Données projet'!$B$15,Paramètres!$A$1:$I$88,7,0))</f>
        <v>0</v>
      </c>
      <c r="DI5" s="37">
        <f>IF(ISNA(VLOOKUP(A5,'Données projet'!$A$191:$I$211,7,0)),0%,VLOOKUP(A5,'Données projet'!$A$191:$I$211,7,0))</f>
        <v>0</v>
      </c>
      <c r="DJ5" s="45">
        <f>EXP(-LN(2)/35)*DJ4+(1-EXP(-LN(2)/35))/(LN(2)/35)*DF5*DG5*VLOOKUP('Données projet'!$B$9,Paramètres!$A$1:$I$88,3,0)*0.475*44/12</f>
        <v>0</v>
      </c>
      <c r="DK5" s="45">
        <f>EXP(-LN(2)/25)*DK4+(1-EXP(-LN(2)/25))/(LN(2)/25)*Calculateur!DF5*Calculateur!DH5*VLOOKUP('Données projet'!$B$9,Paramètres!$A$1:$I$88,3,0)*0.475*44/12</f>
        <v>0</v>
      </c>
      <c r="DL5" s="45">
        <f>EXP(-LN(2)/2)*DL4+(1-EXP(-LN(2)/2))/(LN(2)/2)*DF5*DI5*VLOOKUP('Données projet'!$B$9,Paramètres!$A$1:$I$88,3,0)*0.475*44/12</f>
        <v>0</v>
      </c>
      <c r="DM5" s="46">
        <f t="shared" si="13"/>
        <v>0</v>
      </c>
      <c r="DN5" s="32" t="e">
        <f>VLOOKUP(A5,'Données projet'!$A$217:$I$237,2,0)</f>
        <v>#N/A</v>
      </c>
      <c r="DO5" s="33" t="e">
        <f>VLOOKUP(A5,'Données projet'!$A$217:$I$237,9,0)</f>
        <v>#N/A</v>
      </c>
      <c r="DP5" s="33">
        <f t="array" ref="DP5">INDEX(DO:DO,MIN(IF(ISNUMBER(DO5:DO201),ROW(DO5:DO201),"")))</f>
        <v>0</v>
      </c>
      <c r="DQ5" s="33">
        <f t="shared" ref="DQ5:DQ68" si="35">DQ4+DP5-DV4</f>
        <v>0</v>
      </c>
      <c r="DR5" s="38" t="e">
        <f>DQ5*VLOOKUP('Données projet'!$B$16,Paramètres!$A$1:$I$88,3,0)*VLOOKUP('Données projet'!$B$16,Paramètres!$A$1:$I$88,5,0)</f>
        <v>#N/A</v>
      </c>
      <c r="DS5" s="34" t="e">
        <f t="shared" ref="DS5:DS68" si="36">EXP(-1.0587+0.8836*LN(DR5)+0.284)</f>
        <v>#N/A</v>
      </c>
      <c r="DT5" s="44" t="e">
        <f t="shared" si="14"/>
        <v>#N/A</v>
      </c>
      <c r="DU5" s="36">
        <f>IF(ISNA(VLOOKUP(A5,'Données projet'!$A$217:$I$237,3,0)),0,VLOOKUP(A5,'Données projet'!$A$217:$I$237,3,0))</f>
        <v>0</v>
      </c>
      <c r="DV5" s="36">
        <f>IF(ISNA(VLOOKUP(A5,'Données projet'!$A$217:$I$237,4,0)),0,VLOOKUP(A5,'Données projet'!$A$217:$I$237,4,0))</f>
        <v>0</v>
      </c>
      <c r="DW5" s="37">
        <f>IF(ISNA(VLOOKUP(A5,'Données projet'!$A$217:$I$237,5,0)),0%,VLOOKUP(A5,'Données projet'!$A$217:$I$237,5,0)*VLOOKUP('Données projet'!$B$16,Paramètres!$A$1:$I$88,7,0))</f>
        <v>0</v>
      </c>
      <c r="DX5" s="37">
        <f>IF(ISNA(VLOOKUP(A5,'Données projet'!$A$217:$I$237,6,0)),0%,VLOOKUP(A5,'Données projet'!$A$217:$I$237,6,0)*VLOOKUP('Données projet'!$B$16,Paramètres!$A$1:$I$88,7,0))</f>
        <v>0</v>
      </c>
      <c r="DY5" s="37">
        <f>IF(ISNA(VLOOKUP(A5,'Données projet'!$A$217:$I$237,7,0)),0%,VLOOKUP(A5,'Données projet'!$A$217:$I$237,7,0))</f>
        <v>0</v>
      </c>
      <c r="DZ5" s="45">
        <f>EXP(-LN(2)/35)*DZ4+(1-EXP(-LN(2)/35))/(LN(2)/35)*DV5*DW5*VLOOKUP('Données projet'!$B$9,Paramètres!$A$1:$I$88,3,0)*0.475*44/12</f>
        <v>0</v>
      </c>
      <c r="EA5" s="45">
        <f>EXP(-LN(2)/25)*EA4+(1-EXP(-LN(2)/25))/(LN(2)/25)*Calculateur!DV5*Calculateur!DX5*VLOOKUP('Données projet'!$B$9,Paramètres!$A$1:$I$88,3,0)*0.475*44/12</f>
        <v>0</v>
      </c>
      <c r="EB5" s="45">
        <f>EXP(-LN(2)/2)*EB4+(1-EXP(-LN(2)/2))/(LN(2)/2)*DV5*DY5*VLOOKUP('Données projet'!$B$9,Paramètres!$A$1:$I$88,3,0)*0.475*44/12</f>
        <v>0</v>
      </c>
      <c r="EC5" s="46">
        <f t="shared" si="15"/>
        <v>0</v>
      </c>
      <c r="ED5" s="32" t="e">
        <f>VLOOKUP(A5,'Données projet'!$A$243:$I$263,2,0)</f>
        <v>#N/A</v>
      </c>
      <c r="EE5" s="33" t="e">
        <f>VLOOKUP(A5,'Données projet'!$A$243:$I$263,9,0)</f>
        <v>#N/A</v>
      </c>
      <c r="EF5" s="33">
        <f t="array" ref="EF5">INDEX(EE:EE,MIN(IF(ISNUMBER(EE5:EE201),ROW(EE5:EE201),"")))</f>
        <v>0</v>
      </c>
      <c r="EG5" s="33">
        <f t="shared" ref="EG5:EG68" si="37">EG4+EF5-EL4</f>
        <v>0</v>
      </c>
      <c r="EH5" s="38" t="e">
        <f>EG5*VLOOKUP('Données projet'!$B$17,Paramètres!$A$1:$I$88,3,0)*VLOOKUP('Données projet'!$B$17,Paramètres!$A$1:$I$88,5,0)</f>
        <v>#N/A</v>
      </c>
      <c r="EI5" s="34" t="e">
        <f t="shared" ref="EI5:EI68" si="38">EXP(-1.0587+0.8836*LN(EH5)+0.284)</f>
        <v>#N/A</v>
      </c>
      <c r="EJ5" s="44" t="e">
        <f t="shared" si="16"/>
        <v>#N/A</v>
      </c>
      <c r="EK5" s="36">
        <f>IF(ISNA(VLOOKUP(A5,'Données projet'!$A$243:$I$263,3,0)),0,VLOOKUP(A5,'Données projet'!$A$243:$I$263,3,0))</f>
        <v>0</v>
      </c>
      <c r="EL5" s="36">
        <f>IF(ISNA(VLOOKUP(A5,'Données projet'!$A$243:$I$263,4,0)),0,VLOOKUP(A5,'Données projet'!$A$243:$I$263,4,0))</f>
        <v>0</v>
      </c>
      <c r="EM5" s="37">
        <f>IF(ISNA(VLOOKUP(A5,'Données projet'!$A$243:$I$263,5,0)),0%,VLOOKUP(A5,'Données projet'!$A$243:$I$263,5,0)*VLOOKUP('Données projet'!$B$17,Paramètres!$A$1:$I$88,7,0))</f>
        <v>0</v>
      </c>
      <c r="EN5" s="37">
        <f>IF(ISNA(VLOOKUP(A5,'Données projet'!$A$243:$I$263,6,0)),0%,VLOOKUP(A5,'Données projet'!$A$243:$I$263,6,0)*VLOOKUP('Données projet'!$B$17,Paramètres!$A$1:$I$88,7,0))</f>
        <v>0</v>
      </c>
      <c r="EO5" s="37">
        <f>IF(ISNA(VLOOKUP(A5,'Données projet'!$A$243:$I$263,7,0)),0%,VLOOKUP(A5,'Données projet'!$A$243:$I$263,7,0))</f>
        <v>0</v>
      </c>
      <c r="EP5" s="45">
        <f>EXP(-LN(2)/35)*EP4+(1-EXP(-LN(2)/35))/(LN(2)/35)*EL5*EM5*VLOOKUP('Données projet'!$B$9,Paramètres!$A$1:$I$88,3,0)*0.475*44/12</f>
        <v>0</v>
      </c>
      <c r="EQ5" s="45">
        <f>EXP(-LN(2)/25)*EQ4+(1-EXP(-LN(2)/25))/(LN(2)/25)*Calculateur!EL5*Calculateur!EN5*VLOOKUP('Données projet'!$B$9,Paramètres!$A$1:$I$88,3,0)*0.475*44/12</f>
        <v>0</v>
      </c>
      <c r="ER5" s="45">
        <f>EXP(-LN(2)/2)*ER4+(1-EXP(-LN(2)/2))/(LN(2)/2)*EL5*EO5*VLOOKUP('Données projet'!$B$9,Paramètres!$A$1:$I$88,3,0)*0.475*44/12</f>
        <v>0</v>
      </c>
      <c r="ES5" s="46">
        <f t="shared" si="17"/>
        <v>0</v>
      </c>
      <c r="ET5" s="32" t="e">
        <f>VLOOKUP(A5,'Données projet'!$A$269:$I$289,2,0)</f>
        <v>#N/A</v>
      </c>
      <c r="EU5" s="33" t="e">
        <f>VLOOKUP(A5,'Données projet'!$A$269:$I$289,9,0)</f>
        <v>#N/A</v>
      </c>
      <c r="EV5" s="33">
        <f t="array" ref="EV5">INDEX(EU:EU,MIN(IF(ISNUMBER(EU5:EU201),ROW(EU5:EU201),"")))</f>
        <v>0</v>
      </c>
      <c r="EW5" s="33">
        <f t="shared" ref="EW5:EW68" si="39">EW4+EV5-FB4</f>
        <v>0</v>
      </c>
      <c r="EX5" s="38" t="e">
        <f>EW5*VLOOKUP('Données projet'!$B$18,Paramètres!$A$1:$I$88,3,0)*VLOOKUP('Données projet'!$B$18,Paramètres!$A$1:$I$88,5,0)</f>
        <v>#N/A</v>
      </c>
      <c r="EY5" s="34" t="e">
        <f t="shared" ref="EY5:EY68" si="40">EXP(-1.0587+0.8836*LN(EX5)+0.284)</f>
        <v>#N/A</v>
      </c>
      <c r="EZ5" s="44" t="e">
        <f t="shared" si="18"/>
        <v>#N/A</v>
      </c>
      <c r="FA5" s="36">
        <f>IF(ISNA(VLOOKUP(A5,'Données projet'!$A$269:$I$289,3,0)),0,VLOOKUP(A5,'Données projet'!$A$269:$I$289,3,0))</f>
        <v>0</v>
      </c>
      <c r="FB5" s="36">
        <f>IF(ISNA(VLOOKUP(A5,'Données projet'!$A$269:$I$289,4,0)),0,VLOOKUP(A5,'Données projet'!$A$269:$I$289,4,0))</f>
        <v>0</v>
      </c>
      <c r="FC5" s="37">
        <f>IF(ISNA(VLOOKUP(A5,'Données projet'!$A$269:$I$289,5,0)),0%,VLOOKUP(A5,'Données projet'!$A$269:$I$289,5,0)*VLOOKUP('Données projet'!$B$18,Paramètres!$A$1:$I$88,7,0))</f>
        <v>0</v>
      </c>
      <c r="FD5" s="37">
        <f>IF(ISNA(VLOOKUP(A5,'Données projet'!$A$269:$I$289,6,0)),0%,VLOOKUP(A5,'Données projet'!$A$269:$I$289,6,0)*VLOOKUP('Données projet'!$B$18,Paramètres!$A$1:$I$88,7,0))</f>
        <v>0</v>
      </c>
      <c r="FE5" s="37">
        <f>IF(ISNA(VLOOKUP(A5,'Données projet'!$A$269:$I$289,7,0)),0%,VLOOKUP(A5,'Données projet'!$A$269:$I$289,7,0))</f>
        <v>0</v>
      </c>
      <c r="FF5" s="45">
        <f>EXP(-LN(2)/35)*FF4+(1-EXP(-LN(2)/35))/(LN(2)/35)*FB5*FC5*VLOOKUP('Données projet'!$B$9,Paramètres!$A$1:$I$88,3,0)*0.475*44/12</f>
        <v>0</v>
      </c>
      <c r="FG5" s="45">
        <f>EXP(-LN(2)/25)*FG4+(1-EXP(-LN(2)/25))/(LN(2)/25)*Calculateur!FB5*Calculateur!FD5*VLOOKUP('Données projet'!$B$9,Paramètres!$A$1:$I$88,3,0)*0.475*44/12</f>
        <v>0</v>
      </c>
      <c r="FH5" s="45">
        <f>EXP(-LN(2)/2)*FH4+(1-EXP(-LN(2)/2))/(LN(2)/2)*FB5*FE5*VLOOKUP('Données projet'!$B$9,Paramètres!$A$1:$I$88,3,0)*0.475*44/12</f>
        <v>0</v>
      </c>
      <c r="FI5" s="46">
        <f t="shared" si="19"/>
        <v>0</v>
      </c>
    </row>
    <row r="6" spans="1:165" x14ac:dyDescent="0.25">
      <c r="A6" s="24">
        <f t="shared" si="20"/>
        <v>3</v>
      </c>
      <c r="B6" s="25">
        <f>IF('Scénario référence'!$N$1=1,5,0)</f>
        <v>0</v>
      </c>
      <c r="C6" s="40">
        <f>IF(OR('Scénario référence'!$N$1=2,'Scénario référence'!$N$1=4),C5+1*VLOOKUP('Scénario référence'!$G$14,Paramètres!$A$1:$I$88,3,0)*VLOOKUP('Scénario référence'!$G$14,Paramètres!$A$1:$I$88,5,0),IF(OR('Scénario référence'!$N$1=3,'Scénario référence'!$N$1=5),C5+0.5*VLOOKUP('Scénario référence'!$G$14,Paramètres!$A$1:$I$88,3,0)*VLOOKUP('Scénario référence'!$G$14,Paramètres!$A$1:$I$88,5,0),0))</f>
        <v>1.6380000000000001</v>
      </c>
      <c r="D6" s="26">
        <f t="shared" si="21"/>
        <v>0.71272144204532062</v>
      </c>
      <c r="E6" s="27">
        <f>IF('Scénario référence'!$N$1=1,B6*44/12,(C6+D6)*0.475*44/12)</f>
        <v>4.0941731782289335</v>
      </c>
      <c r="F6" s="28" t="e">
        <f>VLOOKUP(A6,'Données projet'!$A$35:$I$55,2,0)</f>
        <v>#N/A</v>
      </c>
      <c r="G6" s="28" t="e">
        <f>VLOOKUP(A6,'Données projet'!$A$35:$I$55,9,0)</f>
        <v>#N/A</v>
      </c>
      <c r="H6" s="33">
        <f t="array" ref="H6">INDEX(G:G,MIN(IF(ISNUMBER(G6:G202),ROW(G6:G202),"")))</f>
        <v>2.1</v>
      </c>
      <c r="I6" s="28">
        <f t="shared" si="22"/>
        <v>6.3000000000000007</v>
      </c>
      <c r="J6" s="41">
        <f>I6*VLOOKUP('Données projet'!$B$9,Paramètres!$A$1:$I$88,3,0)*VLOOKUP('Données projet'!$B$9,Paramètres!$A$1:$I$88,5,0)</f>
        <v>6.3882000000000012</v>
      </c>
      <c r="K6" s="41">
        <f t="shared" si="23"/>
        <v>2.3723814054268266</v>
      </c>
      <c r="L6" s="42">
        <f t="shared" si="0"/>
        <v>15.258012614451728</v>
      </c>
      <c r="M6" s="30">
        <f>IF(ISNA(VLOOKUP(A6,'Données projet'!$A$35:$I$55,3,0)),0,VLOOKUP(A6,'Données projet'!$A$35:$I$55,3,0))</f>
        <v>0</v>
      </c>
      <c r="N6" s="30">
        <f>IF(ISNA(VLOOKUP(A6,'Données projet'!$A$35:$I$55,4,0)),0,VLOOKUP(A6,'Données projet'!$A$35:$I$55,4,0))</f>
        <v>0</v>
      </c>
      <c r="O6" s="31">
        <f>IF(ISNA(VLOOKUP(A6,'Données projet'!$A$35:$I$55,5,0)),0%,VLOOKUP(A6,'Données projet'!$A$35:$I$55,5,0)*VLOOKUP('Données projet'!$B$9,Paramètres!$A$1:$I$88,7,0))</f>
        <v>0</v>
      </c>
      <c r="P6" s="31">
        <f>IF(ISNA(VLOOKUP(A6,'Données projet'!$A$35:$I$55,6,0)),0%,VLOOKUP(A6,'Données projet'!$A$35:$I$55,6,0)*VLOOKUP('Données projet'!$B$9,Paramètres!$A$1:$I$88,7,0))</f>
        <v>0</v>
      </c>
      <c r="Q6" s="31">
        <f>IF(ISNA(VLOOKUP(A6,'Données projet'!$A$35:$I$55,7,0)),0%,VLOOKUP(A6,'Données projet'!$A$35:$I$55,7,0))</f>
        <v>0</v>
      </c>
      <c r="R6" s="43">
        <f>EXP(-LN(2)/35)*R5+(1-EXP(-LN(2)/35))/(LN(2)/35)*N6*O6*VLOOKUP('Données projet'!$B$9,Paramètres!$A$1:$I$88,3,0)*0.475*44/12</f>
        <v>0</v>
      </c>
      <c r="S6" s="43">
        <f>EXP(-LN(2)/25)*S5+(1-EXP(-LN(2)/25))/(LN(2)/25)*Calculateur!N6*Calculateur!P6*VLOOKUP('Données projet'!$B$9,Paramètres!$A$1:$I$88,3,0)*0.475*44/12</f>
        <v>0</v>
      </c>
      <c r="T6" s="43">
        <f>EXP(-LN(2)/2)*T5+(1-EXP(-LN(2)/2))/(LN(2)/2)*N6*Q6*VLOOKUP('Données projet'!$B$9,Paramètres!$A$1:$I$88,3,0)*0.475*44/12</f>
        <v>0</v>
      </c>
      <c r="U6" s="43">
        <f t="shared" si="1"/>
        <v>0</v>
      </c>
      <c r="V6" s="32" t="e">
        <f>VLOOKUP(A6,'Données projet'!$A$61:$I$81,2,0)</f>
        <v>#N/A</v>
      </c>
      <c r="W6" s="33" t="e">
        <f>VLOOKUP(A6,'Données projet'!$A$61:$I$81,9,0)</f>
        <v>#N/A</v>
      </c>
      <c r="X6" s="33">
        <f t="array" ref="X6">INDEX(W:W,MIN(IF(ISNUMBER(W6:W202),ROW(W6:W202),"")))</f>
        <v>0</v>
      </c>
      <c r="Y6" s="33">
        <f t="shared" si="24"/>
        <v>0</v>
      </c>
      <c r="Z6" s="34" t="e">
        <f>Y6*VLOOKUP('Données projet'!$B$10,Paramètres!$A$1:$I$88,3,0)*VLOOKUP('Données projet'!$B$10,Paramètres!$A$1:$I$88,5,0)</f>
        <v>#N/A</v>
      </c>
      <c r="AA6" s="34" t="e">
        <f t="shared" si="25"/>
        <v>#N/A</v>
      </c>
      <c r="AB6" s="44" t="e">
        <f t="shared" si="2"/>
        <v>#N/A</v>
      </c>
      <c r="AC6" s="36">
        <f>IF(ISNA(VLOOKUP(A6,'Données projet'!$A$61:$I$81,3,0)),0,VLOOKUP(A6,'Données projet'!$A$61:$I$81,3,0))</f>
        <v>0</v>
      </c>
      <c r="AD6" s="36">
        <f>IF(ISNA(VLOOKUP(A6,'Données projet'!$A$61:$I$81,4,0)),0,VLOOKUP(A6,'Données projet'!$A$61:$I$81,4,0))</f>
        <v>0</v>
      </c>
      <c r="AE6" s="37">
        <f>IF(ISNA(VLOOKUP(A6,'Données projet'!$A$61:$I$81,5,0)),0%,VLOOKUP(A6,'Données projet'!$A$61:$I$81,5,0)*VLOOKUP('Données projet'!$B$10,Paramètres!$A$1:$I$88,7,0))</f>
        <v>0</v>
      </c>
      <c r="AF6" s="37">
        <f>IF(ISNA(VLOOKUP(A6,'Données projet'!$A$61:$I$81,6,0)),0%,VLOOKUP(A6,'Données projet'!$A$61:$I$81,6,0)*VLOOKUP('Données projet'!$B$10,Paramètres!$A$1:$I$88,7,0))</f>
        <v>0</v>
      </c>
      <c r="AG6" s="37">
        <f>IF(ISNA(VLOOKUP(A6,'Données projet'!$A$61:$I$81,7,0)),0%,VLOOKUP(A6,'Données projet'!$A$61:$I$81,7,0))</f>
        <v>0</v>
      </c>
      <c r="AH6" s="45">
        <f>EXP(-LN(2)/35)*AH5+(1-EXP(-LN(2)/35))/(LN(2)/35)*AD6*AE6*VLOOKUP('Données projet'!$B$9,Paramètres!$A$1:$I$88,3,0)*0.475*44/12</f>
        <v>0</v>
      </c>
      <c r="AI6" s="45">
        <f>EXP(-LN(2)/25)*AI5+(1-EXP(-LN(2)/25))/(LN(2)/25)*Calculateur!AD6*Calculateur!AF6*VLOOKUP('Données projet'!$B$9,Paramètres!$A$1:$I$88,3,0)*0.475*44/12</f>
        <v>0</v>
      </c>
      <c r="AJ6" s="45">
        <f>EXP(-LN(2)/2)*AJ5+(1-EXP(-LN(2)/2))/(LN(2)/2)*AD6*AG6*VLOOKUP('Données projet'!$B$9,Paramètres!$A$1:$I$88,3,0)*0.475*44/12</f>
        <v>0</v>
      </c>
      <c r="AK6" s="45">
        <f t="shared" si="3"/>
        <v>0</v>
      </c>
      <c r="AL6" s="32" t="e">
        <f>VLOOKUP(A6,'Données projet'!$A$87:$I$107,2,0)</f>
        <v>#N/A</v>
      </c>
      <c r="AM6" s="33" t="e">
        <f>VLOOKUP(A6,'Données projet'!$A$87:$I$107,9,0)</f>
        <v>#N/A</v>
      </c>
      <c r="AN6" s="33">
        <f t="array" ref="AN6">INDEX(AM:AM,MIN(IF(ISNUMBER(AM6:AM202),ROW(AM6:AM202),"")))</f>
        <v>0</v>
      </c>
      <c r="AO6" s="33">
        <f t="shared" si="26"/>
        <v>0</v>
      </c>
      <c r="AP6" s="34" t="e">
        <f>AO6*VLOOKUP('Données projet'!$B$11,Paramètres!$A$1:$I$88,3,0)*VLOOKUP('Données projet'!$B$11,Paramètres!$A$1:$I$88,5,0)</f>
        <v>#N/A</v>
      </c>
      <c r="AQ6" s="34" t="e">
        <f t="shared" si="27"/>
        <v>#N/A</v>
      </c>
      <c r="AR6" s="44" t="e">
        <f t="shared" si="4"/>
        <v>#N/A</v>
      </c>
      <c r="AS6" s="36">
        <f>IF(ISNA(VLOOKUP(A6,'Données projet'!$A$87:$I$107,3,0)),0,VLOOKUP(A6,'Données projet'!$A$87:$I$107,3,0))</f>
        <v>0</v>
      </c>
      <c r="AT6" s="36">
        <f>IF(ISNA(VLOOKUP(A6,'Données projet'!$A$87:$I$107,4,0)),0,VLOOKUP(A6,'Données projet'!$A$87:$I$107,4,0))</f>
        <v>0</v>
      </c>
      <c r="AU6" s="37">
        <f>IF(ISNA(VLOOKUP(A6,'Données projet'!$A$87:$I$107,5,0)),0%,VLOOKUP(A6,'Données projet'!$A$87:$I$107,5,0)*VLOOKUP('Données projet'!$B$11,Paramètres!$A$1:$I$88,7,0))</f>
        <v>0</v>
      </c>
      <c r="AV6" s="37">
        <f>IF(ISNA(VLOOKUP(A6,'Données projet'!$A$87:$I$107,6,0)),0%,VLOOKUP(A6,'Données projet'!$A$87:$I$107,6,0)*VLOOKUP('Données projet'!$B$11,Paramètres!$A$1:$I$88,7,0))</f>
        <v>0</v>
      </c>
      <c r="AW6" s="37">
        <f>IF(ISNA(VLOOKUP(A6,'Données projet'!$A$87:$I$107,7,0)),0%,VLOOKUP(A6,'Données projet'!$A$87:$I$107,7,0))</f>
        <v>0</v>
      </c>
      <c r="AX6" s="45">
        <f>EXP(-LN(2)/35)*AX5+(1-EXP(-LN(2)/35))/(LN(2)/35)*AT6*AU6*VLOOKUP('Données projet'!$B$9,Paramètres!$A$1:$I$88,3,0)*0.475*44/12</f>
        <v>0</v>
      </c>
      <c r="AY6" s="45">
        <f>EXP(-LN(2)/25)*AY5+(1-EXP(-LN(2)/25))/(LN(2)/25)*Calculateur!AT6*Calculateur!AV6*VLOOKUP('Données projet'!$B$9,Paramètres!$A$1:$I$88,3,0)*0.475*44/12</f>
        <v>0</v>
      </c>
      <c r="AZ6" s="45">
        <f>EXP(-LN(2)/2)*AZ5+(1-EXP(-LN(2)/2))/(LN(2)/2)*AT6*AW6*VLOOKUP('Données projet'!$B$9,Paramètres!$A$1:$I$88,3,0)*0.475*44/12</f>
        <v>0</v>
      </c>
      <c r="BA6" s="46">
        <f t="shared" si="5"/>
        <v>0</v>
      </c>
      <c r="BB6" s="32" t="e">
        <f>VLOOKUP(A6,'Données projet'!$A$113:$I$133,2,0)</f>
        <v>#N/A</v>
      </c>
      <c r="BC6" s="33" t="e">
        <f>VLOOKUP(A6,'Données projet'!$A$113:$I$133,9,0)</f>
        <v>#N/A</v>
      </c>
      <c r="BD6" s="33">
        <f t="array" ref="BD6">INDEX(BC:BC,MIN(IF(ISNUMBER(BC6:BC202),ROW(BC6:BC202),"")))</f>
        <v>0</v>
      </c>
      <c r="BE6" s="33">
        <f t="shared" si="28"/>
        <v>0</v>
      </c>
      <c r="BF6" s="34" t="e">
        <f>BE6*VLOOKUP('Données projet'!$B$12,Paramètres!$A$1:$I$88,3,0)*VLOOKUP('Données projet'!$B$12,Paramètres!$A$1:$I$88,5,0)</f>
        <v>#N/A</v>
      </c>
      <c r="BG6" s="34" t="e">
        <f t="shared" si="29"/>
        <v>#N/A</v>
      </c>
      <c r="BH6" s="44" t="e">
        <f t="shared" si="6"/>
        <v>#N/A</v>
      </c>
      <c r="BI6" s="36">
        <f>IF(ISNA(VLOOKUP(A6,'Données projet'!$A$113:$I$133,3,0)),0,VLOOKUP(A6,'Données projet'!$A$113:$I$133,3,0))</f>
        <v>0</v>
      </c>
      <c r="BJ6" s="36">
        <f>IF(ISNA(VLOOKUP(A6,'Données projet'!$A$113:$I$133,4,0)),0,VLOOKUP(A6,'Données projet'!$A$113:$I$133,4,0))</f>
        <v>0</v>
      </c>
      <c r="BK6" s="37">
        <f>IF(ISNA(VLOOKUP(A6,'Données projet'!$A$113:$I$133,5,0)),0%,VLOOKUP(A6,'Données projet'!$A$113:$I$133,5,0)*VLOOKUP('Données projet'!$B$12,Paramètres!$A$1:$I$88,7,0))</f>
        <v>0</v>
      </c>
      <c r="BL6" s="37">
        <f>IF(ISNA(VLOOKUP(A6,'Données projet'!$A$113:$I$133,6,0)),0%,VLOOKUP(A6,'Données projet'!$A$113:$I$133,6,0)*VLOOKUP('Données projet'!$B$12,Paramètres!$A$1:$I$88,7,0))</f>
        <v>0</v>
      </c>
      <c r="BM6" s="37">
        <f>IF(ISNA(VLOOKUP(A6,'Données projet'!$A$113:$I$133,7,0)),0%,VLOOKUP(A6,'Données projet'!$A$113:$I$133,7,0))</f>
        <v>0</v>
      </c>
      <c r="BN6" s="45">
        <f>EXP(-LN(2)/35)*BN5+(1-EXP(-LN(2)/35))/(LN(2)/35)*BJ6*BK6*VLOOKUP('Données projet'!$B$9,Paramètres!$A$1:$I$88,3,0)*0.475*44/12</f>
        <v>0</v>
      </c>
      <c r="BO6" s="45">
        <f>EXP(-LN(2)/25)*BO5+(1-EXP(-LN(2)/25))/(LN(2)/25)*Calculateur!BJ6*Calculateur!BL6*VLOOKUP('Données projet'!$B$9,Paramètres!$A$1:$I$88,3,0)*0.475*44/12</f>
        <v>0</v>
      </c>
      <c r="BP6" s="45">
        <f>EXP(-LN(2)/2)*BP5+(1-EXP(-LN(2)/2))/(LN(2)/2)*BJ6*BM6*VLOOKUP('Données projet'!$B$9,Paramètres!$A$1:$I$88,3,0)*0.475*44/12</f>
        <v>0</v>
      </c>
      <c r="BQ6" s="46">
        <f t="shared" si="7"/>
        <v>0</v>
      </c>
      <c r="BR6" s="32" t="e">
        <f>VLOOKUP(A6,'Données projet'!$A$139:$I$159,2,0)</f>
        <v>#N/A</v>
      </c>
      <c r="BS6" s="33" t="e">
        <f>VLOOKUP(A6,'Données projet'!$A$139:$I$159,9,0)</f>
        <v>#N/A</v>
      </c>
      <c r="BT6" s="33">
        <f t="array" ref="BT6">INDEX(BS:BS,MIN(IF(ISNUMBER(BS6:BS202),ROW(BS6:BS202),"")))</f>
        <v>0</v>
      </c>
      <c r="BU6" s="33">
        <f t="shared" ref="BU6:BU68" si="41">BU5+BT6-BZ5</f>
        <v>0</v>
      </c>
      <c r="BV6" s="38" t="e">
        <f>BU6*VLOOKUP('Données projet'!$B$13,Paramètres!$A$1:$I$88,3,0)*VLOOKUP('Données projet'!$B$13,Paramètres!$A$1:$I$88,5,0)</f>
        <v>#N/A</v>
      </c>
      <c r="BW6" s="34" t="e">
        <f t="shared" si="30"/>
        <v>#N/A</v>
      </c>
      <c r="BX6" s="44" t="e">
        <f t="shared" si="8"/>
        <v>#N/A</v>
      </c>
      <c r="BY6" s="36">
        <f>IF(ISNA(VLOOKUP(A6,'Données projet'!$A$139:$I$159,3,0)),0,VLOOKUP(A6,'Données projet'!$A$139:$I$159,3,0))</f>
        <v>0</v>
      </c>
      <c r="BZ6" s="36">
        <f>IF(ISNA(VLOOKUP(A6,'Données projet'!$A$139:$I$159,4,0)),0,VLOOKUP(A6,'Données projet'!$A$139:$I$159,4,0))</f>
        <v>0</v>
      </c>
      <c r="CA6" s="37">
        <f>IF(ISNA(VLOOKUP(A6,'Données projet'!$A$139:$I$159,5,0)),0%,VLOOKUP(A6,'Données projet'!$A$139:$I$159,5,0)*VLOOKUP('Données projet'!$B$13,Paramètres!$A$1:$I$88,7,0))</f>
        <v>0</v>
      </c>
      <c r="CB6" s="37">
        <f>IF(ISNA(VLOOKUP(A6,'Données projet'!$A$139:$I$159,6,0)),0%,VLOOKUP(A6,'Données projet'!$A$139:$I$159,6,0)*VLOOKUP('Données projet'!$B$13,Paramètres!$A$1:$I$88,7,0))</f>
        <v>0</v>
      </c>
      <c r="CC6" s="37">
        <f>IF(ISNA(VLOOKUP(A6,'Données projet'!$A$139:$I$159,7,0)),0%,VLOOKUP(A6,'Données projet'!$A$139:$I$159,7,0))</f>
        <v>0</v>
      </c>
      <c r="CD6" s="45">
        <f>EXP(-LN(2)/35)*CD5+(1-EXP(-LN(2)/35))/(LN(2)/35)*BZ6*CA6*VLOOKUP('Données projet'!$B$9,Paramètres!$A$1:$I$88,3,0)*0.475*44/12</f>
        <v>0</v>
      </c>
      <c r="CE6" s="45">
        <f>EXP(-LN(2)/25)*CE5+(1-EXP(-LN(2)/25))/(LN(2)/25)*Calculateur!BZ6*Calculateur!CB6*VLOOKUP('Données projet'!$B$9,Paramètres!$A$1:$I$88,3,0)*0.475*44/12</f>
        <v>0</v>
      </c>
      <c r="CF6" s="45">
        <f>EXP(-LN(2)/2)*CF5+(1-EXP(-LN(2)/2))/(LN(2)/2)*BZ6*CC6*VLOOKUP('Données projet'!$B$9,Paramètres!$A$1:$I$88,3,0)*0.475*44/12</f>
        <v>0</v>
      </c>
      <c r="CG6" s="46">
        <f t="shared" si="9"/>
        <v>0</v>
      </c>
      <c r="CH6" s="32" t="e">
        <f>VLOOKUP(A6,'Données projet'!$A$165:$I$185,2,0)</f>
        <v>#N/A</v>
      </c>
      <c r="CI6" s="33" t="e">
        <f>VLOOKUP(A6,'Données projet'!$A$165:$I$185,9,0)</f>
        <v>#N/A</v>
      </c>
      <c r="CJ6" s="33">
        <f t="array" ref="CJ6">INDEX(CI:CI,MIN(IF(ISNUMBER(CI6:CI202),ROW(CI6:CI202),"")))</f>
        <v>0</v>
      </c>
      <c r="CK6" s="33">
        <f t="shared" si="31"/>
        <v>0</v>
      </c>
      <c r="CL6" s="38" t="e">
        <f>CK6*VLOOKUP('Données projet'!$B$14,Paramètres!$A$1:$I$88,3,0)*VLOOKUP('Données projet'!$B$14,Paramètres!$A$1:$I$88,5,0)</f>
        <v>#N/A</v>
      </c>
      <c r="CM6" s="34" t="e">
        <f t="shared" si="32"/>
        <v>#N/A</v>
      </c>
      <c r="CN6" s="44" t="e">
        <f t="shared" si="10"/>
        <v>#N/A</v>
      </c>
      <c r="CO6" s="36">
        <f>IF(ISNA(VLOOKUP(A6,'Données projet'!$A$165:$I$185,3,0)),0,VLOOKUP(A6,'Données projet'!$A$165:$I$185,3,0))</f>
        <v>0</v>
      </c>
      <c r="CP6" s="36">
        <f>IF(ISNA(VLOOKUP(A6,'Données projet'!$A$165:$I$185,4,0)),0,VLOOKUP(A6,'Données projet'!$A$165:$I$185,4,0))</f>
        <v>0</v>
      </c>
      <c r="CQ6" s="37">
        <f>IF(ISNA(VLOOKUP(A6,'Données projet'!$A$165:$I$185,5,0)),0%,VLOOKUP(A6,'Données projet'!$A$165:$I$185,5,0)*VLOOKUP('Données projet'!$B$14,Paramètres!$A$1:$I$88,7,0))</f>
        <v>0</v>
      </c>
      <c r="CR6" s="37">
        <f>IF(ISNA(VLOOKUP(A6,'Données projet'!$A$165:$I$185,6,0)),0%,VLOOKUP(A6,'Données projet'!$A$165:$I$185,6,0)*VLOOKUP('Données projet'!$B$14,Paramètres!$A$1:$I$88,7,0))</f>
        <v>0</v>
      </c>
      <c r="CS6" s="37">
        <f>IF(ISNA(VLOOKUP(A6,'Données projet'!$A$165:$I$185,7,0)),0%,VLOOKUP(A6,'Données projet'!$A$165:$I$185,7,0))</f>
        <v>0</v>
      </c>
      <c r="CT6" s="45">
        <f>EXP(-LN(2)/35)*CT5+(1-EXP(-LN(2)/35))/(LN(2)/35)*CP6*CQ6*VLOOKUP('Données projet'!$B$9,Paramètres!$A$1:$I$88,3,0)*0.475*44/12</f>
        <v>0</v>
      </c>
      <c r="CU6" s="45">
        <f>EXP(-LN(2)/25)*CU5+(1-EXP(-LN(2)/25))/(LN(2)/25)*Calculateur!CP6*Calculateur!CR6*VLOOKUP('Données projet'!$B$9,Paramètres!$A$1:$I$88,3,0)*0.475*44/12</f>
        <v>0</v>
      </c>
      <c r="CV6" s="45">
        <f>EXP(-LN(2)/2)*CV5+(1-EXP(-LN(2)/2))/(LN(2)/2)*CP6*CS6*VLOOKUP('Données projet'!$B$9,Paramètres!$A$1:$I$88,3,0)*0.475*44/12</f>
        <v>0</v>
      </c>
      <c r="CW6" s="46">
        <f t="shared" si="11"/>
        <v>0</v>
      </c>
      <c r="CX6" s="32" t="e">
        <f>VLOOKUP(A6,'Données projet'!$A$191:$I$211,2,0)</f>
        <v>#N/A</v>
      </c>
      <c r="CY6" s="33" t="e">
        <f>VLOOKUP(A6,'Données projet'!$A$191:$I$211,9,0)</f>
        <v>#N/A</v>
      </c>
      <c r="CZ6" s="33">
        <f t="array" ref="CZ6">INDEX(CY:CY,MIN(IF(ISNUMBER(CY6:CY202),ROW(CY6:CY202),"")))</f>
        <v>0</v>
      </c>
      <c r="DA6" s="33">
        <f t="shared" si="33"/>
        <v>0</v>
      </c>
      <c r="DB6" s="38" t="e">
        <f>DA6*VLOOKUP('Données projet'!$B$15,Paramètres!$A$1:$I$88,3,0)*VLOOKUP('Données projet'!$B$15,Paramètres!$A$1:$I$88,5,0)</f>
        <v>#N/A</v>
      </c>
      <c r="DC6" s="34" t="e">
        <f t="shared" si="34"/>
        <v>#N/A</v>
      </c>
      <c r="DD6" s="44" t="e">
        <f t="shared" si="12"/>
        <v>#N/A</v>
      </c>
      <c r="DE6" s="36">
        <f>IF(ISNA(VLOOKUP(A6,'Données projet'!$A$191:$I$211,3,0)),0,VLOOKUP(A6,'Données projet'!$A$191:$I$211,3,0))</f>
        <v>0</v>
      </c>
      <c r="DF6" s="36">
        <f>IF(ISNA(VLOOKUP(A6,'Données projet'!$A$191:$I$211,4,0)),0,VLOOKUP(A6,'Données projet'!$A$191:$I$211,4,0))</f>
        <v>0</v>
      </c>
      <c r="DG6" s="37">
        <f>IF(ISNA(VLOOKUP(A6,'Données projet'!$A$191:$I$211,5,0)),0%,VLOOKUP(A6,'Données projet'!$A$191:$I$211,5,0)*VLOOKUP('Données projet'!$B$15,Paramètres!$A$1:$I$88,7,0))</f>
        <v>0</v>
      </c>
      <c r="DH6" s="37">
        <f>IF(ISNA(VLOOKUP(A6,'Données projet'!$A$191:$I$211,6,0)),0%,VLOOKUP(A6,'Données projet'!$A$191:$I$211,6,0)*VLOOKUP('Données projet'!$B$15,Paramètres!$A$1:$I$88,7,0))</f>
        <v>0</v>
      </c>
      <c r="DI6" s="37">
        <f>IF(ISNA(VLOOKUP(A6,'Données projet'!$A$191:$I$211,7,0)),0%,VLOOKUP(A6,'Données projet'!$A$191:$I$211,7,0))</f>
        <v>0</v>
      </c>
      <c r="DJ6" s="45">
        <f>EXP(-LN(2)/35)*DJ5+(1-EXP(-LN(2)/35))/(LN(2)/35)*DF6*DG6*VLOOKUP('Données projet'!$B$9,Paramètres!$A$1:$I$88,3,0)*0.475*44/12</f>
        <v>0</v>
      </c>
      <c r="DK6" s="45">
        <f>EXP(-LN(2)/25)*DK5+(1-EXP(-LN(2)/25))/(LN(2)/25)*Calculateur!DF6*Calculateur!DH6*VLOOKUP('Données projet'!$B$9,Paramètres!$A$1:$I$88,3,0)*0.475*44/12</f>
        <v>0</v>
      </c>
      <c r="DL6" s="45">
        <f>EXP(-LN(2)/2)*DL5+(1-EXP(-LN(2)/2))/(LN(2)/2)*DF6*DI6*VLOOKUP('Données projet'!$B$9,Paramètres!$A$1:$I$88,3,0)*0.475*44/12</f>
        <v>0</v>
      </c>
      <c r="DM6" s="46">
        <f t="shared" si="13"/>
        <v>0</v>
      </c>
      <c r="DN6" s="32" t="e">
        <f>VLOOKUP(A6,'Données projet'!$A$217:$I$237,2,0)</f>
        <v>#N/A</v>
      </c>
      <c r="DO6" s="33" t="e">
        <f>VLOOKUP(A6,'Données projet'!$A$217:$I$237,9,0)</f>
        <v>#N/A</v>
      </c>
      <c r="DP6" s="33">
        <f t="array" ref="DP6">INDEX(DO:DO,MIN(IF(ISNUMBER(DO6:DO202),ROW(DO6:DO202),"")))</f>
        <v>0</v>
      </c>
      <c r="DQ6" s="33">
        <f t="shared" si="35"/>
        <v>0</v>
      </c>
      <c r="DR6" s="38" t="e">
        <f>DQ6*VLOOKUP('Données projet'!$B$16,Paramètres!$A$1:$I$88,3,0)*VLOOKUP('Données projet'!$B$16,Paramètres!$A$1:$I$88,5,0)</f>
        <v>#N/A</v>
      </c>
      <c r="DS6" s="34" t="e">
        <f t="shared" si="36"/>
        <v>#N/A</v>
      </c>
      <c r="DT6" s="44" t="e">
        <f t="shared" si="14"/>
        <v>#N/A</v>
      </c>
      <c r="DU6" s="36">
        <f>IF(ISNA(VLOOKUP(A6,'Données projet'!$A$217:$I$237,3,0)),0,VLOOKUP(A6,'Données projet'!$A$217:$I$237,3,0))</f>
        <v>0</v>
      </c>
      <c r="DV6" s="36">
        <f>IF(ISNA(VLOOKUP(A6,'Données projet'!$A$217:$I$237,4,0)),0,VLOOKUP(A6,'Données projet'!$A$217:$I$237,4,0))</f>
        <v>0</v>
      </c>
      <c r="DW6" s="37">
        <f>IF(ISNA(VLOOKUP(A6,'Données projet'!$A$217:$I$237,5,0)),0%,VLOOKUP(A6,'Données projet'!$A$217:$I$237,5,0)*VLOOKUP('Données projet'!$B$16,Paramètres!$A$1:$I$88,7,0))</f>
        <v>0</v>
      </c>
      <c r="DX6" s="37">
        <f>IF(ISNA(VLOOKUP(A6,'Données projet'!$A$217:$I$237,6,0)),0%,VLOOKUP(A6,'Données projet'!$A$217:$I$237,6,0)*VLOOKUP('Données projet'!$B$16,Paramètres!$A$1:$I$88,7,0))</f>
        <v>0</v>
      </c>
      <c r="DY6" s="37">
        <f>IF(ISNA(VLOOKUP(A6,'Données projet'!$A$217:$I$237,7,0)),0%,VLOOKUP(A6,'Données projet'!$A$217:$I$237,7,0))</f>
        <v>0</v>
      </c>
      <c r="DZ6" s="45">
        <f>EXP(-LN(2)/35)*DZ5+(1-EXP(-LN(2)/35))/(LN(2)/35)*DV6*DW6*VLOOKUP('Données projet'!$B$9,Paramètres!$A$1:$I$88,3,0)*0.475*44/12</f>
        <v>0</v>
      </c>
      <c r="EA6" s="45">
        <f>EXP(-LN(2)/25)*EA5+(1-EXP(-LN(2)/25))/(LN(2)/25)*Calculateur!DV6*Calculateur!DX6*VLOOKUP('Données projet'!$B$9,Paramètres!$A$1:$I$88,3,0)*0.475*44/12</f>
        <v>0</v>
      </c>
      <c r="EB6" s="45">
        <f>EXP(-LN(2)/2)*EB5+(1-EXP(-LN(2)/2))/(LN(2)/2)*DV6*DY6*VLOOKUP('Données projet'!$B$9,Paramètres!$A$1:$I$88,3,0)*0.475*44/12</f>
        <v>0</v>
      </c>
      <c r="EC6" s="46">
        <f t="shared" si="15"/>
        <v>0</v>
      </c>
      <c r="ED6" s="32" t="e">
        <f>VLOOKUP(A6,'Données projet'!$A$243:$I$263,2,0)</f>
        <v>#N/A</v>
      </c>
      <c r="EE6" s="33" t="e">
        <f>VLOOKUP(A6,'Données projet'!$A$243:$I$263,9,0)</f>
        <v>#N/A</v>
      </c>
      <c r="EF6" s="33">
        <f t="array" ref="EF6">INDEX(EE:EE,MIN(IF(ISNUMBER(EE6:EE202),ROW(EE6:EE202),"")))</f>
        <v>0</v>
      </c>
      <c r="EG6" s="33">
        <f t="shared" si="37"/>
        <v>0</v>
      </c>
      <c r="EH6" s="38" t="e">
        <f>EG6*VLOOKUP('Données projet'!$B$17,Paramètres!$A$1:$I$88,3,0)*VLOOKUP('Données projet'!$B$17,Paramètres!$A$1:$I$88,5,0)</f>
        <v>#N/A</v>
      </c>
      <c r="EI6" s="34" t="e">
        <f t="shared" si="38"/>
        <v>#N/A</v>
      </c>
      <c r="EJ6" s="44" t="e">
        <f t="shared" si="16"/>
        <v>#N/A</v>
      </c>
      <c r="EK6" s="36">
        <f>IF(ISNA(VLOOKUP(A6,'Données projet'!$A$243:$I$263,3,0)),0,VLOOKUP(A6,'Données projet'!$A$243:$I$263,3,0))</f>
        <v>0</v>
      </c>
      <c r="EL6" s="36">
        <f>IF(ISNA(VLOOKUP(A6,'Données projet'!$A$243:$I$263,4,0)),0,VLOOKUP(A6,'Données projet'!$A$243:$I$263,4,0))</f>
        <v>0</v>
      </c>
      <c r="EM6" s="37">
        <f>IF(ISNA(VLOOKUP(A6,'Données projet'!$A$243:$I$263,5,0)),0%,VLOOKUP(A6,'Données projet'!$A$243:$I$263,5,0)*VLOOKUP('Données projet'!$B$17,Paramètres!$A$1:$I$88,7,0))</f>
        <v>0</v>
      </c>
      <c r="EN6" s="37">
        <f>IF(ISNA(VLOOKUP(A6,'Données projet'!$A$243:$I$263,6,0)),0%,VLOOKUP(A6,'Données projet'!$A$243:$I$263,6,0)*VLOOKUP('Données projet'!$B$17,Paramètres!$A$1:$I$88,7,0))</f>
        <v>0</v>
      </c>
      <c r="EO6" s="37">
        <f>IF(ISNA(VLOOKUP(A6,'Données projet'!$A$243:$I$263,7,0)),0%,VLOOKUP(A6,'Données projet'!$A$243:$I$263,7,0))</f>
        <v>0</v>
      </c>
      <c r="EP6" s="45">
        <f>EXP(-LN(2)/35)*EP5+(1-EXP(-LN(2)/35))/(LN(2)/35)*EL6*EM6*VLOOKUP('Données projet'!$B$9,Paramètres!$A$1:$I$88,3,0)*0.475*44/12</f>
        <v>0</v>
      </c>
      <c r="EQ6" s="45">
        <f>EXP(-LN(2)/25)*EQ5+(1-EXP(-LN(2)/25))/(LN(2)/25)*Calculateur!EL6*Calculateur!EN6*VLOOKUP('Données projet'!$B$9,Paramètres!$A$1:$I$88,3,0)*0.475*44/12</f>
        <v>0</v>
      </c>
      <c r="ER6" s="45">
        <f>EXP(-LN(2)/2)*ER5+(1-EXP(-LN(2)/2))/(LN(2)/2)*EL6*EO6*VLOOKUP('Données projet'!$B$9,Paramètres!$A$1:$I$88,3,0)*0.475*44/12</f>
        <v>0</v>
      </c>
      <c r="ES6" s="46">
        <f t="shared" si="17"/>
        <v>0</v>
      </c>
      <c r="ET6" s="32" t="e">
        <f>VLOOKUP(A6,'Données projet'!$A$269:$I$289,2,0)</f>
        <v>#N/A</v>
      </c>
      <c r="EU6" s="33" t="e">
        <f>VLOOKUP(A6,'Données projet'!$A$269:$I$289,9,0)</f>
        <v>#N/A</v>
      </c>
      <c r="EV6" s="33">
        <f t="array" ref="EV6">INDEX(EU:EU,MIN(IF(ISNUMBER(EU6:EU202),ROW(EU6:EU202),"")))</f>
        <v>0</v>
      </c>
      <c r="EW6" s="33">
        <f t="shared" si="39"/>
        <v>0</v>
      </c>
      <c r="EX6" s="38" t="e">
        <f>EW6*VLOOKUP('Données projet'!$B$18,Paramètres!$A$1:$I$88,3,0)*VLOOKUP('Données projet'!$B$18,Paramètres!$A$1:$I$88,5,0)</f>
        <v>#N/A</v>
      </c>
      <c r="EY6" s="34" t="e">
        <f t="shared" si="40"/>
        <v>#N/A</v>
      </c>
      <c r="EZ6" s="44" t="e">
        <f t="shared" si="18"/>
        <v>#N/A</v>
      </c>
      <c r="FA6" s="36">
        <f>IF(ISNA(VLOOKUP(A6,'Données projet'!$A$269:$I$289,3,0)),0,VLOOKUP(A6,'Données projet'!$A$269:$I$289,3,0))</f>
        <v>0</v>
      </c>
      <c r="FB6" s="36">
        <f>IF(ISNA(VLOOKUP(A6,'Données projet'!$A$269:$I$289,4,0)),0,VLOOKUP(A6,'Données projet'!$A$269:$I$289,4,0))</f>
        <v>0</v>
      </c>
      <c r="FC6" s="37">
        <f>IF(ISNA(VLOOKUP(A6,'Données projet'!$A$269:$I$289,5,0)),0%,VLOOKUP(A6,'Données projet'!$A$269:$I$289,5,0)*VLOOKUP('Données projet'!$B$18,Paramètres!$A$1:$I$88,7,0))</f>
        <v>0</v>
      </c>
      <c r="FD6" s="37">
        <f>IF(ISNA(VLOOKUP(A6,'Données projet'!$A$269:$I$289,6,0)),0%,VLOOKUP(A6,'Données projet'!$A$269:$I$289,6,0)*VLOOKUP('Données projet'!$B$18,Paramètres!$A$1:$I$88,7,0))</f>
        <v>0</v>
      </c>
      <c r="FE6" s="37">
        <f>IF(ISNA(VLOOKUP(A6,'Données projet'!$A$269:$I$289,7,0)),0%,VLOOKUP(A6,'Données projet'!$A$269:$I$289,7,0))</f>
        <v>0</v>
      </c>
      <c r="FF6" s="45">
        <f>EXP(-LN(2)/35)*FF5+(1-EXP(-LN(2)/35))/(LN(2)/35)*FB6*FC6*VLOOKUP('Données projet'!$B$9,Paramètres!$A$1:$I$88,3,0)*0.475*44/12</f>
        <v>0</v>
      </c>
      <c r="FG6" s="45">
        <f>EXP(-LN(2)/25)*FG5+(1-EXP(-LN(2)/25))/(LN(2)/25)*Calculateur!FB6*Calculateur!FD6*VLOOKUP('Données projet'!$B$9,Paramètres!$A$1:$I$88,3,0)*0.475*44/12</f>
        <v>0</v>
      </c>
      <c r="FH6" s="45">
        <f>EXP(-LN(2)/2)*FH5+(1-EXP(-LN(2)/2))/(LN(2)/2)*FB6*FE6*VLOOKUP('Données projet'!$B$9,Paramètres!$A$1:$I$88,3,0)*0.475*44/12</f>
        <v>0</v>
      </c>
      <c r="FI6" s="46">
        <f t="shared" si="19"/>
        <v>0</v>
      </c>
    </row>
    <row r="7" spans="1:165" x14ac:dyDescent="0.25">
      <c r="A7" s="24">
        <f t="shared" si="20"/>
        <v>4</v>
      </c>
      <c r="B7" s="25">
        <f>IF('Scénario référence'!$N$1=1,5,0)</f>
        <v>0</v>
      </c>
      <c r="C7" s="40">
        <f>IF(OR('Scénario référence'!$N$1=2,'Scénario référence'!$N$1=4),C6+1*VLOOKUP('Scénario référence'!$G$14,Paramètres!$A$1:$I$88,3,0)*VLOOKUP('Scénario référence'!$G$14,Paramètres!$A$1:$I$88,5,0),IF(OR('Scénario référence'!$N$1=3,'Scénario référence'!$N$1=5),C6+0.5*VLOOKUP('Scénario référence'!$G$14,Paramètres!$A$1:$I$88,3,0)*VLOOKUP('Scénario référence'!$G$14,Paramètres!$A$1:$I$88,5,0),0))</f>
        <v>2.1840000000000002</v>
      </c>
      <c r="D7" s="26">
        <f t="shared" si="21"/>
        <v>0.91900038282935004</v>
      </c>
      <c r="E7" s="27">
        <f>IF('Scénario référence'!$N$1=1,B7*44/12,(C7+D7)*0.475*44/12)</f>
        <v>5.4043923334277837</v>
      </c>
      <c r="F7" s="28" t="e">
        <f>VLOOKUP(A7,'Données projet'!$A$35:$I$55,2,0)</f>
        <v>#N/A</v>
      </c>
      <c r="G7" s="28" t="e">
        <f>VLOOKUP(A7,'Données projet'!$A$35:$I$55,9,0)</f>
        <v>#N/A</v>
      </c>
      <c r="H7" s="33">
        <f t="array" ref="H7">INDEX(G:G,MIN(IF(ISNUMBER(G7:G203),ROW(G7:G203),"")))</f>
        <v>2.1</v>
      </c>
      <c r="I7" s="28">
        <f t="shared" si="22"/>
        <v>8.4</v>
      </c>
      <c r="J7" s="41">
        <f>I7*VLOOKUP('Données projet'!$B$9,Paramètres!$A$1:$I$88,3,0)*VLOOKUP('Données projet'!$B$9,Paramètres!$A$1:$I$88,5,0)</f>
        <v>8.5176000000000016</v>
      </c>
      <c r="K7" s="41">
        <f t="shared" si="23"/>
        <v>3.0590063539379937</v>
      </c>
      <c r="L7" s="42">
        <f t="shared" si="0"/>
        <v>20.162589399775342</v>
      </c>
      <c r="M7" s="30">
        <f>IF(ISNA(VLOOKUP(A7,'Données projet'!$A$35:$I$55,3,0)),0,VLOOKUP(A7,'Données projet'!$A$35:$I$55,3,0))</f>
        <v>0</v>
      </c>
      <c r="N7" s="30">
        <f>IF(ISNA(VLOOKUP(A7,'Données projet'!$A$35:$I$55,4,0)),0,VLOOKUP(A7,'Données projet'!$A$35:$I$55,4,0))</f>
        <v>0</v>
      </c>
      <c r="O7" s="31">
        <f>IF(ISNA(VLOOKUP(A7,'Données projet'!$A$35:$I$55,5,0)),0%,VLOOKUP(A7,'Données projet'!$A$35:$I$55,5,0)*VLOOKUP('Données projet'!$B$9,Paramètres!$A$1:$I$88,7,0))</f>
        <v>0</v>
      </c>
      <c r="P7" s="31">
        <f>IF(ISNA(VLOOKUP(A7,'Données projet'!$A$35:$I$55,6,0)),0%,VLOOKUP(A7,'Données projet'!$A$35:$I$55,6,0)*VLOOKUP('Données projet'!$B$9,Paramètres!$A$1:$I$88,7,0))</f>
        <v>0</v>
      </c>
      <c r="Q7" s="31">
        <f>IF(ISNA(VLOOKUP(A7,'Données projet'!$A$35:$I$55,7,0)),0%,VLOOKUP(A7,'Données projet'!$A$35:$I$55,7,0))</f>
        <v>0</v>
      </c>
      <c r="R7" s="43">
        <f>EXP(-LN(2)/35)*R6+(1-EXP(-LN(2)/35))/(LN(2)/35)*N7*O7*VLOOKUP('Données projet'!$B$9,Paramètres!$A$1:$I$88,3,0)*0.475*44/12</f>
        <v>0</v>
      </c>
      <c r="S7" s="43">
        <f>EXP(-LN(2)/25)*S6+(1-EXP(-LN(2)/25))/(LN(2)/25)*Calculateur!N7*Calculateur!P7*VLOOKUP('Données projet'!$B$9,Paramètres!$A$1:$I$88,3,0)*0.475*44/12</f>
        <v>0</v>
      </c>
      <c r="T7" s="43">
        <f>EXP(-LN(2)/2)*T6+(1-EXP(-LN(2)/2))/(LN(2)/2)*N7*Q7*VLOOKUP('Données projet'!$B$9,Paramètres!$A$1:$I$88,3,0)*0.475*44/12</f>
        <v>0</v>
      </c>
      <c r="U7" s="43">
        <f t="shared" si="1"/>
        <v>0</v>
      </c>
      <c r="V7" s="32" t="e">
        <f>VLOOKUP(A7,'Données projet'!$A$61:$I$81,2,0)</f>
        <v>#N/A</v>
      </c>
      <c r="W7" s="33" t="e">
        <f>VLOOKUP(A7,'Données projet'!$A$61:$I$81,9,0)</f>
        <v>#N/A</v>
      </c>
      <c r="X7" s="33">
        <f t="array" ref="X7">INDEX(W:W,MIN(IF(ISNUMBER(W7:W203),ROW(W7:W203),"")))</f>
        <v>0</v>
      </c>
      <c r="Y7" s="33">
        <f t="shared" si="24"/>
        <v>0</v>
      </c>
      <c r="Z7" s="34" t="e">
        <f>Y7*VLOOKUP('Données projet'!$B$10,Paramètres!$A$1:$I$88,3,0)*VLOOKUP('Données projet'!$B$10,Paramètres!$A$1:$I$88,5,0)</f>
        <v>#N/A</v>
      </c>
      <c r="AA7" s="34" t="e">
        <f t="shared" si="25"/>
        <v>#N/A</v>
      </c>
      <c r="AB7" s="44" t="e">
        <f t="shared" si="2"/>
        <v>#N/A</v>
      </c>
      <c r="AC7" s="36">
        <f>IF(ISNA(VLOOKUP(A7,'Données projet'!$A$61:$I$81,3,0)),0,VLOOKUP(A7,'Données projet'!$A$61:$I$81,3,0))</f>
        <v>0</v>
      </c>
      <c r="AD7" s="36">
        <f>IF(ISNA(VLOOKUP(A7,'Données projet'!$A$61:$I$81,4,0)),0,VLOOKUP(A7,'Données projet'!$A$61:$I$81,4,0))</f>
        <v>0</v>
      </c>
      <c r="AE7" s="37">
        <f>IF(ISNA(VLOOKUP(A7,'Données projet'!$A$61:$I$81,5,0)),0%,VLOOKUP(A7,'Données projet'!$A$61:$I$81,5,0)*VLOOKUP('Données projet'!$B$10,Paramètres!$A$1:$I$88,7,0))</f>
        <v>0</v>
      </c>
      <c r="AF7" s="37">
        <f>IF(ISNA(VLOOKUP(A7,'Données projet'!$A$61:$I$81,6,0)),0%,VLOOKUP(A7,'Données projet'!$A$61:$I$81,6,0)*VLOOKUP('Données projet'!$B$10,Paramètres!$A$1:$I$88,7,0))</f>
        <v>0</v>
      </c>
      <c r="AG7" s="37">
        <f>IF(ISNA(VLOOKUP(A7,'Données projet'!$A$61:$I$81,7,0)),0%,VLOOKUP(A7,'Données projet'!$A$61:$I$81,7,0))</f>
        <v>0</v>
      </c>
      <c r="AH7" s="45">
        <f>EXP(-LN(2)/35)*AH6+(1-EXP(-LN(2)/35))/(LN(2)/35)*AD7*AE7*VLOOKUP('Données projet'!$B$9,Paramètres!$A$1:$I$88,3,0)*0.475*44/12</f>
        <v>0</v>
      </c>
      <c r="AI7" s="45">
        <f>EXP(-LN(2)/25)*AI6+(1-EXP(-LN(2)/25))/(LN(2)/25)*Calculateur!AD7*Calculateur!AF7*VLOOKUP('Données projet'!$B$9,Paramètres!$A$1:$I$88,3,0)*0.475*44/12</f>
        <v>0</v>
      </c>
      <c r="AJ7" s="45">
        <f>EXP(-LN(2)/2)*AJ6+(1-EXP(-LN(2)/2))/(LN(2)/2)*AD7*AG7*VLOOKUP('Données projet'!$B$9,Paramètres!$A$1:$I$88,3,0)*0.475*44/12</f>
        <v>0</v>
      </c>
      <c r="AK7" s="45">
        <f t="shared" si="3"/>
        <v>0</v>
      </c>
      <c r="AL7" s="32" t="e">
        <f>VLOOKUP(A7,'Données projet'!$A$87:$I$107,2,0)</f>
        <v>#N/A</v>
      </c>
      <c r="AM7" s="33" t="e">
        <f>VLOOKUP(A7,'Données projet'!$A$87:$I$107,9,0)</f>
        <v>#N/A</v>
      </c>
      <c r="AN7" s="33">
        <f t="array" ref="AN7">INDEX(AM:AM,MIN(IF(ISNUMBER(AM7:AM203),ROW(AM7:AM203),"")))</f>
        <v>0</v>
      </c>
      <c r="AO7" s="33">
        <f t="shared" si="26"/>
        <v>0</v>
      </c>
      <c r="AP7" s="34" t="e">
        <f>AO7*VLOOKUP('Données projet'!$B$11,Paramètres!$A$1:$I$88,3,0)*VLOOKUP('Données projet'!$B$11,Paramètres!$A$1:$I$88,5,0)</f>
        <v>#N/A</v>
      </c>
      <c r="AQ7" s="34" t="e">
        <f t="shared" si="27"/>
        <v>#N/A</v>
      </c>
      <c r="AR7" s="44" t="e">
        <f t="shared" si="4"/>
        <v>#N/A</v>
      </c>
      <c r="AS7" s="36">
        <f>IF(ISNA(VLOOKUP(A7,'Données projet'!$A$87:$I$107,3,0)),0,VLOOKUP(A7,'Données projet'!$A$87:$I$107,3,0))</f>
        <v>0</v>
      </c>
      <c r="AT7" s="36">
        <f>IF(ISNA(VLOOKUP(A7,'Données projet'!$A$87:$I$107,4,0)),0,VLOOKUP(A7,'Données projet'!$A$87:$I$107,4,0))</f>
        <v>0</v>
      </c>
      <c r="AU7" s="37">
        <f>IF(ISNA(VLOOKUP(A7,'Données projet'!$A$87:$I$107,5,0)),0%,VLOOKUP(A7,'Données projet'!$A$87:$I$107,5,0)*VLOOKUP('Données projet'!$B$11,Paramètres!$A$1:$I$88,7,0))</f>
        <v>0</v>
      </c>
      <c r="AV7" s="37">
        <f>IF(ISNA(VLOOKUP(A7,'Données projet'!$A$87:$I$107,6,0)),0%,VLOOKUP(A7,'Données projet'!$A$87:$I$107,6,0)*VLOOKUP('Données projet'!$B$11,Paramètres!$A$1:$I$88,7,0))</f>
        <v>0</v>
      </c>
      <c r="AW7" s="37">
        <f>IF(ISNA(VLOOKUP(A7,'Données projet'!$A$87:$I$107,7,0)),0%,VLOOKUP(A7,'Données projet'!$A$87:$I$107,7,0))</f>
        <v>0</v>
      </c>
      <c r="AX7" s="45">
        <f>EXP(-LN(2)/35)*AX6+(1-EXP(-LN(2)/35))/(LN(2)/35)*AT7*AU7*VLOOKUP('Données projet'!$B$9,Paramètres!$A$1:$I$88,3,0)*0.475*44/12</f>
        <v>0</v>
      </c>
      <c r="AY7" s="45">
        <f>EXP(-LN(2)/25)*AY6+(1-EXP(-LN(2)/25))/(LN(2)/25)*Calculateur!AT7*Calculateur!AV7*VLOOKUP('Données projet'!$B$9,Paramètres!$A$1:$I$88,3,0)*0.475*44/12</f>
        <v>0</v>
      </c>
      <c r="AZ7" s="45">
        <f>EXP(-LN(2)/2)*AZ6+(1-EXP(-LN(2)/2))/(LN(2)/2)*AT7*AW7*VLOOKUP('Données projet'!$B$9,Paramètres!$A$1:$I$88,3,0)*0.475*44/12</f>
        <v>0</v>
      </c>
      <c r="BA7" s="46">
        <f t="shared" si="5"/>
        <v>0</v>
      </c>
      <c r="BB7" s="32" t="e">
        <f>VLOOKUP(A7,'Données projet'!$A$113:$I$133,2,0)</f>
        <v>#N/A</v>
      </c>
      <c r="BC7" s="33" t="e">
        <f>VLOOKUP(A7,'Données projet'!$A$113:$I$133,9,0)</f>
        <v>#N/A</v>
      </c>
      <c r="BD7" s="33">
        <f t="array" ref="BD7">INDEX(BC:BC,MIN(IF(ISNUMBER(BC7:BC203),ROW(BC7:BC203),"")))</f>
        <v>0</v>
      </c>
      <c r="BE7" s="33">
        <f t="shared" si="28"/>
        <v>0</v>
      </c>
      <c r="BF7" s="34" t="e">
        <f>BE7*VLOOKUP('Données projet'!$B$12,Paramètres!$A$1:$I$88,3,0)*VLOOKUP('Données projet'!$B$12,Paramètres!$A$1:$I$88,5,0)</f>
        <v>#N/A</v>
      </c>
      <c r="BG7" s="34" t="e">
        <f t="shared" si="29"/>
        <v>#N/A</v>
      </c>
      <c r="BH7" s="44" t="e">
        <f t="shared" si="6"/>
        <v>#N/A</v>
      </c>
      <c r="BI7" s="36">
        <f>IF(ISNA(VLOOKUP(A7,'Données projet'!$A$113:$I$133,3,0)),0,VLOOKUP(A7,'Données projet'!$A$113:$I$133,3,0))</f>
        <v>0</v>
      </c>
      <c r="BJ7" s="36">
        <f>IF(ISNA(VLOOKUP(A7,'Données projet'!$A$113:$I$133,4,0)),0,VLOOKUP(A7,'Données projet'!$A$113:$I$133,4,0))</f>
        <v>0</v>
      </c>
      <c r="BK7" s="37">
        <f>IF(ISNA(VLOOKUP(A7,'Données projet'!$A$113:$I$133,5,0)),0%,VLOOKUP(A7,'Données projet'!$A$113:$I$133,5,0)*VLOOKUP('Données projet'!$B$12,Paramètres!$A$1:$I$88,7,0))</f>
        <v>0</v>
      </c>
      <c r="BL7" s="37">
        <f>IF(ISNA(VLOOKUP(A7,'Données projet'!$A$113:$I$133,6,0)),0%,VLOOKUP(A7,'Données projet'!$A$113:$I$133,6,0)*VLOOKUP('Données projet'!$B$12,Paramètres!$A$1:$I$88,7,0))</f>
        <v>0</v>
      </c>
      <c r="BM7" s="37">
        <f>IF(ISNA(VLOOKUP(A7,'Données projet'!$A$113:$I$133,7,0)),0%,VLOOKUP(A7,'Données projet'!$A$113:$I$133,7,0))</f>
        <v>0</v>
      </c>
      <c r="BN7" s="45">
        <f>EXP(-LN(2)/35)*BN6+(1-EXP(-LN(2)/35))/(LN(2)/35)*BJ7*BK7*VLOOKUP('Données projet'!$B$9,Paramètres!$A$1:$I$88,3,0)*0.475*44/12</f>
        <v>0</v>
      </c>
      <c r="BO7" s="45">
        <f>EXP(-LN(2)/25)*BO6+(1-EXP(-LN(2)/25))/(LN(2)/25)*Calculateur!BJ7*Calculateur!BL7*VLOOKUP('Données projet'!$B$9,Paramètres!$A$1:$I$88,3,0)*0.475*44/12</f>
        <v>0</v>
      </c>
      <c r="BP7" s="45">
        <f>EXP(-LN(2)/2)*BP6+(1-EXP(-LN(2)/2))/(LN(2)/2)*BJ7*BM7*VLOOKUP('Données projet'!$B$9,Paramètres!$A$1:$I$88,3,0)*0.475*44/12</f>
        <v>0</v>
      </c>
      <c r="BQ7" s="46">
        <f t="shared" si="7"/>
        <v>0</v>
      </c>
      <c r="BR7" s="32" t="e">
        <f>VLOOKUP(A7,'Données projet'!$A$139:$I$159,2,0)</f>
        <v>#N/A</v>
      </c>
      <c r="BS7" s="33" t="e">
        <f>VLOOKUP(A7,'Données projet'!$A$139:$I$159,9,0)</f>
        <v>#N/A</v>
      </c>
      <c r="BT7" s="33">
        <f t="array" ref="BT7">INDEX(BS:BS,MIN(IF(ISNUMBER(BS7:BS203),ROW(BS7:BS203),"")))</f>
        <v>0</v>
      </c>
      <c r="BU7" s="33">
        <f t="shared" si="41"/>
        <v>0</v>
      </c>
      <c r="BV7" s="38" t="e">
        <f>BU7*VLOOKUP('Données projet'!$B$13,Paramètres!$A$1:$I$88,3,0)*VLOOKUP('Données projet'!$B$13,Paramètres!$A$1:$I$88,5,0)</f>
        <v>#N/A</v>
      </c>
      <c r="BW7" s="34" t="e">
        <f t="shared" si="30"/>
        <v>#N/A</v>
      </c>
      <c r="BX7" s="44" t="e">
        <f t="shared" si="8"/>
        <v>#N/A</v>
      </c>
      <c r="BY7" s="36">
        <f>IF(ISNA(VLOOKUP(A7,'Données projet'!$A$139:$I$159,3,0)),0,VLOOKUP(A7,'Données projet'!$A$139:$I$159,3,0))</f>
        <v>0</v>
      </c>
      <c r="BZ7" s="36">
        <f>IF(ISNA(VLOOKUP(A7,'Données projet'!$A$139:$I$159,4,0)),0,VLOOKUP(A7,'Données projet'!$A$139:$I$159,4,0))</f>
        <v>0</v>
      </c>
      <c r="CA7" s="37">
        <f>IF(ISNA(VLOOKUP(A7,'Données projet'!$A$139:$I$159,5,0)),0%,VLOOKUP(A7,'Données projet'!$A$139:$I$159,5,0)*VLOOKUP('Données projet'!$B$13,Paramètres!$A$1:$I$88,7,0))</f>
        <v>0</v>
      </c>
      <c r="CB7" s="37">
        <f>IF(ISNA(VLOOKUP(A7,'Données projet'!$A$139:$I$159,6,0)),0%,VLOOKUP(A7,'Données projet'!$A$139:$I$159,6,0)*VLOOKUP('Données projet'!$B$13,Paramètres!$A$1:$I$88,7,0))</f>
        <v>0</v>
      </c>
      <c r="CC7" s="37">
        <f>IF(ISNA(VLOOKUP(A7,'Données projet'!$A$139:$I$159,7,0)),0%,VLOOKUP(A7,'Données projet'!$A$139:$I$159,7,0))</f>
        <v>0</v>
      </c>
      <c r="CD7" s="45">
        <f>EXP(-LN(2)/35)*CD6+(1-EXP(-LN(2)/35))/(LN(2)/35)*BZ7*CA7*VLOOKUP('Données projet'!$B$9,Paramètres!$A$1:$I$88,3,0)*0.475*44/12</f>
        <v>0</v>
      </c>
      <c r="CE7" s="45">
        <f>EXP(-LN(2)/25)*CE6+(1-EXP(-LN(2)/25))/(LN(2)/25)*Calculateur!BZ7*Calculateur!CB7*VLOOKUP('Données projet'!$B$9,Paramètres!$A$1:$I$88,3,0)*0.475*44/12</f>
        <v>0</v>
      </c>
      <c r="CF7" s="45">
        <f>EXP(-LN(2)/2)*CF6+(1-EXP(-LN(2)/2))/(LN(2)/2)*BZ7*CC7*VLOOKUP('Données projet'!$B$9,Paramètres!$A$1:$I$88,3,0)*0.475*44/12</f>
        <v>0</v>
      </c>
      <c r="CG7" s="46">
        <f t="shared" si="9"/>
        <v>0</v>
      </c>
      <c r="CH7" s="32" t="e">
        <f>VLOOKUP(A7,'Données projet'!$A$165:$I$185,2,0)</f>
        <v>#N/A</v>
      </c>
      <c r="CI7" s="33" t="e">
        <f>VLOOKUP(A7,'Données projet'!$A$165:$I$185,9,0)</f>
        <v>#N/A</v>
      </c>
      <c r="CJ7" s="33">
        <f t="array" ref="CJ7">INDEX(CI:CI,MIN(IF(ISNUMBER(CI7:CI203),ROW(CI7:CI203),"")))</f>
        <v>0</v>
      </c>
      <c r="CK7" s="33">
        <f t="shared" si="31"/>
        <v>0</v>
      </c>
      <c r="CL7" s="38" t="e">
        <f>CK7*VLOOKUP('Données projet'!$B$14,Paramètres!$A$1:$I$88,3,0)*VLOOKUP('Données projet'!$B$14,Paramètres!$A$1:$I$88,5,0)</f>
        <v>#N/A</v>
      </c>
      <c r="CM7" s="34" t="e">
        <f t="shared" si="32"/>
        <v>#N/A</v>
      </c>
      <c r="CN7" s="44" t="e">
        <f t="shared" si="10"/>
        <v>#N/A</v>
      </c>
      <c r="CO7" s="36">
        <f>IF(ISNA(VLOOKUP(A7,'Données projet'!$A$165:$I$185,3,0)),0,VLOOKUP(A7,'Données projet'!$A$165:$I$185,3,0))</f>
        <v>0</v>
      </c>
      <c r="CP7" s="36">
        <f>IF(ISNA(VLOOKUP(A7,'Données projet'!$A$165:$I$185,4,0)),0,VLOOKUP(A7,'Données projet'!$A$165:$I$185,4,0))</f>
        <v>0</v>
      </c>
      <c r="CQ7" s="37">
        <f>IF(ISNA(VLOOKUP(A7,'Données projet'!$A$165:$I$185,5,0)),0%,VLOOKUP(A7,'Données projet'!$A$165:$I$185,5,0)*VLOOKUP('Données projet'!$B$14,Paramètres!$A$1:$I$88,7,0))</f>
        <v>0</v>
      </c>
      <c r="CR7" s="37">
        <f>IF(ISNA(VLOOKUP(A7,'Données projet'!$A$165:$I$185,6,0)),0%,VLOOKUP(A7,'Données projet'!$A$165:$I$185,6,0)*VLOOKUP('Données projet'!$B$14,Paramètres!$A$1:$I$88,7,0))</f>
        <v>0</v>
      </c>
      <c r="CS7" s="37">
        <f>IF(ISNA(VLOOKUP(A7,'Données projet'!$A$165:$I$185,7,0)),0%,VLOOKUP(A7,'Données projet'!$A$165:$I$185,7,0))</f>
        <v>0</v>
      </c>
      <c r="CT7" s="45">
        <f>EXP(-LN(2)/35)*CT6+(1-EXP(-LN(2)/35))/(LN(2)/35)*CP7*CQ7*VLOOKUP('Données projet'!$B$9,Paramètres!$A$1:$I$88,3,0)*0.475*44/12</f>
        <v>0</v>
      </c>
      <c r="CU7" s="45">
        <f>EXP(-LN(2)/25)*CU6+(1-EXP(-LN(2)/25))/(LN(2)/25)*Calculateur!CP7*Calculateur!CR7*VLOOKUP('Données projet'!$B$9,Paramètres!$A$1:$I$88,3,0)*0.475*44/12</f>
        <v>0</v>
      </c>
      <c r="CV7" s="45">
        <f>EXP(-LN(2)/2)*CV6+(1-EXP(-LN(2)/2))/(LN(2)/2)*CP7*CS7*VLOOKUP('Données projet'!$B$9,Paramètres!$A$1:$I$88,3,0)*0.475*44/12</f>
        <v>0</v>
      </c>
      <c r="CW7" s="46">
        <f t="shared" si="11"/>
        <v>0</v>
      </c>
      <c r="CX7" s="32" t="e">
        <f>VLOOKUP(A7,'Données projet'!$A$191:$I$211,2,0)</f>
        <v>#N/A</v>
      </c>
      <c r="CY7" s="33" t="e">
        <f>VLOOKUP(A7,'Données projet'!$A$191:$I$211,9,0)</f>
        <v>#N/A</v>
      </c>
      <c r="CZ7" s="33">
        <f t="array" ref="CZ7">INDEX(CY:CY,MIN(IF(ISNUMBER(CY7:CY203),ROW(CY7:CY203),"")))</f>
        <v>0</v>
      </c>
      <c r="DA7" s="33">
        <f t="shared" si="33"/>
        <v>0</v>
      </c>
      <c r="DB7" s="38" t="e">
        <f>DA7*VLOOKUP('Données projet'!$B$15,Paramètres!$A$1:$I$88,3,0)*VLOOKUP('Données projet'!$B$15,Paramètres!$A$1:$I$88,5,0)</f>
        <v>#N/A</v>
      </c>
      <c r="DC7" s="34" t="e">
        <f t="shared" si="34"/>
        <v>#N/A</v>
      </c>
      <c r="DD7" s="44" t="e">
        <f t="shared" si="12"/>
        <v>#N/A</v>
      </c>
      <c r="DE7" s="36">
        <f>IF(ISNA(VLOOKUP(A7,'Données projet'!$A$191:$I$211,3,0)),0,VLOOKUP(A7,'Données projet'!$A$191:$I$211,3,0))</f>
        <v>0</v>
      </c>
      <c r="DF7" s="36">
        <f>IF(ISNA(VLOOKUP(A7,'Données projet'!$A$191:$I$211,4,0)),0,VLOOKUP(A7,'Données projet'!$A$191:$I$211,4,0))</f>
        <v>0</v>
      </c>
      <c r="DG7" s="37">
        <f>IF(ISNA(VLOOKUP(A7,'Données projet'!$A$191:$I$211,5,0)),0%,VLOOKUP(A7,'Données projet'!$A$191:$I$211,5,0)*VLOOKUP('Données projet'!$B$15,Paramètres!$A$1:$I$88,7,0))</f>
        <v>0</v>
      </c>
      <c r="DH7" s="37">
        <f>IF(ISNA(VLOOKUP(A7,'Données projet'!$A$191:$I$211,6,0)),0%,VLOOKUP(A7,'Données projet'!$A$191:$I$211,6,0)*VLOOKUP('Données projet'!$B$15,Paramètres!$A$1:$I$88,7,0))</f>
        <v>0</v>
      </c>
      <c r="DI7" s="37">
        <f>IF(ISNA(VLOOKUP(A7,'Données projet'!$A$191:$I$211,7,0)),0%,VLOOKUP(A7,'Données projet'!$A$191:$I$211,7,0))</f>
        <v>0</v>
      </c>
      <c r="DJ7" s="45">
        <f>EXP(-LN(2)/35)*DJ6+(1-EXP(-LN(2)/35))/(LN(2)/35)*DF7*DG7*VLOOKUP('Données projet'!$B$9,Paramètres!$A$1:$I$88,3,0)*0.475*44/12</f>
        <v>0</v>
      </c>
      <c r="DK7" s="45">
        <f>EXP(-LN(2)/25)*DK6+(1-EXP(-LN(2)/25))/(LN(2)/25)*Calculateur!DF7*Calculateur!DH7*VLOOKUP('Données projet'!$B$9,Paramètres!$A$1:$I$88,3,0)*0.475*44/12</f>
        <v>0</v>
      </c>
      <c r="DL7" s="45">
        <f>EXP(-LN(2)/2)*DL6+(1-EXP(-LN(2)/2))/(LN(2)/2)*DF7*DI7*VLOOKUP('Données projet'!$B$9,Paramètres!$A$1:$I$88,3,0)*0.475*44/12</f>
        <v>0</v>
      </c>
      <c r="DM7" s="46">
        <f t="shared" si="13"/>
        <v>0</v>
      </c>
      <c r="DN7" s="32" t="e">
        <f>VLOOKUP(A7,'Données projet'!$A$217:$I$237,2,0)</f>
        <v>#N/A</v>
      </c>
      <c r="DO7" s="33" t="e">
        <f>VLOOKUP(A7,'Données projet'!$A$217:$I$237,9,0)</f>
        <v>#N/A</v>
      </c>
      <c r="DP7" s="33">
        <f t="array" ref="DP7">INDEX(DO:DO,MIN(IF(ISNUMBER(DO7:DO203),ROW(DO7:DO203),"")))</f>
        <v>0</v>
      </c>
      <c r="DQ7" s="33">
        <f t="shared" si="35"/>
        <v>0</v>
      </c>
      <c r="DR7" s="38" t="e">
        <f>DQ7*VLOOKUP('Données projet'!$B$16,Paramètres!$A$1:$I$88,3,0)*VLOOKUP('Données projet'!$B$16,Paramètres!$A$1:$I$88,5,0)</f>
        <v>#N/A</v>
      </c>
      <c r="DS7" s="34" t="e">
        <f t="shared" si="36"/>
        <v>#N/A</v>
      </c>
      <c r="DT7" s="44" t="e">
        <f t="shared" si="14"/>
        <v>#N/A</v>
      </c>
      <c r="DU7" s="36">
        <f>IF(ISNA(VLOOKUP(A7,'Données projet'!$A$217:$I$237,3,0)),0,VLOOKUP(A7,'Données projet'!$A$217:$I$237,3,0))</f>
        <v>0</v>
      </c>
      <c r="DV7" s="36">
        <f>IF(ISNA(VLOOKUP(A7,'Données projet'!$A$217:$I$237,4,0)),0,VLOOKUP(A7,'Données projet'!$A$217:$I$237,4,0))</f>
        <v>0</v>
      </c>
      <c r="DW7" s="37">
        <f>IF(ISNA(VLOOKUP(A7,'Données projet'!$A$217:$I$237,5,0)),0%,VLOOKUP(A7,'Données projet'!$A$217:$I$237,5,0)*VLOOKUP('Données projet'!$B$16,Paramètres!$A$1:$I$88,7,0))</f>
        <v>0</v>
      </c>
      <c r="DX7" s="37">
        <f>IF(ISNA(VLOOKUP(A7,'Données projet'!$A$217:$I$237,6,0)),0%,VLOOKUP(A7,'Données projet'!$A$217:$I$237,6,0)*VLOOKUP('Données projet'!$B$16,Paramètres!$A$1:$I$88,7,0))</f>
        <v>0</v>
      </c>
      <c r="DY7" s="37">
        <f>IF(ISNA(VLOOKUP(A7,'Données projet'!$A$217:$I$237,7,0)),0%,VLOOKUP(A7,'Données projet'!$A$217:$I$237,7,0))</f>
        <v>0</v>
      </c>
      <c r="DZ7" s="45">
        <f>EXP(-LN(2)/35)*DZ6+(1-EXP(-LN(2)/35))/(LN(2)/35)*DV7*DW7*VLOOKUP('Données projet'!$B$9,Paramètres!$A$1:$I$88,3,0)*0.475*44/12</f>
        <v>0</v>
      </c>
      <c r="EA7" s="45">
        <f>EXP(-LN(2)/25)*EA6+(1-EXP(-LN(2)/25))/(LN(2)/25)*Calculateur!DV7*Calculateur!DX7*VLOOKUP('Données projet'!$B$9,Paramètres!$A$1:$I$88,3,0)*0.475*44/12</f>
        <v>0</v>
      </c>
      <c r="EB7" s="45">
        <f>EXP(-LN(2)/2)*EB6+(1-EXP(-LN(2)/2))/(LN(2)/2)*DV7*DY7*VLOOKUP('Données projet'!$B$9,Paramètres!$A$1:$I$88,3,0)*0.475*44/12</f>
        <v>0</v>
      </c>
      <c r="EC7" s="46">
        <f t="shared" si="15"/>
        <v>0</v>
      </c>
      <c r="ED7" s="32" t="e">
        <f>VLOOKUP(A7,'Données projet'!$A$243:$I$263,2,0)</f>
        <v>#N/A</v>
      </c>
      <c r="EE7" s="33" t="e">
        <f>VLOOKUP(A7,'Données projet'!$A$243:$I$263,9,0)</f>
        <v>#N/A</v>
      </c>
      <c r="EF7" s="33">
        <f t="array" ref="EF7">INDEX(EE:EE,MIN(IF(ISNUMBER(EE7:EE203),ROW(EE7:EE203),"")))</f>
        <v>0</v>
      </c>
      <c r="EG7" s="33">
        <f t="shared" si="37"/>
        <v>0</v>
      </c>
      <c r="EH7" s="38" t="e">
        <f>EG7*VLOOKUP('Données projet'!$B$17,Paramètres!$A$1:$I$88,3,0)*VLOOKUP('Données projet'!$B$17,Paramètres!$A$1:$I$88,5,0)</f>
        <v>#N/A</v>
      </c>
      <c r="EI7" s="34" t="e">
        <f t="shared" si="38"/>
        <v>#N/A</v>
      </c>
      <c r="EJ7" s="44" t="e">
        <f t="shared" si="16"/>
        <v>#N/A</v>
      </c>
      <c r="EK7" s="36">
        <f>IF(ISNA(VLOOKUP(A7,'Données projet'!$A$243:$I$263,3,0)),0,VLOOKUP(A7,'Données projet'!$A$243:$I$263,3,0))</f>
        <v>0</v>
      </c>
      <c r="EL7" s="36">
        <f>IF(ISNA(VLOOKUP(A7,'Données projet'!$A$243:$I$263,4,0)),0,VLOOKUP(A7,'Données projet'!$A$243:$I$263,4,0))</f>
        <v>0</v>
      </c>
      <c r="EM7" s="37">
        <f>IF(ISNA(VLOOKUP(A7,'Données projet'!$A$243:$I$263,5,0)),0%,VLOOKUP(A7,'Données projet'!$A$243:$I$263,5,0)*VLOOKUP('Données projet'!$B$17,Paramètres!$A$1:$I$88,7,0))</f>
        <v>0</v>
      </c>
      <c r="EN7" s="37">
        <f>IF(ISNA(VLOOKUP(A7,'Données projet'!$A$243:$I$263,6,0)),0%,VLOOKUP(A7,'Données projet'!$A$243:$I$263,6,0)*VLOOKUP('Données projet'!$B$17,Paramètres!$A$1:$I$88,7,0))</f>
        <v>0</v>
      </c>
      <c r="EO7" s="37">
        <f>IF(ISNA(VLOOKUP(A7,'Données projet'!$A$243:$I$263,7,0)),0%,VLOOKUP(A7,'Données projet'!$A$243:$I$263,7,0))</f>
        <v>0</v>
      </c>
      <c r="EP7" s="45">
        <f>EXP(-LN(2)/35)*EP6+(1-EXP(-LN(2)/35))/(LN(2)/35)*EL7*EM7*VLOOKUP('Données projet'!$B$9,Paramètres!$A$1:$I$88,3,0)*0.475*44/12</f>
        <v>0</v>
      </c>
      <c r="EQ7" s="45">
        <f>EXP(-LN(2)/25)*EQ6+(1-EXP(-LN(2)/25))/(LN(2)/25)*Calculateur!EL7*Calculateur!EN7*VLOOKUP('Données projet'!$B$9,Paramètres!$A$1:$I$88,3,0)*0.475*44/12</f>
        <v>0</v>
      </c>
      <c r="ER7" s="45">
        <f>EXP(-LN(2)/2)*ER6+(1-EXP(-LN(2)/2))/(LN(2)/2)*EL7*EO7*VLOOKUP('Données projet'!$B$9,Paramètres!$A$1:$I$88,3,0)*0.475*44/12</f>
        <v>0</v>
      </c>
      <c r="ES7" s="46">
        <f t="shared" si="17"/>
        <v>0</v>
      </c>
      <c r="ET7" s="32" t="e">
        <f>VLOOKUP(A7,'Données projet'!$A$269:$I$289,2,0)</f>
        <v>#N/A</v>
      </c>
      <c r="EU7" s="33" t="e">
        <f>VLOOKUP(A7,'Données projet'!$A$269:$I$289,9,0)</f>
        <v>#N/A</v>
      </c>
      <c r="EV7" s="33">
        <f t="array" ref="EV7">INDEX(EU:EU,MIN(IF(ISNUMBER(EU7:EU203),ROW(EU7:EU203),"")))</f>
        <v>0</v>
      </c>
      <c r="EW7" s="33">
        <f t="shared" si="39"/>
        <v>0</v>
      </c>
      <c r="EX7" s="38" t="e">
        <f>EW7*VLOOKUP('Données projet'!$B$18,Paramètres!$A$1:$I$88,3,0)*VLOOKUP('Données projet'!$B$18,Paramètres!$A$1:$I$88,5,0)</f>
        <v>#N/A</v>
      </c>
      <c r="EY7" s="34" t="e">
        <f t="shared" si="40"/>
        <v>#N/A</v>
      </c>
      <c r="EZ7" s="44" t="e">
        <f t="shared" si="18"/>
        <v>#N/A</v>
      </c>
      <c r="FA7" s="36">
        <f>IF(ISNA(VLOOKUP(A7,'Données projet'!$A$269:$I$289,3,0)),0,VLOOKUP(A7,'Données projet'!$A$269:$I$289,3,0))</f>
        <v>0</v>
      </c>
      <c r="FB7" s="36">
        <f>IF(ISNA(VLOOKUP(A7,'Données projet'!$A$269:$I$289,4,0)),0,VLOOKUP(A7,'Données projet'!$A$269:$I$289,4,0))</f>
        <v>0</v>
      </c>
      <c r="FC7" s="37">
        <f>IF(ISNA(VLOOKUP(A7,'Données projet'!$A$269:$I$289,5,0)),0%,VLOOKUP(A7,'Données projet'!$A$269:$I$289,5,0)*VLOOKUP('Données projet'!$B$18,Paramètres!$A$1:$I$88,7,0))</f>
        <v>0</v>
      </c>
      <c r="FD7" s="37">
        <f>IF(ISNA(VLOOKUP(A7,'Données projet'!$A$269:$I$289,6,0)),0%,VLOOKUP(A7,'Données projet'!$A$269:$I$289,6,0)*VLOOKUP('Données projet'!$B$18,Paramètres!$A$1:$I$88,7,0))</f>
        <v>0</v>
      </c>
      <c r="FE7" s="37">
        <f>IF(ISNA(VLOOKUP(A7,'Données projet'!$A$269:$I$289,7,0)),0%,VLOOKUP(A7,'Données projet'!$A$269:$I$289,7,0))</f>
        <v>0</v>
      </c>
      <c r="FF7" s="45">
        <f>EXP(-LN(2)/35)*FF6+(1-EXP(-LN(2)/35))/(LN(2)/35)*FB7*FC7*VLOOKUP('Données projet'!$B$9,Paramètres!$A$1:$I$88,3,0)*0.475*44/12</f>
        <v>0</v>
      </c>
      <c r="FG7" s="45">
        <f>EXP(-LN(2)/25)*FG6+(1-EXP(-LN(2)/25))/(LN(2)/25)*Calculateur!FB7*Calculateur!FD7*VLOOKUP('Données projet'!$B$9,Paramètres!$A$1:$I$88,3,0)*0.475*44/12</f>
        <v>0</v>
      </c>
      <c r="FH7" s="45">
        <f>EXP(-LN(2)/2)*FH6+(1-EXP(-LN(2)/2))/(LN(2)/2)*FB7*FE7*VLOOKUP('Données projet'!$B$9,Paramètres!$A$1:$I$88,3,0)*0.475*44/12</f>
        <v>0</v>
      </c>
      <c r="FI7" s="46">
        <f t="shared" si="19"/>
        <v>0</v>
      </c>
    </row>
    <row r="8" spans="1:165" x14ac:dyDescent="0.25">
      <c r="A8" s="24">
        <f t="shared" si="20"/>
        <v>5</v>
      </c>
      <c r="B8" s="25">
        <f>IF('Scénario référence'!$N$1=1,5,0)</f>
        <v>0</v>
      </c>
      <c r="C8" s="40">
        <f>IF(OR('Scénario référence'!$N$1=2,'Scénario référence'!$N$1=4),C7+1*VLOOKUP('Scénario référence'!$G$14,Paramètres!$A$1:$I$88,3,0)*VLOOKUP('Scénario référence'!$G$14,Paramètres!$A$1:$I$88,5,0),IF(OR('Scénario référence'!$N$1=3,'Scénario référence'!$N$1=5),C7+0.5*VLOOKUP('Scénario référence'!$G$14,Paramètres!$A$1:$I$88,3,0)*VLOOKUP('Scénario référence'!$G$14,Paramètres!$A$1:$I$88,5,0),0))</f>
        <v>2.7300000000000004</v>
      </c>
      <c r="D8" s="26">
        <f t="shared" si="21"/>
        <v>1.1192971032254277</v>
      </c>
      <c r="E8" s="27">
        <f>IF('Scénario référence'!$N$1=1,B8*44/12,(C8+D8)*0.475*44/12)</f>
        <v>6.7041924547842866</v>
      </c>
      <c r="F8" s="28" t="e">
        <f>VLOOKUP(A8,'Données projet'!$A$35:$I$55,2,0)</f>
        <v>#N/A</v>
      </c>
      <c r="G8" s="28" t="e">
        <f>VLOOKUP(A8,'Données projet'!$A$35:$I$55,9,0)</f>
        <v>#N/A</v>
      </c>
      <c r="H8" s="33">
        <f t="array" ref="H8">INDEX(G:G,MIN(IF(ISNUMBER(G8:G204),ROW(G8:G204),"")))</f>
        <v>2.1</v>
      </c>
      <c r="I8" s="28">
        <f t="shared" si="22"/>
        <v>10.5</v>
      </c>
      <c r="J8" s="41">
        <f>I8*VLOOKUP('Données projet'!$B$9,Paramètres!$A$1:$I$88,3,0)*VLOOKUP('Données projet'!$B$9,Paramètres!$A$1:$I$88,5,0)</f>
        <v>10.647</v>
      </c>
      <c r="K8" s="41">
        <f t="shared" si="23"/>
        <v>3.725718742542425</v>
      </c>
      <c r="L8" s="42">
        <f t="shared" si="0"/>
        <v>25.032485143261386</v>
      </c>
      <c r="M8" s="30">
        <f>IF(ISNA(VLOOKUP(A8,'Données projet'!$A$35:$I$55,3,0)),0,VLOOKUP(A8,'Données projet'!$A$35:$I$55,3,0))</f>
        <v>0</v>
      </c>
      <c r="N8" s="30">
        <f>IF(ISNA(VLOOKUP(A8,'Données projet'!$A$35:$I$55,4,0)),0,VLOOKUP(A8,'Données projet'!$A$35:$I$55,4,0))</f>
        <v>0</v>
      </c>
      <c r="O8" s="31">
        <f>IF(ISNA(VLOOKUP(A8,'Données projet'!$A$35:$I$55,5,0)),0%,VLOOKUP(A8,'Données projet'!$A$35:$I$55,5,0)*VLOOKUP('Données projet'!$B$9,Paramètres!$A$1:$I$88,7,0))</f>
        <v>0</v>
      </c>
      <c r="P8" s="31">
        <f>IF(ISNA(VLOOKUP(A8,'Données projet'!$A$35:$I$55,6,0)),0%,VLOOKUP(A8,'Données projet'!$A$35:$I$55,6,0)*VLOOKUP('Données projet'!$B$9,Paramètres!$A$1:$I$88,7,0))</f>
        <v>0</v>
      </c>
      <c r="Q8" s="31">
        <f>IF(ISNA(VLOOKUP(A8,'Données projet'!$A$35:$I$55,7,0)),0%,VLOOKUP(A8,'Données projet'!$A$35:$I$55,7,0))</f>
        <v>0</v>
      </c>
      <c r="R8" s="43">
        <f>EXP(-LN(2)/35)*R7+(1-EXP(-LN(2)/35))/(LN(2)/35)*N8*O8*VLOOKUP('Données projet'!$B$9,Paramètres!$A$1:$I$88,3,0)*0.475*44/12</f>
        <v>0</v>
      </c>
      <c r="S8" s="43">
        <f>EXP(-LN(2)/25)*S7+(1-EXP(-LN(2)/25))/(LN(2)/25)*Calculateur!N8*Calculateur!P8*VLOOKUP('Données projet'!$B$9,Paramètres!$A$1:$I$88,3,0)*0.475*44/12</f>
        <v>0</v>
      </c>
      <c r="T8" s="43">
        <f>EXP(-LN(2)/2)*T7+(1-EXP(-LN(2)/2))/(LN(2)/2)*N8*Q8*VLOOKUP('Données projet'!$B$9,Paramètres!$A$1:$I$88,3,0)*0.475*44/12</f>
        <v>0</v>
      </c>
      <c r="U8" s="43">
        <f t="shared" si="1"/>
        <v>0</v>
      </c>
      <c r="V8" s="32" t="e">
        <f>VLOOKUP(A8,'Données projet'!$A$61:$I$81,2,0)</f>
        <v>#N/A</v>
      </c>
      <c r="W8" s="33" t="e">
        <f>VLOOKUP(A8,'Données projet'!$A$61:$I$81,9,0)</f>
        <v>#N/A</v>
      </c>
      <c r="X8" s="33">
        <f t="array" ref="X8">INDEX(W:W,MIN(IF(ISNUMBER(W8:W204),ROW(W8:W204),"")))</f>
        <v>0</v>
      </c>
      <c r="Y8" s="33">
        <f t="shared" si="24"/>
        <v>0</v>
      </c>
      <c r="Z8" s="34" t="e">
        <f>Y8*VLOOKUP('Données projet'!$B$10,Paramètres!$A$1:$I$88,3,0)*VLOOKUP('Données projet'!$B$10,Paramètres!$A$1:$I$88,5,0)</f>
        <v>#N/A</v>
      </c>
      <c r="AA8" s="34" t="e">
        <f t="shared" si="25"/>
        <v>#N/A</v>
      </c>
      <c r="AB8" s="44" t="e">
        <f t="shared" si="2"/>
        <v>#N/A</v>
      </c>
      <c r="AC8" s="36">
        <f>IF(ISNA(VLOOKUP(A8,'Données projet'!$A$61:$I$81,3,0)),0,VLOOKUP(A8,'Données projet'!$A$61:$I$81,3,0))</f>
        <v>0</v>
      </c>
      <c r="AD8" s="36">
        <f>IF(ISNA(VLOOKUP(A8,'Données projet'!$A$61:$I$81,4,0)),0,VLOOKUP(A8,'Données projet'!$A$61:$I$81,4,0))</f>
        <v>0</v>
      </c>
      <c r="AE8" s="37">
        <f>IF(ISNA(VLOOKUP(A8,'Données projet'!$A$61:$I$81,5,0)),0%,VLOOKUP(A8,'Données projet'!$A$61:$I$81,5,0)*VLOOKUP('Données projet'!$B$10,Paramètres!$A$1:$I$88,7,0))</f>
        <v>0</v>
      </c>
      <c r="AF8" s="37">
        <f>IF(ISNA(VLOOKUP(A8,'Données projet'!$A$61:$I$81,6,0)),0%,VLOOKUP(A8,'Données projet'!$A$61:$I$81,6,0)*VLOOKUP('Données projet'!$B$10,Paramètres!$A$1:$I$88,7,0))</f>
        <v>0</v>
      </c>
      <c r="AG8" s="37">
        <f>IF(ISNA(VLOOKUP(A8,'Données projet'!$A$61:$I$81,7,0)),0%,VLOOKUP(A8,'Données projet'!$A$61:$I$81,7,0))</f>
        <v>0</v>
      </c>
      <c r="AH8" s="45">
        <f>EXP(-LN(2)/35)*AH7+(1-EXP(-LN(2)/35))/(LN(2)/35)*AD8*AE8*VLOOKUP('Données projet'!$B$9,Paramètres!$A$1:$I$88,3,0)*0.475*44/12</f>
        <v>0</v>
      </c>
      <c r="AI8" s="45">
        <f>EXP(-LN(2)/25)*AI7+(1-EXP(-LN(2)/25))/(LN(2)/25)*Calculateur!AD8*Calculateur!AF8*VLOOKUP('Données projet'!$B$9,Paramètres!$A$1:$I$88,3,0)*0.475*44/12</f>
        <v>0</v>
      </c>
      <c r="AJ8" s="45">
        <f>EXP(-LN(2)/2)*AJ7+(1-EXP(-LN(2)/2))/(LN(2)/2)*AD8*AG8*VLOOKUP('Données projet'!$B$9,Paramètres!$A$1:$I$88,3,0)*0.475*44/12</f>
        <v>0</v>
      </c>
      <c r="AK8" s="45">
        <f t="shared" si="3"/>
        <v>0</v>
      </c>
      <c r="AL8" s="32" t="e">
        <f>VLOOKUP(A8,'Données projet'!$A$87:$I$107,2,0)</f>
        <v>#N/A</v>
      </c>
      <c r="AM8" s="33" t="e">
        <f>VLOOKUP(A8,'Données projet'!$A$87:$I$107,9,0)</f>
        <v>#N/A</v>
      </c>
      <c r="AN8" s="33">
        <f t="array" ref="AN8">INDEX(AM:AM,MIN(IF(ISNUMBER(AM8:AM204),ROW(AM8:AM204),"")))</f>
        <v>0</v>
      </c>
      <c r="AO8" s="33">
        <f t="shared" si="26"/>
        <v>0</v>
      </c>
      <c r="AP8" s="34" t="e">
        <f>AO8*VLOOKUP('Données projet'!$B$11,Paramètres!$A$1:$I$88,3,0)*VLOOKUP('Données projet'!$B$11,Paramètres!$A$1:$I$88,5,0)</f>
        <v>#N/A</v>
      </c>
      <c r="AQ8" s="34" t="e">
        <f t="shared" si="27"/>
        <v>#N/A</v>
      </c>
      <c r="AR8" s="44" t="e">
        <f t="shared" si="4"/>
        <v>#N/A</v>
      </c>
      <c r="AS8" s="36">
        <f>IF(ISNA(VLOOKUP(A8,'Données projet'!$A$87:$I$107,3,0)),0,VLOOKUP(A8,'Données projet'!$A$87:$I$107,3,0))</f>
        <v>0</v>
      </c>
      <c r="AT8" s="36">
        <f>IF(ISNA(VLOOKUP(A8,'Données projet'!$A$87:$I$107,4,0)),0,VLOOKUP(A8,'Données projet'!$A$87:$I$107,4,0))</f>
        <v>0</v>
      </c>
      <c r="AU8" s="37">
        <f>IF(ISNA(VLOOKUP(A8,'Données projet'!$A$87:$I$107,5,0)),0%,VLOOKUP(A8,'Données projet'!$A$87:$I$107,5,0)*VLOOKUP('Données projet'!$B$11,Paramètres!$A$1:$I$88,7,0))</f>
        <v>0</v>
      </c>
      <c r="AV8" s="37">
        <f>IF(ISNA(VLOOKUP(A8,'Données projet'!$A$87:$I$107,6,0)),0%,VLOOKUP(A8,'Données projet'!$A$87:$I$107,6,0)*VLOOKUP('Données projet'!$B$11,Paramètres!$A$1:$I$88,7,0))</f>
        <v>0</v>
      </c>
      <c r="AW8" s="37">
        <f>IF(ISNA(VLOOKUP(A8,'Données projet'!$A$87:$I$107,7,0)),0%,VLOOKUP(A8,'Données projet'!$A$87:$I$107,7,0))</f>
        <v>0</v>
      </c>
      <c r="AX8" s="45">
        <f>EXP(-LN(2)/35)*AX7+(1-EXP(-LN(2)/35))/(LN(2)/35)*AT8*AU8*VLOOKUP('Données projet'!$B$9,Paramètres!$A$1:$I$88,3,0)*0.475*44/12</f>
        <v>0</v>
      </c>
      <c r="AY8" s="45">
        <f>EXP(-LN(2)/25)*AY7+(1-EXP(-LN(2)/25))/(LN(2)/25)*Calculateur!AT8*Calculateur!AV8*VLOOKUP('Données projet'!$B$9,Paramètres!$A$1:$I$88,3,0)*0.475*44/12</f>
        <v>0</v>
      </c>
      <c r="AZ8" s="45">
        <f>EXP(-LN(2)/2)*AZ7+(1-EXP(-LN(2)/2))/(LN(2)/2)*AT8*AW8*VLOOKUP('Données projet'!$B$9,Paramètres!$A$1:$I$88,3,0)*0.475*44/12</f>
        <v>0</v>
      </c>
      <c r="BA8" s="46">
        <f t="shared" si="5"/>
        <v>0</v>
      </c>
      <c r="BB8" s="32" t="e">
        <f>VLOOKUP(A8,'Données projet'!$A$113:$I$133,2,0)</f>
        <v>#N/A</v>
      </c>
      <c r="BC8" s="33" t="e">
        <f>VLOOKUP(A8,'Données projet'!$A$113:$I$133,9,0)</f>
        <v>#N/A</v>
      </c>
      <c r="BD8" s="33">
        <f t="array" ref="BD8">INDEX(BC:BC,MIN(IF(ISNUMBER(BC8:BC204),ROW(BC8:BC204),"")))</f>
        <v>0</v>
      </c>
      <c r="BE8" s="33">
        <f t="shared" si="28"/>
        <v>0</v>
      </c>
      <c r="BF8" s="34" t="e">
        <f>BE8*VLOOKUP('Données projet'!$B$12,Paramètres!$A$1:$I$88,3,0)*VLOOKUP('Données projet'!$B$12,Paramètres!$A$1:$I$88,5,0)</f>
        <v>#N/A</v>
      </c>
      <c r="BG8" s="34" t="e">
        <f t="shared" si="29"/>
        <v>#N/A</v>
      </c>
      <c r="BH8" s="44" t="e">
        <f t="shared" si="6"/>
        <v>#N/A</v>
      </c>
      <c r="BI8" s="36">
        <f>IF(ISNA(VLOOKUP(A8,'Données projet'!$A$113:$I$133,3,0)),0,VLOOKUP(A8,'Données projet'!$A$113:$I$133,3,0))</f>
        <v>0</v>
      </c>
      <c r="BJ8" s="36">
        <f>IF(ISNA(VLOOKUP(A8,'Données projet'!$A$113:$I$133,4,0)),0,VLOOKUP(A8,'Données projet'!$A$113:$I$133,4,0))</f>
        <v>0</v>
      </c>
      <c r="BK8" s="37">
        <f>IF(ISNA(VLOOKUP(A8,'Données projet'!$A$113:$I$133,5,0)),0%,VLOOKUP(A8,'Données projet'!$A$113:$I$133,5,0)*VLOOKUP('Données projet'!$B$12,Paramètres!$A$1:$I$88,7,0))</f>
        <v>0</v>
      </c>
      <c r="BL8" s="37">
        <f>IF(ISNA(VLOOKUP(A8,'Données projet'!$A$113:$I$133,6,0)),0%,VLOOKUP(A8,'Données projet'!$A$113:$I$133,6,0)*VLOOKUP('Données projet'!$B$12,Paramètres!$A$1:$I$88,7,0))</f>
        <v>0</v>
      </c>
      <c r="BM8" s="37">
        <f>IF(ISNA(VLOOKUP(A8,'Données projet'!$A$113:$I$133,7,0)),0%,VLOOKUP(A8,'Données projet'!$A$113:$I$133,7,0))</f>
        <v>0</v>
      </c>
      <c r="BN8" s="45">
        <f>EXP(-LN(2)/35)*BN7+(1-EXP(-LN(2)/35))/(LN(2)/35)*BJ8*BK8*VLOOKUP('Données projet'!$B$9,Paramètres!$A$1:$I$88,3,0)*0.475*44/12</f>
        <v>0</v>
      </c>
      <c r="BO8" s="45">
        <f>EXP(-LN(2)/25)*BO7+(1-EXP(-LN(2)/25))/(LN(2)/25)*Calculateur!BJ8*Calculateur!BL8*VLOOKUP('Données projet'!$B$9,Paramètres!$A$1:$I$88,3,0)*0.475*44/12</f>
        <v>0</v>
      </c>
      <c r="BP8" s="45">
        <f>EXP(-LN(2)/2)*BP7+(1-EXP(-LN(2)/2))/(LN(2)/2)*BJ8*BM8*VLOOKUP('Données projet'!$B$9,Paramètres!$A$1:$I$88,3,0)*0.475*44/12</f>
        <v>0</v>
      </c>
      <c r="BQ8" s="46">
        <f t="shared" si="7"/>
        <v>0</v>
      </c>
      <c r="BR8" s="32" t="e">
        <f>VLOOKUP(A8,'Données projet'!$A$139:$I$159,2,0)</f>
        <v>#N/A</v>
      </c>
      <c r="BS8" s="33" t="e">
        <f>VLOOKUP(A8,'Données projet'!$A$139:$I$159,9,0)</f>
        <v>#N/A</v>
      </c>
      <c r="BT8" s="33">
        <f t="array" ref="BT8">INDEX(BS:BS,MIN(IF(ISNUMBER(BS8:BS204),ROW(BS8:BS204),"")))</f>
        <v>0</v>
      </c>
      <c r="BU8" s="33">
        <f t="shared" si="41"/>
        <v>0</v>
      </c>
      <c r="BV8" s="38" t="e">
        <f>BU8*VLOOKUP('Données projet'!$B$13,Paramètres!$A$1:$I$88,3,0)*VLOOKUP('Données projet'!$B$13,Paramètres!$A$1:$I$88,5,0)</f>
        <v>#N/A</v>
      </c>
      <c r="BW8" s="34" t="e">
        <f t="shared" si="30"/>
        <v>#N/A</v>
      </c>
      <c r="BX8" s="44" t="e">
        <f t="shared" si="8"/>
        <v>#N/A</v>
      </c>
      <c r="BY8" s="36">
        <f>IF(ISNA(VLOOKUP(A8,'Données projet'!$A$139:$I$159,3,0)),0,VLOOKUP(A8,'Données projet'!$A$139:$I$159,3,0))</f>
        <v>0</v>
      </c>
      <c r="BZ8" s="36">
        <f>IF(ISNA(VLOOKUP(A8,'Données projet'!$A$139:$I$159,4,0)),0,VLOOKUP(A8,'Données projet'!$A$139:$I$159,4,0))</f>
        <v>0</v>
      </c>
      <c r="CA8" s="37">
        <f>IF(ISNA(VLOOKUP(A8,'Données projet'!$A$139:$I$159,5,0)),0%,VLOOKUP(A8,'Données projet'!$A$139:$I$159,5,0)*VLOOKUP('Données projet'!$B$13,Paramètres!$A$1:$I$88,7,0))</f>
        <v>0</v>
      </c>
      <c r="CB8" s="37">
        <f>IF(ISNA(VLOOKUP(A8,'Données projet'!$A$139:$I$159,6,0)),0%,VLOOKUP(A8,'Données projet'!$A$139:$I$159,6,0)*VLOOKUP('Données projet'!$B$13,Paramètres!$A$1:$I$88,7,0))</f>
        <v>0</v>
      </c>
      <c r="CC8" s="37">
        <f>IF(ISNA(VLOOKUP(A8,'Données projet'!$A$139:$I$159,7,0)),0%,VLOOKUP(A8,'Données projet'!$A$139:$I$159,7,0))</f>
        <v>0</v>
      </c>
      <c r="CD8" s="45">
        <f>EXP(-LN(2)/35)*CD7+(1-EXP(-LN(2)/35))/(LN(2)/35)*BZ8*CA8*VLOOKUP('Données projet'!$B$9,Paramètres!$A$1:$I$88,3,0)*0.475*44/12</f>
        <v>0</v>
      </c>
      <c r="CE8" s="45">
        <f>EXP(-LN(2)/25)*CE7+(1-EXP(-LN(2)/25))/(LN(2)/25)*Calculateur!BZ8*Calculateur!CB8*VLOOKUP('Données projet'!$B$9,Paramètres!$A$1:$I$88,3,0)*0.475*44/12</f>
        <v>0</v>
      </c>
      <c r="CF8" s="45">
        <f>EXP(-LN(2)/2)*CF7+(1-EXP(-LN(2)/2))/(LN(2)/2)*BZ8*CC8*VLOOKUP('Données projet'!$B$9,Paramètres!$A$1:$I$88,3,0)*0.475*44/12</f>
        <v>0</v>
      </c>
      <c r="CG8" s="46">
        <f t="shared" si="9"/>
        <v>0</v>
      </c>
      <c r="CH8" s="32" t="e">
        <f>VLOOKUP(A8,'Données projet'!$A$165:$I$185,2,0)</f>
        <v>#N/A</v>
      </c>
      <c r="CI8" s="33" t="e">
        <f>VLOOKUP(A8,'Données projet'!$A$165:$I$185,9,0)</f>
        <v>#N/A</v>
      </c>
      <c r="CJ8" s="33">
        <f t="array" ref="CJ8">INDEX(CI:CI,MIN(IF(ISNUMBER(CI8:CI204),ROW(CI8:CI204),"")))</f>
        <v>0</v>
      </c>
      <c r="CK8" s="33">
        <f t="shared" si="31"/>
        <v>0</v>
      </c>
      <c r="CL8" s="38" t="e">
        <f>CK8*VLOOKUP('Données projet'!$B$14,Paramètres!$A$1:$I$88,3,0)*VLOOKUP('Données projet'!$B$14,Paramètres!$A$1:$I$88,5,0)</f>
        <v>#N/A</v>
      </c>
      <c r="CM8" s="34" t="e">
        <f t="shared" si="32"/>
        <v>#N/A</v>
      </c>
      <c r="CN8" s="44" t="e">
        <f t="shared" si="10"/>
        <v>#N/A</v>
      </c>
      <c r="CO8" s="36">
        <f>IF(ISNA(VLOOKUP(A8,'Données projet'!$A$165:$I$185,3,0)),0,VLOOKUP(A8,'Données projet'!$A$165:$I$185,3,0))</f>
        <v>0</v>
      </c>
      <c r="CP8" s="36">
        <f>IF(ISNA(VLOOKUP(A8,'Données projet'!$A$165:$I$185,4,0)),0,VLOOKUP(A8,'Données projet'!$A$165:$I$185,4,0))</f>
        <v>0</v>
      </c>
      <c r="CQ8" s="37">
        <f>IF(ISNA(VLOOKUP(A8,'Données projet'!$A$165:$I$185,5,0)),0%,VLOOKUP(A8,'Données projet'!$A$165:$I$185,5,0)*VLOOKUP('Données projet'!$B$14,Paramètres!$A$1:$I$88,7,0))</f>
        <v>0</v>
      </c>
      <c r="CR8" s="37">
        <f>IF(ISNA(VLOOKUP(A8,'Données projet'!$A$165:$I$185,6,0)),0%,VLOOKUP(A8,'Données projet'!$A$165:$I$185,6,0)*VLOOKUP('Données projet'!$B$14,Paramètres!$A$1:$I$88,7,0))</f>
        <v>0</v>
      </c>
      <c r="CS8" s="37">
        <f>IF(ISNA(VLOOKUP(A8,'Données projet'!$A$165:$I$185,7,0)),0%,VLOOKUP(A8,'Données projet'!$A$165:$I$185,7,0))</f>
        <v>0</v>
      </c>
      <c r="CT8" s="45">
        <f>EXP(-LN(2)/35)*CT7+(1-EXP(-LN(2)/35))/(LN(2)/35)*CP8*CQ8*VLOOKUP('Données projet'!$B$9,Paramètres!$A$1:$I$88,3,0)*0.475*44/12</f>
        <v>0</v>
      </c>
      <c r="CU8" s="45">
        <f>EXP(-LN(2)/25)*CU7+(1-EXP(-LN(2)/25))/(LN(2)/25)*Calculateur!CP8*Calculateur!CR8*VLOOKUP('Données projet'!$B$9,Paramètres!$A$1:$I$88,3,0)*0.475*44/12</f>
        <v>0</v>
      </c>
      <c r="CV8" s="45">
        <f>EXP(-LN(2)/2)*CV7+(1-EXP(-LN(2)/2))/(LN(2)/2)*CP8*CS8*VLOOKUP('Données projet'!$B$9,Paramètres!$A$1:$I$88,3,0)*0.475*44/12</f>
        <v>0</v>
      </c>
      <c r="CW8" s="46">
        <f t="shared" si="11"/>
        <v>0</v>
      </c>
      <c r="CX8" s="32" t="e">
        <f>VLOOKUP(A8,'Données projet'!$A$191:$I$211,2,0)</f>
        <v>#N/A</v>
      </c>
      <c r="CY8" s="33" t="e">
        <f>VLOOKUP(A8,'Données projet'!$A$191:$I$211,9,0)</f>
        <v>#N/A</v>
      </c>
      <c r="CZ8" s="33">
        <f t="array" ref="CZ8">INDEX(CY:CY,MIN(IF(ISNUMBER(CY8:CY204),ROW(CY8:CY204),"")))</f>
        <v>0</v>
      </c>
      <c r="DA8" s="33">
        <f t="shared" si="33"/>
        <v>0</v>
      </c>
      <c r="DB8" s="38" t="e">
        <f>DA8*VLOOKUP('Données projet'!$B$15,Paramètres!$A$1:$I$88,3,0)*VLOOKUP('Données projet'!$B$15,Paramètres!$A$1:$I$88,5,0)</f>
        <v>#N/A</v>
      </c>
      <c r="DC8" s="34" t="e">
        <f t="shared" si="34"/>
        <v>#N/A</v>
      </c>
      <c r="DD8" s="44" t="e">
        <f t="shared" si="12"/>
        <v>#N/A</v>
      </c>
      <c r="DE8" s="36">
        <f>IF(ISNA(VLOOKUP(A8,'Données projet'!$A$191:$I$211,3,0)),0,VLOOKUP(A8,'Données projet'!$A$191:$I$211,3,0))</f>
        <v>0</v>
      </c>
      <c r="DF8" s="36">
        <f>IF(ISNA(VLOOKUP(A8,'Données projet'!$A$191:$I$211,4,0)),0,VLOOKUP(A8,'Données projet'!$A$191:$I$211,4,0))</f>
        <v>0</v>
      </c>
      <c r="DG8" s="37">
        <f>IF(ISNA(VLOOKUP(A8,'Données projet'!$A$191:$I$211,5,0)),0%,VLOOKUP(A8,'Données projet'!$A$191:$I$211,5,0)*VLOOKUP('Données projet'!$B$15,Paramètres!$A$1:$I$88,7,0))</f>
        <v>0</v>
      </c>
      <c r="DH8" s="37">
        <f>IF(ISNA(VLOOKUP(A8,'Données projet'!$A$191:$I$211,6,0)),0%,VLOOKUP(A8,'Données projet'!$A$191:$I$211,6,0)*VLOOKUP('Données projet'!$B$15,Paramètres!$A$1:$I$88,7,0))</f>
        <v>0</v>
      </c>
      <c r="DI8" s="37">
        <f>IF(ISNA(VLOOKUP(A8,'Données projet'!$A$191:$I$211,7,0)),0%,VLOOKUP(A8,'Données projet'!$A$191:$I$211,7,0))</f>
        <v>0</v>
      </c>
      <c r="DJ8" s="45">
        <f>EXP(-LN(2)/35)*DJ7+(1-EXP(-LN(2)/35))/(LN(2)/35)*DF8*DG8*VLOOKUP('Données projet'!$B$9,Paramètres!$A$1:$I$88,3,0)*0.475*44/12</f>
        <v>0</v>
      </c>
      <c r="DK8" s="45">
        <f>EXP(-LN(2)/25)*DK7+(1-EXP(-LN(2)/25))/(LN(2)/25)*Calculateur!DF8*Calculateur!DH8*VLOOKUP('Données projet'!$B$9,Paramètres!$A$1:$I$88,3,0)*0.475*44/12</f>
        <v>0</v>
      </c>
      <c r="DL8" s="45">
        <f>EXP(-LN(2)/2)*DL7+(1-EXP(-LN(2)/2))/(LN(2)/2)*DF8*DI8*VLOOKUP('Données projet'!$B$9,Paramètres!$A$1:$I$88,3,0)*0.475*44/12</f>
        <v>0</v>
      </c>
      <c r="DM8" s="46">
        <f t="shared" si="13"/>
        <v>0</v>
      </c>
      <c r="DN8" s="32" t="e">
        <f>VLOOKUP(A8,'Données projet'!$A$217:$I$237,2,0)</f>
        <v>#N/A</v>
      </c>
      <c r="DO8" s="33" t="e">
        <f>VLOOKUP(A8,'Données projet'!$A$217:$I$237,9,0)</f>
        <v>#N/A</v>
      </c>
      <c r="DP8" s="33">
        <f t="array" ref="DP8">INDEX(DO:DO,MIN(IF(ISNUMBER(DO8:DO204),ROW(DO8:DO204),"")))</f>
        <v>0</v>
      </c>
      <c r="DQ8" s="33">
        <f t="shared" si="35"/>
        <v>0</v>
      </c>
      <c r="DR8" s="38" t="e">
        <f>DQ8*VLOOKUP('Données projet'!$B$16,Paramètres!$A$1:$I$88,3,0)*VLOOKUP('Données projet'!$B$16,Paramètres!$A$1:$I$88,5,0)</f>
        <v>#N/A</v>
      </c>
      <c r="DS8" s="34" t="e">
        <f t="shared" si="36"/>
        <v>#N/A</v>
      </c>
      <c r="DT8" s="44" t="e">
        <f t="shared" si="14"/>
        <v>#N/A</v>
      </c>
      <c r="DU8" s="36">
        <f>IF(ISNA(VLOOKUP(A8,'Données projet'!$A$217:$I$237,3,0)),0,VLOOKUP(A8,'Données projet'!$A$217:$I$237,3,0))</f>
        <v>0</v>
      </c>
      <c r="DV8" s="36">
        <f>IF(ISNA(VLOOKUP(A8,'Données projet'!$A$217:$I$237,4,0)),0,VLOOKUP(A8,'Données projet'!$A$217:$I$237,4,0))</f>
        <v>0</v>
      </c>
      <c r="DW8" s="37">
        <f>IF(ISNA(VLOOKUP(A8,'Données projet'!$A$217:$I$237,5,0)),0%,VLOOKUP(A8,'Données projet'!$A$217:$I$237,5,0)*VLOOKUP('Données projet'!$B$16,Paramètres!$A$1:$I$88,7,0))</f>
        <v>0</v>
      </c>
      <c r="DX8" s="37">
        <f>IF(ISNA(VLOOKUP(A8,'Données projet'!$A$217:$I$237,6,0)),0%,VLOOKUP(A8,'Données projet'!$A$217:$I$237,6,0)*VLOOKUP('Données projet'!$B$16,Paramètres!$A$1:$I$88,7,0))</f>
        <v>0</v>
      </c>
      <c r="DY8" s="37">
        <f>IF(ISNA(VLOOKUP(A8,'Données projet'!$A$217:$I$237,7,0)),0%,VLOOKUP(A8,'Données projet'!$A$217:$I$237,7,0))</f>
        <v>0</v>
      </c>
      <c r="DZ8" s="45">
        <f>EXP(-LN(2)/35)*DZ7+(1-EXP(-LN(2)/35))/(LN(2)/35)*DV8*DW8*VLOOKUP('Données projet'!$B$9,Paramètres!$A$1:$I$88,3,0)*0.475*44/12</f>
        <v>0</v>
      </c>
      <c r="EA8" s="45">
        <f>EXP(-LN(2)/25)*EA7+(1-EXP(-LN(2)/25))/(LN(2)/25)*Calculateur!DV8*Calculateur!DX8*VLOOKUP('Données projet'!$B$9,Paramètres!$A$1:$I$88,3,0)*0.475*44/12</f>
        <v>0</v>
      </c>
      <c r="EB8" s="45">
        <f>EXP(-LN(2)/2)*EB7+(1-EXP(-LN(2)/2))/(LN(2)/2)*DV8*DY8*VLOOKUP('Données projet'!$B$9,Paramètres!$A$1:$I$88,3,0)*0.475*44/12</f>
        <v>0</v>
      </c>
      <c r="EC8" s="46">
        <f t="shared" si="15"/>
        <v>0</v>
      </c>
      <c r="ED8" s="32" t="e">
        <f>VLOOKUP(A8,'Données projet'!$A$243:$I$263,2,0)</f>
        <v>#N/A</v>
      </c>
      <c r="EE8" s="33" t="e">
        <f>VLOOKUP(A8,'Données projet'!$A$243:$I$263,9,0)</f>
        <v>#N/A</v>
      </c>
      <c r="EF8" s="33">
        <f t="array" ref="EF8">INDEX(EE:EE,MIN(IF(ISNUMBER(EE8:EE204),ROW(EE8:EE204),"")))</f>
        <v>0</v>
      </c>
      <c r="EG8" s="33">
        <f t="shared" si="37"/>
        <v>0</v>
      </c>
      <c r="EH8" s="38" t="e">
        <f>EG8*VLOOKUP('Données projet'!$B$17,Paramètres!$A$1:$I$88,3,0)*VLOOKUP('Données projet'!$B$17,Paramètres!$A$1:$I$88,5,0)</f>
        <v>#N/A</v>
      </c>
      <c r="EI8" s="34" t="e">
        <f t="shared" si="38"/>
        <v>#N/A</v>
      </c>
      <c r="EJ8" s="44" t="e">
        <f t="shared" si="16"/>
        <v>#N/A</v>
      </c>
      <c r="EK8" s="36">
        <f>IF(ISNA(VLOOKUP(A8,'Données projet'!$A$243:$I$263,3,0)),0,VLOOKUP(A8,'Données projet'!$A$243:$I$263,3,0))</f>
        <v>0</v>
      </c>
      <c r="EL8" s="36">
        <f>IF(ISNA(VLOOKUP(A8,'Données projet'!$A$243:$I$263,4,0)),0,VLOOKUP(A8,'Données projet'!$A$243:$I$263,4,0))</f>
        <v>0</v>
      </c>
      <c r="EM8" s="37">
        <f>IF(ISNA(VLOOKUP(A8,'Données projet'!$A$243:$I$263,5,0)),0%,VLOOKUP(A8,'Données projet'!$A$243:$I$263,5,0)*VLOOKUP('Données projet'!$B$17,Paramètres!$A$1:$I$88,7,0))</f>
        <v>0</v>
      </c>
      <c r="EN8" s="37">
        <f>IF(ISNA(VLOOKUP(A8,'Données projet'!$A$243:$I$263,6,0)),0%,VLOOKUP(A8,'Données projet'!$A$243:$I$263,6,0)*VLOOKUP('Données projet'!$B$17,Paramètres!$A$1:$I$88,7,0))</f>
        <v>0</v>
      </c>
      <c r="EO8" s="37">
        <f>IF(ISNA(VLOOKUP(A8,'Données projet'!$A$243:$I$263,7,0)),0%,VLOOKUP(A8,'Données projet'!$A$243:$I$263,7,0))</f>
        <v>0</v>
      </c>
      <c r="EP8" s="45">
        <f>EXP(-LN(2)/35)*EP7+(1-EXP(-LN(2)/35))/(LN(2)/35)*EL8*EM8*VLOOKUP('Données projet'!$B$9,Paramètres!$A$1:$I$88,3,0)*0.475*44/12</f>
        <v>0</v>
      </c>
      <c r="EQ8" s="45">
        <f>EXP(-LN(2)/25)*EQ7+(1-EXP(-LN(2)/25))/(LN(2)/25)*Calculateur!EL8*Calculateur!EN8*VLOOKUP('Données projet'!$B$9,Paramètres!$A$1:$I$88,3,0)*0.475*44/12</f>
        <v>0</v>
      </c>
      <c r="ER8" s="45">
        <f>EXP(-LN(2)/2)*ER7+(1-EXP(-LN(2)/2))/(LN(2)/2)*EL8*EO8*VLOOKUP('Données projet'!$B$9,Paramètres!$A$1:$I$88,3,0)*0.475*44/12</f>
        <v>0</v>
      </c>
      <c r="ES8" s="46">
        <f t="shared" si="17"/>
        <v>0</v>
      </c>
      <c r="ET8" s="32" t="e">
        <f>VLOOKUP(A8,'Données projet'!$A$269:$I$289,2,0)</f>
        <v>#N/A</v>
      </c>
      <c r="EU8" s="33" t="e">
        <f>VLOOKUP(A8,'Données projet'!$A$269:$I$289,9,0)</f>
        <v>#N/A</v>
      </c>
      <c r="EV8" s="33">
        <f t="array" ref="EV8">INDEX(EU:EU,MIN(IF(ISNUMBER(EU8:EU204),ROW(EU8:EU204),"")))</f>
        <v>0</v>
      </c>
      <c r="EW8" s="33">
        <f t="shared" si="39"/>
        <v>0</v>
      </c>
      <c r="EX8" s="38" t="e">
        <f>EW8*VLOOKUP('Données projet'!$B$18,Paramètres!$A$1:$I$88,3,0)*VLOOKUP('Données projet'!$B$18,Paramètres!$A$1:$I$88,5,0)</f>
        <v>#N/A</v>
      </c>
      <c r="EY8" s="34" t="e">
        <f t="shared" si="40"/>
        <v>#N/A</v>
      </c>
      <c r="EZ8" s="44" t="e">
        <f t="shared" si="18"/>
        <v>#N/A</v>
      </c>
      <c r="FA8" s="36">
        <f>IF(ISNA(VLOOKUP(A8,'Données projet'!$A$269:$I$289,3,0)),0,VLOOKUP(A8,'Données projet'!$A$269:$I$289,3,0))</f>
        <v>0</v>
      </c>
      <c r="FB8" s="36">
        <f>IF(ISNA(VLOOKUP(A8,'Données projet'!$A$269:$I$289,4,0)),0,VLOOKUP(A8,'Données projet'!$A$269:$I$289,4,0))</f>
        <v>0</v>
      </c>
      <c r="FC8" s="37">
        <f>IF(ISNA(VLOOKUP(A8,'Données projet'!$A$269:$I$289,5,0)),0%,VLOOKUP(A8,'Données projet'!$A$269:$I$289,5,0)*VLOOKUP('Données projet'!$B$18,Paramètres!$A$1:$I$88,7,0))</f>
        <v>0</v>
      </c>
      <c r="FD8" s="37">
        <f>IF(ISNA(VLOOKUP(A8,'Données projet'!$A$269:$I$289,6,0)),0%,VLOOKUP(A8,'Données projet'!$A$269:$I$289,6,0)*VLOOKUP('Données projet'!$B$18,Paramètres!$A$1:$I$88,7,0))</f>
        <v>0</v>
      </c>
      <c r="FE8" s="37">
        <f>IF(ISNA(VLOOKUP(A8,'Données projet'!$A$269:$I$289,7,0)),0%,VLOOKUP(A8,'Données projet'!$A$269:$I$289,7,0))</f>
        <v>0</v>
      </c>
      <c r="FF8" s="45">
        <f>EXP(-LN(2)/35)*FF7+(1-EXP(-LN(2)/35))/(LN(2)/35)*FB8*FC8*VLOOKUP('Données projet'!$B$9,Paramètres!$A$1:$I$88,3,0)*0.475*44/12</f>
        <v>0</v>
      </c>
      <c r="FG8" s="45">
        <f>EXP(-LN(2)/25)*FG7+(1-EXP(-LN(2)/25))/(LN(2)/25)*Calculateur!FB8*Calculateur!FD8*VLOOKUP('Données projet'!$B$9,Paramètres!$A$1:$I$88,3,0)*0.475*44/12</f>
        <v>0</v>
      </c>
      <c r="FH8" s="45">
        <f>EXP(-LN(2)/2)*FH7+(1-EXP(-LN(2)/2))/(LN(2)/2)*FB8*FE8*VLOOKUP('Données projet'!$B$9,Paramètres!$A$1:$I$88,3,0)*0.475*44/12</f>
        <v>0</v>
      </c>
      <c r="FI8" s="46">
        <f t="shared" si="19"/>
        <v>0</v>
      </c>
    </row>
    <row r="9" spans="1:165" x14ac:dyDescent="0.25">
      <c r="A9" s="24">
        <f t="shared" si="20"/>
        <v>6</v>
      </c>
      <c r="B9" s="25">
        <f>IF('Scénario référence'!$N$1=1,5,0)</f>
        <v>0</v>
      </c>
      <c r="C9" s="40">
        <f>IF(OR('Scénario référence'!$N$1=2,'Scénario référence'!$N$1=4),C8+1*VLOOKUP('Scénario référence'!$G$14,Paramètres!$A$1:$I$88,3,0)*VLOOKUP('Scénario référence'!$G$14,Paramètres!$A$1:$I$88,5,0),IF(OR('Scénario référence'!$N$1=3,'Scénario référence'!$N$1=5),C8+0.5*VLOOKUP('Scénario référence'!$G$14,Paramètres!$A$1:$I$88,3,0)*VLOOKUP('Scénario référence'!$G$14,Paramètres!$A$1:$I$88,5,0),0))</f>
        <v>3.2760000000000007</v>
      </c>
      <c r="D9" s="26">
        <f t="shared" si="21"/>
        <v>1.3149520873221716</v>
      </c>
      <c r="E9" s="27">
        <f>IF('Scénario référence'!$N$1=1,B9*44/12,(C9+D9)*0.475*44/12)</f>
        <v>7.9959082187527839</v>
      </c>
      <c r="F9" s="28" t="e">
        <f>VLOOKUP(A9,'Données projet'!$A$35:$I$55,2,0)</f>
        <v>#N/A</v>
      </c>
      <c r="G9" s="28" t="e">
        <f>VLOOKUP(A9,'Données projet'!$A$35:$I$55,9,0)</f>
        <v>#N/A</v>
      </c>
      <c r="H9" s="33">
        <f t="array" ref="H9">INDEX(G:G,MIN(IF(ISNUMBER(G9:G205),ROW(G9:G205),"")))</f>
        <v>2.1</v>
      </c>
      <c r="I9" s="28">
        <f t="shared" si="22"/>
        <v>12.6</v>
      </c>
      <c r="J9" s="41">
        <f>I9*VLOOKUP('Données projet'!$B$9,Paramètres!$A$1:$I$88,3,0)*VLOOKUP('Données projet'!$B$9,Paramètres!$A$1:$I$88,5,0)</f>
        <v>12.776399999999999</v>
      </c>
      <c r="K9" s="41">
        <f t="shared" si="23"/>
        <v>4.3769805382001454</v>
      </c>
      <c r="L9" s="42">
        <f t="shared" si="0"/>
        <v>29.875471104031917</v>
      </c>
      <c r="M9" s="30">
        <f>IF(ISNA(VLOOKUP(A9,'Données projet'!$A$35:$I$55,3,0)),0,VLOOKUP(A9,'Données projet'!$A$35:$I$55,3,0))</f>
        <v>0</v>
      </c>
      <c r="N9" s="30">
        <f>IF(ISNA(VLOOKUP(A9,'Données projet'!$A$35:$I$55,4,0)),0,VLOOKUP(A9,'Données projet'!$A$35:$I$55,4,0))</f>
        <v>0</v>
      </c>
      <c r="O9" s="31">
        <f>IF(ISNA(VLOOKUP(A9,'Données projet'!$A$35:$I$55,5,0)),0%,VLOOKUP(A9,'Données projet'!$A$35:$I$55,5,0)*VLOOKUP('Données projet'!$B$9,Paramètres!$A$1:$I$88,7,0))</f>
        <v>0</v>
      </c>
      <c r="P9" s="31">
        <f>IF(ISNA(VLOOKUP(A9,'Données projet'!$A$35:$I$55,6,0)),0%,VLOOKUP(A9,'Données projet'!$A$35:$I$55,6,0)*VLOOKUP('Données projet'!$B$9,Paramètres!$A$1:$I$88,7,0))</f>
        <v>0</v>
      </c>
      <c r="Q9" s="31">
        <f>IF(ISNA(VLOOKUP(A9,'Données projet'!$A$35:$I$55,7,0)),0%,VLOOKUP(A9,'Données projet'!$A$35:$I$55,7,0))</f>
        <v>0</v>
      </c>
      <c r="R9" s="43">
        <f>EXP(-LN(2)/35)*R8+(1-EXP(-LN(2)/35))/(LN(2)/35)*N9*O9*VLOOKUP('Données projet'!$B$9,Paramètres!$A$1:$I$88,3,0)*0.475*44/12</f>
        <v>0</v>
      </c>
      <c r="S9" s="43">
        <f>EXP(-LN(2)/25)*S8+(1-EXP(-LN(2)/25))/(LN(2)/25)*Calculateur!N9*Calculateur!P9*VLOOKUP('Données projet'!$B$9,Paramètres!$A$1:$I$88,3,0)*0.475*44/12</f>
        <v>0</v>
      </c>
      <c r="T9" s="43">
        <f>EXP(-LN(2)/2)*T8+(1-EXP(-LN(2)/2))/(LN(2)/2)*N9*Q9*VLOOKUP('Données projet'!$B$9,Paramètres!$A$1:$I$88,3,0)*0.475*44/12</f>
        <v>0</v>
      </c>
      <c r="U9" s="43">
        <f t="shared" si="1"/>
        <v>0</v>
      </c>
      <c r="V9" s="32" t="e">
        <f>VLOOKUP(A9,'Données projet'!$A$61:$I$81,2,0)</f>
        <v>#N/A</v>
      </c>
      <c r="W9" s="33" t="e">
        <f>VLOOKUP(A9,'Données projet'!$A$61:$I$81,9,0)</f>
        <v>#N/A</v>
      </c>
      <c r="X9" s="33">
        <f t="array" ref="X9">INDEX(W:W,MIN(IF(ISNUMBER(W9:W205),ROW(W9:W205),"")))</f>
        <v>0</v>
      </c>
      <c r="Y9" s="33">
        <f t="shared" si="24"/>
        <v>0</v>
      </c>
      <c r="Z9" s="34" t="e">
        <f>Y9*VLOOKUP('Données projet'!$B$10,Paramètres!$A$1:$I$88,3,0)*VLOOKUP('Données projet'!$B$10,Paramètres!$A$1:$I$88,5,0)</f>
        <v>#N/A</v>
      </c>
      <c r="AA9" s="34" t="e">
        <f t="shared" si="25"/>
        <v>#N/A</v>
      </c>
      <c r="AB9" s="44" t="e">
        <f t="shared" si="2"/>
        <v>#N/A</v>
      </c>
      <c r="AC9" s="36">
        <f>IF(ISNA(VLOOKUP(A9,'Données projet'!$A$61:$I$81,3,0)),0,VLOOKUP(A9,'Données projet'!$A$61:$I$81,3,0))</f>
        <v>0</v>
      </c>
      <c r="AD9" s="36">
        <f>IF(ISNA(VLOOKUP(A9,'Données projet'!$A$61:$I$81,4,0)),0,VLOOKUP(A9,'Données projet'!$A$61:$I$81,4,0))</f>
        <v>0</v>
      </c>
      <c r="AE9" s="37">
        <f>IF(ISNA(VLOOKUP(A9,'Données projet'!$A$61:$I$81,5,0)),0%,VLOOKUP(A9,'Données projet'!$A$61:$I$81,5,0)*VLOOKUP('Données projet'!$B$10,Paramètres!$A$1:$I$88,7,0))</f>
        <v>0</v>
      </c>
      <c r="AF9" s="37">
        <f>IF(ISNA(VLOOKUP(A9,'Données projet'!$A$61:$I$81,6,0)),0%,VLOOKUP(A9,'Données projet'!$A$61:$I$81,6,0)*VLOOKUP('Données projet'!$B$10,Paramètres!$A$1:$I$88,7,0))</f>
        <v>0</v>
      </c>
      <c r="AG9" s="37">
        <f>IF(ISNA(VLOOKUP(A9,'Données projet'!$A$61:$I$81,7,0)),0%,VLOOKUP(A9,'Données projet'!$A$61:$I$81,7,0))</f>
        <v>0</v>
      </c>
      <c r="AH9" s="45">
        <f>EXP(-LN(2)/35)*AH8+(1-EXP(-LN(2)/35))/(LN(2)/35)*AD9*AE9*VLOOKUP('Données projet'!$B$9,Paramètres!$A$1:$I$88,3,0)*0.475*44/12</f>
        <v>0</v>
      </c>
      <c r="AI9" s="45">
        <f>EXP(-LN(2)/25)*AI8+(1-EXP(-LN(2)/25))/(LN(2)/25)*Calculateur!AD9*Calculateur!AF9*VLOOKUP('Données projet'!$B$9,Paramètres!$A$1:$I$88,3,0)*0.475*44/12</f>
        <v>0</v>
      </c>
      <c r="AJ9" s="45">
        <f>EXP(-LN(2)/2)*AJ8+(1-EXP(-LN(2)/2))/(LN(2)/2)*AD9*AG9*VLOOKUP('Données projet'!$B$9,Paramètres!$A$1:$I$88,3,0)*0.475*44/12</f>
        <v>0</v>
      </c>
      <c r="AK9" s="45">
        <f t="shared" si="3"/>
        <v>0</v>
      </c>
      <c r="AL9" s="32" t="e">
        <f>VLOOKUP(A9,'Données projet'!$A$87:$I$107,2,0)</f>
        <v>#N/A</v>
      </c>
      <c r="AM9" s="33" t="e">
        <f>VLOOKUP(A9,'Données projet'!$A$87:$I$107,9,0)</f>
        <v>#N/A</v>
      </c>
      <c r="AN9" s="33">
        <f t="array" ref="AN9">INDEX(AM:AM,MIN(IF(ISNUMBER(AM9:AM205),ROW(AM9:AM205),"")))</f>
        <v>0</v>
      </c>
      <c r="AO9" s="33">
        <f t="shared" si="26"/>
        <v>0</v>
      </c>
      <c r="AP9" s="34" t="e">
        <f>AO9*VLOOKUP('Données projet'!$B$11,Paramètres!$A$1:$I$88,3,0)*VLOOKUP('Données projet'!$B$11,Paramètres!$A$1:$I$88,5,0)</f>
        <v>#N/A</v>
      </c>
      <c r="AQ9" s="34" t="e">
        <f t="shared" si="27"/>
        <v>#N/A</v>
      </c>
      <c r="AR9" s="44" t="e">
        <f t="shared" si="4"/>
        <v>#N/A</v>
      </c>
      <c r="AS9" s="36">
        <f>IF(ISNA(VLOOKUP(A9,'Données projet'!$A$87:$I$107,3,0)),0,VLOOKUP(A9,'Données projet'!$A$87:$I$107,3,0))</f>
        <v>0</v>
      </c>
      <c r="AT9" s="36">
        <f>IF(ISNA(VLOOKUP(A9,'Données projet'!$A$87:$I$107,4,0)),0,VLOOKUP(A9,'Données projet'!$A$87:$I$107,4,0))</f>
        <v>0</v>
      </c>
      <c r="AU9" s="37">
        <f>IF(ISNA(VLOOKUP(A9,'Données projet'!$A$87:$I$107,5,0)),0%,VLOOKUP(A9,'Données projet'!$A$87:$I$107,5,0)*VLOOKUP('Données projet'!$B$11,Paramètres!$A$1:$I$88,7,0))</f>
        <v>0</v>
      </c>
      <c r="AV9" s="37">
        <f>IF(ISNA(VLOOKUP(A9,'Données projet'!$A$87:$I$107,6,0)),0%,VLOOKUP(A9,'Données projet'!$A$87:$I$107,6,0)*VLOOKUP('Données projet'!$B$11,Paramètres!$A$1:$I$88,7,0))</f>
        <v>0</v>
      </c>
      <c r="AW9" s="37">
        <f>IF(ISNA(VLOOKUP(A9,'Données projet'!$A$87:$I$107,7,0)),0%,VLOOKUP(A9,'Données projet'!$A$87:$I$107,7,0))</f>
        <v>0</v>
      </c>
      <c r="AX9" s="45">
        <f>EXP(-LN(2)/35)*AX8+(1-EXP(-LN(2)/35))/(LN(2)/35)*AT9*AU9*VLOOKUP('Données projet'!$B$9,Paramètres!$A$1:$I$88,3,0)*0.475*44/12</f>
        <v>0</v>
      </c>
      <c r="AY9" s="45">
        <f>EXP(-LN(2)/25)*AY8+(1-EXP(-LN(2)/25))/(LN(2)/25)*Calculateur!AT9*Calculateur!AV9*VLOOKUP('Données projet'!$B$9,Paramètres!$A$1:$I$88,3,0)*0.475*44/12</f>
        <v>0</v>
      </c>
      <c r="AZ9" s="45">
        <f>EXP(-LN(2)/2)*AZ8+(1-EXP(-LN(2)/2))/(LN(2)/2)*AT9*AW9*VLOOKUP('Données projet'!$B$9,Paramètres!$A$1:$I$88,3,0)*0.475*44/12</f>
        <v>0</v>
      </c>
      <c r="BA9" s="46">
        <f t="shared" si="5"/>
        <v>0</v>
      </c>
      <c r="BB9" s="32" t="e">
        <f>VLOOKUP(A9,'Données projet'!$A$113:$I$133,2,0)</f>
        <v>#N/A</v>
      </c>
      <c r="BC9" s="33" t="e">
        <f>VLOOKUP(A9,'Données projet'!$A$113:$I$133,9,0)</f>
        <v>#N/A</v>
      </c>
      <c r="BD9" s="33">
        <f t="array" ref="BD9">INDEX(BC:BC,MIN(IF(ISNUMBER(BC9:BC205),ROW(BC9:BC205),"")))</f>
        <v>0</v>
      </c>
      <c r="BE9" s="33">
        <f t="shared" si="28"/>
        <v>0</v>
      </c>
      <c r="BF9" s="34" t="e">
        <f>BE9*VLOOKUP('Données projet'!$B$12,Paramètres!$A$1:$I$88,3,0)*VLOOKUP('Données projet'!$B$12,Paramètres!$A$1:$I$88,5,0)</f>
        <v>#N/A</v>
      </c>
      <c r="BG9" s="34" t="e">
        <f t="shared" si="29"/>
        <v>#N/A</v>
      </c>
      <c r="BH9" s="44" t="e">
        <f t="shared" si="6"/>
        <v>#N/A</v>
      </c>
      <c r="BI9" s="36">
        <f>IF(ISNA(VLOOKUP(A9,'Données projet'!$A$113:$I$133,3,0)),0,VLOOKUP(A9,'Données projet'!$A$113:$I$133,3,0))</f>
        <v>0</v>
      </c>
      <c r="BJ9" s="36">
        <f>IF(ISNA(VLOOKUP(A9,'Données projet'!$A$113:$I$133,4,0)),0,VLOOKUP(A9,'Données projet'!$A$113:$I$133,4,0))</f>
        <v>0</v>
      </c>
      <c r="BK9" s="37">
        <f>IF(ISNA(VLOOKUP(A9,'Données projet'!$A$113:$I$133,5,0)),0%,VLOOKUP(A9,'Données projet'!$A$113:$I$133,5,0)*VLOOKUP('Données projet'!$B$12,Paramètres!$A$1:$I$88,7,0))</f>
        <v>0</v>
      </c>
      <c r="BL9" s="37">
        <f>IF(ISNA(VLOOKUP(A9,'Données projet'!$A$113:$I$133,6,0)),0%,VLOOKUP(A9,'Données projet'!$A$113:$I$133,6,0)*VLOOKUP('Données projet'!$B$12,Paramètres!$A$1:$I$88,7,0))</f>
        <v>0</v>
      </c>
      <c r="BM9" s="37">
        <f>IF(ISNA(VLOOKUP(A9,'Données projet'!$A$113:$I$133,7,0)),0%,VLOOKUP(A9,'Données projet'!$A$113:$I$133,7,0))</f>
        <v>0</v>
      </c>
      <c r="BN9" s="45">
        <f>EXP(-LN(2)/35)*BN8+(1-EXP(-LN(2)/35))/(LN(2)/35)*BJ9*BK9*VLOOKUP('Données projet'!$B$9,Paramètres!$A$1:$I$88,3,0)*0.475*44/12</f>
        <v>0</v>
      </c>
      <c r="BO9" s="45">
        <f>EXP(-LN(2)/25)*BO8+(1-EXP(-LN(2)/25))/(LN(2)/25)*Calculateur!BJ9*Calculateur!BL9*VLOOKUP('Données projet'!$B$9,Paramètres!$A$1:$I$88,3,0)*0.475*44/12</f>
        <v>0</v>
      </c>
      <c r="BP9" s="45">
        <f>EXP(-LN(2)/2)*BP8+(1-EXP(-LN(2)/2))/(LN(2)/2)*BJ9*BM9*VLOOKUP('Données projet'!$B$9,Paramètres!$A$1:$I$88,3,0)*0.475*44/12</f>
        <v>0</v>
      </c>
      <c r="BQ9" s="46">
        <f t="shared" si="7"/>
        <v>0</v>
      </c>
      <c r="BR9" s="32" t="e">
        <f>VLOOKUP(A9,'Données projet'!$A$139:$I$159,2,0)</f>
        <v>#N/A</v>
      </c>
      <c r="BS9" s="33" t="e">
        <f>VLOOKUP(A9,'Données projet'!$A$139:$I$159,9,0)</f>
        <v>#N/A</v>
      </c>
      <c r="BT9" s="33">
        <f t="array" ref="BT9">INDEX(BS:BS,MIN(IF(ISNUMBER(BS9:BS205),ROW(BS9:BS205),"")))</f>
        <v>0</v>
      </c>
      <c r="BU9" s="33">
        <f t="shared" si="41"/>
        <v>0</v>
      </c>
      <c r="BV9" s="38" t="e">
        <f>BU9*VLOOKUP('Données projet'!$B$13,Paramètres!$A$1:$I$88,3,0)*VLOOKUP('Données projet'!$B$13,Paramètres!$A$1:$I$88,5,0)</f>
        <v>#N/A</v>
      </c>
      <c r="BW9" s="34" t="e">
        <f t="shared" si="30"/>
        <v>#N/A</v>
      </c>
      <c r="BX9" s="44" t="e">
        <f t="shared" si="8"/>
        <v>#N/A</v>
      </c>
      <c r="BY9" s="36">
        <f>IF(ISNA(VLOOKUP(A9,'Données projet'!$A$139:$I$159,3,0)),0,VLOOKUP(A9,'Données projet'!$A$139:$I$159,3,0))</f>
        <v>0</v>
      </c>
      <c r="BZ9" s="36">
        <f>IF(ISNA(VLOOKUP(A9,'Données projet'!$A$139:$I$159,4,0)),0,VLOOKUP(A9,'Données projet'!$A$139:$I$159,4,0))</f>
        <v>0</v>
      </c>
      <c r="CA9" s="37">
        <f>IF(ISNA(VLOOKUP(A9,'Données projet'!$A$139:$I$159,5,0)),0%,VLOOKUP(A9,'Données projet'!$A$139:$I$159,5,0)*VLOOKUP('Données projet'!$B$13,Paramètres!$A$1:$I$88,7,0))</f>
        <v>0</v>
      </c>
      <c r="CB9" s="37">
        <f>IF(ISNA(VLOOKUP(A9,'Données projet'!$A$139:$I$159,6,0)),0%,VLOOKUP(A9,'Données projet'!$A$139:$I$159,6,0)*VLOOKUP('Données projet'!$B$13,Paramètres!$A$1:$I$88,7,0))</f>
        <v>0</v>
      </c>
      <c r="CC9" s="37">
        <f>IF(ISNA(VLOOKUP(A9,'Données projet'!$A$139:$I$159,7,0)),0%,VLOOKUP(A9,'Données projet'!$A$139:$I$159,7,0))</f>
        <v>0</v>
      </c>
      <c r="CD9" s="45">
        <f>EXP(-LN(2)/35)*CD8+(1-EXP(-LN(2)/35))/(LN(2)/35)*BZ9*CA9*VLOOKUP('Données projet'!$B$9,Paramètres!$A$1:$I$88,3,0)*0.475*44/12</f>
        <v>0</v>
      </c>
      <c r="CE9" s="45">
        <f>EXP(-LN(2)/25)*CE8+(1-EXP(-LN(2)/25))/(LN(2)/25)*Calculateur!BZ9*Calculateur!CB9*VLOOKUP('Données projet'!$B$9,Paramètres!$A$1:$I$88,3,0)*0.475*44/12</f>
        <v>0</v>
      </c>
      <c r="CF9" s="45">
        <f>EXP(-LN(2)/2)*CF8+(1-EXP(-LN(2)/2))/(LN(2)/2)*BZ9*CC9*VLOOKUP('Données projet'!$B$9,Paramètres!$A$1:$I$88,3,0)*0.475*44/12</f>
        <v>0</v>
      </c>
      <c r="CG9" s="46">
        <f t="shared" si="9"/>
        <v>0</v>
      </c>
      <c r="CH9" s="32" t="e">
        <f>VLOOKUP(A9,'Données projet'!$A$165:$I$185,2,0)</f>
        <v>#N/A</v>
      </c>
      <c r="CI9" s="33" t="e">
        <f>VLOOKUP(A9,'Données projet'!$A$165:$I$185,9,0)</f>
        <v>#N/A</v>
      </c>
      <c r="CJ9" s="33">
        <f t="array" ref="CJ9">INDEX(CI:CI,MIN(IF(ISNUMBER(CI9:CI205),ROW(CI9:CI205),"")))</f>
        <v>0</v>
      </c>
      <c r="CK9" s="33">
        <f t="shared" si="31"/>
        <v>0</v>
      </c>
      <c r="CL9" s="38" t="e">
        <f>CK9*VLOOKUP('Données projet'!$B$14,Paramètres!$A$1:$I$88,3,0)*VLOOKUP('Données projet'!$B$14,Paramètres!$A$1:$I$88,5,0)</f>
        <v>#N/A</v>
      </c>
      <c r="CM9" s="34" t="e">
        <f t="shared" si="32"/>
        <v>#N/A</v>
      </c>
      <c r="CN9" s="44" t="e">
        <f t="shared" si="10"/>
        <v>#N/A</v>
      </c>
      <c r="CO9" s="36">
        <f>IF(ISNA(VLOOKUP(A9,'Données projet'!$A$165:$I$185,3,0)),0,VLOOKUP(A9,'Données projet'!$A$165:$I$185,3,0))</f>
        <v>0</v>
      </c>
      <c r="CP9" s="36">
        <f>IF(ISNA(VLOOKUP(A9,'Données projet'!$A$165:$I$185,4,0)),0,VLOOKUP(A9,'Données projet'!$A$165:$I$185,4,0))</f>
        <v>0</v>
      </c>
      <c r="CQ9" s="37">
        <f>IF(ISNA(VLOOKUP(A9,'Données projet'!$A$165:$I$185,5,0)),0%,VLOOKUP(A9,'Données projet'!$A$165:$I$185,5,0)*VLOOKUP('Données projet'!$B$14,Paramètres!$A$1:$I$88,7,0))</f>
        <v>0</v>
      </c>
      <c r="CR9" s="37">
        <f>IF(ISNA(VLOOKUP(A9,'Données projet'!$A$165:$I$185,6,0)),0%,VLOOKUP(A9,'Données projet'!$A$165:$I$185,6,0)*VLOOKUP('Données projet'!$B$14,Paramètres!$A$1:$I$88,7,0))</f>
        <v>0</v>
      </c>
      <c r="CS9" s="37">
        <f>IF(ISNA(VLOOKUP(A9,'Données projet'!$A$165:$I$185,7,0)),0%,VLOOKUP(A9,'Données projet'!$A$165:$I$185,7,0))</f>
        <v>0</v>
      </c>
      <c r="CT9" s="45">
        <f>EXP(-LN(2)/35)*CT8+(1-EXP(-LN(2)/35))/(LN(2)/35)*CP9*CQ9*VLOOKUP('Données projet'!$B$9,Paramètres!$A$1:$I$88,3,0)*0.475*44/12</f>
        <v>0</v>
      </c>
      <c r="CU9" s="45">
        <f>EXP(-LN(2)/25)*CU8+(1-EXP(-LN(2)/25))/(LN(2)/25)*Calculateur!CP9*Calculateur!CR9*VLOOKUP('Données projet'!$B$9,Paramètres!$A$1:$I$88,3,0)*0.475*44/12</f>
        <v>0</v>
      </c>
      <c r="CV9" s="45">
        <f>EXP(-LN(2)/2)*CV8+(1-EXP(-LN(2)/2))/(LN(2)/2)*CP9*CS9*VLOOKUP('Données projet'!$B$9,Paramètres!$A$1:$I$88,3,0)*0.475*44/12</f>
        <v>0</v>
      </c>
      <c r="CW9" s="46">
        <f t="shared" si="11"/>
        <v>0</v>
      </c>
      <c r="CX9" s="32" t="e">
        <f>VLOOKUP(A9,'Données projet'!$A$191:$I$211,2,0)</f>
        <v>#N/A</v>
      </c>
      <c r="CY9" s="33" t="e">
        <f>VLOOKUP(A9,'Données projet'!$A$191:$I$211,9,0)</f>
        <v>#N/A</v>
      </c>
      <c r="CZ9" s="33">
        <f t="array" ref="CZ9">INDEX(CY:CY,MIN(IF(ISNUMBER(CY9:CY205),ROW(CY9:CY205),"")))</f>
        <v>0</v>
      </c>
      <c r="DA9" s="33">
        <f t="shared" si="33"/>
        <v>0</v>
      </c>
      <c r="DB9" s="38" t="e">
        <f>DA9*VLOOKUP('Données projet'!$B$15,Paramètres!$A$1:$I$88,3,0)*VLOOKUP('Données projet'!$B$15,Paramètres!$A$1:$I$88,5,0)</f>
        <v>#N/A</v>
      </c>
      <c r="DC9" s="34" t="e">
        <f t="shared" si="34"/>
        <v>#N/A</v>
      </c>
      <c r="DD9" s="44" t="e">
        <f t="shared" si="12"/>
        <v>#N/A</v>
      </c>
      <c r="DE9" s="36">
        <f>IF(ISNA(VLOOKUP(A9,'Données projet'!$A$191:$I$211,3,0)),0,VLOOKUP(A9,'Données projet'!$A$191:$I$211,3,0))</f>
        <v>0</v>
      </c>
      <c r="DF9" s="36">
        <f>IF(ISNA(VLOOKUP(A9,'Données projet'!$A$191:$I$211,4,0)),0,VLOOKUP(A9,'Données projet'!$A$191:$I$211,4,0))</f>
        <v>0</v>
      </c>
      <c r="DG9" s="37">
        <f>IF(ISNA(VLOOKUP(A9,'Données projet'!$A$191:$I$211,5,0)),0%,VLOOKUP(A9,'Données projet'!$A$191:$I$211,5,0)*VLOOKUP('Données projet'!$B$15,Paramètres!$A$1:$I$88,7,0))</f>
        <v>0</v>
      </c>
      <c r="DH9" s="37">
        <f>IF(ISNA(VLOOKUP(A9,'Données projet'!$A$191:$I$211,6,0)),0%,VLOOKUP(A9,'Données projet'!$A$191:$I$211,6,0)*VLOOKUP('Données projet'!$B$15,Paramètres!$A$1:$I$88,7,0))</f>
        <v>0</v>
      </c>
      <c r="DI9" s="37">
        <f>IF(ISNA(VLOOKUP(A9,'Données projet'!$A$191:$I$211,7,0)),0%,VLOOKUP(A9,'Données projet'!$A$191:$I$211,7,0))</f>
        <v>0</v>
      </c>
      <c r="DJ9" s="45">
        <f>EXP(-LN(2)/35)*DJ8+(1-EXP(-LN(2)/35))/(LN(2)/35)*DF9*DG9*VLOOKUP('Données projet'!$B$9,Paramètres!$A$1:$I$88,3,0)*0.475*44/12</f>
        <v>0</v>
      </c>
      <c r="DK9" s="45">
        <f>EXP(-LN(2)/25)*DK8+(1-EXP(-LN(2)/25))/(LN(2)/25)*Calculateur!DF9*Calculateur!DH9*VLOOKUP('Données projet'!$B$9,Paramètres!$A$1:$I$88,3,0)*0.475*44/12</f>
        <v>0</v>
      </c>
      <c r="DL9" s="45">
        <f>EXP(-LN(2)/2)*DL8+(1-EXP(-LN(2)/2))/(LN(2)/2)*DF9*DI9*VLOOKUP('Données projet'!$B$9,Paramètres!$A$1:$I$88,3,0)*0.475*44/12</f>
        <v>0</v>
      </c>
      <c r="DM9" s="46">
        <f t="shared" si="13"/>
        <v>0</v>
      </c>
      <c r="DN9" s="32" t="e">
        <f>VLOOKUP(A9,'Données projet'!$A$217:$I$237,2,0)</f>
        <v>#N/A</v>
      </c>
      <c r="DO9" s="33" t="e">
        <f>VLOOKUP(A9,'Données projet'!$A$217:$I$237,9,0)</f>
        <v>#N/A</v>
      </c>
      <c r="DP9" s="33">
        <f t="array" ref="DP9">INDEX(DO:DO,MIN(IF(ISNUMBER(DO9:DO205),ROW(DO9:DO205),"")))</f>
        <v>0</v>
      </c>
      <c r="DQ9" s="33">
        <f t="shared" si="35"/>
        <v>0</v>
      </c>
      <c r="DR9" s="38" t="e">
        <f>DQ9*VLOOKUP('Données projet'!$B$16,Paramètres!$A$1:$I$88,3,0)*VLOOKUP('Données projet'!$B$16,Paramètres!$A$1:$I$88,5,0)</f>
        <v>#N/A</v>
      </c>
      <c r="DS9" s="34" t="e">
        <f t="shared" si="36"/>
        <v>#N/A</v>
      </c>
      <c r="DT9" s="44" t="e">
        <f t="shared" si="14"/>
        <v>#N/A</v>
      </c>
      <c r="DU9" s="36">
        <f>IF(ISNA(VLOOKUP(A9,'Données projet'!$A$217:$I$237,3,0)),0,VLOOKUP(A9,'Données projet'!$A$217:$I$237,3,0))</f>
        <v>0</v>
      </c>
      <c r="DV9" s="36">
        <f>IF(ISNA(VLOOKUP(A9,'Données projet'!$A$217:$I$237,4,0)),0,VLOOKUP(A9,'Données projet'!$A$217:$I$237,4,0))</f>
        <v>0</v>
      </c>
      <c r="DW9" s="37">
        <f>IF(ISNA(VLOOKUP(A9,'Données projet'!$A$217:$I$237,5,0)),0%,VLOOKUP(A9,'Données projet'!$A$217:$I$237,5,0)*VLOOKUP('Données projet'!$B$16,Paramètres!$A$1:$I$88,7,0))</f>
        <v>0</v>
      </c>
      <c r="DX9" s="37">
        <f>IF(ISNA(VLOOKUP(A9,'Données projet'!$A$217:$I$237,6,0)),0%,VLOOKUP(A9,'Données projet'!$A$217:$I$237,6,0)*VLOOKUP('Données projet'!$B$16,Paramètres!$A$1:$I$88,7,0))</f>
        <v>0</v>
      </c>
      <c r="DY9" s="37">
        <f>IF(ISNA(VLOOKUP(A9,'Données projet'!$A$217:$I$237,7,0)),0%,VLOOKUP(A9,'Données projet'!$A$217:$I$237,7,0))</f>
        <v>0</v>
      </c>
      <c r="DZ9" s="45">
        <f>EXP(-LN(2)/35)*DZ8+(1-EXP(-LN(2)/35))/(LN(2)/35)*DV9*DW9*VLOOKUP('Données projet'!$B$9,Paramètres!$A$1:$I$88,3,0)*0.475*44/12</f>
        <v>0</v>
      </c>
      <c r="EA9" s="45">
        <f>EXP(-LN(2)/25)*EA8+(1-EXP(-LN(2)/25))/(LN(2)/25)*Calculateur!DV9*Calculateur!DX9*VLOOKUP('Données projet'!$B$9,Paramètres!$A$1:$I$88,3,0)*0.475*44/12</f>
        <v>0</v>
      </c>
      <c r="EB9" s="45">
        <f>EXP(-LN(2)/2)*EB8+(1-EXP(-LN(2)/2))/(LN(2)/2)*DV9*DY9*VLOOKUP('Données projet'!$B$9,Paramètres!$A$1:$I$88,3,0)*0.475*44/12</f>
        <v>0</v>
      </c>
      <c r="EC9" s="46">
        <f t="shared" si="15"/>
        <v>0</v>
      </c>
      <c r="ED9" s="32" t="e">
        <f>VLOOKUP(A9,'Données projet'!$A$243:$I$263,2,0)</f>
        <v>#N/A</v>
      </c>
      <c r="EE9" s="33" t="e">
        <f>VLOOKUP(A9,'Données projet'!$A$243:$I$263,9,0)</f>
        <v>#N/A</v>
      </c>
      <c r="EF9" s="33">
        <f t="array" ref="EF9">INDEX(EE:EE,MIN(IF(ISNUMBER(EE9:EE205),ROW(EE9:EE205),"")))</f>
        <v>0</v>
      </c>
      <c r="EG9" s="33">
        <f t="shared" si="37"/>
        <v>0</v>
      </c>
      <c r="EH9" s="38" t="e">
        <f>EG9*VLOOKUP('Données projet'!$B$17,Paramètres!$A$1:$I$88,3,0)*VLOOKUP('Données projet'!$B$17,Paramètres!$A$1:$I$88,5,0)</f>
        <v>#N/A</v>
      </c>
      <c r="EI9" s="34" t="e">
        <f t="shared" si="38"/>
        <v>#N/A</v>
      </c>
      <c r="EJ9" s="44" t="e">
        <f t="shared" si="16"/>
        <v>#N/A</v>
      </c>
      <c r="EK9" s="36">
        <f>IF(ISNA(VLOOKUP(A9,'Données projet'!$A$243:$I$263,3,0)),0,VLOOKUP(A9,'Données projet'!$A$243:$I$263,3,0))</f>
        <v>0</v>
      </c>
      <c r="EL9" s="36">
        <f>IF(ISNA(VLOOKUP(A9,'Données projet'!$A$243:$I$263,4,0)),0,VLOOKUP(A9,'Données projet'!$A$243:$I$263,4,0))</f>
        <v>0</v>
      </c>
      <c r="EM9" s="37">
        <f>IF(ISNA(VLOOKUP(A9,'Données projet'!$A$243:$I$263,5,0)),0%,VLOOKUP(A9,'Données projet'!$A$243:$I$263,5,0)*VLOOKUP('Données projet'!$B$17,Paramètres!$A$1:$I$88,7,0))</f>
        <v>0</v>
      </c>
      <c r="EN9" s="37">
        <f>IF(ISNA(VLOOKUP(A9,'Données projet'!$A$243:$I$263,6,0)),0%,VLOOKUP(A9,'Données projet'!$A$243:$I$263,6,0)*VLOOKUP('Données projet'!$B$17,Paramètres!$A$1:$I$88,7,0))</f>
        <v>0</v>
      </c>
      <c r="EO9" s="37">
        <f>IF(ISNA(VLOOKUP(A9,'Données projet'!$A$243:$I$263,7,0)),0%,VLOOKUP(A9,'Données projet'!$A$243:$I$263,7,0))</f>
        <v>0</v>
      </c>
      <c r="EP9" s="45">
        <f>EXP(-LN(2)/35)*EP8+(1-EXP(-LN(2)/35))/(LN(2)/35)*EL9*EM9*VLOOKUP('Données projet'!$B$9,Paramètres!$A$1:$I$88,3,0)*0.475*44/12</f>
        <v>0</v>
      </c>
      <c r="EQ9" s="45">
        <f>EXP(-LN(2)/25)*EQ8+(1-EXP(-LN(2)/25))/(LN(2)/25)*Calculateur!EL9*Calculateur!EN9*VLOOKUP('Données projet'!$B$9,Paramètres!$A$1:$I$88,3,0)*0.475*44/12</f>
        <v>0</v>
      </c>
      <c r="ER9" s="45">
        <f>EXP(-LN(2)/2)*ER8+(1-EXP(-LN(2)/2))/(LN(2)/2)*EL9*EO9*VLOOKUP('Données projet'!$B$9,Paramètres!$A$1:$I$88,3,0)*0.475*44/12</f>
        <v>0</v>
      </c>
      <c r="ES9" s="46">
        <f t="shared" si="17"/>
        <v>0</v>
      </c>
      <c r="ET9" s="32" t="e">
        <f>VLOOKUP(A9,'Données projet'!$A$269:$I$289,2,0)</f>
        <v>#N/A</v>
      </c>
      <c r="EU9" s="33" t="e">
        <f>VLOOKUP(A9,'Données projet'!$A$269:$I$289,9,0)</f>
        <v>#N/A</v>
      </c>
      <c r="EV9" s="33">
        <f t="array" ref="EV9">INDEX(EU:EU,MIN(IF(ISNUMBER(EU9:EU205),ROW(EU9:EU205),"")))</f>
        <v>0</v>
      </c>
      <c r="EW9" s="33">
        <f t="shared" si="39"/>
        <v>0</v>
      </c>
      <c r="EX9" s="38" t="e">
        <f>EW9*VLOOKUP('Données projet'!$B$18,Paramètres!$A$1:$I$88,3,0)*VLOOKUP('Données projet'!$B$18,Paramètres!$A$1:$I$88,5,0)</f>
        <v>#N/A</v>
      </c>
      <c r="EY9" s="34" t="e">
        <f t="shared" si="40"/>
        <v>#N/A</v>
      </c>
      <c r="EZ9" s="44" t="e">
        <f t="shared" si="18"/>
        <v>#N/A</v>
      </c>
      <c r="FA9" s="36">
        <f>IF(ISNA(VLOOKUP(A9,'Données projet'!$A$269:$I$289,3,0)),0,VLOOKUP(A9,'Données projet'!$A$269:$I$289,3,0))</f>
        <v>0</v>
      </c>
      <c r="FB9" s="36">
        <f>IF(ISNA(VLOOKUP(A9,'Données projet'!$A$269:$I$289,4,0)),0,VLOOKUP(A9,'Données projet'!$A$269:$I$289,4,0))</f>
        <v>0</v>
      </c>
      <c r="FC9" s="37">
        <f>IF(ISNA(VLOOKUP(A9,'Données projet'!$A$269:$I$289,5,0)),0%,VLOOKUP(A9,'Données projet'!$A$269:$I$289,5,0)*VLOOKUP('Données projet'!$B$18,Paramètres!$A$1:$I$88,7,0))</f>
        <v>0</v>
      </c>
      <c r="FD9" s="37">
        <f>IF(ISNA(VLOOKUP(A9,'Données projet'!$A$269:$I$289,6,0)),0%,VLOOKUP(A9,'Données projet'!$A$269:$I$289,6,0)*VLOOKUP('Données projet'!$B$18,Paramètres!$A$1:$I$88,7,0))</f>
        <v>0</v>
      </c>
      <c r="FE9" s="37">
        <f>IF(ISNA(VLOOKUP(A9,'Données projet'!$A$269:$I$289,7,0)),0%,VLOOKUP(A9,'Données projet'!$A$269:$I$289,7,0))</f>
        <v>0</v>
      </c>
      <c r="FF9" s="45">
        <f>EXP(-LN(2)/35)*FF8+(1-EXP(-LN(2)/35))/(LN(2)/35)*FB9*FC9*VLOOKUP('Données projet'!$B$9,Paramètres!$A$1:$I$88,3,0)*0.475*44/12</f>
        <v>0</v>
      </c>
      <c r="FG9" s="45">
        <f>EXP(-LN(2)/25)*FG8+(1-EXP(-LN(2)/25))/(LN(2)/25)*Calculateur!FB9*Calculateur!FD9*VLOOKUP('Données projet'!$B$9,Paramètres!$A$1:$I$88,3,0)*0.475*44/12</f>
        <v>0</v>
      </c>
      <c r="FH9" s="45">
        <f>EXP(-LN(2)/2)*FH8+(1-EXP(-LN(2)/2))/(LN(2)/2)*FB9*FE9*VLOOKUP('Données projet'!$B$9,Paramètres!$A$1:$I$88,3,0)*0.475*44/12</f>
        <v>0</v>
      </c>
      <c r="FI9" s="46">
        <f t="shared" si="19"/>
        <v>0</v>
      </c>
    </row>
    <row r="10" spans="1:165" x14ac:dyDescent="0.25">
      <c r="A10" s="24">
        <f t="shared" si="20"/>
        <v>7</v>
      </c>
      <c r="B10" s="25">
        <f>IF('Scénario référence'!$N$1=1,5,0)</f>
        <v>0</v>
      </c>
      <c r="C10" s="40">
        <f>IF(OR('Scénario référence'!$N$1=2,'Scénario référence'!$N$1=4),C9+1*VLOOKUP('Scénario référence'!$G$14,Paramètres!$A$1:$I$88,3,0)*VLOOKUP('Scénario référence'!$G$14,Paramètres!$A$1:$I$88,5,0),IF(OR('Scénario référence'!$N$1=3,'Scénario référence'!$N$1=5),C9+0.5*VLOOKUP('Scénario référence'!$G$14,Paramètres!$A$1:$I$88,3,0)*VLOOKUP('Scénario référence'!$G$14,Paramètres!$A$1:$I$88,5,0),0))</f>
        <v>3.822000000000001</v>
      </c>
      <c r="D10" s="26">
        <f t="shared" si="21"/>
        <v>1.5068294933809407</v>
      </c>
      <c r="E10" s="27">
        <f>IF('Scénario référence'!$N$1=1,B10*44/12,(C10+D10)*0.475*44/12)</f>
        <v>9.2810447009718064</v>
      </c>
      <c r="F10" s="28" t="e">
        <f>VLOOKUP(A10,'Données projet'!$A$35:$I$55,2,0)</f>
        <v>#N/A</v>
      </c>
      <c r="G10" s="28" t="e">
        <f>VLOOKUP(A10,'Données projet'!$A$35:$I$55,9,0)</f>
        <v>#N/A</v>
      </c>
      <c r="H10" s="33">
        <f t="array" ref="H10">INDEX(G:G,MIN(IF(ISNUMBER(G10:G206),ROW(G10:G206),"")))</f>
        <v>2.1</v>
      </c>
      <c r="I10" s="28">
        <f t="shared" si="22"/>
        <v>14.7</v>
      </c>
      <c r="J10" s="41">
        <f>I10*VLOOKUP('Données projet'!$B$9,Paramètres!$A$1:$I$88,3,0)*VLOOKUP('Données projet'!$B$9,Paramètres!$A$1:$I$88,5,0)</f>
        <v>14.905799999999999</v>
      </c>
      <c r="K10" s="41">
        <f t="shared" si="23"/>
        <v>5.0156681984858187</v>
      </c>
      <c r="L10" s="42">
        <f t="shared" si="0"/>
        <v>34.696557112362797</v>
      </c>
      <c r="M10" s="30">
        <f>IF(ISNA(VLOOKUP(A10,'Données projet'!$A$35:$I$55,3,0)),0,VLOOKUP(A10,'Données projet'!$A$35:$I$55,3,0))</f>
        <v>0</v>
      </c>
      <c r="N10" s="30">
        <f>IF(ISNA(VLOOKUP(A10,'Données projet'!$A$35:$I$55,4,0)),0,VLOOKUP(A10,'Données projet'!$A$35:$I$55,4,0))</f>
        <v>0</v>
      </c>
      <c r="O10" s="31">
        <f>IF(ISNA(VLOOKUP(A10,'Données projet'!$A$35:$I$55,5,0)),0%,VLOOKUP(A10,'Données projet'!$A$35:$I$55,5,0)*VLOOKUP('Données projet'!$B$9,Paramètres!$A$1:$I$88,7,0))</f>
        <v>0</v>
      </c>
      <c r="P10" s="31">
        <f>IF(ISNA(VLOOKUP(A10,'Données projet'!$A$35:$I$55,6,0)),0%,VLOOKUP(A10,'Données projet'!$A$35:$I$55,6,0)*VLOOKUP('Données projet'!$B$9,Paramètres!$A$1:$I$88,7,0))</f>
        <v>0</v>
      </c>
      <c r="Q10" s="31">
        <f>IF(ISNA(VLOOKUP(A10,'Données projet'!$A$35:$I$55,7,0)),0%,VLOOKUP(A10,'Données projet'!$A$35:$I$55,7,0))</f>
        <v>0</v>
      </c>
      <c r="R10" s="43">
        <f>EXP(-LN(2)/35)*R9+(1-EXP(-LN(2)/35))/(LN(2)/35)*N10*O10*VLOOKUP('Données projet'!$B$9,Paramètres!$A$1:$I$88,3,0)*0.475*44/12</f>
        <v>0</v>
      </c>
      <c r="S10" s="43">
        <f>EXP(-LN(2)/25)*S9+(1-EXP(-LN(2)/25))/(LN(2)/25)*Calculateur!N10*Calculateur!P10*VLOOKUP('Données projet'!$B$9,Paramètres!$A$1:$I$88,3,0)*0.475*44/12</f>
        <v>0</v>
      </c>
      <c r="T10" s="43">
        <f>EXP(-LN(2)/2)*T9+(1-EXP(-LN(2)/2))/(LN(2)/2)*N10*Q10*VLOOKUP('Données projet'!$B$9,Paramètres!$A$1:$I$88,3,0)*0.475*44/12</f>
        <v>0</v>
      </c>
      <c r="U10" s="43">
        <f t="shared" si="1"/>
        <v>0</v>
      </c>
      <c r="V10" s="32" t="e">
        <f>VLOOKUP(A10,'Données projet'!$A$61:$I$81,2,0)</f>
        <v>#N/A</v>
      </c>
      <c r="W10" s="33" t="e">
        <f>VLOOKUP(A10,'Données projet'!$A$61:$I$81,9,0)</f>
        <v>#N/A</v>
      </c>
      <c r="X10" s="33">
        <f t="array" ref="X10">INDEX(W:W,MIN(IF(ISNUMBER(W10:W206),ROW(W10:W206),"")))</f>
        <v>0</v>
      </c>
      <c r="Y10" s="33">
        <f t="shared" si="24"/>
        <v>0</v>
      </c>
      <c r="Z10" s="34" t="e">
        <f>Y10*VLOOKUP('Données projet'!$B$10,Paramètres!$A$1:$I$88,3,0)*VLOOKUP('Données projet'!$B$10,Paramètres!$A$1:$I$88,5,0)</f>
        <v>#N/A</v>
      </c>
      <c r="AA10" s="34" t="e">
        <f t="shared" si="25"/>
        <v>#N/A</v>
      </c>
      <c r="AB10" s="44" t="e">
        <f t="shared" si="2"/>
        <v>#N/A</v>
      </c>
      <c r="AC10" s="36">
        <f>IF(ISNA(VLOOKUP(A10,'Données projet'!$A$61:$I$81,3,0)),0,VLOOKUP(A10,'Données projet'!$A$61:$I$81,3,0))</f>
        <v>0</v>
      </c>
      <c r="AD10" s="36">
        <f>IF(ISNA(VLOOKUP(A10,'Données projet'!$A$61:$I$81,4,0)),0,VLOOKUP(A10,'Données projet'!$A$61:$I$81,4,0))</f>
        <v>0</v>
      </c>
      <c r="AE10" s="37">
        <f>IF(ISNA(VLOOKUP(A10,'Données projet'!$A$61:$I$81,5,0)),0%,VLOOKUP(A10,'Données projet'!$A$61:$I$81,5,0)*VLOOKUP('Données projet'!$B$10,Paramètres!$A$1:$I$88,7,0))</f>
        <v>0</v>
      </c>
      <c r="AF10" s="37">
        <f>IF(ISNA(VLOOKUP(A10,'Données projet'!$A$61:$I$81,6,0)),0%,VLOOKUP(A10,'Données projet'!$A$61:$I$81,6,0)*VLOOKUP('Données projet'!$B$10,Paramètres!$A$1:$I$88,7,0))</f>
        <v>0</v>
      </c>
      <c r="AG10" s="37">
        <f>IF(ISNA(VLOOKUP(A10,'Données projet'!$A$61:$I$81,7,0)),0%,VLOOKUP(A10,'Données projet'!$A$61:$I$81,7,0))</f>
        <v>0</v>
      </c>
      <c r="AH10" s="45">
        <f>EXP(-LN(2)/35)*AH9+(1-EXP(-LN(2)/35))/(LN(2)/35)*AD10*AE10*VLOOKUP('Données projet'!$B$9,Paramètres!$A$1:$I$88,3,0)*0.475*44/12</f>
        <v>0</v>
      </c>
      <c r="AI10" s="45">
        <f>EXP(-LN(2)/25)*AI9+(1-EXP(-LN(2)/25))/(LN(2)/25)*Calculateur!AD10*Calculateur!AF10*VLOOKUP('Données projet'!$B$9,Paramètres!$A$1:$I$88,3,0)*0.475*44/12</f>
        <v>0</v>
      </c>
      <c r="AJ10" s="45">
        <f>EXP(-LN(2)/2)*AJ9+(1-EXP(-LN(2)/2))/(LN(2)/2)*AD10*AG10*VLOOKUP('Données projet'!$B$9,Paramètres!$A$1:$I$88,3,0)*0.475*44/12</f>
        <v>0</v>
      </c>
      <c r="AK10" s="45">
        <f t="shared" si="3"/>
        <v>0</v>
      </c>
      <c r="AL10" s="32" t="e">
        <f>VLOOKUP(A10,'Données projet'!$A$87:$I$107,2,0)</f>
        <v>#N/A</v>
      </c>
      <c r="AM10" s="33" t="e">
        <f>VLOOKUP(A10,'Données projet'!$A$87:$I$107,9,0)</f>
        <v>#N/A</v>
      </c>
      <c r="AN10" s="33">
        <f t="array" ref="AN10">INDEX(AM:AM,MIN(IF(ISNUMBER(AM10:AM206),ROW(AM10:AM206),"")))</f>
        <v>0</v>
      </c>
      <c r="AO10" s="33">
        <f t="shared" si="26"/>
        <v>0</v>
      </c>
      <c r="AP10" s="34" t="e">
        <f>AO10*VLOOKUP('Données projet'!$B$11,Paramètres!$A$1:$I$88,3,0)*VLOOKUP('Données projet'!$B$11,Paramètres!$A$1:$I$88,5,0)</f>
        <v>#N/A</v>
      </c>
      <c r="AQ10" s="34" t="e">
        <f t="shared" si="27"/>
        <v>#N/A</v>
      </c>
      <c r="AR10" s="44" t="e">
        <f t="shared" si="4"/>
        <v>#N/A</v>
      </c>
      <c r="AS10" s="36">
        <f>IF(ISNA(VLOOKUP(A10,'Données projet'!$A$87:$I$107,3,0)),0,VLOOKUP(A10,'Données projet'!$A$87:$I$107,3,0))</f>
        <v>0</v>
      </c>
      <c r="AT10" s="36">
        <f>IF(ISNA(VLOOKUP(A10,'Données projet'!$A$87:$I$107,4,0)),0,VLOOKUP(A10,'Données projet'!$A$87:$I$107,4,0))</f>
        <v>0</v>
      </c>
      <c r="AU10" s="37">
        <f>IF(ISNA(VLOOKUP(A10,'Données projet'!$A$87:$I$107,5,0)),0%,VLOOKUP(A10,'Données projet'!$A$87:$I$107,5,0)*VLOOKUP('Données projet'!$B$11,Paramètres!$A$1:$I$88,7,0))</f>
        <v>0</v>
      </c>
      <c r="AV10" s="37">
        <f>IF(ISNA(VLOOKUP(A10,'Données projet'!$A$87:$I$107,6,0)),0%,VLOOKUP(A10,'Données projet'!$A$87:$I$107,6,0)*VLOOKUP('Données projet'!$B$11,Paramètres!$A$1:$I$88,7,0))</f>
        <v>0</v>
      </c>
      <c r="AW10" s="37">
        <f>IF(ISNA(VLOOKUP(A10,'Données projet'!$A$87:$I$107,7,0)),0%,VLOOKUP(A10,'Données projet'!$A$87:$I$107,7,0))</f>
        <v>0</v>
      </c>
      <c r="AX10" s="45">
        <f>EXP(-LN(2)/35)*AX9+(1-EXP(-LN(2)/35))/(LN(2)/35)*AT10*AU10*VLOOKUP('Données projet'!$B$9,Paramètres!$A$1:$I$88,3,0)*0.475*44/12</f>
        <v>0</v>
      </c>
      <c r="AY10" s="45">
        <f>EXP(-LN(2)/25)*AY9+(1-EXP(-LN(2)/25))/(LN(2)/25)*Calculateur!AT10*Calculateur!AV10*VLOOKUP('Données projet'!$B$9,Paramètres!$A$1:$I$88,3,0)*0.475*44/12</f>
        <v>0</v>
      </c>
      <c r="AZ10" s="45">
        <f>EXP(-LN(2)/2)*AZ9+(1-EXP(-LN(2)/2))/(LN(2)/2)*AT10*AW10*VLOOKUP('Données projet'!$B$9,Paramètres!$A$1:$I$88,3,0)*0.475*44/12</f>
        <v>0</v>
      </c>
      <c r="BA10" s="46">
        <f t="shared" si="5"/>
        <v>0</v>
      </c>
      <c r="BB10" s="32" t="e">
        <f>VLOOKUP(A10,'Données projet'!$A$113:$I$133,2,0)</f>
        <v>#N/A</v>
      </c>
      <c r="BC10" s="33" t="e">
        <f>VLOOKUP(A10,'Données projet'!$A$113:$I$133,9,0)</f>
        <v>#N/A</v>
      </c>
      <c r="BD10" s="33">
        <f t="array" ref="BD10">INDEX(BC:BC,MIN(IF(ISNUMBER(BC10:BC206),ROW(BC10:BC206),"")))</f>
        <v>0</v>
      </c>
      <c r="BE10" s="33">
        <f t="shared" si="28"/>
        <v>0</v>
      </c>
      <c r="BF10" s="34" t="e">
        <f>BE10*VLOOKUP('Données projet'!$B$12,Paramètres!$A$1:$I$88,3,0)*VLOOKUP('Données projet'!$B$12,Paramètres!$A$1:$I$88,5,0)</f>
        <v>#N/A</v>
      </c>
      <c r="BG10" s="34" t="e">
        <f t="shared" si="29"/>
        <v>#N/A</v>
      </c>
      <c r="BH10" s="44" t="e">
        <f t="shared" si="6"/>
        <v>#N/A</v>
      </c>
      <c r="BI10" s="36">
        <f>IF(ISNA(VLOOKUP(A10,'Données projet'!$A$113:$I$133,3,0)),0,VLOOKUP(A10,'Données projet'!$A$113:$I$133,3,0))</f>
        <v>0</v>
      </c>
      <c r="BJ10" s="36">
        <f>IF(ISNA(VLOOKUP(A10,'Données projet'!$A$113:$I$133,4,0)),0,VLOOKUP(A10,'Données projet'!$A$113:$I$133,4,0))</f>
        <v>0</v>
      </c>
      <c r="BK10" s="37">
        <f>IF(ISNA(VLOOKUP(A10,'Données projet'!$A$113:$I$133,5,0)),0%,VLOOKUP(A10,'Données projet'!$A$113:$I$133,5,0)*VLOOKUP('Données projet'!$B$12,Paramètres!$A$1:$I$88,7,0))</f>
        <v>0</v>
      </c>
      <c r="BL10" s="37">
        <f>IF(ISNA(VLOOKUP(A10,'Données projet'!$A$113:$I$133,6,0)),0%,VLOOKUP(A10,'Données projet'!$A$113:$I$133,6,0)*VLOOKUP('Données projet'!$B$12,Paramètres!$A$1:$I$88,7,0))</f>
        <v>0</v>
      </c>
      <c r="BM10" s="37">
        <f>IF(ISNA(VLOOKUP(A10,'Données projet'!$A$113:$I$133,7,0)),0%,VLOOKUP(A10,'Données projet'!$A$113:$I$133,7,0))</f>
        <v>0</v>
      </c>
      <c r="BN10" s="45">
        <f>EXP(-LN(2)/35)*BN9+(1-EXP(-LN(2)/35))/(LN(2)/35)*BJ10*BK10*VLOOKUP('Données projet'!$B$9,Paramètres!$A$1:$I$88,3,0)*0.475*44/12</f>
        <v>0</v>
      </c>
      <c r="BO10" s="45">
        <f>EXP(-LN(2)/25)*BO9+(1-EXP(-LN(2)/25))/(LN(2)/25)*Calculateur!BJ10*Calculateur!BL10*VLOOKUP('Données projet'!$B$9,Paramètres!$A$1:$I$88,3,0)*0.475*44/12</f>
        <v>0</v>
      </c>
      <c r="BP10" s="45">
        <f>EXP(-LN(2)/2)*BP9+(1-EXP(-LN(2)/2))/(LN(2)/2)*BJ10*BM10*VLOOKUP('Données projet'!$B$9,Paramètres!$A$1:$I$88,3,0)*0.475*44/12</f>
        <v>0</v>
      </c>
      <c r="BQ10" s="46">
        <f t="shared" si="7"/>
        <v>0</v>
      </c>
      <c r="BR10" s="32" t="e">
        <f>VLOOKUP(A10,'Données projet'!$A$139:$I$159,2,0)</f>
        <v>#N/A</v>
      </c>
      <c r="BS10" s="33" t="e">
        <f>VLOOKUP(A10,'Données projet'!$A$139:$I$159,9,0)</f>
        <v>#N/A</v>
      </c>
      <c r="BT10" s="33">
        <f t="array" ref="BT10">INDEX(BS:BS,MIN(IF(ISNUMBER(BS10:BS206),ROW(BS10:BS206),"")))</f>
        <v>0</v>
      </c>
      <c r="BU10" s="33">
        <f t="shared" si="41"/>
        <v>0</v>
      </c>
      <c r="BV10" s="38" t="e">
        <f>BU10*VLOOKUP('Données projet'!$B$13,Paramètres!$A$1:$I$88,3,0)*VLOOKUP('Données projet'!$B$13,Paramètres!$A$1:$I$88,5,0)</f>
        <v>#N/A</v>
      </c>
      <c r="BW10" s="34" t="e">
        <f t="shared" si="30"/>
        <v>#N/A</v>
      </c>
      <c r="BX10" s="44" t="e">
        <f t="shared" si="8"/>
        <v>#N/A</v>
      </c>
      <c r="BY10" s="36">
        <f>IF(ISNA(VLOOKUP(A10,'Données projet'!$A$139:$I$159,3,0)),0,VLOOKUP(A10,'Données projet'!$A$139:$I$159,3,0))</f>
        <v>0</v>
      </c>
      <c r="BZ10" s="36">
        <f>IF(ISNA(VLOOKUP(A10,'Données projet'!$A$139:$I$159,4,0)),0,VLOOKUP(A10,'Données projet'!$A$139:$I$159,4,0))</f>
        <v>0</v>
      </c>
      <c r="CA10" s="37">
        <f>IF(ISNA(VLOOKUP(A10,'Données projet'!$A$139:$I$159,5,0)),0%,VLOOKUP(A10,'Données projet'!$A$139:$I$159,5,0)*VLOOKUP('Données projet'!$B$13,Paramètres!$A$1:$I$88,7,0))</f>
        <v>0</v>
      </c>
      <c r="CB10" s="37">
        <f>IF(ISNA(VLOOKUP(A10,'Données projet'!$A$139:$I$159,6,0)),0%,VLOOKUP(A10,'Données projet'!$A$139:$I$159,6,0)*VLOOKUP('Données projet'!$B$13,Paramètres!$A$1:$I$88,7,0))</f>
        <v>0</v>
      </c>
      <c r="CC10" s="37">
        <f>IF(ISNA(VLOOKUP(A10,'Données projet'!$A$139:$I$159,7,0)),0%,VLOOKUP(A10,'Données projet'!$A$139:$I$159,7,0))</f>
        <v>0</v>
      </c>
      <c r="CD10" s="45">
        <f>EXP(-LN(2)/35)*CD9+(1-EXP(-LN(2)/35))/(LN(2)/35)*BZ10*CA10*VLOOKUP('Données projet'!$B$9,Paramètres!$A$1:$I$88,3,0)*0.475*44/12</f>
        <v>0</v>
      </c>
      <c r="CE10" s="45">
        <f>EXP(-LN(2)/25)*CE9+(1-EXP(-LN(2)/25))/(LN(2)/25)*Calculateur!BZ10*Calculateur!CB10*VLOOKUP('Données projet'!$B$9,Paramètres!$A$1:$I$88,3,0)*0.475*44/12</f>
        <v>0</v>
      </c>
      <c r="CF10" s="45">
        <f>EXP(-LN(2)/2)*CF9+(1-EXP(-LN(2)/2))/(LN(2)/2)*BZ10*CC10*VLOOKUP('Données projet'!$B$9,Paramètres!$A$1:$I$88,3,0)*0.475*44/12</f>
        <v>0</v>
      </c>
      <c r="CG10" s="46">
        <f t="shared" si="9"/>
        <v>0</v>
      </c>
      <c r="CH10" s="32" t="e">
        <f>VLOOKUP(A10,'Données projet'!$A$165:$I$185,2,0)</f>
        <v>#N/A</v>
      </c>
      <c r="CI10" s="33" t="e">
        <f>VLOOKUP(A10,'Données projet'!$A$165:$I$185,9,0)</f>
        <v>#N/A</v>
      </c>
      <c r="CJ10" s="33">
        <f t="array" ref="CJ10">INDEX(CI:CI,MIN(IF(ISNUMBER(CI10:CI206),ROW(CI10:CI206),"")))</f>
        <v>0</v>
      </c>
      <c r="CK10" s="33">
        <f t="shared" si="31"/>
        <v>0</v>
      </c>
      <c r="CL10" s="38" t="e">
        <f>CK10*VLOOKUP('Données projet'!$B$14,Paramètres!$A$1:$I$88,3,0)*VLOOKUP('Données projet'!$B$14,Paramètres!$A$1:$I$88,5,0)</f>
        <v>#N/A</v>
      </c>
      <c r="CM10" s="34" t="e">
        <f t="shared" si="32"/>
        <v>#N/A</v>
      </c>
      <c r="CN10" s="44" t="e">
        <f t="shared" si="10"/>
        <v>#N/A</v>
      </c>
      <c r="CO10" s="36">
        <f>IF(ISNA(VLOOKUP(A10,'Données projet'!$A$165:$I$185,3,0)),0,VLOOKUP(A10,'Données projet'!$A$165:$I$185,3,0))</f>
        <v>0</v>
      </c>
      <c r="CP10" s="36">
        <f>IF(ISNA(VLOOKUP(A10,'Données projet'!$A$165:$I$185,4,0)),0,VLOOKUP(A10,'Données projet'!$A$165:$I$185,4,0))</f>
        <v>0</v>
      </c>
      <c r="CQ10" s="37">
        <f>IF(ISNA(VLOOKUP(A10,'Données projet'!$A$165:$I$185,5,0)),0%,VLOOKUP(A10,'Données projet'!$A$165:$I$185,5,0)*VLOOKUP('Données projet'!$B$14,Paramètres!$A$1:$I$88,7,0))</f>
        <v>0</v>
      </c>
      <c r="CR10" s="37">
        <f>IF(ISNA(VLOOKUP(A10,'Données projet'!$A$165:$I$185,6,0)),0%,VLOOKUP(A10,'Données projet'!$A$165:$I$185,6,0)*VLOOKUP('Données projet'!$B$14,Paramètres!$A$1:$I$88,7,0))</f>
        <v>0</v>
      </c>
      <c r="CS10" s="37">
        <f>IF(ISNA(VLOOKUP(A10,'Données projet'!$A$165:$I$185,7,0)),0%,VLOOKUP(A10,'Données projet'!$A$165:$I$185,7,0))</f>
        <v>0</v>
      </c>
      <c r="CT10" s="45">
        <f>EXP(-LN(2)/35)*CT9+(1-EXP(-LN(2)/35))/(LN(2)/35)*CP10*CQ10*VLOOKUP('Données projet'!$B$9,Paramètres!$A$1:$I$88,3,0)*0.475*44/12</f>
        <v>0</v>
      </c>
      <c r="CU10" s="45">
        <f>EXP(-LN(2)/25)*CU9+(1-EXP(-LN(2)/25))/(LN(2)/25)*Calculateur!CP10*Calculateur!CR10*VLOOKUP('Données projet'!$B$9,Paramètres!$A$1:$I$88,3,0)*0.475*44/12</f>
        <v>0</v>
      </c>
      <c r="CV10" s="45">
        <f>EXP(-LN(2)/2)*CV9+(1-EXP(-LN(2)/2))/(LN(2)/2)*CP10*CS10*VLOOKUP('Données projet'!$B$9,Paramètres!$A$1:$I$88,3,0)*0.475*44/12</f>
        <v>0</v>
      </c>
      <c r="CW10" s="46">
        <f t="shared" si="11"/>
        <v>0</v>
      </c>
      <c r="CX10" s="32" t="e">
        <f>VLOOKUP(A10,'Données projet'!$A$191:$I$211,2,0)</f>
        <v>#N/A</v>
      </c>
      <c r="CY10" s="33" t="e">
        <f>VLOOKUP(A10,'Données projet'!$A$191:$I$211,9,0)</f>
        <v>#N/A</v>
      </c>
      <c r="CZ10" s="33">
        <f t="array" ref="CZ10">INDEX(CY:CY,MIN(IF(ISNUMBER(CY10:CY206),ROW(CY10:CY206),"")))</f>
        <v>0</v>
      </c>
      <c r="DA10" s="33">
        <f t="shared" si="33"/>
        <v>0</v>
      </c>
      <c r="DB10" s="38" t="e">
        <f>DA10*VLOOKUP('Données projet'!$B$15,Paramètres!$A$1:$I$88,3,0)*VLOOKUP('Données projet'!$B$15,Paramètres!$A$1:$I$88,5,0)</f>
        <v>#N/A</v>
      </c>
      <c r="DC10" s="34" t="e">
        <f t="shared" si="34"/>
        <v>#N/A</v>
      </c>
      <c r="DD10" s="44" t="e">
        <f t="shared" si="12"/>
        <v>#N/A</v>
      </c>
      <c r="DE10" s="36">
        <f>IF(ISNA(VLOOKUP(A10,'Données projet'!$A$191:$I$211,3,0)),0,VLOOKUP(A10,'Données projet'!$A$191:$I$211,3,0))</f>
        <v>0</v>
      </c>
      <c r="DF10" s="36">
        <f>IF(ISNA(VLOOKUP(A10,'Données projet'!$A$191:$I$211,4,0)),0,VLOOKUP(A10,'Données projet'!$A$191:$I$211,4,0))</f>
        <v>0</v>
      </c>
      <c r="DG10" s="37">
        <f>IF(ISNA(VLOOKUP(A10,'Données projet'!$A$191:$I$211,5,0)),0%,VLOOKUP(A10,'Données projet'!$A$191:$I$211,5,0)*VLOOKUP('Données projet'!$B$15,Paramètres!$A$1:$I$88,7,0))</f>
        <v>0</v>
      </c>
      <c r="DH10" s="37">
        <f>IF(ISNA(VLOOKUP(A10,'Données projet'!$A$191:$I$211,6,0)),0%,VLOOKUP(A10,'Données projet'!$A$191:$I$211,6,0)*VLOOKUP('Données projet'!$B$15,Paramètres!$A$1:$I$88,7,0))</f>
        <v>0</v>
      </c>
      <c r="DI10" s="37">
        <f>IF(ISNA(VLOOKUP(A10,'Données projet'!$A$191:$I$211,7,0)),0%,VLOOKUP(A10,'Données projet'!$A$191:$I$211,7,0))</f>
        <v>0</v>
      </c>
      <c r="DJ10" s="45">
        <f>EXP(-LN(2)/35)*DJ9+(1-EXP(-LN(2)/35))/(LN(2)/35)*DF10*DG10*VLOOKUP('Données projet'!$B$9,Paramètres!$A$1:$I$88,3,0)*0.475*44/12</f>
        <v>0</v>
      </c>
      <c r="DK10" s="45">
        <f>EXP(-LN(2)/25)*DK9+(1-EXP(-LN(2)/25))/(LN(2)/25)*Calculateur!DF10*Calculateur!DH10*VLOOKUP('Données projet'!$B$9,Paramètres!$A$1:$I$88,3,0)*0.475*44/12</f>
        <v>0</v>
      </c>
      <c r="DL10" s="45">
        <f>EXP(-LN(2)/2)*DL9+(1-EXP(-LN(2)/2))/(LN(2)/2)*DF10*DI10*VLOOKUP('Données projet'!$B$9,Paramètres!$A$1:$I$88,3,0)*0.475*44/12</f>
        <v>0</v>
      </c>
      <c r="DM10" s="46">
        <f t="shared" si="13"/>
        <v>0</v>
      </c>
      <c r="DN10" s="32" t="e">
        <f>VLOOKUP(A10,'Données projet'!$A$217:$I$237,2,0)</f>
        <v>#N/A</v>
      </c>
      <c r="DO10" s="33" t="e">
        <f>VLOOKUP(A10,'Données projet'!$A$217:$I$237,9,0)</f>
        <v>#N/A</v>
      </c>
      <c r="DP10" s="33">
        <f t="array" ref="DP10">INDEX(DO:DO,MIN(IF(ISNUMBER(DO10:DO206),ROW(DO10:DO206),"")))</f>
        <v>0</v>
      </c>
      <c r="DQ10" s="33">
        <f t="shared" si="35"/>
        <v>0</v>
      </c>
      <c r="DR10" s="38" t="e">
        <f>DQ10*VLOOKUP('Données projet'!$B$16,Paramètres!$A$1:$I$88,3,0)*VLOOKUP('Données projet'!$B$16,Paramètres!$A$1:$I$88,5,0)</f>
        <v>#N/A</v>
      </c>
      <c r="DS10" s="34" t="e">
        <f t="shared" si="36"/>
        <v>#N/A</v>
      </c>
      <c r="DT10" s="44" t="e">
        <f t="shared" si="14"/>
        <v>#N/A</v>
      </c>
      <c r="DU10" s="36">
        <f>IF(ISNA(VLOOKUP(A10,'Données projet'!$A$217:$I$237,3,0)),0,VLOOKUP(A10,'Données projet'!$A$217:$I$237,3,0))</f>
        <v>0</v>
      </c>
      <c r="DV10" s="36">
        <f>IF(ISNA(VLOOKUP(A10,'Données projet'!$A$217:$I$237,4,0)),0,VLOOKUP(A10,'Données projet'!$A$217:$I$237,4,0))</f>
        <v>0</v>
      </c>
      <c r="DW10" s="37">
        <f>IF(ISNA(VLOOKUP(A10,'Données projet'!$A$217:$I$237,5,0)),0%,VLOOKUP(A10,'Données projet'!$A$217:$I$237,5,0)*VLOOKUP('Données projet'!$B$16,Paramètres!$A$1:$I$88,7,0))</f>
        <v>0</v>
      </c>
      <c r="DX10" s="37">
        <f>IF(ISNA(VLOOKUP(A10,'Données projet'!$A$217:$I$237,6,0)),0%,VLOOKUP(A10,'Données projet'!$A$217:$I$237,6,0)*VLOOKUP('Données projet'!$B$16,Paramètres!$A$1:$I$88,7,0))</f>
        <v>0</v>
      </c>
      <c r="DY10" s="37">
        <f>IF(ISNA(VLOOKUP(A10,'Données projet'!$A$217:$I$237,7,0)),0%,VLOOKUP(A10,'Données projet'!$A$217:$I$237,7,0))</f>
        <v>0</v>
      </c>
      <c r="DZ10" s="45">
        <f>EXP(-LN(2)/35)*DZ9+(1-EXP(-LN(2)/35))/(LN(2)/35)*DV10*DW10*VLOOKUP('Données projet'!$B$9,Paramètres!$A$1:$I$88,3,0)*0.475*44/12</f>
        <v>0</v>
      </c>
      <c r="EA10" s="45">
        <f>EXP(-LN(2)/25)*EA9+(1-EXP(-LN(2)/25))/(LN(2)/25)*Calculateur!DV10*Calculateur!DX10*VLOOKUP('Données projet'!$B$9,Paramètres!$A$1:$I$88,3,0)*0.475*44/12</f>
        <v>0</v>
      </c>
      <c r="EB10" s="45">
        <f>EXP(-LN(2)/2)*EB9+(1-EXP(-LN(2)/2))/(LN(2)/2)*DV10*DY10*VLOOKUP('Données projet'!$B$9,Paramètres!$A$1:$I$88,3,0)*0.475*44/12</f>
        <v>0</v>
      </c>
      <c r="EC10" s="46">
        <f t="shared" si="15"/>
        <v>0</v>
      </c>
      <c r="ED10" s="32" t="e">
        <f>VLOOKUP(A10,'Données projet'!$A$243:$I$263,2,0)</f>
        <v>#N/A</v>
      </c>
      <c r="EE10" s="33" t="e">
        <f>VLOOKUP(A10,'Données projet'!$A$243:$I$263,9,0)</f>
        <v>#N/A</v>
      </c>
      <c r="EF10" s="33">
        <f t="array" ref="EF10">INDEX(EE:EE,MIN(IF(ISNUMBER(EE10:EE206),ROW(EE10:EE206),"")))</f>
        <v>0</v>
      </c>
      <c r="EG10" s="33">
        <f t="shared" si="37"/>
        <v>0</v>
      </c>
      <c r="EH10" s="38" t="e">
        <f>EG10*VLOOKUP('Données projet'!$B$17,Paramètres!$A$1:$I$88,3,0)*VLOOKUP('Données projet'!$B$17,Paramètres!$A$1:$I$88,5,0)</f>
        <v>#N/A</v>
      </c>
      <c r="EI10" s="34" t="e">
        <f t="shared" si="38"/>
        <v>#N/A</v>
      </c>
      <c r="EJ10" s="44" t="e">
        <f t="shared" si="16"/>
        <v>#N/A</v>
      </c>
      <c r="EK10" s="36">
        <f>IF(ISNA(VLOOKUP(A10,'Données projet'!$A$243:$I$263,3,0)),0,VLOOKUP(A10,'Données projet'!$A$243:$I$263,3,0))</f>
        <v>0</v>
      </c>
      <c r="EL10" s="36">
        <f>IF(ISNA(VLOOKUP(A10,'Données projet'!$A$243:$I$263,4,0)),0,VLOOKUP(A10,'Données projet'!$A$243:$I$263,4,0))</f>
        <v>0</v>
      </c>
      <c r="EM10" s="37">
        <f>IF(ISNA(VLOOKUP(A10,'Données projet'!$A$243:$I$263,5,0)),0%,VLOOKUP(A10,'Données projet'!$A$243:$I$263,5,0)*VLOOKUP('Données projet'!$B$17,Paramètres!$A$1:$I$88,7,0))</f>
        <v>0</v>
      </c>
      <c r="EN10" s="37">
        <f>IF(ISNA(VLOOKUP(A10,'Données projet'!$A$243:$I$263,6,0)),0%,VLOOKUP(A10,'Données projet'!$A$243:$I$263,6,0)*VLOOKUP('Données projet'!$B$17,Paramètres!$A$1:$I$88,7,0))</f>
        <v>0</v>
      </c>
      <c r="EO10" s="37">
        <f>IF(ISNA(VLOOKUP(A10,'Données projet'!$A$243:$I$263,7,0)),0%,VLOOKUP(A10,'Données projet'!$A$243:$I$263,7,0))</f>
        <v>0</v>
      </c>
      <c r="EP10" s="45">
        <f>EXP(-LN(2)/35)*EP9+(1-EXP(-LN(2)/35))/(LN(2)/35)*EL10*EM10*VLOOKUP('Données projet'!$B$9,Paramètres!$A$1:$I$88,3,0)*0.475*44/12</f>
        <v>0</v>
      </c>
      <c r="EQ10" s="45">
        <f>EXP(-LN(2)/25)*EQ9+(1-EXP(-LN(2)/25))/(LN(2)/25)*Calculateur!EL10*Calculateur!EN10*VLOOKUP('Données projet'!$B$9,Paramètres!$A$1:$I$88,3,0)*0.475*44/12</f>
        <v>0</v>
      </c>
      <c r="ER10" s="45">
        <f>EXP(-LN(2)/2)*ER9+(1-EXP(-LN(2)/2))/(LN(2)/2)*EL10*EO10*VLOOKUP('Données projet'!$B$9,Paramètres!$A$1:$I$88,3,0)*0.475*44/12</f>
        <v>0</v>
      </c>
      <c r="ES10" s="46">
        <f t="shared" si="17"/>
        <v>0</v>
      </c>
      <c r="ET10" s="32" t="e">
        <f>VLOOKUP(A10,'Données projet'!$A$269:$I$289,2,0)</f>
        <v>#N/A</v>
      </c>
      <c r="EU10" s="33" t="e">
        <f>VLOOKUP(A10,'Données projet'!$A$269:$I$289,9,0)</f>
        <v>#N/A</v>
      </c>
      <c r="EV10" s="33">
        <f t="array" ref="EV10">INDEX(EU:EU,MIN(IF(ISNUMBER(EU10:EU206),ROW(EU10:EU206),"")))</f>
        <v>0</v>
      </c>
      <c r="EW10" s="33">
        <f t="shared" si="39"/>
        <v>0</v>
      </c>
      <c r="EX10" s="38" t="e">
        <f>EW10*VLOOKUP('Données projet'!$B$18,Paramètres!$A$1:$I$88,3,0)*VLOOKUP('Données projet'!$B$18,Paramètres!$A$1:$I$88,5,0)</f>
        <v>#N/A</v>
      </c>
      <c r="EY10" s="34" t="e">
        <f t="shared" si="40"/>
        <v>#N/A</v>
      </c>
      <c r="EZ10" s="44" t="e">
        <f t="shared" si="18"/>
        <v>#N/A</v>
      </c>
      <c r="FA10" s="36">
        <f>IF(ISNA(VLOOKUP(A10,'Données projet'!$A$269:$I$289,3,0)),0,VLOOKUP(A10,'Données projet'!$A$269:$I$289,3,0))</f>
        <v>0</v>
      </c>
      <c r="FB10" s="36">
        <f>IF(ISNA(VLOOKUP(A10,'Données projet'!$A$269:$I$289,4,0)),0,VLOOKUP(A10,'Données projet'!$A$269:$I$289,4,0))</f>
        <v>0</v>
      </c>
      <c r="FC10" s="37">
        <f>IF(ISNA(VLOOKUP(A10,'Données projet'!$A$269:$I$289,5,0)),0%,VLOOKUP(A10,'Données projet'!$A$269:$I$289,5,0)*VLOOKUP('Données projet'!$B$18,Paramètres!$A$1:$I$88,7,0))</f>
        <v>0</v>
      </c>
      <c r="FD10" s="37">
        <f>IF(ISNA(VLOOKUP(A10,'Données projet'!$A$269:$I$289,6,0)),0%,VLOOKUP(A10,'Données projet'!$A$269:$I$289,6,0)*VLOOKUP('Données projet'!$B$18,Paramètres!$A$1:$I$88,7,0))</f>
        <v>0</v>
      </c>
      <c r="FE10" s="37">
        <f>IF(ISNA(VLOOKUP(A10,'Données projet'!$A$269:$I$289,7,0)),0%,VLOOKUP(A10,'Données projet'!$A$269:$I$289,7,0))</f>
        <v>0</v>
      </c>
      <c r="FF10" s="45">
        <f>EXP(-LN(2)/35)*FF9+(1-EXP(-LN(2)/35))/(LN(2)/35)*FB10*FC10*VLOOKUP('Données projet'!$B$9,Paramètres!$A$1:$I$88,3,0)*0.475*44/12</f>
        <v>0</v>
      </c>
      <c r="FG10" s="45">
        <f>EXP(-LN(2)/25)*FG9+(1-EXP(-LN(2)/25))/(LN(2)/25)*Calculateur!FB10*Calculateur!FD10*VLOOKUP('Données projet'!$B$9,Paramètres!$A$1:$I$88,3,0)*0.475*44/12</f>
        <v>0</v>
      </c>
      <c r="FH10" s="45">
        <f>EXP(-LN(2)/2)*FH9+(1-EXP(-LN(2)/2))/(LN(2)/2)*FB10*FE10*VLOOKUP('Données projet'!$B$9,Paramètres!$A$1:$I$88,3,0)*0.475*44/12</f>
        <v>0</v>
      </c>
      <c r="FI10" s="46">
        <f t="shared" si="19"/>
        <v>0</v>
      </c>
    </row>
    <row r="11" spans="1:165" x14ac:dyDescent="0.25">
      <c r="A11" s="24">
        <f t="shared" si="20"/>
        <v>8</v>
      </c>
      <c r="B11" s="25">
        <f>IF('Scénario référence'!$N$1=1,5,0)</f>
        <v>0</v>
      </c>
      <c r="C11" s="40">
        <f>IF(OR('Scénario référence'!$N$1=2,'Scénario référence'!$N$1=4),C10+1*VLOOKUP('Scénario référence'!$G$14,Paramètres!$A$1:$I$88,3,0)*VLOOKUP('Scénario référence'!$G$14,Paramètres!$A$1:$I$88,5,0),IF(OR('Scénario référence'!$N$1=3,'Scénario référence'!$N$1=5),C10+0.5*VLOOKUP('Scénario référence'!$G$14,Paramètres!$A$1:$I$88,3,0)*VLOOKUP('Scénario référence'!$G$14,Paramètres!$A$1:$I$88,5,0),0))</f>
        <v>4.3680000000000012</v>
      </c>
      <c r="D11" s="26">
        <f t="shared" si="21"/>
        <v>1.6955312417477209</v>
      </c>
      <c r="E11" s="27">
        <f>IF('Scénario référence'!$N$1=1,B11*44/12,(C11+D11)*0.475*44/12)</f>
        <v>10.560650246043949</v>
      </c>
      <c r="F11" s="28" t="e">
        <f>VLOOKUP(A11,'Données projet'!$A$35:$I$55,2,0)</f>
        <v>#N/A</v>
      </c>
      <c r="G11" s="28" t="e">
        <f>VLOOKUP(A11,'Données projet'!$A$35:$I$55,9,0)</f>
        <v>#N/A</v>
      </c>
      <c r="H11" s="33">
        <f t="array" ref="H11">INDEX(G:G,MIN(IF(ISNUMBER(G11:G207),ROW(G11:G207),"")))</f>
        <v>2.1</v>
      </c>
      <c r="I11" s="28">
        <f t="shared" si="22"/>
        <v>16.8</v>
      </c>
      <c r="J11" s="41">
        <f>I11*VLOOKUP('Données projet'!$B$9,Paramètres!$A$1:$I$88,3,0)*VLOOKUP('Données projet'!$B$9,Paramètres!$A$1:$I$88,5,0)</f>
        <v>17.035200000000003</v>
      </c>
      <c r="K11" s="41">
        <f t="shared" si="23"/>
        <v>5.6437852896626746</v>
      </c>
      <c r="L11" s="42">
        <f t="shared" si="0"/>
        <v>39.499232712829162</v>
      </c>
      <c r="M11" s="30">
        <f>IF(ISNA(VLOOKUP(A11,'Données projet'!$A$35:$I$55,3,0)),0,VLOOKUP(A11,'Données projet'!$A$35:$I$55,3,0))</f>
        <v>0</v>
      </c>
      <c r="N11" s="30">
        <f>IF(ISNA(VLOOKUP(A11,'Données projet'!$A$35:$I$55,4,0)),0,VLOOKUP(A11,'Données projet'!$A$35:$I$55,4,0))</f>
        <v>0</v>
      </c>
      <c r="O11" s="31">
        <f>IF(ISNA(VLOOKUP(A11,'Données projet'!$A$35:$I$55,5,0)),0%,VLOOKUP(A11,'Données projet'!$A$35:$I$55,5,0)*VLOOKUP('Données projet'!$B$9,Paramètres!$A$1:$I$88,7,0))</f>
        <v>0</v>
      </c>
      <c r="P11" s="31">
        <f>IF(ISNA(VLOOKUP(A11,'Données projet'!$A$35:$I$55,6,0)),0%,VLOOKUP(A11,'Données projet'!$A$35:$I$55,6,0)*VLOOKUP('Données projet'!$B$9,Paramètres!$A$1:$I$88,7,0))</f>
        <v>0</v>
      </c>
      <c r="Q11" s="31">
        <f>IF(ISNA(VLOOKUP(A11,'Données projet'!$A$35:$I$55,7,0)),0%,VLOOKUP(A11,'Données projet'!$A$35:$I$55,7,0))</f>
        <v>0</v>
      </c>
      <c r="R11" s="43">
        <f>EXP(-LN(2)/35)*R10+(1-EXP(-LN(2)/35))/(LN(2)/35)*N11*O11*VLOOKUP('Données projet'!$B$9,Paramètres!$A$1:$I$88,3,0)*0.475*44/12</f>
        <v>0</v>
      </c>
      <c r="S11" s="43">
        <f>EXP(-LN(2)/25)*S10+(1-EXP(-LN(2)/25))/(LN(2)/25)*Calculateur!N11*Calculateur!P11*VLOOKUP('Données projet'!$B$9,Paramètres!$A$1:$I$88,3,0)*0.475*44/12</f>
        <v>0</v>
      </c>
      <c r="T11" s="43">
        <f>EXP(-LN(2)/2)*T10+(1-EXP(-LN(2)/2))/(LN(2)/2)*N11*Q11*VLOOKUP('Données projet'!$B$9,Paramètres!$A$1:$I$88,3,0)*0.475*44/12</f>
        <v>0</v>
      </c>
      <c r="U11" s="43">
        <f t="shared" si="1"/>
        <v>0</v>
      </c>
      <c r="V11" s="32" t="e">
        <f>VLOOKUP(A11,'Données projet'!$A$61:$I$81,2,0)</f>
        <v>#N/A</v>
      </c>
      <c r="W11" s="33" t="e">
        <f>VLOOKUP(A11,'Données projet'!$A$61:$I$81,9,0)</f>
        <v>#N/A</v>
      </c>
      <c r="X11" s="33">
        <f t="array" ref="X11">INDEX(W:W,MIN(IF(ISNUMBER(W11:W207),ROW(W11:W207),"")))</f>
        <v>0</v>
      </c>
      <c r="Y11" s="33">
        <f t="shared" si="24"/>
        <v>0</v>
      </c>
      <c r="Z11" s="34" t="e">
        <f>Y11*VLOOKUP('Données projet'!$B$10,Paramètres!$A$1:$I$88,3,0)*VLOOKUP('Données projet'!$B$10,Paramètres!$A$1:$I$88,5,0)</f>
        <v>#N/A</v>
      </c>
      <c r="AA11" s="34" t="e">
        <f t="shared" si="25"/>
        <v>#N/A</v>
      </c>
      <c r="AB11" s="44" t="e">
        <f t="shared" si="2"/>
        <v>#N/A</v>
      </c>
      <c r="AC11" s="36">
        <f>IF(ISNA(VLOOKUP(A11,'Données projet'!$A$61:$I$81,3,0)),0,VLOOKUP(A11,'Données projet'!$A$61:$I$81,3,0))</f>
        <v>0</v>
      </c>
      <c r="AD11" s="36">
        <f>IF(ISNA(VLOOKUP(A11,'Données projet'!$A$61:$I$81,4,0)),0,VLOOKUP(A11,'Données projet'!$A$61:$I$81,4,0))</f>
        <v>0</v>
      </c>
      <c r="AE11" s="37">
        <f>IF(ISNA(VLOOKUP(A11,'Données projet'!$A$61:$I$81,5,0)),0%,VLOOKUP(A11,'Données projet'!$A$61:$I$81,5,0)*VLOOKUP('Données projet'!$B$10,Paramètres!$A$1:$I$88,7,0))</f>
        <v>0</v>
      </c>
      <c r="AF11" s="37">
        <f>IF(ISNA(VLOOKUP(A11,'Données projet'!$A$61:$I$81,6,0)),0%,VLOOKUP(A11,'Données projet'!$A$61:$I$81,6,0)*VLOOKUP('Données projet'!$B$10,Paramètres!$A$1:$I$88,7,0))</f>
        <v>0</v>
      </c>
      <c r="AG11" s="37">
        <f>IF(ISNA(VLOOKUP(A11,'Données projet'!$A$61:$I$81,7,0)),0%,VLOOKUP(A11,'Données projet'!$A$61:$I$81,7,0))</f>
        <v>0</v>
      </c>
      <c r="AH11" s="45">
        <f>EXP(-LN(2)/35)*AH10+(1-EXP(-LN(2)/35))/(LN(2)/35)*AD11*AE11*VLOOKUP('Données projet'!$B$9,Paramètres!$A$1:$I$88,3,0)*0.475*44/12</f>
        <v>0</v>
      </c>
      <c r="AI11" s="45">
        <f>EXP(-LN(2)/25)*AI10+(1-EXP(-LN(2)/25))/(LN(2)/25)*Calculateur!AD11*Calculateur!AF11*VLOOKUP('Données projet'!$B$9,Paramètres!$A$1:$I$88,3,0)*0.475*44/12</f>
        <v>0</v>
      </c>
      <c r="AJ11" s="45">
        <f>EXP(-LN(2)/2)*AJ10+(1-EXP(-LN(2)/2))/(LN(2)/2)*AD11*AG11*VLOOKUP('Données projet'!$B$9,Paramètres!$A$1:$I$88,3,0)*0.475*44/12</f>
        <v>0</v>
      </c>
      <c r="AK11" s="45">
        <f t="shared" si="3"/>
        <v>0</v>
      </c>
      <c r="AL11" s="32" t="e">
        <f>VLOOKUP(A11,'Données projet'!$A$87:$I$107,2,0)</f>
        <v>#N/A</v>
      </c>
      <c r="AM11" s="33" t="e">
        <f>VLOOKUP(A11,'Données projet'!$A$87:$I$107,9,0)</f>
        <v>#N/A</v>
      </c>
      <c r="AN11" s="33">
        <f t="array" ref="AN11">INDEX(AM:AM,MIN(IF(ISNUMBER(AM11:AM207),ROW(AM11:AM207),"")))</f>
        <v>0</v>
      </c>
      <c r="AO11" s="33">
        <f t="shared" si="26"/>
        <v>0</v>
      </c>
      <c r="AP11" s="34" t="e">
        <f>AO11*VLOOKUP('Données projet'!$B$11,Paramètres!$A$1:$I$88,3,0)*VLOOKUP('Données projet'!$B$11,Paramètres!$A$1:$I$88,5,0)</f>
        <v>#N/A</v>
      </c>
      <c r="AQ11" s="34" t="e">
        <f t="shared" si="27"/>
        <v>#N/A</v>
      </c>
      <c r="AR11" s="44" t="e">
        <f t="shared" si="4"/>
        <v>#N/A</v>
      </c>
      <c r="AS11" s="36">
        <f>IF(ISNA(VLOOKUP(A11,'Données projet'!$A$87:$I$107,3,0)),0,VLOOKUP(A11,'Données projet'!$A$87:$I$107,3,0))</f>
        <v>0</v>
      </c>
      <c r="AT11" s="36">
        <f>IF(ISNA(VLOOKUP(A11,'Données projet'!$A$87:$I$107,4,0)),0,VLOOKUP(A11,'Données projet'!$A$87:$I$107,4,0))</f>
        <v>0</v>
      </c>
      <c r="AU11" s="37">
        <f>IF(ISNA(VLOOKUP(A11,'Données projet'!$A$87:$I$107,5,0)),0%,VLOOKUP(A11,'Données projet'!$A$87:$I$107,5,0)*VLOOKUP('Données projet'!$B$11,Paramètres!$A$1:$I$88,7,0))</f>
        <v>0</v>
      </c>
      <c r="AV11" s="37">
        <f>IF(ISNA(VLOOKUP(A11,'Données projet'!$A$87:$I$107,6,0)),0%,VLOOKUP(A11,'Données projet'!$A$87:$I$107,6,0)*VLOOKUP('Données projet'!$B$11,Paramètres!$A$1:$I$88,7,0))</f>
        <v>0</v>
      </c>
      <c r="AW11" s="37">
        <f>IF(ISNA(VLOOKUP(A11,'Données projet'!$A$87:$I$107,7,0)),0%,VLOOKUP(A11,'Données projet'!$A$87:$I$107,7,0))</f>
        <v>0</v>
      </c>
      <c r="AX11" s="45">
        <f>EXP(-LN(2)/35)*AX10+(1-EXP(-LN(2)/35))/(LN(2)/35)*AT11*AU11*VLOOKUP('Données projet'!$B$9,Paramètres!$A$1:$I$88,3,0)*0.475*44/12</f>
        <v>0</v>
      </c>
      <c r="AY11" s="45">
        <f>EXP(-LN(2)/25)*AY10+(1-EXP(-LN(2)/25))/(LN(2)/25)*Calculateur!AT11*Calculateur!AV11*VLOOKUP('Données projet'!$B$9,Paramètres!$A$1:$I$88,3,0)*0.475*44/12</f>
        <v>0</v>
      </c>
      <c r="AZ11" s="45">
        <f>EXP(-LN(2)/2)*AZ10+(1-EXP(-LN(2)/2))/(LN(2)/2)*AT11*AW11*VLOOKUP('Données projet'!$B$9,Paramètres!$A$1:$I$88,3,0)*0.475*44/12</f>
        <v>0</v>
      </c>
      <c r="BA11" s="46">
        <f t="shared" si="5"/>
        <v>0</v>
      </c>
      <c r="BB11" s="32" t="e">
        <f>VLOOKUP(A11,'Données projet'!$A$113:$I$133,2,0)</f>
        <v>#N/A</v>
      </c>
      <c r="BC11" s="33" t="e">
        <f>VLOOKUP(A11,'Données projet'!$A$113:$I$133,9,0)</f>
        <v>#N/A</v>
      </c>
      <c r="BD11" s="33">
        <f t="array" ref="BD11">INDEX(BC:BC,MIN(IF(ISNUMBER(BC11:BC207),ROW(BC11:BC207),"")))</f>
        <v>0</v>
      </c>
      <c r="BE11" s="33">
        <f t="shared" si="28"/>
        <v>0</v>
      </c>
      <c r="BF11" s="34" t="e">
        <f>BE11*VLOOKUP('Données projet'!$B$12,Paramètres!$A$1:$I$88,3,0)*VLOOKUP('Données projet'!$B$12,Paramètres!$A$1:$I$88,5,0)</f>
        <v>#N/A</v>
      </c>
      <c r="BG11" s="34" t="e">
        <f t="shared" si="29"/>
        <v>#N/A</v>
      </c>
      <c r="BH11" s="44" t="e">
        <f t="shared" si="6"/>
        <v>#N/A</v>
      </c>
      <c r="BI11" s="36">
        <f>IF(ISNA(VLOOKUP(A11,'Données projet'!$A$113:$I$133,3,0)),0,VLOOKUP(A11,'Données projet'!$A$113:$I$133,3,0))</f>
        <v>0</v>
      </c>
      <c r="BJ11" s="36">
        <f>IF(ISNA(VLOOKUP(A11,'Données projet'!$A$113:$I$133,4,0)),0,VLOOKUP(A11,'Données projet'!$A$113:$I$133,4,0))</f>
        <v>0</v>
      </c>
      <c r="BK11" s="37">
        <f>IF(ISNA(VLOOKUP(A11,'Données projet'!$A$113:$I$133,5,0)),0%,VLOOKUP(A11,'Données projet'!$A$113:$I$133,5,0)*VLOOKUP('Données projet'!$B$12,Paramètres!$A$1:$I$88,7,0))</f>
        <v>0</v>
      </c>
      <c r="BL11" s="37">
        <f>IF(ISNA(VLOOKUP(A11,'Données projet'!$A$113:$I$133,6,0)),0%,VLOOKUP(A11,'Données projet'!$A$113:$I$133,6,0)*VLOOKUP('Données projet'!$B$12,Paramètres!$A$1:$I$88,7,0))</f>
        <v>0</v>
      </c>
      <c r="BM11" s="37">
        <f>IF(ISNA(VLOOKUP(A11,'Données projet'!$A$113:$I$133,7,0)),0%,VLOOKUP(A11,'Données projet'!$A$113:$I$133,7,0))</f>
        <v>0</v>
      </c>
      <c r="BN11" s="45">
        <f>EXP(-LN(2)/35)*BN10+(1-EXP(-LN(2)/35))/(LN(2)/35)*BJ11*BK11*VLOOKUP('Données projet'!$B$9,Paramètres!$A$1:$I$88,3,0)*0.475*44/12</f>
        <v>0</v>
      </c>
      <c r="BO11" s="45">
        <f>EXP(-LN(2)/25)*BO10+(1-EXP(-LN(2)/25))/(LN(2)/25)*Calculateur!BJ11*Calculateur!BL11*VLOOKUP('Données projet'!$B$9,Paramètres!$A$1:$I$88,3,0)*0.475*44/12</f>
        <v>0</v>
      </c>
      <c r="BP11" s="45">
        <f>EXP(-LN(2)/2)*BP10+(1-EXP(-LN(2)/2))/(LN(2)/2)*BJ11*BM11*VLOOKUP('Données projet'!$B$9,Paramètres!$A$1:$I$88,3,0)*0.475*44/12</f>
        <v>0</v>
      </c>
      <c r="BQ11" s="46">
        <f t="shared" si="7"/>
        <v>0</v>
      </c>
      <c r="BR11" s="32" t="e">
        <f>VLOOKUP(A11,'Données projet'!$A$139:$I$159,2,0)</f>
        <v>#N/A</v>
      </c>
      <c r="BS11" s="33" t="e">
        <f>VLOOKUP(A11,'Données projet'!$A$139:$I$159,9,0)</f>
        <v>#N/A</v>
      </c>
      <c r="BT11" s="33">
        <f t="array" ref="BT11">INDEX(BS:BS,MIN(IF(ISNUMBER(BS11:BS207),ROW(BS11:BS207),"")))</f>
        <v>0</v>
      </c>
      <c r="BU11" s="33">
        <f t="shared" si="41"/>
        <v>0</v>
      </c>
      <c r="BV11" s="38" t="e">
        <f>BU11*VLOOKUP('Données projet'!$B$13,Paramètres!$A$1:$I$88,3,0)*VLOOKUP('Données projet'!$B$13,Paramètres!$A$1:$I$88,5,0)</f>
        <v>#N/A</v>
      </c>
      <c r="BW11" s="34" t="e">
        <f t="shared" si="30"/>
        <v>#N/A</v>
      </c>
      <c r="BX11" s="44" t="e">
        <f t="shared" si="8"/>
        <v>#N/A</v>
      </c>
      <c r="BY11" s="36">
        <f>IF(ISNA(VLOOKUP(A11,'Données projet'!$A$139:$I$159,3,0)),0,VLOOKUP(A11,'Données projet'!$A$139:$I$159,3,0))</f>
        <v>0</v>
      </c>
      <c r="BZ11" s="36">
        <f>IF(ISNA(VLOOKUP(A11,'Données projet'!$A$139:$I$159,4,0)),0,VLOOKUP(A11,'Données projet'!$A$139:$I$159,4,0))</f>
        <v>0</v>
      </c>
      <c r="CA11" s="37">
        <f>IF(ISNA(VLOOKUP(A11,'Données projet'!$A$139:$I$159,5,0)),0%,VLOOKUP(A11,'Données projet'!$A$139:$I$159,5,0)*VLOOKUP('Données projet'!$B$13,Paramètres!$A$1:$I$88,7,0))</f>
        <v>0</v>
      </c>
      <c r="CB11" s="37">
        <f>IF(ISNA(VLOOKUP(A11,'Données projet'!$A$139:$I$159,6,0)),0%,VLOOKUP(A11,'Données projet'!$A$139:$I$159,6,0)*VLOOKUP('Données projet'!$B$13,Paramètres!$A$1:$I$88,7,0))</f>
        <v>0</v>
      </c>
      <c r="CC11" s="37">
        <f>IF(ISNA(VLOOKUP(A11,'Données projet'!$A$139:$I$159,7,0)),0%,VLOOKUP(A11,'Données projet'!$A$139:$I$159,7,0))</f>
        <v>0</v>
      </c>
      <c r="CD11" s="45">
        <f>EXP(-LN(2)/35)*CD10+(1-EXP(-LN(2)/35))/(LN(2)/35)*BZ11*CA11*VLOOKUP('Données projet'!$B$9,Paramètres!$A$1:$I$88,3,0)*0.475*44/12</f>
        <v>0</v>
      </c>
      <c r="CE11" s="45">
        <f>EXP(-LN(2)/25)*CE10+(1-EXP(-LN(2)/25))/(LN(2)/25)*Calculateur!BZ11*Calculateur!CB11*VLOOKUP('Données projet'!$B$9,Paramètres!$A$1:$I$88,3,0)*0.475*44/12</f>
        <v>0</v>
      </c>
      <c r="CF11" s="45">
        <f>EXP(-LN(2)/2)*CF10+(1-EXP(-LN(2)/2))/(LN(2)/2)*BZ11*CC11*VLOOKUP('Données projet'!$B$9,Paramètres!$A$1:$I$88,3,0)*0.475*44/12</f>
        <v>0</v>
      </c>
      <c r="CG11" s="46">
        <f t="shared" si="9"/>
        <v>0</v>
      </c>
      <c r="CH11" s="32" t="e">
        <f>VLOOKUP(A11,'Données projet'!$A$165:$I$185,2,0)</f>
        <v>#N/A</v>
      </c>
      <c r="CI11" s="33" t="e">
        <f>VLOOKUP(A11,'Données projet'!$A$165:$I$185,9,0)</f>
        <v>#N/A</v>
      </c>
      <c r="CJ11" s="33">
        <f t="array" ref="CJ11">INDEX(CI:CI,MIN(IF(ISNUMBER(CI11:CI207),ROW(CI11:CI207),"")))</f>
        <v>0</v>
      </c>
      <c r="CK11" s="33">
        <f t="shared" si="31"/>
        <v>0</v>
      </c>
      <c r="CL11" s="38" t="e">
        <f>CK11*VLOOKUP('Données projet'!$B$14,Paramètres!$A$1:$I$88,3,0)*VLOOKUP('Données projet'!$B$14,Paramètres!$A$1:$I$88,5,0)</f>
        <v>#N/A</v>
      </c>
      <c r="CM11" s="34" t="e">
        <f t="shared" si="32"/>
        <v>#N/A</v>
      </c>
      <c r="CN11" s="44" t="e">
        <f t="shared" si="10"/>
        <v>#N/A</v>
      </c>
      <c r="CO11" s="36">
        <f>IF(ISNA(VLOOKUP(A11,'Données projet'!$A$165:$I$185,3,0)),0,VLOOKUP(A11,'Données projet'!$A$165:$I$185,3,0))</f>
        <v>0</v>
      </c>
      <c r="CP11" s="36">
        <f>IF(ISNA(VLOOKUP(A11,'Données projet'!$A$165:$I$185,4,0)),0,VLOOKUP(A11,'Données projet'!$A$165:$I$185,4,0))</f>
        <v>0</v>
      </c>
      <c r="CQ11" s="37">
        <f>IF(ISNA(VLOOKUP(A11,'Données projet'!$A$165:$I$185,5,0)),0%,VLOOKUP(A11,'Données projet'!$A$165:$I$185,5,0)*VLOOKUP('Données projet'!$B$14,Paramètres!$A$1:$I$88,7,0))</f>
        <v>0</v>
      </c>
      <c r="CR11" s="37">
        <f>IF(ISNA(VLOOKUP(A11,'Données projet'!$A$165:$I$185,6,0)),0%,VLOOKUP(A11,'Données projet'!$A$165:$I$185,6,0)*VLOOKUP('Données projet'!$B$14,Paramètres!$A$1:$I$88,7,0))</f>
        <v>0</v>
      </c>
      <c r="CS11" s="37">
        <f>IF(ISNA(VLOOKUP(A11,'Données projet'!$A$165:$I$185,7,0)),0%,VLOOKUP(A11,'Données projet'!$A$165:$I$185,7,0))</f>
        <v>0</v>
      </c>
      <c r="CT11" s="45">
        <f>EXP(-LN(2)/35)*CT10+(1-EXP(-LN(2)/35))/(LN(2)/35)*CP11*CQ11*VLOOKUP('Données projet'!$B$9,Paramètres!$A$1:$I$88,3,0)*0.475*44/12</f>
        <v>0</v>
      </c>
      <c r="CU11" s="45">
        <f>EXP(-LN(2)/25)*CU10+(1-EXP(-LN(2)/25))/(LN(2)/25)*Calculateur!CP11*Calculateur!CR11*VLOOKUP('Données projet'!$B$9,Paramètres!$A$1:$I$88,3,0)*0.475*44/12</f>
        <v>0</v>
      </c>
      <c r="CV11" s="45">
        <f>EXP(-LN(2)/2)*CV10+(1-EXP(-LN(2)/2))/(LN(2)/2)*CP11*CS11*VLOOKUP('Données projet'!$B$9,Paramètres!$A$1:$I$88,3,0)*0.475*44/12</f>
        <v>0</v>
      </c>
      <c r="CW11" s="46">
        <f t="shared" si="11"/>
        <v>0</v>
      </c>
      <c r="CX11" s="32" t="e">
        <f>VLOOKUP(A11,'Données projet'!$A$191:$I$211,2,0)</f>
        <v>#N/A</v>
      </c>
      <c r="CY11" s="33" t="e">
        <f>VLOOKUP(A11,'Données projet'!$A$191:$I$211,9,0)</f>
        <v>#N/A</v>
      </c>
      <c r="CZ11" s="33">
        <f t="array" ref="CZ11">INDEX(CY:CY,MIN(IF(ISNUMBER(CY11:CY207),ROW(CY11:CY207),"")))</f>
        <v>0</v>
      </c>
      <c r="DA11" s="33">
        <f t="shared" si="33"/>
        <v>0</v>
      </c>
      <c r="DB11" s="38" t="e">
        <f>DA11*VLOOKUP('Données projet'!$B$15,Paramètres!$A$1:$I$88,3,0)*VLOOKUP('Données projet'!$B$15,Paramètres!$A$1:$I$88,5,0)</f>
        <v>#N/A</v>
      </c>
      <c r="DC11" s="34" t="e">
        <f t="shared" si="34"/>
        <v>#N/A</v>
      </c>
      <c r="DD11" s="44" t="e">
        <f t="shared" si="12"/>
        <v>#N/A</v>
      </c>
      <c r="DE11" s="36">
        <f>IF(ISNA(VLOOKUP(A11,'Données projet'!$A$191:$I$211,3,0)),0,VLOOKUP(A11,'Données projet'!$A$191:$I$211,3,0))</f>
        <v>0</v>
      </c>
      <c r="DF11" s="36">
        <f>IF(ISNA(VLOOKUP(A11,'Données projet'!$A$191:$I$211,4,0)),0,VLOOKUP(A11,'Données projet'!$A$191:$I$211,4,0))</f>
        <v>0</v>
      </c>
      <c r="DG11" s="37">
        <f>IF(ISNA(VLOOKUP(A11,'Données projet'!$A$191:$I$211,5,0)),0%,VLOOKUP(A11,'Données projet'!$A$191:$I$211,5,0)*VLOOKUP('Données projet'!$B$15,Paramètres!$A$1:$I$88,7,0))</f>
        <v>0</v>
      </c>
      <c r="DH11" s="37">
        <f>IF(ISNA(VLOOKUP(A11,'Données projet'!$A$191:$I$211,6,0)),0%,VLOOKUP(A11,'Données projet'!$A$191:$I$211,6,0)*VLOOKUP('Données projet'!$B$15,Paramètres!$A$1:$I$88,7,0))</f>
        <v>0</v>
      </c>
      <c r="DI11" s="37">
        <f>IF(ISNA(VLOOKUP(A11,'Données projet'!$A$191:$I$211,7,0)),0%,VLOOKUP(A11,'Données projet'!$A$191:$I$211,7,0))</f>
        <v>0</v>
      </c>
      <c r="DJ11" s="45">
        <f>EXP(-LN(2)/35)*DJ10+(1-EXP(-LN(2)/35))/(LN(2)/35)*DF11*DG11*VLOOKUP('Données projet'!$B$9,Paramètres!$A$1:$I$88,3,0)*0.475*44/12</f>
        <v>0</v>
      </c>
      <c r="DK11" s="45">
        <f>EXP(-LN(2)/25)*DK10+(1-EXP(-LN(2)/25))/(LN(2)/25)*Calculateur!DF11*Calculateur!DH11*VLOOKUP('Données projet'!$B$9,Paramètres!$A$1:$I$88,3,0)*0.475*44/12</f>
        <v>0</v>
      </c>
      <c r="DL11" s="45">
        <f>EXP(-LN(2)/2)*DL10+(1-EXP(-LN(2)/2))/(LN(2)/2)*DF11*DI11*VLOOKUP('Données projet'!$B$9,Paramètres!$A$1:$I$88,3,0)*0.475*44/12</f>
        <v>0</v>
      </c>
      <c r="DM11" s="46">
        <f t="shared" si="13"/>
        <v>0</v>
      </c>
      <c r="DN11" s="32" t="e">
        <f>VLOOKUP(A11,'Données projet'!$A$217:$I$237,2,0)</f>
        <v>#N/A</v>
      </c>
      <c r="DO11" s="33" t="e">
        <f>VLOOKUP(A11,'Données projet'!$A$217:$I$237,9,0)</f>
        <v>#N/A</v>
      </c>
      <c r="DP11" s="33">
        <f t="array" ref="DP11">INDEX(DO:DO,MIN(IF(ISNUMBER(DO11:DO207),ROW(DO11:DO207),"")))</f>
        <v>0</v>
      </c>
      <c r="DQ11" s="33">
        <f t="shared" si="35"/>
        <v>0</v>
      </c>
      <c r="DR11" s="38" t="e">
        <f>DQ11*VLOOKUP('Données projet'!$B$16,Paramètres!$A$1:$I$88,3,0)*VLOOKUP('Données projet'!$B$16,Paramètres!$A$1:$I$88,5,0)</f>
        <v>#N/A</v>
      </c>
      <c r="DS11" s="34" t="e">
        <f t="shared" si="36"/>
        <v>#N/A</v>
      </c>
      <c r="DT11" s="44" t="e">
        <f t="shared" si="14"/>
        <v>#N/A</v>
      </c>
      <c r="DU11" s="36">
        <f>IF(ISNA(VLOOKUP(A11,'Données projet'!$A$217:$I$237,3,0)),0,VLOOKUP(A11,'Données projet'!$A$217:$I$237,3,0))</f>
        <v>0</v>
      </c>
      <c r="DV11" s="36">
        <f>IF(ISNA(VLOOKUP(A11,'Données projet'!$A$217:$I$237,4,0)),0,VLOOKUP(A11,'Données projet'!$A$217:$I$237,4,0))</f>
        <v>0</v>
      </c>
      <c r="DW11" s="37">
        <f>IF(ISNA(VLOOKUP(A11,'Données projet'!$A$217:$I$237,5,0)),0%,VLOOKUP(A11,'Données projet'!$A$217:$I$237,5,0)*VLOOKUP('Données projet'!$B$16,Paramètres!$A$1:$I$88,7,0))</f>
        <v>0</v>
      </c>
      <c r="DX11" s="37">
        <f>IF(ISNA(VLOOKUP(A11,'Données projet'!$A$217:$I$237,6,0)),0%,VLOOKUP(A11,'Données projet'!$A$217:$I$237,6,0)*VLOOKUP('Données projet'!$B$16,Paramètres!$A$1:$I$88,7,0))</f>
        <v>0</v>
      </c>
      <c r="DY11" s="37">
        <f>IF(ISNA(VLOOKUP(A11,'Données projet'!$A$217:$I$237,7,0)),0%,VLOOKUP(A11,'Données projet'!$A$217:$I$237,7,0))</f>
        <v>0</v>
      </c>
      <c r="DZ11" s="45">
        <f>EXP(-LN(2)/35)*DZ10+(1-EXP(-LN(2)/35))/(LN(2)/35)*DV11*DW11*VLOOKUP('Données projet'!$B$9,Paramètres!$A$1:$I$88,3,0)*0.475*44/12</f>
        <v>0</v>
      </c>
      <c r="EA11" s="45">
        <f>EXP(-LN(2)/25)*EA10+(1-EXP(-LN(2)/25))/(LN(2)/25)*Calculateur!DV11*Calculateur!DX11*VLOOKUP('Données projet'!$B$9,Paramètres!$A$1:$I$88,3,0)*0.475*44/12</f>
        <v>0</v>
      </c>
      <c r="EB11" s="45">
        <f>EXP(-LN(2)/2)*EB10+(1-EXP(-LN(2)/2))/(LN(2)/2)*DV11*DY11*VLOOKUP('Données projet'!$B$9,Paramètres!$A$1:$I$88,3,0)*0.475*44/12</f>
        <v>0</v>
      </c>
      <c r="EC11" s="46">
        <f t="shared" si="15"/>
        <v>0</v>
      </c>
      <c r="ED11" s="32" t="e">
        <f>VLOOKUP(A11,'Données projet'!$A$243:$I$263,2,0)</f>
        <v>#N/A</v>
      </c>
      <c r="EE11" s="33" t="e">
        <f>VLOOKUP(A11,'Données projet'!$A$243:$I$263,9,0)</f>
        <v>#N/A</v>
      </c>
      <c r="EF11" s="33">
        <f t="array" ref="EF11">INDEX(EE:EE,MIN(IF(ISNUMBER(EE11:EE207),ROW(EE11:EE207),"")))</f>
        <v>0</v>
      </c>
      <c r="EG11" s="33">
        <f t="shared" si="37"/>
        <v>0</v>
      </c>
      <c r="EH11" s="38" t="e">
        <f>EG11*VLOOKUP('Données projet'!$B$17,Paramètres!$A$1:$I$88,3,0)*VLOOKUP('Données projet'!$B$17,Paramètres!$A$1:$I$88,5,0)</f>
        <v>#N/A</v>
      </c>
      <c r="EI11" s="34" t="e">
        <f t="shared" si="38"/>
        <v>#N/A</v>
      </c>
      <c r="EJ11" s="44" t="e">
        <f t="shared" si="16"/>
        <v>#N/A</v>
      </c>
      <c r="EK11" s="36">
        <f>IF(ISNA(VLOOKUP(A11,'Données projet'!$A$243:$I$263,3,0)),0,VLOOKUP(A11,'Données projet'!$A$243:$I$263,3,0))</f>
        <v>0</v>
      </c>
      <c r="EL11" s="36">
        <f>IF(ISNA(VLOOKUP(A11,'Données projet'!$A$243:$I$263,4,0)),0,VLOOKUP(A11,'Données projet'!$A$243:$I$263,4,0))</f>
        <v>0</v>
      </c>
      <c r="EM11" s="37">
        <f>IF(ISNA(VLOOKUP(A11,'Données projet'!$A$243:$I$263,5,0)),0%,VLOOKUP(A11,'Données projet'!$A$243:$I$263,5,0)*VLOOKUP('Données projet'!$B$17,Paramètres!$A$1:$I$88,7,0))</f>
        <v>0</v>
      </c>
      <c r="EN11" s="37">
        <f>IF(ISNA(VLOOKUP(A11,'Données projet'!$A$243:$I$263,6,0)),0%,VLOOKUP(A11,'Données projet'!$A$243:$I$263,6,0)*VLOOKUP('Données projet'!$B$17,Paramètres!$A$1:$I$88,7,0))</f>
        <v>0</v>
      </c>
      <c r="EO11" s="37">
        <f>IF(ISNA(VLOOKUP(A11,'Données projet'!$A$243:$I$263,7,0)),0%,VLOOKUP(A11,'Données projet'!$A$243:$I$263,7,0))</f>
        <v>0</v>
      </c>
      <c r="EP11" s="45">
        <f>EXP(-LN(2)/35)*EP10+(1-EXP(-LN(2)/35))/(LN(2)/35)*EL11*EM11*VLOOKUP('Données projet'!$B$9,Paramètres!$A$1:$I$88,3,0)*0.475*44/12</f>
        <v>0</v>
      </c>
      <c r="EQ11" s="45">
        <f>EXP(-LN(2)/25)*EQ10+(1-EXP(-LN(2)/25))/(LN(2)/25)*Calculateur!EL11*Calculateur!EN11*VLOOKUP('Données projet'!$B$9,Paramètres!$A$1:$I$88,3,0)*0.475*44/12</f>
        <v>0</v>
      </c>
      <c r="ER11" s="45">
        <f>EXP(-LN(2)/2)*ER10+(1-EXP(-LN(2)/2))/(LN(2)/2)*EL11*EO11*VLOOKUP('Données projet'!$B$9,Paramètres!$A$1:$I$88,3,0)*0.475*44/12</f>
        <v>0</v>
      </c>
      <c r="ES11" s="46">
        <f t="shared" si="17"/>
        <v>0</v>
      </c>
      <c r="ET11" s="32" t="e">
        <f>VLOOKUP(A11,'Données projet'!$A$269:$I$289,2,0)</f>
        <v>#N/A</v>
      </c>
      <c r="EU11" s="33" t="e">
        <f>VLOOKUP(A11,'Données projet'!$A$269:$I$289,9,0)</f>
        <v>#N/A</v>
      </c>
      <c r="EV11" s="33">
        <f t="array" ref="EV11">INDEX(EU:EU,MIN(IF(ISNUMBER(EU11:EU207),ROW(EU11:EU207),"")))</f>
        <v>0</v>
      </c>
      <c r="EW11" s="33">
        <f t="shared" si="39"/>
        <v>0</v>
      </c>
      <c r="EX11" s="38" t="e">
        <f>EW11*VLOOKUP('Données projet'!$B$18,Paramètres!$A$1:$I$88,3,0)*VLOOKUP('Données projet'!$B$18,Paramètres!$A$1:$I$88,5,0)</f>
        <v>#N/A</v>
      </c>
      <c r="EY11" s="34" t="e">
        <f t="shared" si="40"/>
        <v>#N/A</v>
      </c>
      <c r="EZ11" s="44" t="e">
        <f t="shared" si="18"/>
        <v>#N/A</v>
      </c>
      <c r="FA11" s="36">
        <f>IF(ISNA(VLOOKUP(A11,'Données projet'!$A$269:$I$289,3,0)),0,VLOOKUP(A11,'Données projet'!$A$269:$I$289,3,0))</f>
        <v>0</v>
      </c>
      <c r="FB11" s="36">
        <f>IF(ISNA(VLOOKUP(A11,'Données projet'!$A$269:$I$289,4,0)),0,VLOOKUP(A11,'Données projet'!$A$269:$I$289,4,0))</f>
        <v>0</v>
      </c>
      <c r="FC11" s="37">
        <f>IF(ISNA(VLOOKUP(A11,'Données projet'!$A$269:$I$289,5,0)),0%,VLOOKUP(A11,'Données projet'!$A$269:$I$289,5,0)*VLOOKUP('Données projet'!$B$18,Paramètres!$A$1:$I$88,7,0))</f>
        <v>0</v>
      </c>
      <c r="FD11" s="37">
        <f>IF(ISNA(VLOOKUP(A11,'Données projet'!$A$269:$I$289,6,0)),0%,VLOOKUP(A11,'Données projet'!$A$269:$I$289,6,0)*VLOOKUP('Données projet'!$B$18,Paramètres!$A$1:$I$88,7,0))</f>
        <v>0</v>
      </c>
      <c r="FE11" s="37">
        <f>IF(ISNA(VLOOKUP(A11,'Données projet'!$A$269:$I$289,7,0)),0%,VLOOKUP(A11,'Données projet'!$A$269:$I$289,7,0))</f>
        <v>0</v>
      </c>
      <c r="FF11" s="45">
        <f>EXP(-LN(2)/35)*FF10+(1-EXP(-LN(2)/35))/(LN(2)/35)*FB11*FC11*VLOOKUP('Données projet'!$B$9,Paramètres!$A$1:$I$88,3,0)*0.475*44/12</f>
        <v>0</v>
      </c>
      <c r="FG11" s="45">
        <f>EXP(-LN(2)/25)*FG10+(1-EXP(-LN(2)/25))/(LN(2)/25)*Calculateur!FB11*Calculateur!FD11*VLOOKUP('Données projet'!$B$9,Paramètres!$A$1:$I$88,3,0)*0.475*44/12</f>
        <v>0</v>
      </c>
      <c r="FH11" s="45">
        <f>EXP(-LN(2)/2)*FH10+(1-EXP(-LN(2)/2))/(LN(2)/2)*FB11*FE11*VLOOKUP('Données projet'!$B$9,Paramètres!$A$1:$I$88,3,0)*0.475*44/12</f>
        <v>0</v>
      </c>
      <c r="FI11" s="46">
        <f t="shared" si="19"/>
        <v>0</v>
      </c>
    </row>
    <row r="12" spans="1:165" x14ac:dyDescent="0.25">
      <c r="A12" s="24">
        <f t="shared" si="20"/>
        <v>9</v>
      </c>
      <c r="B12" s="25">
        <f>IF('Scénario référence'!$N$1=1,5,0)</f>
        <v>0</v>
      </c>
      <c r="C12" s="40">
        <f>IF(OR('Scénario référence'!$N$1=2,'Scénario référence'!$N$1=4),C11+1*VLOOKUP('Scénario référence'!$G$14,Paramètres!$A$1:$I$88,3,0)*VLOOKUP('Scénario référence'!$G$14,Paramètres!$A$1:$I$88,5,0),IF(OR('Scénario référence'!$N$1=3,'Scénario référence'!$N$1=5),C11+0.5*VLOOKUP('Scénario référence'!$G$14,Paramètres!$A$1:$I$88,3,0)*VLOOKUP('Scénario référence'!$G$14,Paramètres!$A$1:$I$88,5,0),0))</f>
        <v>4.9140000000000015</v>
      </c>
      <c r="D12" s="26">
        <f t="shared" si="21"/>
        <v>1.8814997515338503</v>
      </c>
      <c r="E12" s="27">
        <f>IF('Scénario référence'!$N$1=1,B12*44/12,(C12+D12)*0.475*44/12)</f>
        <v>11.835495400588124</v>
      </c>
      <c r="F12" s="28" t="e">
        <f>VLOOKUP(A12,'Données projet'!$A$35:$I$55,2,0)</f>
        <v>#N/A</v>
      </c>
      <c r="G12" s="28" t="e">
        <f>VLOOKUP(A12,'Données projet'!$A$35:$I$55,9,0)</f>
        <v>#N/A</v>
      </c>
      <c r="H12" s="33">
        <f t="array" ref="H12">INDEX(G:G,MIN(IF(ISNUMBER(G12:G208),ROW(G12:G208),"")))</f>
        <v>2.1</v>
      </c>
      <c r="I12" s="28">
        <f t="shared" si="22"/>
        <v>18.900000000000002</v>
      </c>
      <c r="J12" s="41">
        <f>I12*VLOOKUP('Données projet'!$B$9,Paramètres!$A$1:$I$88,3,0)*VLOOKUP('Données projet'!$B$9,Paramètres!$A$1:$I$88,5,0)</f>
        <v>19.164600000000004</v>
      </c>
      <c r="K12" s="41">
        <f t="shared" si="23"/>
        <v>6.2628044584215923</v>
      </c>
      <c r="L12" s="42">
        <f t="shared" si="0"/>
        <v>44.286062765084274</v>
      </c>
      <c r="M12" s="30">
        <f>IF(ISNA(VLOOKUP(A12,'Données projet'!$A$35:$I$55,3,0)),0,VLOOKUP(A12,'Données projet'!$A$35:$I$55,3,0))</f>
        <v>0</v>
      </c>
      <c r="N12" s="30">
        <f>IF(ISNA(VLOOKUP(A12,'Données projet'!$A$35:$I$55,4,0)),0,VLOOKUP(A12,'Données projet'!$A$35:$I$55,4,0))</f>
        <v>0</v>
      </c>
      <c r="O12" s="31">
        <f>IF(ISNA(VLOOKUP(A12,'Données projet'!$A$35:$I$55,5,0)),0%,VLOOKUP(A12,'Données projet'!$A$35:$I$55,5,0)*VLOOKUP('Données projet'!$B$9,Paramètres!$A$1:$I$88,7,0))</f>
        <v>0</v>
      </c>
      <c r="P12" s="31">
        <f>IF(ISNA(VLOOKUP(A12,'Données projet'!$A$35:$I$55,6,0)),0%,VLOOKUP(A12,'Données projet'!$A$35:$I$55,6,0)*VLOOKUP('Données projet'!$B$9,Paramètres!$A$1:$I$88,7,0))</f>
        <v>0</v>
      </c>
      <c r="Q12" s="31">
        <f>IF(ISNA(VLOOKUP(A12,'Données projet'!$A$35:$I$55,7,0)),0%,VLOOKUP(A12,'Données projet'!$A$35:$I$55,7,0))</f>
        <v>0</v>
      </c>
      <c r="R12" s="43">
        <f>EXP(-LN(2)/35)*R11+(1-EXP(-LN(2)/35))/(LN(2)/35)*N12*O12*VLOOKUP('Données projet'!$B$9,Paramètres!$A$1:$I$88,3,0)*0.475*44/12</f>
        <v>0</v>
      </c>
      <c r="S12" s="43">
        <f>EXP(-LN(2)/25)*S11+(1-EXP(-LN(2)/25))/(LN(2)/25)*Calculateur!N12*Calculateur!P12*VLOOKUP('Données projet'!$B$9,Paramètres!$A$1:$I$88,3,0)*0.475*44/12</f>
        <v>0</v>
      </c>
      <c r="T12" s="43">
        <f>EXP(-LN(2)/2)*T11+(1-EXP(-LN(2)/2))/(LN(2)/2)*N12*Q12*VLOOKUP('Données projet'!$B$9,Paramètres!$A$1:$I$88,3,0)*0.475*44/12</f>
        <v>0</v>
      </c>
      <c r="U12" s="43">
        <f t="shared" si="1"/>
        <v>0</v>
      </c>
      <c r="V12" s="32" t="e">
        <f>VLOOKUP(A12,'Données projet'!$A$61:$I$81,2,0)</f>
        <v>#N/A</v>
      </c>
      <c r="W12" s="33" t="e">
        <f>VLOOKUP(A12,'Données projet'!$A$61:$I$81,9,0)</f>
        <v>#N/A</v>
      </c>
      <c r="X12" s="33">
        <f t="array" ref="X12">INDEX(W:W,MIN(IF(ISNUMBER(W12:W208),ROW(W12:W208),"")))</f>
        <v>0</v>
      </c>
      <c r="Y12" s="33">
        <f t="shared" si="24"/>
        <v>0</v>
      </c>
      <c r="Z12" s="34" t="e">
        <f>Y12*VLOOKUP('Données projet'!$B$10,Paramètres!$A$1:$I$88,3,0)*VLOOKUP('Données projet'!$B$10,Paramètres!$A$1:$I$88,5,0)</f>
        <v>#N/A</v>
      </c>
      <c r="AA12" s="34" t="e">
        <f t="shared" si="25"/>
        <v>#N/A</v>
      </c>
      <c r="AB12" s="44" t="e">
        <f t="shared" si="2"/>
        <v>#N/A</v>
      </c>
      <c r="AC12" s="36">
        <f>IF(ISNA(VLOOKUP(A12,'Données projet'!$A$61:$I$81,3,0)),0,VLOOKUP(A12,'Données projet'!$A$61:$I$81,3,0))</f>
        <v>0</v>
      </c>
      <c r="AD12" s="36">
        <f>IF(ISNA(VLOOKUP(A12,'Données projet'!$A$61:$I$81,4,0)),0,VLOOKUP(A12,'Données projet'!$A$61:$I$81,4,0))</f>
        <v>0</v>
      </c>
      <c r="AE12" s="37">
        <f>IF(ISNA(VLOOKUP(A12,'Données projet'!$A$61:$I$81,5,0)),0%,VLOOKUP(A12,'Données projet'!$A$61:$I$81,5,0)*VLOOKUP('Données projet'!$B$10,Paramètres!$A$1:$I$88,7,0))</f>
        <v>0</v>
      </c>
      <c r="AF12" s="37">
        <f>IF(ISNA(VLOOKUP(A12,'Données projet'!$A$61:$I$81,6,0)),0%,VLOOKUP(A12,'Données projet'!$A$61:$I$81,6,0)*VLOOKUP('Données projet'!$B$10,Paramètres!$A$1:$I$88,7,0))</f>
        <v>0</v>
      </c>
      <c r="AG12" s="37">
        <f>IF(ISNA(VLOOKUP(A12,'Données projet'!$A$61:$I$81,7,0)),0%,VLOOKUP(A12,'Données projet'!$A$61:$I$81,7,0))</f>
        <v>0</v>
      </c>
      <c r="AH12" s="45">
        <f>EXP(-LN(2)/35)*AH11+(1-EXP(-LN(2)/35))/(LN(2)/35)*AD12*AE12*VLOOKUP('Données projet'!$B$9,Paramètres!$A$1:$I$88,3,0)*0.475*44/12</f>
        <v>0</v>
      </c>
      <c r="AI12" s="45">
        <f>EXP(-LN(2)/25)*AI11+(1-EXP(-LN(2)/25))/(LN(2)/25)*Calculateur!AD12*Calculateur!AF12*VLOOKUP('Données projet'!$B$9,Paramètres!$A$1:$I$88,3,0)*0.475*44/12</f>
        <v>0</v>
      </c>
      <c r="AJ12" s="45">
        <f>EXP(-LN(2)/2)*AJ11+(1-EXP(-LN(2)/2))/(LN(2)/2)*AD12*AG12*VLOOKUP('Données projet'!$B$9,Paramètres!$A$1:$I$88,3,0)*0.475*44/12</f>
        <v>0</v>
      </c>
      <c r="AK12" s="45">
        <f t="shared" si="3"/>
        <v>0</v>
      </c>
      <c r="AL12" s="32" t="e">
        <f>VLOOKUP(A12,'Données projet'!$A$87:$I$107,2,0)</f>
        <v>#N/A</v>
      </c>
      <c r="AM12" s="33" t="e">
        <f>VLOOKUP(A12,'Données projet'!$A$87:$I$107,9,0)</f>
        <v>#N/A</v>
      </c>
      <c r="AN12" s="33">
        <f t="array" ref="AN12">INDEX(AM:AM,MIN(IF(ISNUMBER(AM12:AM208),ROW(AM12:AM208),"")))</f>
        <v>0</v>
      </c>
      <c r="AO12" s="33">
        <f t="shared" si="26"/>
        <v>0</v>
      </c>
      <c r="AP12" s="34" t="e">
        <f>AO12*VLOOKUP('Données projet'!$B$11,Paramètres!$A$1:$I$88,3,0)*VLOOKUP('Données projet'!$B$11,Paramètres!$A$1:$I$88,5,0)</f>
        <v>#N/A</v>
      </c>
      <c r="AQ12" s="34" t="e">
        <f t="shared" si="27"/>
        <v>#N/A</v>
      </c>
      <c r="AR12" s="44" t="e">
        <f t="shared" si="4"/>
        <v>#N/A</v>
      </c>
      <c r="AS12" s="36">
        <f>IF(ISNA(VLOOKUP(A12,'Données projet'!$A$87:$I$107,3,0)),0,VLOOKUP(A12,'Données projet'!$A$87:$I$107,3,0))</f>
        <v>0</v>
      </c>
      <c r="AT12" s="36">
        <f>IF(ISNA(VLOOKUP(A12,'Données projet'!$A$87:$I$107,4,0)),0,VLOOKUP(A12,'Données projet'!$A$87:$I$107,4,0))</f>
        <v>0</v>
      </c>
      <c r="AU12" s="37">
        <f>IF(ISNA(VLOOKUP(A12,'Données projet'!$A$87:$I$107,5,0)),0%,VLOOKUP(A12,'Données projet'!$A$87:$I$107,5,0)*VLOOKUP('Données projet'!$B$11,Paramètres!$A$1:$I$88,7,0))</f>
        <v>0</v>
      </c>
      <c r="AV12" s="37">
        <f>IF(ISNA(VLOOKUP(A12,'Données projet'!$A$87:$I$107,6,0)),0%,VLOOKUP(A12,'Données projet'!$A$87:$I$107,6,0)*VLOOKUP('Données projet'!$B$11,Paramètres!$A$1:$I$88,7,0))</f>
        <v>0</v>
      </c>
      <c r="AW12" s="37">
        <f>IF(ISNA(VLOOKUP(A12,'Données projet'!$A$87:$I$107,7,0)),0%,VLOOKUP(A12,'Données projet'!$A$87:$I$107,7,0))</f>
        <v>0</v>
      </c>
      <c r="AX12" s="45">
        <f>EXP(-LN(2)/35)*AX11+(1-EXP(-LN(2)/35))/(LN(2)/35)*AT12*AU12*VLOOKUP('Données projet'!$B$9,Paramètres!$A$1:$I$88,3,0)*0.475*44/12</f>
        <v>0</v>
      </c>
      <c r="AY12" s="45">
        <f>EXP(-LN(2)/25)*AY11+(1-EXP(-LN(2)/25))/(LN(2)/25)*Calculateur!AT12*Calculateur!AV12*VLOOKUP('Données projet'!$B$9,Paramètres!$A$1:$I$88,3,0)*0.475*44/12</f>
        <v>0</v>
      </c>
      <c r="AZ12" s="45">
        <f>EXP(-LN(2)/2)*AZ11+(1-EXP(-LN(2)/2))/(LN(2)/2)*AT12*AW12*VLOOKUP('Données projet'!$B$9,Paramètres!$A$1:$I$88,3,0)*0.475*44/12</f>
        <v>0</v>
      </c>
      <c r="BA12" s="46">
        <f t="shared" si="5"/>
        <v>0</v>
      </c>
      <c r="BB12" s="32" t="e">
        <f>VLOOKUP(A12,'Données projet'!$A$113:$I$133,2,0)</f>
        <v>#N/A</v>
      </c>
      <c r="BC12" s="33" t="e">
        <f>VLOOKUP(A12,'Données projet'!$A$113:$I$133,9,0)</f>
        <v>#N/A</v>
      </c>
      <c r="BD12" s="33">
        <f t="array" ref="BD12">INDEX(BC:BC,MIN(IF(ISNUMBER(BC12:BC208),ROW(BC12:BC208),"")))</f>
        <v>0</v>
      </c>
      <c r="BE12" s="33">
        <f t="shared" si="28"/>
        <v>0</v>
      </c>
      <c r="BF12" s="34" t="e">
        <f>BE12*VLOOKUP('Données projet'!$B$12,Paramètres!$A$1:$I$88,3,0)*VLOOKUP('Données projet'!$B$12,Paramètres!$A$1:$I$88,5,0)</f>
        <v>#N/A</v>
      </c>
      <c r="BG12" s="34" t="e">
        <f t="shared" si="29"/>
        <v>#N/A</v>
      </c>
      <c r="BH12" s="44" t="e">
        <f t="shared" si="6"/>
        <v>#N/A</v>
      </c>
      <c r="BI12" s="36">
        <f>IF(ISNA(VLOOKUP(A12,'Données projet'!$A$113:$I$133,3,0)),0,VLOOKUP(A12,'Données projet'!$A$113:$I$133,3,0))</f>
        <v>0</v>
      </c>
      <c r="BJ12" s="36">
        <f>IF(ISNA(VLOOKUP(A12,'Données projet'!$A$113:$I$133,4,0)),0,VLOOKUP(A12,'Données projet'!$A$113:$I$133,4,0))</f>
        <v>0</v>
      </c>
      <c r="BK12" s="37">
        <f>IF(ISNA(VLOOKUP(A12,'Données projet'!$A$113:$I$133,5,0)),0%,VLOOKUP(A12,'Données projet'!$A$113:$I$133,5,0)*VLOOKUP('Données projet'!$B$12,Paramètres!$A$1:$I$88,7,0))</f>
        <v>0</v>
      </c>
      <c r="BL12" s="37">
        <f>IF(ISNA(VLOOKUP(A12,'Données projet'!$A$113:$I$133,6,0)),0%,VLOOKUP(A12,'Données projet'!$A$113:$I$133,6,0)*VLOOKUP('Données projet'!$B$12,Paramètres!$A$1:$I$88,7,0))</f>
        <v>0</v>
      </c>
      <c r="BM12" s="37">
        <f>IF(ISNA(VLOOKUP(A12,'Données projet'!$A$113:$I$133,7,0)),0%,VLOOKUP(A12,'Données projet'!$A$113:$I$133,7,0))</f>
        <v>0</v>
      </c>
      <c r="BN12" s="45">
        <f>EXP(-LN(2)/35)*BN11+(1-EXP(-LN(2)/35))/(LN(2)/35)*BJ12*BK12*VLOOKUP('Données projet'!$B$9,Paramètres!$A$1:$I$88,3,0)*0.475*44/12</f>
        <v>0</v>
      </c>
      <c r="BO12" s="45">
        <f>EXP(-LN(2)/25)*BO11+(1-EXP(-LN(2)/25))/(LN(2)/25)*Calculateur!BJ12*Calculateur!BL12*VLOOKUP('Données projet'!$B$9,Paramètres!$A$1:$I$88,3,0)*0.475*44/12</f>
        <v>0</v>
      </c>
      <c r="BP12" s="45">
        <f>EXP(-LN(2)/2)*BP11+(1-EXP(-LN(2)/2))/(LN(2)/2)*BJ12*BM12*VLOOKUP('Données projet'!$B$9,Paramètres!$A$1:$I$88,3,0)*0.475*44/12</f>
        <v>0</v>
      </c>
      <c r="BQ12" s="46">
        <f t="shared" si="7"/>
        <v>0</v>
      </c>
      <c r="BR12" s="32" t="e">
        <f>VLOOKUP(A12,'Données projet'!$A$139:$I$159,2,0)</f>
        <v>#N/A</v>
      </c>
      <c r="BS12" s="33" t="e">
        <f>VLOOKUP(A12,'Données projet'!$A$139:$I$159,9,0)</f>
        <v>#N/A</v>
      </c>
      <c r="BT12" s="33">
        <f t="array" ref="BT12">INDEX(BS:BS,MIN(IF(ISNUMBER(BS12:BS208),ROW(BS12:BS208),"")))</f>
        <v>0</v>
      </c>
      <c r="BU12" s="33">
        <f t="shared" si="41"/>
        <v>0</v>
      </c>
      <c r="BV12" s="38" t="e">
        <f>BU12*VLOOKUP('Données projet'!$B$13,Paramètres!$A$1:$I$88,3,0)*VLOOKUP('Données projet'!$B$13,Paramètres!$A$1:$I$88,5,0)</f>
        <v>#N/A</v>
      </c>
      <c r="BW12" s="34" t="e">
        <f t="shared" si="30"/>
        <v>#N/A</v>
      </c>
      <c r="BX12" s="44" t="e">
        <f t="shared" si="8"/>
        <v>#N/A</v>
      </c>
      <c r="BY12" s="36">
        <f>IF(ISNA(VLOOKUP(A12,'Données projet'!$A$139:$I$159,3,0)),0,VLOOKUP(A12,'Données projet'!$A$139:$I$159,3,0))</f>
        <v>0</v>
      </c>
      <c r="BZ12" s="36">
        <f>IF(ISNA(VLOOKUP(A12,'Données projet'!$A$139:$I$159,4,0)),0,VLOOKUP(A12,'Données projet'!$A$139:$I$159,4,0))</f>
        <v>0</v>
      </c>
      <c r="CA12" s="37">
        <f>IF(ISNA(VLOOKUP(A12,'Données projet'!$A$139:$I$159,5,0)),0%,VLOOKUP(A12,'Données projet'!$A$139:$I$159,5,0)*VLOOKUP('Données projet'!$B$13,Paramètres!$A$1:$I$88,7,0))</f>
        <v>0</v>
      </c>
      <c r="CB12" s="37">
        <f>IF(ISNA(VLOOKUP(A12,'Données projet'!$A$139:$I$159,6,0)),0%,VLOOKUP(A12,'Données projet'!$A$139:$I$159,6,0)*VLOOKUP('Données projet'!$B$13,Paramètres!$A$1:$I$88,7,0))</f>
        <v>0</v>
      </c>
      <c r="CC12" s="37">
        <f>IF(ISNA(VLOOKUP(A12,'Données projet'!$A$139:$I$159,7,0)),0%,VLOOKUP(A12,'Données projet'!$A$139:$I$159,7,0))</f>
        <v>0</v>
      </c>
      <c r="CD12" s="45">
        <f>EXP(-LN(2)/35)*CD11+(1-EXP(-LN(2)/35))/(LN(2)/35)*BZ12*CA12*VLOOKUP('Données projet'!$B$9,Paramètres!$A$1:$I$88,3,0)*0.475*44/12</f>
        <v>0</v>
      </c>
      <c r="CE12" s="45">
        <f>EXP(-LN(2)/25)*CE11+(1-EXP(-LN(2)/25))/(LN(2)/25)*Calculateur!BZ12*Calculateur!CB12*VLOOKUP('Données projet'!$B$9,Paramètres!$A$1:$I$88,3,0)*0.475*44/12</f>
        <v>0</v>
      </c>
      <c r="CF12" s="45">
        <f>EXP(-LN(2)/2)*CF11+(1-EXP(-LN(2)/2))/(LN(2)/2)*BZ12*CC12*VLOOKUP('Données projet'!$B$9,Paramètres!$A$1:$I$88,3,0)*0.475*44/12</f>
        <v>0</v>
      </c>
      <c r="CG12" s="46">
        <f t="shared" si="9"/>
        <v>0</v>
      </c>
      <c r="CH12" s="32" t="e">
        <f>VLOOKUP(A12,'Données projet'!$A$165:$I$185,2,0)</f>
        <v>#N/A</v>
      </c>
      <c r="CI12" s="33" t="e">
        <f>VLOOKUP(A12,'Données projet'!$A$165:$I$185,9,0)</f>
        <v>#N/A</v>
      </c>
      <c r="CJ12" s="33">
        <f t="array" ref="CJ12">INDEX(CI:CI,MIN(IF(ISNUMBER(CI12:CI208),ROW(CI12:CI208),"")))</f>
        <v>0</v>
      </c>
      <c r="CK12" s="33">
        <f t="shared" si="31"/>
        <v>0</v>
      </c>
      <c r="CL12" s="38" t="e">
        <f>CK12*VLOOKUP('Données projet'!$B$14,Paramètres!$A$1:$I$88,3,0)*VLOOKUP('Données projet'!$B$14,Paramètres!$A$1:$I$88,5,0)</f>
        <v>#N/A</v>
      </c>
      <c r="CM12" s="34" t="e">
        <f t="shared" si="32"/>
        <v>#N/A</v>
      </c>
      <c r="CN12" s="44" t="e">
        <f t="shared" si="10"/>
        <v>#N/A</v>
      </c>
      <c r="CO12" s="36">
        <f>IF(ISNA(VLOOKUP(A12,'Données projet'!$A$165:$I$185,3,0)),0,VLOOKUP(A12,'Données projet'!$A$165:$I$185,3,0))</f>
        <v>0</v>
      </c>
      <c r="CP12" s="36">
        <f>IF(ISNA(VLOOKUP(A12,'Données projet'!$A$165:$I$185,4,0)),0,VLOOKUP(A12,'Données projet'!$A$165:$I$185,4,0))</f>
        <v>0</v>
      </c>
      <c r="CQ12" s="37">
        <f>IF(ISNA(VLOOKUP(A12,'Données projet'!$A$165:$I$185,5,0)),0%,VLOOKUP(A12,'Données projet'!$A$165:$I$185,5,0)*VLOOKUP('Données projet'!$B$14,Paramètres!$A$1:$I$88,7,0))</f>
        <v>0</v>
      </c>
      <c r="CR12" s="37">
        <f>IF(ISNA(VLOOKUP(A12,'Données projet'!$A$165:$I$185,6,0)),0%,VLOOKUP(A12,'Données projet'!$A$165:$I$185,6,0)*VLOOKUP('Données projet'!$B$14,Paramètres!$A$1:$I$88,7,0))</f>
        <v>0</v>
      </c>
      <c r="CS12" s="37">
        <f>IF(ISNA(VLOOKUP(A12,'Données projet'!$A$165:$I$185,7,0)),0%,VLOOKUP(A12,'Données projet'!$A$165:$I$185,7,0))</f>
        <v>0</v>
      </c>
      <c r="CT12" s="45">
        <f>EXP(-LN(2)/35)*CT11+(1-EXP(-LN(2)/35))/(LN(2)/35)*CP12*CQ12*VLOOKUP('Données projet'!$B$9,Paramètres!$A$1:$I$88,3,0)*0.475*44/12</f>
        <v>0</v>
      </c>
      <c r="CU12" s="45">
        <f>EXP(-LN(2)/25)*CU11+(1-EXP(-LN(2)/25))/(LN(2)/25)*Calculateur!CP12*Calculateur!CR12*VLOOKUP('Données projet'!$B$9,Paramètres!$A$1:$I$88,3,0)*0.475*44/12</f>
        <v>0</v>
      </c>
      <c r="CV12" s="45">
        <f>EXP(-LN(2)/2)*CV11+(1-EXP(-LN(2)/2))/(LN(2)/2)*CP12*CS12*VLOOKUP('Données projet'!$B$9,Paramètres!$A$1:$I$88,3,0)*0.475*44/12</f>
        <v>0</v>
      </c>
      <c r="CW12" s="46">
        <f t="shared" si="11"/>
        <v>0</v>
      </c>
      <c r="CX12" s="32" t="e">
        <f>VLOOKUP(A12,'Données projet'!$A$191:$I$211,2,0)</f>
        <v>#N/A</v>
      </c>
      <c r="CY12" s="33" t="e">
        <f>VLOOKUP(A12,'Données projet'!$A$191:$I$211,9,0)</f>
        <v>#N/A</v>
      </c>
      <c r="CZ12" s="33">
        <f t="array" ref="CZ12">INDEX(CY:CY,MIN(IF(ISNUMBER(CY12:CY208),ROW(CY12:CY208),"")))</f>
        <v>0</v>
      </c>
      <c r="DA12" s="33">
        <f t="shared" si="33"/>
        <v>0</v>
      </c>
      <c r="DB12" s="38" t="e">
        <f>DA12*VLOOKUP('Données projet'!$B$15,Paramètres!$A$1:$I$88,3,0)*VLOOKUP('Données projet'!$B$15,Paramètres!$A$1:$I$88,5,0)</f>
        <v>#N/A</v>
      </c>
      <c r="DC12" s="34" t="e">
        <f t="shared" si="34"/>
        <v>#N/A</v>
      </c>
      <c r="DD12" s="44" t="e">
        <f t="shared" si="12"/>
        <v>#N/A</v>
      </c>
      <c r="DE12" s="36">
        <f>IF(ISNA(VLOOKUP(A12,'Données projet'!$A$191:$I$211,3,0)),0,VLOOKUP(A12,'Données projet'!$A$191:$I$211,3,0))</f>
        <v>0</v>
      </c>
      <c r="DF12" s="36">
        <f>IF(ISNA(VLOOKUP(A12,'Données projet'!$A$191:$I$211,4,0)),0,VLOOKUP(A12,'Données projet'!$A$191:$I$211,4,0))</f>
        <v>0</v>
      </c>
      <c r="DG12" s="37">
        <f>IF(ISNA(VLOOKUP(A12,'Données projet'!$A$191:$I$211,5,0)),0%,VLOOKUP(A12,'Données projet'!$A$191:$I$211,5,0)*VLOOKUP('Données projet'!$B$15,Paramètres!$A$1:$I$88,7,0))</f>
        <v>0</v>
      </c>
      <c r="DH12" s="37">
        <f>IF(ISNA(VLOOKUP(A12,'Données projet'!$A$191:$I$211,6,0)),0%,VLOOKUP(A12,'Données projet'!$A$191:$I$211,6,0)*VLOOKUP('Données projet'!$B$15,Paramètres!$A$1:$I$88,7,0))</f>
        <v>0</v>
      </c>
      <c r="DI12" s="37">
        <f>IF(ISNA(VLOOKUP(A12,'Données projet'!$A$191:$I$211,7,0)),0%,VLOOKUP(A12,'Données projet'!$A$191:$I$211,7,0))</f>
        <v>0</v>
      </c>
      <c r="DJ12" s="45">
        <f>EXP(-LN(2)/35)*DJ11+(1-EXP(-LN(2)/35))/(LN(2)/35)*DF12*DG12*VLOOKUP('Données projet'!$B$9,Paramètres!$A$1:$I$88,3,0)*0.475*44/12</f>
        <v>0</v>
      </c>
      <c r="DK12" s="45">
        <f>EXP(-LN(2)/25)*DK11+(1-EXP(-LN(2)/25))/(LN(2)/25)*Calculateur!DF12*Calculateur!DH12*VLOOKUP('Données projet'!$B$9,Paramètres!$A$1:$I$88,3,0)*0.475*44/12</f>
        <v>0</v>
      </c>
      <c r="DL12" s="45">
        <f>EXP(-LN(2)/2)*DL11+(1-EXP(-LN(2)/2))/(LN(2)/2)*DF12*DI12*VLOOKUP('Données projet'!$B$9,Paramètres!$A$1:$I$88,3,0)*0.475*44/12</f>
        <v>0</v>
      </c>
      <c r="DM12" s="46">
        <f t="shared" si="13"/>
        <v>0</v>
      </c>
      <c r="DN12" s="32" t="e">
        <f>VLOOKUP(A12,'Données projet'!$A$217:$I$237,2,0)</f>
        <v>#N/A</v>
      </c>
      <c r="DO12" s="33" t="e">
        <f>VLOOKUP(A12,'Données projet'!$A$217:$I$237,9,0)</f>
        <v>#N/A</v>
      </c>
      <c r="DP12" s="33">
        <f t="array" ref="DP12">INDEX(DO:DO,MIN(IF(ISNUMBER(DO12:DO208),ROW(DO12:DO208),"")))</f>
        <v>0</v>
      </c>
      <c r="DQ12" s="33">
        <f t="shared" si="35"/>
        <v>0</v>
      </c>
      <c r="DR12" s="38" t="e">
        <f>DQ12*VLOOKUP('Données projet'!$B$16,Paramètres!$A$1:$I$88,3,0)*VLOOKUP('Données projet'!$B$16,Paramètres!$A$1:$I$88,5,0)</f>
        <v>#N/A</v>
      </c>
      <c r="DS12" s="34" t="e">
        <f t="shared" si="36"/>
        <v>#N/A</v>
      </c>
      <c r="DT12" s="44" t="e">
        <f t="shared" si="14"/>
        <v>#N/A</v>
      </c>
      <c r="DU12" s="36">
        <f>IF(ISNA(VLOOKUP(A12,'Données projet'!$A$217:$I$237,3,0)),0,VLOOKUP(A12,'Données projet'!$A$217:$I$237,3,0))</f>
        <v>0</v>
      </c>
      <c r="DV12" s="36">
        <f>IF(ISNA(VLOOKUP(A12,'Données projet'!$A$217:$I$237,4,0)),0,VLOOKUP(A12,'Données projet'!$A$217:$I$237,4,0))</f>
        <v>0</v>
      </c>
      <c r="DW12" s="37">
        <f>IF(ISNA(VLOOKUP(A12,'Données projet'!$A$217:$I$237,5,0)),0%,VLOOKUP(A12,'Données projet'!$A$217:$I$237,5,0)*VLOOKUP('Données projet'!$B$16,Paramètres!$A$1:$I$88,7,0))</f>
        <v>0</v>
      </c>
      <c r="DX12" s="37">
        <f>IF(ISNA(VLOOKUP(A12,'Données projet'!$A$217:$I$237,6,0)),0%,VLOOKUP(A12,'Données projet'!$A$217:$I$237,6,0)*VLOOKUP('Données projet'!$B$16,Paramètres!$A$1:$I$88,7,0))</f>
        <v>0</v>
      </c>
      <c r="DY12" s="37">
        <f>IF(ISNA(VLOOKUP(A12,'Données projet'!$A$217:$I$237,7,0)),0%,VLOOKUP(A12,'Données projet'!$A$217:$I$237,7,0))</f>
        <v>0</v>
      </c>
      <c r="DZ12" s="45">
        <f>EXP(-LN(2)/35)*DZ11+(1-EXP(-LN(2)/35))/(LN(2)/35)*DV12*DW12*VLOOKUP('Données projet'!$B$9,Paramètres!$A$1:$I$88,3,0)*0.475*44/12</f>
        <v>0</v>
      </c>
      <c r="EA12" s="45">
        <f>EXP(-LN(2)/25)*EA11+(1-EXP(-LN(2)/25))/(LN(2)/25)*Calculateur!DV12*Calculateur!DX12*VLOOKUP('Données projet'!$B$9,Paramètres!$A$1:$I$88,3,0)*0.475*44/12</f>
        <v>0</v>
      </c>
      <c r="EB12" s="45">
        <f>EXP(-LN(2)/2)*EB11+(1-EXP(-LN(2)/2))/(LN(2)/2)*DV12*DY12*VLOOKUP('Données projet'!$B$9,Paramètres!$A$1:$I$88,3,0)*0.475*44/12</f>
        <v>0</v>
      </c>
      <c r="EC12" s="46">
        <f t="shared" si="15"/>
        <v>0</v>
      </c>
      <c r="ED12" s="32" t="e">
        <f>VLOOKUP(A12,'Données projet'!$A$243:$I$263,2,0)</f>
        <v>#N/A</v>
      </c>
      <c r="EE12" s="33" t="e">
        <f>VLOOKUP(A12,'Données projet'!$A$243:$I$263,9,0)</f>
        <v>#N/A</v>
      </c>
      <c r="EF12" s="33">
        <f t="array" ref="EF12">INDEX(EE:EE,MIN(IF(ISNUMBER(EE12:EE208),ROW(EE12:EE208),"")))</f>
        <v>0</v>
      </c>
      <c r="EG12" s="33">
        <f t="shared" si="37"/>
        <v>0</v>
      </c>
      <c r="EH12" s="38" t="e">
        <f>EG12*VLOOKUP('Données projet'!$B$17,Paramètres!$A$1:$I$88,3,0)*VLOOKUP('Données projet'!$B$17,Paramètres!$A$1:$I$88,5,0)</f>
        <v>#N/A</v>
      </c>
      <c r="EI12" s="34" t="e">
        <f t="shared" si="38"/>
        <v>#N/A</v>
      </c>
      <c r="EJ12" s="44" t="e">
        <f t="shared" si="16"/>
        <v>#N/A</v>
      </c>
      <c r="EK12" s="36">
        <f>IF(ISNA(VLOOKUP(A12,'Données projet'!$A$243:$I$263,3,0)),0,VLOOKUP(A12,'Données projet'!$A$243:$I$263,3,0))</f>
        <v>0</v>
      </c>
      <c r="EL12" s="36">
        <f>IF(ISNA(VLOOKUP(A12,'Données projet'!$A$243:$I$263,4,0)),0,VLOOKUP(A12,'Données projet'!$A$243:$I$263,4,0))</f>
        <v>0</v>
      </c>
      <c r="EM12" s="37">
        <f>IF(ISNA(VLOOKUP(A12,'Données projet'!$A$243:$I$263,5,0)),0%,VLOOKUP(A12,'Données projet'!$A$243:$I$263,5,0)*VLOOKUP('Données projet'!$B$17,Paramètres!$A$1:$I$88,7,0))</f>
        <v>0</v>
      </c>
      <c r="EN12" s="37">
        <f>IF(ISNA(VLOOKUP(A12,'Données projet'!$A$243:$I$263,6,0)),0%,VLOOKUP(A12,'Données projet'!$A$243:$I$263,6,0)*VLOOKUP('Données projet'!$B$17,Paramètres!$A$1:$I$88,7,0))</f>
        <v>0</v>
      </c>
      <c r="EO12" s="37">
        <f>IF(ISNA(VLOOKUP(A12,'Données projet'!$A$243:$I$263,7,0)),0%,VLOOKUP(A12,'Données projet'!$A$243:$I$263,7,0))</f>
        <v>0</v>
      </c>
      <c r="EP12" s="45">
        <f>EXP(-LN(2)/35)*EP11+(1-EXP(-LN(2)/35))/(LN(2)/35)*EL12*EM12*VLOOKUP('Données projet'!$B$9,Paramètres!$A$1:$I$88,3,0)*0.475*44/12</f>
        <v>0</v>
      </c>
      <c r="EQ12" s="45">
        <f>EXP(-LN(2)/25)*EQ11+(1-EXP(-LN(2)/25))/(LN(2)/25)*Calculateur!EL12*Calculateur!EN12*VLOOKUP('Données projet'!$B$9,Paramètres!$A$1:$I$88,3,0)*0.475*44/12</f>
        <v>0</v>
      </c>
      <c r="ER12" s="45">
        <f>EXP(-LN(2)/2)*ER11+(1-EXP(-LN(2)/2))/(LN(2)/2)*EL12*EO12*VLOOKUP('Données projet'!$B$9,Paramètres!$A$1:$I$88,3,0)*0.475*44/12</f>
        <v>0</v>
      </c>
      <c r="ES12" s="46">
        <f t="shared" si="17"/>
        <v>0</v>
      </c>
      <c r="ET12" s="32" t="e">
        <f>VLOOKUP(A12,'Données projet'!$A$269:$I$289,2,0)</f>
        <v>#N/A</v>
      </c>
      <c r="EU12" s="33" t="e">
        <f>VLOOKUP(A12,'Données projet'!$A$269:$I$289,9,0)</f>
        <v>#N/A</v>
      </c>
      <c r="EV12" s="33">
        <f t="array" ref="EV12">INDEX(EU:EU,MIN(IF(ISNUMBER(EU12:EU208),ROW(EU12:EU208),"")))</f>
        <v>0</v>
      </c>
      <c r="EW12" s="33">
        <f t="shared" si="39"/>
        <v>0</v>
      </c>
      <c r="EX12" s="38" t="e">
        <f>EW12*VLOOKUP('Données projet'!$B$18,Paramètres!$A$1:$I$88,3,0)*VLOOKUP('Données projet'!$B$18,Paramètres!$A$1:$I$88,5,0)</f>
        <v>#N/A</v>
      </c>
      <c r="EY12" s="34" t="e">
        <f t="shared" si="40"/>
        <v>#N/A</v>
      </c>
      <c r="EZ12" s="44" t="e">
        <f t="shared" si="18"/>
        <v>#N/A</v>
      </c>
      <c r="FA12" s="36">
        <f>IF(ISNA(VLOOKUP(A12,'Données projet'!$A$269:$I$289,3,0)),0,VLOOKUP(A12,'Données projet'!$A$269:$I$289,3,0))</f>
        <v>0</v>
      </c>
      <c r="FB12" s="36">
        <f>IF(ISNA(VLOOKUP(A12,'Données projet'!$A$269:$I$289,4,0)),0,VLOOKUP(A12,'Données projet'!$A$269:$I$289,4,0))</f>
        <v>0</v>
      </c>
      <c r="FC12" s="37">
        <f>IF(ISNA(VLOOKUP(A12,'Données projet'!$A$269:$I$289,5,0)),0%,VLOOKUP(A12,'Données projet'!$A$269:$I$289,5,0)*VLOOKUP('Données projet'!$B$18,Paramètres!$A$1:$I$88,7,0))</f>
        <v>0</v>
      </c>
      <c r="FD12" s="37">
        <f>IF(ISNA(VLOOKUP(A12,'Données projet'!$A$269:$I$289,6,0)),0%,VLOOKUP(A12,'Données projet'!$A$269:$I$289,6,0)*VLOOKUP('Données projet'!$B$18,Paramètres!$A$1:$I$88,7,0))</f>
        <v>0</v>
      </c>
      <c r="FE12" s="37">
        <f>IF(ISNA(VLOOKUP(A12,'Données projet'!$A$269:$I$289,7,0)),0%,VLOOKUP(A12,'Données projet'!$A$269:$I$289,7,0))</f>
        <v>0</v>
      </c>
      <c r="FF12" s="45">
        <f>EXP(-LN(2)/35)*FF11+(1-EXP(-LN(2)/35))/(LN(2)/35)*FB12*FC12*VLOOKUP('Données projet'!$B$9,Paramètres!$A$1:$I$88,3,0)*0.475*44/12</f>
        <v>0</v>
      </c>
      <c r="FG12" s="45">
        <f>EXP(-LN(2)/25)*FG11+(1-EXP(-LN(2)/25))/(LN(2)/25)*Calculateur!FB12*Calculateur!FD12*VLOOKUP('Données projet'!$B$9,Paramètres!$A$1:$I$88,3,0)*0.475*44/12</f>
        <v>0</v>
      </c>
      <c r="FH12" s="45">
        <f>EXP(-LN(2)/2)*FH11+(1-EXP(-LN(2)/2))/(LN(2)/2)*FB12*FE12*VLOOKUP('Données projet'!$B$9,Paramètres!$A$1:$I$88,3,0)*0.475*44/12</f>
        <v>0</v>
      </c>
      <c r="FI12" s="46">
        <f t="shared" si="19"/>
        <v>0</v>
      </c>
    </row>
    <row r="13" spans="1:165" x14ac:dyDescent="0.25">
      <c r="A13" s="24">
        <f t="shared" si="20"/>
        <v>10</v>
      </c>
      <c r="B13" s="25">
        <f>IF('Scénario référence'!$N$1=1,5,0)</f>
        <v>0</v>
      </c>
      <c r="C13" s="40">
        <f>IF(OR('Scénario référence'!$N$1=2,'Scénario référence'!$N$1=4),C12+1*VLOOKUP('Scénario référence'!$G$14,Paramètres!$A$1:$I$88,3,0)*VLOOKUP('Scénario référence'!$G$14,Paramètres!$A$1:$I$88,5,0),IF(OR('Scénario référence'!$N$1=3,'Scénario référence'!$N$1=5),C12+0.5*VLOOKUP('Scénario référence'!$G$14,Paramètres!$A$1:$I$88,3,0)*VLOOKUP('Scénario référence'!$G$14,Paramètres!$A$1:$I$88,5,0),0))</f>
        <v>5.4600000000000017</v>
      </c>
      <c r="D13" s="26">
        <f t="shared" si="21"/>
        <v>2.0650733588092973</v>
      </c>
      <c r="E13" s="27">
        <f>IF('Scénario référence'!$N$1=1,B13*44/12,(C13+D13)*0.475*44/12)</f>
        <v>13.106169433259531</v>
      </c>
      <c r="F13" s="28" t="e">
        <f>VLOOKUP(A13,'Données projet'!$A$35:$I$55,2,0)</f>
        <v>#N/A</v>
      </c>
      <c r="G13" s="28" t="e">
        <f>VLOOKUP(A13,'Données projet'!$A$35:$I$55,9,0)</f>
        <v>#N/A</v>
      </c>
      <c r="H13" s="33">
        <f t="array" ref="H13">INDEX(G:G,MIN(IF(ISNUMBER(G13:G209),ROW(G13:G209),"")))</f>
        <v>2.1</v>
      </c>
      <c r="I13" s="28">
        <f t="shared" si="22"/>
        <v>21.000000000000004</v>
      </c>
      <c r="J13" s="41">
        <f>I13*VLOOKUP('Données projet'!$B$9,Paramètres!$A$1:$I$88,3,0)*VLOOKUP('Données projet'!$B$9,Paramètres!$A$1:$I$88,5,0)</f>
        <v>21.294000000000004</v>
      </c>
      <c r="K13" s="41">
        <f t="shared" si="23"/>
        <v>6.8738518981865706</v>
      </c>
      <c r="L13" s="42">
        <f t="shared" si="0"/>
        <v>49.059008722674953</v>
      </c>
      <c r="M13" s="30">
        <f>IF(ISNA(VLOOKUP(A13,'Données projet'!$A$35:$I$55,3,0)),0,VLOOKUP(A13,'Données projet'!$A$35:$I$55,3,0))</f>
        <v>0</v>
      </c>
      <c r="N13" s="30">
        <f>IF(ISNA(VLOOKUP(A13,'Données projet'!$A$35:$I$55,4,0)),0,VLOOKUP(A13,'Données projet'!$A$35:$I$55,4,0))</f>
        <v>0</v>
      </c>
      <c r="O13" s="31">
        <f>IF(ISNA(VLOOKUP(A13,'Données projet'!$A$35:$I$55,5,0)),0%,VLOOKUP(A13,'Données projet'!$A$35:$I$55,5,0)*VLOOKUP('Données projet'!$B$9,Paramètres!$A$1:$I$88,7,0))</f>
        <v>0</v>
      </c>
      <c r="P13" s="31">
        <f>IF(ISNA(VLOOKUP(A13,'Données projet'!$A$35:$I$55,6,0)),0%,VLOOKUP(A13,'Données projet'!$A$35:$I$55,6,0)*VLOOKUP('Données projet'!$B$9,Paramètres!$A$1:$I$88,7,0))</f>
        <v>0</v>
      </c>
      <c r="Q13" s="31">
        <f>IF(ISNA(VLOOKUP(A13,'Données projet'!$A$35:$I$55,7,0)),0%,VLOOKUP(A13,'Données projet'!$A$35:$I$55,7,0))</f>
        <v>0</v>
      </c>
      <c r="R13" s="43">
        <f>EXP(-LN(2)/35)*R12+(1-EXP(-LN(2)/35))/(LN(2)/35)*N13*O13*VLOOKUP('Données projet'!$B$9,Paramètres!$A$1:$I$88,3,0)*0.475*44/12</f>
        <v>0</v>
      </c>
      <c r="S13" s="43">
        <f>EXP(-LN(2)/25)*S12+(1-EXP(-LN(2)/25))/(LN(2)/25)*Calculateur!N13*Calculateur!P13*VLOOKUP('Données projet'!$B$9,Paramètres!$A$1:$I$88,3,0)*0.475*44/12</f>
        <v>0</v>
      </c>
      <c r="T13" s="43">
        <f>EXP(-LN(2)/2)*T12+(1-EXP(-LN(2)/2))/(LN(2)/2)*N13*Q13*VLOOKUP('Données projet'!$B$9,Paramètres!$A$1:$I$88,3,0)*0.475*44/12</f>
        <v>0</v>
      </c>
      <c r="U13" s="43">
        <f t="shared" si="1"/>
        <v>0</v>
      </c>
      <c r="V13" s="32" t="e">
        <f>VLOOKUP(A13,'Données projet'!$A$61:$I$81,2,0)</f>
        <v>#N/A</v>
      </c>
      <c r="W13" s="33" t="e">
        <f>VLOOKUP(A13,'Données projet'!$A$61:$I$81,9,0)</f>
        <v>#N/A</v>
      </c>
      <c r="X13" s="33">
        <f t="array" ref="X13">INDEX(W:W,MIN(IF(ISNUMBER(W13:W209),ROW(W13:W209),"")))</f>
        <v>0</v>
      </c>
      <c r="Y13" s="33">
        <f t="shared" si="24"/>
        <v>0</v>
      </c>
      <c r="Z13" s="34" t="e">
        <f>Y13*VLOOKUP('Données projet'!$B$10,Paramètres!$A$1:$I$88,3,0)*VLOOKUP('Données projet'!$B$10,Paramètres!$A$1:$I$88,5,0)</f>
        <v>#N/A</v>
      </c>
      <c r="AA13" s="34" t="e">
        <f t="shared" si="25"/>
        <v>#N/A</v>
      </c>
      <c r="AB13" s="44" t="e">
        <f t="shared" si="2"/>
        <v>#N/A</v>
      </c>
      <c r="AC13" s="36">
        <f>IF(ISNA(VLOOKUP(A13,'Données projet'!$A$61:$I$81,3,0)),0,VLOOKUP(A13,'Données projet'!$A$61:$I$81,3,0))</f>
        <v>0</v>
      </c>
      <c r="AD13" s="36">
        <f>IF(ISNA(VLOOKUP(A13,'Données projet'!$A$61:$I$81,4,0)),0,VLOOKUP(A13,'Données projet'!$A$61:$I$81,4,0))</f>
        <v>0</v>
      </c>
      <c r="AE13" s="37">
        <f>IF(ISNA(VLOOKUP(A13,'Données projet'!$A$61:$I$81,5,0)),0%,VLOOKUP(A13,'Données projet'!$A$61:$I$81,5,0)*VLOOKUP('Données projet'!$B$10,Paramètres!$A$1:$I$88,7,0))</f>
        <v>0</v>
      </c>
      <c r="AF13" s="37">
        <f>IF(ISNA(VLOOKUP(A13,'Données projet'!$A$61:$I$81,6,0)),0%,VLOOKUP(A13,'Données projet'!$A$61:$I$81,6,0)*VLOOKUP('Données projet'!$B$10,Paramètres!$A$1:$I$88,7,0))</f>
        <v>0</v>
      </c>
      <c r="AG13" s="37">
        <f>IF(ISNA(VLOOKUP(A13,'Données projet'!$A$61:$I$81,7,0)),0%,VLOOKUP(A13,'Données projet'!$A$61:$I$81,7,0))</f>
        <v>0</v>
      </c>
      <c r="AH13" s="45">
        <f>EXP(-LN(2)/35)*AH12+(1-EXP(-LN(2)/35))/(LN(2)/35)*AD13*AE13*VLOOKUP('Données projet'!$B$9,Paramètres!$A$1:$I$88,3,0)*0.475*44/12</f>
        <v>0</v>
      </c>
      <c r="AI13" s="45">
        <f>EXP(-LN(2)/25)*AI12+(1-EXP(-LN(2)/25))/(LN(2)/25)*Calculateur!AD13*Calculateur!AF13*VLOOKUP('Données projet'!$B$9,Paramètres!$A$1:$I$88,3,0)*0.475*44/12</f>
        <v>0</v>
      </c>
      <c r="AJ13" s="45">
        <f>EXP(-LN(2)/2)*AJ12+(1-EXP(-LN(2)/2))/(LN(2)/2)*AD13*AG13*VLOOKUP('Données projet'!$B$9,Paramètres!$A$1:$I$88,3,0)*0.475*44/12</f>
        <v>0</v>
      </c>
      <c r="AK13" s="45">
        <f t="shared" si="3"/>
        <v>0</v>
      </c>
      <c r="AL13" s="32" t="e">
        <f>VLOOKUP(A13,'Données projet'!$A$87:$I$107,2,0)</f>
        <v>#N/A</v>
      </c>
      <c r="AM13" s="33" t="e">
        <f>VLOOKUP(A13,'Données projet'!$A$87:$I$107,9,0)</f>
        <v>#N/A</v>
      </c>
      <c r="AN13" s="33">
        <f t="array" ref="AN13">INDEX(AM:AM,MIN(IF(ISNUMBER(AM13:AM209),ROW(AM13:AM209),"")))</f>
        <v>0</v>
      </c>
      <c r="AO13" s="33">
        <f t="shared" si="26"/>
        <v>0</v>
      </c>
      <c r="AP13" s="34" t="e">
        <f>AO13*VLOOKUP('Données projet'!$B$11,Paramètres!$A$1:$I$88,3,0)*VLOOKUP('Données projet'!$B$11,Paramètres!$A$1:$I$88,5,0)</f>
        <v>#N/A</v>
      </c>
      <c r="AQ13" s="34" t="e">
        <f t="shared" si="27"/>
        <v>#N/A</v>
      </c>
      <c r="AR13" s="44" t="e">
        <f t="shared" si="4"/>
        <v>#N/A</v>
      </c>
      <c r="AS13" s="36">
        <f>IF(ISNA(VLOOKUP(A13,'Données projet'!$A$87:$I$107,3,0)),0,VLOOKUP(A13,'Données projet'!$A$87:$I$107,3,0))</f>
        <v>0</v>
      </c>
      <c r="AT13" s="36">
        <f>IF(ISNA(VLOOKUP(A13,'Données projet'!$A$87:$I$107,4,0)),0,VLOOKUP(A13,'Données projet'!$A$87:$I$107,4,0))</f>
        <v>0</v>
      </c>
      <c r="AU13" s="37">
        <f>IF(ISNA(VLOOKUP(A13,'Données projet'!$A$87:$I$107,5,0)),0%,VLOOKUP(A13,'Données projet'!$A$87:$I$107,5,0)*VLOOKUP('Données projet'!$B$11,Paramètres!$A$1:$I$88,7,0))</f>
        <v>0</v>
      </c>
      <c r="AV13" s="37">
        <f>IF(ISNA(VLOOKUP(A13,'Données projet'!$A$87:$I$107,6,0)),0%,VLOOKUP(A13,'Données projet'!$A$87:$I$107,6,0)*VLOOKUP('Données projet'!$B$11,Paramètres!$A$1:$I$88,7,0))</f>
        <v>0</v>
      </c>
      <c r="AW13" s="37">
        <f>IF(ISNA(VLOOKUP(A13,'Données projet'!$A$87:$I$107,7,0)),0%,VLOOKUP(A13,'Données projet'!$A$87:$I$107,7,0))</f>
        <v>0</v>
      </c>
      <c r="AX13" s="45">
        <f>EXP(-LN(2)/35)*AX12+(1-EXP(-LN(2)/35))/(LN(2)/35)*AT13*AU13*VLOOKUP('Données projet'!$B$9,Paramètres!$A$1:$I$88,3,0)*0.475*44/12</f>
        <v>0</v>
      </c>
      <c r="AY13" s="45">
        <f>EXP(-LN(2)/25)*AY12+(1-EXP(-LN(2)/25))/(LN(2)/25)*Calculateur!AT13*Calculateur!AV13*VLOOKUP('Données projet'!$B$9,Paramètres!$A$1:$I$88,3,0)*0.475*44/12</f>
        <v>0</v>
      </c>
      <c r="AZ13" s="45">
        <f>EXP(-LN(2)/2)*AZ12+(1-EXP(-LN(2)/2))/(LN(2)/2)*AT13*AW13*VLOOKUP('Données projet'!$B$9,Paramètres!$A$1:$I$88,3,0)*0.475*44/12</f>
        <v>0</v>
      </c>
      <c r="BA13" s="46">
        <f t="shared" si="5"/>
        <v>0</v>
      </c>
      <c r="BB13" s="32" t="e">
        <f>VLOOKUP(A13,'Données projet'!$A$113:$I$133,2,0)</f>
        <v>#N/A</v>
      </c>
      <c r="BC13" s="33" t="e">
        <f>VLOOKUP(A13,'Données projet'!$A$113:$I$133,9,0)</f>
        <v>#N/A</v>
      </c>
      <c r="BD13" s="33">
        <f t="array" ref="BD13">INDEX(BC:BC,MIN(IF(ISNUMBER(BC13:BC209),ROW(BC13:BC209),"")))</f>
        <v>0</v>
      </c>
      <c r="BE13" s="33">
        <f t="shared" si="28"/>
        <v>0</v>
      </c>
      <c r="BF13" s="34" t="e">
        <f>BE13*VLOOKUP('Données projet'!$B$12,Paramètres!$A$1:$I$88,3,0)*VLOOKUP('Données projet'!$B$12,Paramètres!$A$1:$I$88,5,0)</f>
        <v>#N/A</v>
      </c>
      <c r="BG13" s="34" t="e">
        <f t="shared" si="29"/>
        <v>#N/A</v>
      </c>
      <c r="BH13" s="44" t="e">
        <f t="shared" si="6"/>
        <v>#N/A</v>
      </c>
      <c r="BI13" s="36">
        <f>IF(ISNA(VLOOKUP(A13,'Données projet'!$A$113:$I$133,3,0)),0,VLOOKUP(A13,'Données projet'!$A$113:$I$133,3,0))</f>
        <v>0</v>
      </c>
      <c r="BJ13" s="36">
        <f>IF(ISNA(VLOOKUP(A13,'Données projet'!$A$113:$I$133,4,0)),0,VLOOKUP(A13,'Données projet'!$A$113:$I$133,4,0))</f>
        <v>0</v>
      </c>
      <c r="BK13" s="37">
        <f>IF(ISNA(VLOOKUP(A13,'Données projet'!$A$113:$I$133,5,0)),0%,VLOOKUP(A13,'Données projet'!$A$113:$I$133,5,0)*VLOOKUP('Données projet'!$B$12,Paramètres!$A$1:$I$88,7,0))</f>
        <v>0</v>
      </c>
      <c r="BL13" s="37">
        <f>IF(ISNA(VLOOKUP(A13,'Données projet'!$A$113:$I$133,6,0)),0%,VLOOKUP(A13,'Données projet'!$A$113:$I$133,6,0)*VLOOKUP('Données projet'!$B$12,Paramètres!$A$1:$I$88,7,0))</f>
        <v>0</v>
      </c>
      <c r="BM13" s="37">
        <f>IF(ISNA(VLOOKUP(A13,'Données projet'!$A$113:$I$133,7,0)),0%,VLOOKUP(A13,'Données projet'!$A$113:$I$133,7,0))</f>
        <v>0</v>
      </c>
      <c r="BN13" s="45">
        <f>EXP(-LN(2)/35)*BN12+(1-EXP(-LN(2)/35))/(LN(2)/35)*BJ13*BK13*VLOOKUP('Données projet'!$B$9,Paramètres!$A$1:$I$88,3,0)*0.475*44/12</f>
        <v>0</v>
      </c>
      <c r="BO13" s="45">
        <f>EXP(-LN(2)/25)*BO12+(1-EXP(-LN(2)/25))/(LN(2)/25)*Calculateur!BJ13*Calculateur!BL13*VLOOKUP('Données projet'!$B$9,Paramètres!$A$1:$I$88,3,0)*0.475*44/12</f>
        <v>0</v>
      </c>
      <c r="BP13" s="45">
        <f>EXP(-LN(2)/2)*BP12+(1-EXP(-LN(2)/2))/(LN(2)/2)*BJ13*BM13*VLOOKUP('Données projet'!$B$9,Paramètres!$A$1:$I$88,3,0)*0.475*44/12</f>
        <v>0</v>
      </c>
      <c r="BQ13" s="46">
        <f t="shared" si="7"/>
        <v>0</v>
      </c>
      <c r="BR13" s="32" t="e">
        <f>VLOOKUP(A13,'Données projet'!$A$139:$I$159,2,0)</f>
        <v>#N/A</v>
      </c>
      <c r="BS13" s="33" t="e">
        <f>VLOOKUP(A13,'Données projet'!$A$139:$I$159,9,0)</f>
        <v>#N/A</v>
      </c>
      <c r="BT13" s="33">
        <f t="array" ref="BT13">INDEX(BS:BS,MIN(IF(ISNUMBER(BS13:BS209),ROW(BS13:BS209),"")))</f>
        <v>0</v>
      </c>
      <c r="BU13" s="33">
        <f t="shared" si="41"/>
        <v>0</v>
      </c>
      <c r="BV13" s="38" t="e">
        <f>BU13*VLOOKUP('Données projet'!$B$13,Paramètres!$A$1:$I$88,3,0)*VLOOKUP('Données projet'!$B$13,Paramètres!$A$1:$I$88,5,0)</f>
        <v>#N/A</v>
      </c>
      <c r="BW13" s="34" t="e">
        <f t="shared" si="30"/>
        <v>#N/A</v>
      </c>
      <c r="BX13" s="44" t="e">
        <f t="shared" si="8"/>
        <v>#N/A</v>
      </c>
      <c r="BY13" s="36">
        <f>IF(ISNA(VLOOKUP(A13,'Données projet'!$A$139:$I$159,3,0)),0,VLOOKUP(A13,'Données projet'!$A$139:$I$159,3,0))</f>
        <v>0</v>
      </c>
      <c r="BZ13" s="36">
        <f>IF(ISNA(VLOOKUP(A13,'Données projet'!$A$139:$I$159,4,0)),0,VLOOKUP(A13,'Données projet'!$A$139:$I$159,4,0))</f>
        <v>0</v>
      </c>
      <c r="CA13" s="37">
        <f>IF(ISNA(VLOOKUP(A13,'Données projet'!$A$139:$I$159,5,0)),0%,VLOOKUP(A13,'Données projet'!$A$139:$I$159,5,0)*VLOOKUP('Données projet'!$B$13,Paramètres!$A$1:$I$88,7,0))</f>
        <v>0</v>
      </c>
      <c r="CB13" s="37">
        <f>IF(ISNA(VLOOKUP(A13,'Données projet'!$A$139:$I$159,6,0)),0%,VLOOKUP(A13,'Données projet'!$A$139:$I$159,6,0)*VLOOKUP('Données projet'!$B$13,Paramètres!$A$1:$I$88,7,0))</f>
        <v>0</v>
      </c>
      <c r="CC13" s="37">
        <f>IF(ISNA(VLOOKUP(A13,'Données projet'!$A$139:$I$159,7,0)),0%,VLOOKUP(A13,'Données projet'!$A$139:$I$159,7,0))</f>
        <v>0</v>
      </c>
      <c r="CD13" s="45">
        <f>EXP(-LN(2)/35)*CD12+(1-EXP(-LN(2)/35))/(LN(2)/35)*BZ13*CA13*VLOOKUP('Données projet'!$B$9,Paramètres!$A$1:$I$88,3,0)*0.475*44/12</f>
        <v>0</v>
      </c>
      <c r="CE13" s="45">
        <f>EXP(-LN(2)/25)*CE12+(1-EXP(-LN(2)/25))/(LN(2)/25)*Calculateur!BZ13*Calculateur!CB13*VLOOKUP('Données projet'!$B$9,Paramètres!$A$1:$I$88,3,0)*0.475*44/12</f>
        <v>0</v>
      </c>
      <c r="CF13" s="45">
        <f>EXP(-LN(2)/2)*CF12+(1-EXP(-LN(2)/2))/(LN(2)/2)*BZ13*CC13*VLOOKUP('Données projet'!$B$9,Paramètres!$A$1:$I$88,3,0)*0.475*44/12</f>
        <v>0</v>
      </c>
      <c r="CG13" s="46">
        <f t="shared" si="9"/>
        <v>0</v>
      </c>
      <c r="CH13" s="32" t="e">
        <f>VLOOKUP(A13,'Données projet'!$A$165:$I$185,2,0)</f>
        <v>#N/A</v>
      </c>
      <c r="CI13" s="33" t="e">
        <f>VLOOKUP(A13,'Données projet'!$A$165:$I$185,9,0)</f>
        <v>#N/A</v>
      </c>
      <c r="CJ13" s="33">
        <f t="array" ref="CJ13">INDEX(CI:CI,MIN(IF(ISNUMBER(CI13:CI209),ROW(CI13:CI209),"")))</f>
        <v>0</v>
      </c>
      <c r="CK13" s="33">
        <f t="shared" si="31"/>
        <v>0</v>
      </c>
      <c r="CL13" s="38" t="e">
        <f>CK13*VLOOKUP('Données projet'!$B$14,Paramètres!$A$1:$I$88,3,0)*VLOOKUP('Données projet'!$B$14,Paramètres!$A$1:$I$88,5,0)</f>
        <v>#N/A</v>
      </c>
      <c r="CM13" s="34" t="e">
        <f t="shared" si="32"/>
        <v>#N/A</v>
      </c>
      <c r="CN13" s="44" t="e">
        <f t="shared" si="10"/>
        <v>#N/A</v>
      </c>
      <c r="CO13" s="36">
        <f>IF(ISNA(VLOOKUP(A13,'Données projet'!$A$165:$I$185,3,0)),0,VLOOKUP(A13,'Données projet'!$A$165:$I$185,3,0))</f>
        <v>0</v>
      </c>
      <c r="CP13" s="36">
        <f>IF(ISNA(VLOOKUP(A13,'Données projet'!$A$165:$I$185,4,0)),0,VLOOKUP(A13,'Données projet'!$A$165:$I$185,4,0))</f>
        <v>0</v>
      </c>
      <c r="CQ13" s="37">
        <f>IF(ISNA(VLOOKUP(A13,'Données projet'!$A$165:$I$185,5,0)),0%,VLOOKUP(A13,'Données projet'!$A$165:$I$185,5,0)*VLOOKUP('Données projet'!$B$14,Paramètres!$A$1:$I$88,7,0))</f>
        <v>0</v>
      </c>
      <c r="CR13" s="37">
        <f>IF(ISNA(VLOOKUP(A13,'Données projet'!$A$165:$I$185,6,0)),0%,VLOOKUP(A13,'Données projet'!$A$165:$I$185,6,0)*VLOOKUP('Données projet'!$B$14,Paramètres!$A$1:$I$88,7,0))</f>
        <v>0</v>
      </c>
      <c r="CS13" s="37">
        <f>IF(ISNA(VLOOKUP(A13,'Données projet'!$A$165:$I$185,7,0)),0%,VLOOKUP(A13,'Données projet'!$A$165:$I$185,7,0))</f>
        <v>0</v>
      </c>
      <c r="CT13" s="45">
        <f>EXP(-LN(2)/35)*CT12+(1-EXP(-LN(2)/35))/(LN(2)/35)*CP13*CQ13*VLOOKUP('Données projet'!$B$9,Paramètres!$A$1:$I$88,3,0)*0.475*44/12</f>
        <v>0</v>
      </c>
      <c r="CU13" s="45">
        <f>EXP(-LN(2)/25)*CU12+(1-EXP(-LN(2)/25))/(LN(2)/25)*Calculateur!CP13*Calculateur!CR13*VLOOKUP('Données projet'!$B$9,Paramètres!$A$1:$I$88,3,0)*0.475*44/12</f>
        <v>0</v>
      </c>
      <c r="CV13" s="45">
        <f>EXP(-LN(2)/2)*CV12+(1-EXP(-LN(2)/2))/(LN(2)/2)*CP13*CS13*VLOOKUP('Données projet'!$B$9,Paramètres!$A$1:$I$88,3,0)*0.475*44/12</f>
        <v>0</v>
      </c>
      <c r="CW13" s="46">
        <f t="shared" si="11"/>
        <v>0</v>
      </c>
      <c r="CX13" s="32" t="e">
        <f>VLOOKUP(A13,'Données projet'!$A$191:$I$211,2,0)</f>
        <v>#N/A</v>
      </c>
      <c r="CY13" s="33" t="e">
        <f>VLOOKUP(A13,'Données projet'!$A$191:$I$211,9,0)</f>
        <v>#N/A</v>
      </c>
      <c r="CZ13" s="33">
        <f t="array" ref="CZ13">INDEX(CY:CY,MIN(IF(ISNUMBER(CY13:CY209),ROW(CY13:CY209),"")))</f>
        <v>0</v>
      </c>
      <c r="DA13" s="33">
        <f t="shared" si="33"/>
        <v>0</v>
      </c>
      <c r="DB13" s="38" t="e">
        <f>DA13*VLOOKUP('Données projet'!$B$15,Paramètres!$A$1:$I$88,3,0)*VLOOKUP('Données projet'!$B$15,Paramètres!$A$1:$I$88,5,0)</f>
        <v>#N/A</v>
      </c>
      <c r="DC13" s="34" t="e">
        <f t="shared" si="34"/>
        <v>#N/A</v>
      </c>
      <c r="DD13" s="44" t="e">
        <f t="shared" si="12"/>
        <v>#N/A</v>
      </c>
      <c r="DE13" s="36">
        <f>IF(ISNA(VLOOKUP(A13,'Données projet'!$A$191:$I$211,3,0)),0,VLOOKUP(A13,'Données projet'!$A$191:$I$211,3,0))</f>
        <v>0</v>
      </c>
      <c r="DF13" s="36">
        <f>IF(ISNA(VLOOKUP(A13,'Données projet'!$A$191:$I$211,4,0)),0,VLOOKUP(A13,'Données projet'!$A$191:$I$211,4,0))</f>
        <v>0</v>
      </c>
      <c r="DG13" s="37">
        <f>IF(ISNA(VLOOKUP(A13,'Données projet'!$A$191:$I$211,5,0)),0%,VLOOKUP(A13,'Données projet'!$A$191:$I$211,5,0)*VLOOKUP('Données projet'!$B$15,Paramètres!$A$1:$I$88,7,0))</f>
        <v>0</v>
      </c>
      <c r="DH13" s="37">
        <f>IF(ISNA(VLOOKUP(A13,'Données projet'!$A$191:$I$211,6,0)),0%,VLOOKUP(A13,'Données projet'!$A$191:$I$211,6,0)*VLOOKUP('Données projet'!$B$15,Paramètres!$A$1:$I$88,7,0))</f>
        <v>0</v>
      </c>
      <c r="DI13" s="37">
        <f>IF(ISNA(VLOOKUP(A13,'Données projet'!$A$191:$I$211,7,0)),0%,VLOOKUP(A13,'Données projet'!$A$191:$I$211,7,0))</f>
        <v>0</v>
      </c>
      <c r="DJ13" s="45">
        <f>EXP(-LN(2)/35)*DJ12+(1-EXP(-LN(2)/35))/(LN(2)/35)*DF13*DG13*VLOOKUP('Données projet'!$B$9,Paramètres!$A$1:$I$88,3,0)*0.475*44/12</f>
        <v>0</v>
      </c>
      <c r="DK13" s="45">
        <f>EXP(-LN(2)/25)*DK12+(1-EXP(-LN(2)/25))/(LN(2)/25)*Calculateur!DF13*Calculateur!DH13*VLOOKUP('Données projet'!$B$9,Paramètres!$A$1:$I$88,3,0)*0.475*44/12</f>
        <v>0</v>
      </c>
      <c r="DL13" s="45">
        <f>EXP(-LN(2)/2)*DL12+(1-EXP(-LN(2)/2))/(LN(2)/2)*DF13*DI13*VLOOKUP('Données projet'!$B$9,Paramètres!$A$1:$I$88,3,0)*0.475*44/12</f>
        <v>0</v>
      </c>
      <c r="DM13" s="46">
        <f t="shared" si="13"/>
        <v>0</v>
      </c>
      <c r="DN13" s="32" t="e">
        <f>VLOOKUP(A13,'Données projet'!$A$217:$I$237,2,0)</f>
        <v>#N/A</v>
      </c>
      <c r="DO13" s="33" t="e">
        <f>VLOOKUP(A13,'Données projet'!$A$217:$I$237,9,0)</f>
        <v>#N/A</v>
      </c>
      <c r="DP13" s="33">
        <f t="array" ref="DP13">INDEX(DO:DO,MIN(IF(ISNUMBER(DO13:DO209),ROW(DO13:DO209),"")))</f>
        <v>0</v>
      </c>
      <c r="DQ13" s="33">
        <f t="shared" si="35"/>
        <v>0</v>
      </c>
      <c r="DR13" s="38" t="e">
        <f>DQ13*VLOOKUP('Données projet'!$B$16,Paramètres!$A$1:$I$88,3,0)*VLOOKUP('Données projet'!$B$16,Paramètres!$A$1:$I$88,5,0)</f>
        <v>#N/A</v>
      </c>
      <c r="DS13" s="34" t="e">
        <f t="shared" si="36"/>
        <v>#N/A</v>
      </c>
      <c r="DT13" s="44" t="e">
        <f t="shared" si="14"/>
        <v>#N/A</v>
      </c>
      <c r="DU13" s="36">
        <f>IF(ISNA(VLOOKUP(A13,'Données projet'!$A$217:$I$237,3,0)),0,VLOOKUP(A13,'Données projet'!$A$217:$I$237,3,0))</f>
        <v>0</v>
      </c>
      <c r="DV13" s="36">
        <f>IF(ISNA(VLOOKUP(A13,'Données projet'!$A$217:$I$237,4,0)),0,VLOOKUP(A13,'Données projet'!$A$217:$I$237,4,0))</f>
        <v>0</v>
      </c>
      <c r="DW13" s="37">
        <f>IF(ISNA(VLOOKUP(A13,'Données projet'!$A$217:$I$237,5,0)),0%,VLOOKUP(A13,'Données projet'!$A$217:$I$237,5,0)*VLOOKUP('Données projet'!$B$16,Paramètres!$A$1:$I$88,7,0))</f>
        <v>0</v>
      </c>
      <c r="DX13" s="37">
        <f>IF(ISNA(VLOOKUP(A13,'Données projet'!$A$217:$I$237,6,0)),0%,VLOOKUP(A13,'Données projet'!$A$217:$I$237,6,0)*VLOOKUP('Données projet'!$B$16,Paramètres!$A$1:$I$88,7,0))</f>
        <v>0</v>
      </c>
      <c r="DY13" s="37">
        <f>IF(ISNA(VLOOKUP(A13,'Données projet'!$A$217:$I$237,7,0)),0%,VLOOKUP(A13,'Données projet'!$A$217:$I$237,7,0))</f>
        <v>0</v>
      </c>
      <c r="DZ13" s="45">
        <f>EXP(-LN(2)/35)*DZ12+(1-EXP(-LN(2)/35))/(LN(2)/35)*DV13*DW13*VLOOKUP('Données projet'!$B$9,Paramètres!$A$1:$I$88,3,0)*0.475*44/12</f>
        <v>0</v>
      </c>
      <c r="EA13" s="45">
        <f>EXP(-LN(2)/25)*EA12+(1-EXP(-LN(2)/25))/(LN(2)/25)*Calculateur!DV13*Calculateur!DX13*VLOOKUP('Données projet'!$B$9,Paramètres!$A$1:$I$88,3,0)*0.475*44/12</f>
        <v>0</v>
      </c>
      <c r="EB13" s="45">
        <f>EXP(-LN(2)/2)*EB12+(1-EXP(-LN(2)/2))/(LN(2)/2)*DV13*DY13*VLOOKUP('Données projet'!$B$9,Paramètres!$A$1:$I$88,3,0)*0.475*44/12</f>
        <v>0</v>
      </c>
      <c r="EC13" s="46">
        <f t="shared" si="15"/>
        <v>0</v>
      </c>
      <c r="ED13" s="32" t="e">
        <f>VLOOKUP(A13,'Données projet'!$A$243:$I$263,2,0)</f>
        <v>#N/A</v>
      </c>
      <c r="EE13" s="33" t="e">
        <f>VLOOKUP(A13,'Données projet'!$A$243:$I$263,9,0)</f>
        <v>#N/A</v>
      </c>
      <c r="EF13" s="33">
        <f t="array" ref="EF13">INDEX(EE:EE,MIN(IF(ISNUMBER(EE13:EE209),ROW(EE13:EE209),"")))</f>
        <v>0</v>
      </c>
      <c r="EG13" s="33">
        <f t="shared" si="37"/>
        <v>0</v>
      </c>
      <c r="EH13" s="38" t="e">
        <f>EG13*VLOOKUP('Données projet'!$B$17,Paramètres!$A$1:$I$88,3,0)*VLOOKUP('Données projet'!$B$17,Paramètres!$A$1:$I$88,5,0)</f>
        <v>#N/A</v>
      </c>
      <c r="EI13" s="34" t="e">
        <f t="shared" si="38"/>
        <v>#N/A</v>
      </c>
      <c r="EJ13" s="44" t="e">
        <f t="shared" si="16"/>
        <v>#N/A</v>
      </c>
      <c r="EK13" s="36">
        <f>IF(ISNA(VLOOKUP(A13,'Données projet'!$A$243:$I$263,3,0)),0,VLOOKUP(A13,'Données projet'!$A$243:$I$263,3,0))</f>
        <v>0</v>
      </c>
      <c r="EL13" s="36">
        <f>IF(ISNA(VLOOKUP(A13,'Données projet'!$A$243:$I$263,4,0)),0,VLOOKUP(A13,'Données projet'!$A$243:$I$263,4,0))</f>
        <v>0</v>
      </c>
      <c r="EM13" s="37">
        <f>IF(ISNA(VLOOKUP(A13,'Données projet'!$A$243:$I$263,5,0)),0%,VLOOKUP(A13,'Données projet'!$A$243:$I$263,5,0)*VLOOKUP('Données projet'!$B$17,Paramètres!$A$1:$I$88,7,0))</f>
        <v>0</v>
      </c>
      <c r="EN13" s="37">
        <f>IF(ISNA(VLOOKUP(A13,'Données projet'!$A$243:$I$263,6,0)),0%,VLOOKUP(A13,'Données projet'!$A$243:$I$263,6,0)*VLOOKUP('Données projet'!$B$17,Paramètres!$A$1:$I$88,7,0))</f>
        <v>0</v>
      </c>
      <c r="EO13" s="37">
        <f>IF(ISNA(VLOOKUP(A13,'Données projet'!$A$243:$I$263,7,0)),0%,VLOOKUP(A13,'Données projet'!$A$243:$I$263,7,0))</f>
        <v>0</v>
      </c>
      <c r="EP13" s="45">
        <f>EXP(-LN(2)/35)*EP12+(1-EXP(-LN(2)/35))/(LN(2)/35)*EL13*EM13*VLOOKUP('Données projet'!$B$9,Paramètres!$A$1:$I$88,3,0)*0.475*44/12</f>
        <v>0</v>
      </c>
      <c r="EQ13" s="45">
        <f>EXP(-LN(2)/25)*EQ12+(1-EXP(-LN(2)/25))/(LN(2)/25)*Calculateur!EL13*Calculateur!EN13*VLOOKUP('Données projet'!$B$9,Paramètres!$A$1:$I$88,3,0)*0.475*44/12</f>
        <v>0</v>
      </c>
      <c r="ER13" s="45">
        <f>EXP(-LN(2)/2)*ER12+(1-EXP(-LN(2)/2))/(LN(2)/2)*EL13*EO13*VLOOKUP('Données projet'!$B$9,Paramètres!$A$1:$I$88,3,0)*0.475*44/12</f>
        <v>0</v>
      </c>
      <c r="ES13" s="46">
        <f t="shared" si="17"/>
        <v>0</v>
      </c>
      <c r="ET13" s="32" t="e">
        <f>VLOOKUP(A13,'Données projet'!$A$269:$I$289,2,0)</f>
        <v>#N/A</v>
      </c>
      <c r="EU13" s="33" t="e">
        <f>VLOOKUP(A13,'Données projet'!$A$269:$I$289,9,0)</f>
        <v>#N/A</v>
      </c>
      <c r="EV13" s="33">
        <f t="array" ref="EV13">INDEX(EU:EU,MIN(IF(ISNUMBER(EU13:EU209),ROW(EU13:EU209),"")))</f>
        <v>0</v>
      </c>
      <c r="EW13" s="33">
        <f t="shared" si="39"/>
        <v>0</v>
      </c>
      <c r="EX13" s="38" t="e">
        <f>EW13*VLOOKUP('Données projet'!$B$18,Paramètres!$A$1:$I$88,3,0)*VLOOKUP('Données projet'!$B$18,Paramètres!$A$1:$I$88,5,0)</f>
        <v>#N/A</v>
      </c>
      <c r="EY13" s="34" t="e">
        <f t="shared" si="40"/>
        <v>#N/A</v>
      </c>
      <c r="EZ13" s="44" t="e">
        <f t="shared" si="18"/>
        <v>#N/A</v>
      </c>
      <c r="FA13" s="36">
        <f>IF(ISNA(VLOOKUP(A13,'Données projet'!$A$269:$I$289,3,0)),0,VLOOKUP(A13,'Données projet'!$A$269:$I$289,3,0))</f>
        <v>0</v>
      </c>
      <c r="FB13" s="36">
        <f>IF(ISNA(VLOOKUP(A13,'Données projet'!$A$269:$I$289,4,0)),0,VLOOKUP(A13,'Données projet'!$A$269:$I$289,4,0))</f>
        <v>0</v>
      </c>
      <c r="FC13" s="37">
        <f>IF(ISNA(VLOOKUP(A13,'Données projet'!$A$269:$I$289,5,0)),0%,VLOOKUP(A13,'Données projet'!$A$269:$I$289,5,0)*VLOOKUP('Données projet'!$B$18,Paramètres!$A$1:$I$88,7,0))</f>
        <v>0</v>
      </c>
      <c r="FD13" s="37">
        <f>IF(ISNA(VLOOKUP(A13,'Données projet'!$A$269:$I$289,6,0)),0%,VLOOKUP(A13,'Données projet'!$A$269:$I$289,6,0)*VLOOKUP('Données projet'!$B$18,Paramètres!$A$1:$I$88,7,0))</f>
        <v>0</v>
      </c>
      <c r="FE13" s="37">
        <f>IF(ISNA(VLOOKUP(A13,'Données projet'!$A$269:$I$289,7,0)),0%,VLOOKUP(A13,'Données projet'!$A$269:$I$289,7,0))</f>
        <v>0</v>
      </c>
      <c r="FF13" s="45">
        <f>EXP(-LN(2)/35)*FF12+(1-EXP(-LN(2)/35))/(LN(2)/35)*FB13*FC13*VLOOKUP('Données projet'!$B$9,Paramètres!$A$1:$I$88,3,0)*0.475*44/12</f>
        <v>0</v>
      </c>
      <c r="FG13" s="45">
        <f>EXP(-LN(2)/25)*FG12+(1-EXP(-LN(2)/25))/(LN(2)/25)*Calculateur!FB13*Calculateur!FD13*VLOOKUP('Données projet'!$B$9,Paramètres!$A$1:$I$88,3,0)*0.475*44/12</f>
        <v>0</v>
      </c>
      <c r="FH13" s="45">
        <f>EXP(-LN(2)/2)*FH12+(1-EXP(-LN(2)/2))/(LN(2)/2)*FB13*FE13*VLOOKUP('Données projet'!$B$9,Paramètres!$A$1:$I$88,3,0)*0.475*44/12</f>
        <v>0</v>
      </c>
      <c r="FI13" s="46">
        <f t="shared" si="19"/>
        <v>0</v>
      </c>
    </row>
    <row r="14" spans="1:165" x14ac:dyDescent="0.25">
      <c r="A14" s="24">
        <f t="shared" si="20"/>
        <v>11</v>
      </c>
      <c r="B14" s="25">
        <f>IF('Scénario référence'!$N$1=1,5,0)</f>
        <v>0</v>
      </c>
      <c r="C14" s="40">
        <f>IF(OR('Scénario référence'!$N$1=2,'Scénario référence'!$N$1=4),C13+1*VLOOKUP('Scénario référence'!$G$14,Paramètres!$A$1:$I$88,3,0)*VLOOKUP('Scénario référence'!$G$14,Paramètres!$A$1:$I$88,5,0),IF(OR('Scénario référence'!$N$1=3,'Scénario référence'!$N$1=5),C13+0.5*VLOOKUP('Scénario référence'!$G$14,Paramètres!$A$1:$I$88,3,0)*VLOOKUP('Scénario référence'!$G$14,Paramètres!$A$1:$I$88,5,0),0))</f>
        <v>6.006000000000002</v>
      </c>
      <c r="D14" s="26">
        <f t="shared" si="21"/>
        <v>2.2465188167092136</v>
      </c>
      <c r="E14" s="27">
        <f>IF('Scénario référence'!$N$1=1,B14*44/12,(C14+D14)*0.475*44/12)</f>
        <v>14.373136939101883</v>
      </c>
      <c r="F14" s="28" t="e">
        <f>VLOOKUP(A14,'Données projet'!$A$35:$I$55,2,0)</f>
        <v>#N/A</v>
      </c>
      <c r="G14" s="28" t="e">
        <f>VLOOKUP(A14,'Données projet'!$A$35:$I$55,9,0)</f>
        <v>#N/A</v>
      </c>
      <c r="H14" s="33">
        <f t="array" ref="H14">INDEX(G:G,MIN(IF(ISNUMBER(G14:G210),ROW(G14:G210),"")))</f>
        <v>2.1</v>
      </c>
      <c r="I14" s="28">
        <f t="shared" si="22"/>
        <v>23.100000000000005</v>
      </c>
      <c r="J14" s="41">
        <f>I14*VLOOKUP('Données projet'!$B$9,Paramètres!$A$1:$I$88,3,0)*VLOOKUP('Données projet'!$B$9,Paramètres!$A$1:$I$88,5,0)</f>
        <v>23.423400000000008</v>
      </c>
      <c r="K14" s="41">
        <f t="shared" si="23"/>
        <v>7.477815529736108</v>
      </c>
      <c r="L14" s="42">
        <f t="shared" si="0"/>
        <v>53.81961704762373</v>
      </c>
      <c r="M14" s="30">
        <f>IF(ISNA(VLOOKUP(A14,'Données projet'!$A$35:$I$55,3,0)),0,VLOOKUP(A14,'Données projet'!$A$35:$I$55,3,0))</f>
        <v>0</v>
      </c>
      <c r="N14" s="30">
        <f>IF(ISNA(VLOOKUP(A14,'Données projet'!$A$35:$I$55,4,0)),0,VLOOKUP(A14,'Données projet'!$A$35:$I$55,4,0))</f>
        <v>0</v>
      </c>
      <c r="O14" s="31">
        <f>IF(ISNA(VLOOKUP(A14,'Données projet'!$A$35:$I$55,5,0)),0%,VLOOKUP(A14,'Données projet'!$A$35:$I$55,5,0)*VLOOKUP('Données projet'!$B$9,Paramètres!$A$1:$I$88,7,0))</f>
        <v>0</v>
      </c>
      <c r="P14" s="31">
        <f>IF(ISNA(VLOOKUP(A14,'Données projet'!$A$35:$I$55,6,0)),0%,VLOOKUP(A14,'Données projet'!$A$35:$I$55,6,0)*VLOOKUP('Données projet'!$B$9,Paramètres!$A$1:$I$88,7,0))</f>
        <v>0</v>
      </c>
      <c r="Q14" s="31">
        <f>IF(ISNA(VLOOKUP(A14,'Données projet'!$A$35:$I$55,7,0)),0%,VLOOKUP(A14,'Données projet'!$A$35:$I$55,7,0))</f>
        <v>0</v>
      </c>
      <c r="R14" s="43">
        <f>EXP(-LN(2)/35)*R13+(1-EXP(-LN(2)/35))/(LN(2)/35)*N14*O14*VLOOKUP('Données projet'!$B$9,Paramètres!$A$1:$I$88,3,0)*0.475*44/12</f>
        <v>0</v>
      </c>
      <c r="S14" s="43">
        <f>EXP(-LN(2)/25)*S13+(1-EXP(-LN(2)/25))/(LN(2)/25)*Calculateur!N14*Calculateur!P14*VLOOKUP('Données projet'!$B$9,Paramètres!$A$1:$I$88,3,0)*0.475*44/12</f>
        <v>0</v>
      </c>
      <c r="T14" s="43">
        <f>EXP(-LN(2)/2)*T13+(1-EXP(-LN(2)/2))/(LN(2)/2)*N14*Q14*VLOOKUP('Données projet'!$B$9,Paramètres!$A$1:$I$88,3,0)*0.475*44/12</f>
        <v>0</v>
      </c>
      <c r="U14" s="43">
        <f t="shared" si="1"/>
        <v>0</v>
      </c>
      <c r="V14" s="32" t="e">
        <f>VLOOKUP(A14,'Données projet'!$A$61:$I$81,2,0)</f>
        <v>#N/A</v>
      </c>
      <c r="W14" s="33" t="e">
        <f>VLOOKUP(A14,'Données projet'!$A$61:$I$81,9,0)</f>
        <v>#N/A</v>
      </c>
      <c r="X14" s="33">
        <f t="array" ref="X14">INDEX(W:W,MIN(IF(ISNUMBER(W14:W210),ROW(W14:W210),"")))</f>
        <v>0</v>
      </c>
      <c r="Y14" s="33">
        <f t="shared" si="24"/>
        <v>0</v>
      </c>
      <c r="Z14" s="34" t="e">
        <f>Y14*VLOOKUP('Données projet'!$B$10,Paramètres!$A$1:$I$88,3,0)*VLOOKUP('Données projet'!$B$10,Paramètres!$A$1:$I$88,5,0)</f>
        <v>#N/A</v>
      </c>
      <c r="AA14" s="34" t="e">
        <f t="shared" si="25"/>
        <v>#N/A</v>
      </c>
      <c r="AB14" s="44" t="e">
        <f t="shared" si="2"/>
        <v>#N/A</v>
      </c>
      <c r="AC14" s="36">
        <f>IF(ISNA(VLOOKUP(A14,'Données projet'!$A$61:$I$81,3,0)),0,VLOOKUP(A14,'Données projet'!$A$61:$I$81,3,0))</f>
        <v>0</v>
      </c>
      <c r="AD14" s="36">
        <f>IF(ISNA(VLOOKUP(A14,'Données projet'!$A$61:$I$81,4,0)),0,VLOOKUP(A14,'Données projet'!$A$61:$I$81,4,0))</f>
        <v>0</v>
      </c>
      <c r="AE14" s="37">
        <f>IF(ISNA(VLOOKUP(A14,'Données projet'!$A$61:$I$81,5,0)),0%,VLOOKUP(A14,'Données projet'!$A$61:$I$81,5,0)*VLOOKUP('Données projet'!$B$10,Paramètres!$A$1:$I$88,7,0))</f>
        <v>0</v>
      </c>
      <c r="AF14" s="37">
        <f>IF(ISNA(VLOOKUP(A14,'Données projet'!$A$61:$I$81,6,0)),0%,VLOOKUP(A14,'Données projet'!$A$61:$I$81,6,0)*VLOOKUP('Données projet'!$B$10,Paramètres!$A$1:$I$88,7,0))</f>
        <v>0</v>
      </c>
      <c r="AG14" s="37">
        <f>IF(ISNA(VLOOKUP(A14,'Données projet'!$A$61:$I$81,7,0)),0%,VLOOKUP(A14,'Données projet'!$A$61:$I$81,7,0))</f>
        <v>0</v>
      </c>
      <c r="AH14" s="45">
        <f>EXP(-LN(2)/35)*AH13+(1-EXP(-LN(2)/35))/(LN(2)/35)*AD14*AE14*VLOOKUP('Données projet'!$B$9,Paramètres!$A$1:$I$88,3,0)*0.475*44/12</f>
        <v>0</v>
      </c>
      <c r="AI14" s="45">
        <f>EXP(-LN(2)/25)*AI13+(1-EXP(-LN(2)/25))/(LN(2)/25)*Calculateur!AD14*Calculateur!AF14*VLOOKUP('Données projet'!$B$9,Paramètres!$A$1:$I$88,3,0)*0.475*44/12</f>
        <v>0</v>
      </c>
      <c r="AJ14" s="45">
        <f>EXP(-LN(2)/2)*AJ13+(1-EXP(-LN(2)/2))/(LN(2)/2)*AD14*AG14*VLOOKUP('Données projet'!$B$9,Paramètres!$A$1:$I$88,3,0)*0.475*44/12</f>
        <v>0</v>
      </c>
      <c r="AK14" s="45">
        <f t="shared" si="3"/>
        <v>0</v>
      </c>
      <c r="AL14" s="32" t="e">
        <f>VLOOKUP(A14,'Données projet'!$A$87:$I$107,2,0)</f>
        <v>#N/A</v>
      </c>
      <c r="AM14" s="33" t="e">
        <f>VLOOKUP(A14,'Données projet'!$A$87:$I$107,9,0)</f>
        <v>#N/A</v>
      </c>
      <c r="AN14" s="33">
        <f t="array" ref="AN14">INDEX(AM:AM,MIN(IF(ISNUMBER(AM14:AM210),ROW(AM14:AM210),"")))</f>
        <v>0</v>
      </c>
      <c r="AO14" s="33">
        <f t="shared" si="26"/>
        <v>0</v>
      </c>
      <c r="AP14" s="34" t="e">
        <f>AO14*VLOOKUP('Données projet'!$B$11,Paramètres!$A$1:$I$88,3,0)*VLOOKUP('Données projet'!$B$11,Paramètres!$A$1:$I$88,5,0)</f>
        <v>#N/A</v>
      </c>
      <c r="AQ14" s="34" t="e">
        <f t="shared" si="27"/>
        <v>#N/A</v>
      </c>
      <c r="AR14" s="44" t="e">
        <f t="shared" si="4"/>
        <v>#N/A</v>
      </c>
      <c r="AS14" s="36">
        <f>IF(ISNA(VLOOKUP(A14,'Données projet'!$A$87:$I$107,3,0)),0,VLOOKUP(A14,'Données projet'!$A$87:$I$107,3,0))</f>
        <v>0</v>
      </c>
      <c r="AT14" s="36">
        <f>IF(ISNA(VLOOKUP(A14,'Données projet'!$A$87:$I$107,4,0)),0,VLOOKUP(A14,'Données projet'!$A$87:$I$107,4,0))</f>
        <v>0</v>
      </c>
      <c r="AU14" s="37">
        <f>IF(ISNA(VLOOKUP(A14,'Données projet'!$A$87:$I$107,5,0)),0%,VLOOKUP(A14,'Données projet'!$A$87:$I$107,5,0)*VLOOKUP('Données projet'!$B$11,Paramètres!$A$1:$I$88,7,0))</f>
        <v>0</v>
      </c>
      <c r="AV14" s="37">
        <f>IF(ISNA(VLOOKUP(A14,'Données projet'!$A$87:$I$107,6,0)),0%,VLOOKUP(A14,'Données projet'!$A$87:$I$107,6,0)*VLOOKUP('Données projet'!$B$11,Paramètres!$A$1:$I$88,7,0))</f>
        <v>0</v>
      </c>
      <c r="AW14" s="37">
        <f>IF(ISNA(VLOOKUP(A14,'Données projet'!$A$87:$I$107,7,0)),0%,VLOOKUP(A14,'Données projet'!$A$87:$I$107,7,0))</f>
        <v>0</v>
      </c>
      <c r="AX14" s="45">
        <f>EXP(-LN(2)/35)*AX13+(1-EXP(-LN(2)/35))/(LN(2)/35)*AT14*AU14*VLOOKUP('Données projet'!$B$9,Paramètres!$A$1:$I$88,3,0)*0.475*44/12</f>
        <v>0</v>
      </c>
      <c r="AY14" s="45">
        <f>EXP(-LN(2)/25)*AY13+(1-EXP(-LN(2)/25))/(LN(2)/25)*Calculateur!AT14*Calculateur!AV14*VLOOKUP('Données projet'!$B$9,Paramètres!$A$1:$I$88,3,0)*0.475*44/12</f>
        <v>0</v>
      </c>
      <c r="AZ14" s="45">
        <f>EXP(-LN(2)/2)*AZ13+(1-EXP(-LN(2)/2))/(LN(2)/2)*AT14*AW14*VLOOKUP('Données projet'!$B$9,Paramètres!$A$1:$I$88,3,0)*0.475*44/12</f>
        <v>0</v>
      </c>
      <c r="BA14" s="46">
        <f t="shared" si="5"/>
        <v>0</v>
      </c>
      <c r="BB14" s="32" t="e">
        <f>VLOOKUP(A14,'Données projet'!$A$113:$I$133,2,0)</f>
        <v>#N/A</v>
      </c>
      <c r="BC14" s="33" t="e">
        <f>VLOOKUP(A14,'Données projet'!$A$113:$I$133,9,0)</f>
        <v>#N/A</v>
      </c>
      <c r="BD14" s="33">
        <f t="array" ref="BD14">INDEX(BC:BC,MIN(IF(ISNUMBER(BC14:BC210),ROW(BC14:BC210),"")))</f>
        <v>0</v>
      </c>
      <c r="BE14" s="33">
        <f t="shared" si="28"/>
        <v>0</v>
      </c>
      <c r="BF14" s="34" t="e">
        <f>BE14*VLOOKUP('Données projet'!$B$12,Paramètres!$A$1:$I$88,3,0)*VLOOKUP('Données projet'!$B$12,Paramètres!$A$1:$I$88,5,0)</f>
        <v>#N/A</v>
      </c>
      <c r="BG14" s="34" t="e">
        <f t="shared" si="29"/>
        <v>#N/A</v>
      </c>
      <c r="BH14" s="44" t="e">
        <f t="shared" si="6"/>
        <v>#N/A</v>
      </c>
      <c r="BI14" s="36">
        <f>IF(ISNA(VLOOKUP(A14,'Données projet'!$A$113:$I$133,3,0)),0,VLOOKUP(A14,'Données projet'!$A$113:$I$133,3,0))</f>
        <v>0</v>
      </c>
      <c r="BJ14" s="36">
        <f>IF(ISNA(VLOOKUP(A14,'Données projet'!$A$113:$I$133,4,0)),0,VLOOKUP(A14,'Données projet'!$A$113:$I$133,4,0))</f>
        <v>0</v>
      </c>
      <c r="BK14" s="37">
        <f>IF(ISNA(VLOOKUP(A14,'Données projet'!$A$113:$I$133,5,0)),0%,VLOOKUP(A14,'Données projet'!$A$113:$I$133,5,0)*VLOOKUP('Données projet'!$B$12,Paramètres!$A$1:$I$88,7,0))</f>
        <v>0</v>
      </c>
      <c r="BL14" s="37">
        <f>IF(ISNA(VLOOKUP(A14,'Données projet'!$A$113:$I$133,6,0)),0%,VLOOKUP(A14,'Données projet'!$A$113:$I$133,6,0)*VLOOKUP('Données projet'!$B$12,Paramètres!$A$1:$I$88,7,0))</f>
        <v>0</v>
      </c>
      <c r="BM14" s="37">
        <f>IF(ISNA(VLOOKUP(A14,'Données projet'!$A$113:$I$133,7,0)),0%,VLOOKUP(A14,'Données projet'!$A$113:$I$133,7,0))</f>
        <v>0</v>
      </c>
      <c r="BN14" s="45">
        <f>EXP(-LN(2)/35)*BN13+(1-EXP(-LN(2)/35))/(LN(2)/35)*BJ14*BK14*VLOOKUP('Données projet'!$B$9,Paramètres!$A$1:$I$88,3,0)*0.475*44/12</f>
        <v>0</v>
      </c>
      <c r="BO14" s="45">
        <f>EXP(-LN(2)/25)*BO13+(1-EXP(-LN(2)/25))/(LN(2)/25)*Calculateur!BJ14*Calculateur!BL14*VLOOKUP('Données projet'!$B$9,Paramètres!$A$1:$I$88,3,0)*0.475*44/12</f>
        <v>0</v>
      </c>
      <c r="BP14" s="45">
        <f>EXP(-LN(2)/2)*BP13+(1-EXP(-LN(2)/2))/(LN(2)/2)*BJ14*BM14*VLOOKUP('Données projet'!$B$9,Paramètres!$A$1:$I$88,3,0)*0.475*44/12</f>
        <v>0</v>
      </c>
      <c r="BQ14" s="46">
        <f t="shared" si="7"/>
        <v>0</v>
      </c>
      <c r="BR14" s="32" t="e">
        <f>VLOOKUP(A14,'Données projet'!$A$139:$I$159,2,0)</f>
        <v>#N/A</v>
      </c>
      <c r="BS14" s="33" t="e">
        <f>VLOOKUP(A14,'Données projet'!$A$139:$I$159,9,0)</f>
        <v>#N/A</v>
      </c>
      <c r="BT14" s="33">
        <f t="array" ref="BT14">INDEX(BS:BS,MIN(IF(ISNUMBER(BS14:BS210),ROW(BS14:BS210),"")))</f>
        <v>0</v>
      </c>
      <c r="BU14" s="33">
        <f t="shared" si="41"/>
        <v>0</v>
      </c>
      <c r="BV14" s="38" t="e">
        <f>BU14*VLOOKUP('Données projet'!$B$13,Paramètres!$A$1:$I$88,3,0)*VLOOKUP('Données projet'!$B$13,Paramètres!$A$1:$I$88,5,0)</f>
        <v>#N/A</v>
      </c>
      <c r="BW14" s="34" t="e">
        <f t="shared" si="30"/>
        <v>#N/A</v>
      </c>
      <c r="BX14" s="44" t="e">
        <f t="shared" si="8"/>
        <v>#N/A</v>
      </c>
      <c r="BY14" s="36">
        <f>IF(ISNA(VLOOKUP(A14,'Données projet'!$A$139:$I$159,3,0)),0,VLOOKUP(A14,'Données projet'!$A$139:$I$159,3,0))</f>
        <v>0</v>
      </c>
      <c r="BZ14" s="36">
        <f>IF(ISNA(VLOOKUP(A14,'Données projet'!$A$139:$I$159,4,0)),0,VLOOKUP(A14,'Données projet'!$A$139:$I$159,4,0))</f>
        <v>0</v>
      </c>
      <c r="CA14" s="37">
        <f>IF(ISNA(VLOOKUP(A14,'Données projet'!$A$139:$I$159,5,0)),0%,VLOOKUP(A14,'Données projet'!$A$139:$I$159,5,0)*VLOOKUP('Données projet'!$B$13,Paramètres!$A$1:$I$88,7,0))</f>
        <v>0</v>
      </c>
      <c r="CB14" s="37">
        <f>IF(ISNA(VLOOKUP(A14,'Données projet'!$A$139:$I$159,6,0)),0%,VLOOKUP(A14,'Données projet'!$A$139:$I$159,6,0)*VLOOKUP('Données projet'!$B$13,Paramètres!$A$1:$I$88,7,0))</f>
        <v>0</v>
      </c>
      <c r="CC14" s="37">
        <f>IF(ISNA(VLOOKUP(A14,'Données projet'!$A$139:$I$159,7,0)),0%,VLOOKUP(A14,'Données projet'!$A$139:$I$159,7,0))</f>
        <v>0</v>
      </c>
      <c r="CD14" s="45">
        <f>EXP(-LN(2)/35)*CD13+(1-EXP(-LN(2)/35))/(LN(2)/35)*BZ14*CA14*VLOOKUP('Données projet'!$B$9,Paramètres!$A$1:$I$88,3,0)*0.475*44/12</f>
        <v>0</v>
      </c>
      <c r="CE14" s="45">
        <f>EXP(-LN(2)/25)*CE13+(1-EXP(-LN(2)/25))/(LN(2)/25)*Calculateur!BZ14*Calculateur!CB14*VLOOKUP('Données projet'!$B$9,Paramètres!$A$1:$I$88,3,0)*0.475*44/12</f>
        <v>0</v>
      </c>
      <c r="CF14" s="45">
        <f>EXP(-LN(2)/2)*CF13+(1-EXP(-LN(2)/2))/(LN(2)/2)*BZ14*CC14*VLOOKUP('Données projet'!$B$9,Paramètres!$A$1:$I$88,3,0)*0.475*44/12</f>
        <v>0</v>
      </c>
      <c r="CG14" s="46">
        <f t="shared" si="9"/>
        <v>0</v>
      </c>
      <c r="CH14" s="32" t="e">
        <f>VLOOKUP(A14,'Données projet'!$A$165:$I$185,2,0)</f>
        <v>#N/A</v>
      </c>
      <c r="CI14" s="33" t="e">
        <f>VLOOKUP(A14,'Données projet'!$A$165:$I$185,9,0)</f>
        <v>#N/A</v>
      </c>
      <c r="CJ14" s="33">
        <f t="array" ref="CJ14">INDEX(CI:CI,MIN(IF(ISNUMBER(CI14:CI210),ROW(CI14:CI210),"")))</f>
        <v>0</v>
      </c>
      <c r="CK14" s="33">
        <f t="shared" si="31"/>
        <v>0</v>
      </c>
      <c r="CL14" s="38" t="e">
        <f>CK14*VLOOKUP('Données projet'!$B$14,Paramètres!$A$1:$I$88,3,0)*VLOOKUP('Données projet'!$B$14,Paramètres!$A$1:$I$88,5,0)</f>
        <v>#N/A</v>
      </c>
      <c r="CM14" s="34" t="e">
        <f t="shared" si="32"/>
        <v>#N/A</v>
      </c>
      <c r="CN14" s="44" t="e">
        <f t="shared" si="10"/>
        <v>#N/A</v>
      </c>
      <c r="CO14" s="36">
        <f>IF(ISNA(VLOOKUP(A14,'Données projet'!$A$165:$I$185,3,0)),0,VLOOKUP(A14,'Données projet'!$A$165:$I$185,3,0))</f>
        <v>0</v>
      </c>
      <c r="CP14" s="36">
        <f>IF(ISNA(VLOOKUP(A14,'Données projet'!$A$165:$I$185,4,0)),0,VLOOKUP(A14,'Données projet'!$A$165:$I$185,4,0))</f>
        <v>0</v>
      </c>
      <c r="CQ14" s="37">
        <f>IF(ISNA(VLOOKUP(A14,'Données projet'!$A$165:$I$185,5,0)),0%,VLOOKUP(A14,'Données projet'!$A$165:$I$185,5,0)*VLOOKUP('Données projet'!$B$14,Paramètres!$A$1:$I$88,7,0))</f>
        <v>0</v>
      </c>
      <c r="CR14" s="37">
        <f>IF(ISNA(VLOOKUP(A14,'Données projet'!$A$165:$I$185,6,0)),0%,VLOOKUP(A14,'Données projet'!$A$165:$I$185,6,0)*VLOOKUP('Données projet'!$B$14,Paramètres!$A$1:$I$88,7,0))</f>
        <v>0</v>
      </c>
      <c r="CS14" s="37">
        <f>IF(ISNA(VLOOKUP(A14,'Données projet'!$A$165:$I$185,7,0)),0%,VLOOKUP(A14,'Données projet'!$A$165:$I$185,7,0))</f>
        <v>0</v>
      </c>
      <c r="CT14" s="45">
        <f>EXP(-LN(2)/35)*CT13+(1-EXP(-LN(2)/35))/(LN(2)/35)*CP14*CQ14*VLOOKUP('Données projet'!$B$9,Paramètres!$A$1:$I$88,3,0)*0.475*44/12</f>
        <v>0</v>
      </c>
      <c r="CU14" s="45">
        <f>EXP(-LN(2)/25)*CU13+(1-EXP(-LN(2)/25))/(LN(2)/25)*Calculateur!CP14*Calculateur!CR14*VLOOKUP('Données projet'!$B$9,Paramètres!$A$1:$I$88,3,0)*0.475*44/12</f>
        <v>0</v>
      </c>
      <c r="CV14" s="45">
        <f>EXP(-LN(2)/2)*CV13+(1-EXP(-LN(2)/2))/(LN(2)/2)*CP14*CS14*VLOOKUP('Données projet'!$B$9,Paramètres!$A$1:$I$88,3,0)*0.475*44/12</f>
        <v>0</v>
      </c>
      <c r="CW14" s="46">
        <f t="shared" si="11"/>
        <v>0</v>
      </c>
      <c r="CX14" s="32" t="e">
        <f>VLOOKUP(A14,'Données projet'!$A$191:$I$211,2,0)</f>
        <v>#N/A</v>
      </c>
      <c r="CY14" s="33" t="e">
        <f>VLOOKUP(A14,'Données projet'!$A$191:$I$211,9,0)</f>
        <v>#N/A</v>
      </c>
      <c r="CZ14" s="33">
        <f t="array" ref="CZ14">INDEX(CY:CY,MIN(IF(ISNUMBER(CY14:CY210),ROW(CY14:CY210),"")))</f>
        <v>0</v>
      </c>
      <c r="DA14" s="33">
        <f t="shared" si="33"/>
        <v>0</v>
      </c>
      <c r="DB14" s="38" t="e">
        <f>DA14*VLOOKUP('Données projet'!$B$15,Paramètres!$A$1:$I$88,3,0)*VLOOKUP('Données projet'!$B$15,Paramètres!$A$1:$I$88,5,0)</f>
        <v>#N/A</v>
      </c>
      <c r="DC14" s="34" t="e">
        <f t="shared" si="34"/>
        <v>#N/A</v>
      </c>
      <c r="DD14" s="44" t="e">
        <f t="shared" si="12"/>
        <v>#N/A</v>
      </c>
      <c r="DE14" s="36">
        <f>IF(ISNA(VLOOKUP(A14,'Données projet'!$A$191:$I$211,3,0)),0,VLOOKUP(A14,'Données projet'!$A$191:$I$211,3,0))</f>
        <v>0</v>
      </c>
      <c r="DF14" s="36">
        <f>IF(ISNA(VLOOKUP(A14,'Données projet'!$A$191:$I$211,4,0)),0,VLOOKUP(A14,'Données projet'!$A$191:$I$211,4,0))</f>
        <v>0</v>
      </c>
      <c r="DG14" s="37">
        <f>IF(ISNA(VLOOKUP(A14,'Données projet'!$A$191:$I$211,5,0)),0%,VLOOKUP(A14,'Données projet'!$A$191:$I$211,5,0)*VLOOKUP('Données projet'!$B$15,Paramètres!$A$1:$I$88,7,0))</f>
        <v>0</v>
      </c>
      <c r="DH14" s="37">
        <f>IF(ISNA(VLOOKUP(A14,'Données projet'!$A$191:$I$211,6,0)),0%,VLOOKUP(A14,'Données projet'!$A$191:$I$211,6,0)*VLOOKUP('Données projet'!$B$15,Paramètres!$A$1:$I$88,7,0))</f>
        <v>0</v>
      </c>
      <c r="DI14" s="37">
        <f>IF(ISNA(VLOOKUP(A14,'Données projet'!$A$191:$I$211,7,0)),0%,VLOOKUP(A14,'Données projet'!$A$191:$I$211,7,0))</f>
        <v>0</v>
      </c>
      <c r="DJ14" s="45">
        <f>EXP(-LN(2)/35)*DJ13+(1-EXP(-LN(2)/35))/(LN(2)/35)*DF14*DG14*VLOOKUP('Données projet'!$B$9,Paramètres!$A$1:$I$88,3,0)*0.475*44/12</f>
        <v>0</v>
      </c>
      <c r="DK14" s="45">
        <f>EXP(-LN(2)/25)*DK13+(1-EXP(-LN(2)/25))/(LN(2)/25)*Calculateur!DF14*Calculateur!DH14*VLOOKUP('Données projet'!$B$9,Paramètres!$A$1:$I$88,3,0)*0.475*44/12</f>
        <v>0</v>
      </c>
      <c r="DL14" s="45">
        <f>EXP(-LN(2)/2)*DL13+(1-EXP(-LN(2)/2))/(LN(2)/2)*DF14*DI14*VLOOKUP('Données projet'!$B$9,Paramètres!$A$1:$I$88,3,0)*0.475*44/12</f>
        <v>0</v>
      </c>
      <c r="DM14" s="46">
        <f t="shared" si="13"/>
        <v>0</v>
      </c>
      <c r="DN14" s="32" t="e">
        <f>VLOOKUP(A14,'Données projet'!$A$217:$I$237,2,0)</f>
        <v>#N/A</v>
      </c>
      <c r="DO14" s="33" t="e">
        <f>VLOOKUP(A14,'Données projet'!$A$217:$I$237,9,0)</f>
        <v>#N/A</v>
      </c>
      <c r="DP14" s="33">
        <f t="array" ref="DP14">INDEX(DO:DO,MIN(IF(ISNUMBER(DO14:DO210),ROW(DO14:DO210),"")))</f>
        <v>0</v>
      </c>
      <c r="DQ14" s="33">
        <f t="shared" si="35"/>
        <v>0</v>
      </c>
      <c r="DR14" s="38" t="e">
        <f>DQ14*VLOOKUP('Données projet'!$B$16,Paramètres!$A$1:$I$88,3,0)*VLOOKUP('Données projet'!$B$16,Paramètres!$A$1:$I$88,5,0)</f>
        <v>#N/A</v>
      </c>
      <c r="DS14" s="34" t="e">
        <f t="shared" si="36"/>
        <v>#N/A</v>
      </c>
      <c r="DT14" s="44" t="e">
        <f t="shared" si="14"/>
        <v>#N/A</v>
      </c>
      <c r="DU14" s="36">
        <f>IF(ISNA(VLOOKUP(A14,'Données projet'!$A$217:$I$237,3,0)),0,VLOOKUP(A14,'Données projet'!$A$217:$I$237,3,0))</f>
        <v>0</v>
      </c>
      <c r="DV14" s="36">
        <f>IF(ISNA(VLOOKUP(A14,'Données projet'!$A$217:$I$237,4,0)),0,VLOOKUP(A14,'Données projet'!$A$217:$I$237,4,0))</f>
        <v>0</v>
      </c>
      <c r="DW14" s="37">
        <f>IF(ISNA(VLOOKUP(A14,'Données projet'!$A$217:$I$237,5,0)),0%,VLOOKUP(A14,'Données projet'!$A$217:$I$237,5,0)*VLOOKUP('Données projet'!$B$16,Paramètres!$A$1:$I$88,7,0))</f>
        <v>0</v>
      </c>
      <c r="DX14" s="37">
        <f>IF(ISNA(VLOOKUP(A14,'Données projet'!$A$217:$I$237,6,0)),0%,VLOOKUP(A14,'Données projet'!$A$217:$I$237,6,0)*VLOOKUP('Données projet'!$B$16,Paramètres!$A$1:$I$88,7,0))</f>
        <v>0</v>
      </c>
      <c r="DY14" s="37">
        <f>IF(ISNA(VLOOKUP(A14,'Données projet'!$A$217:$I$237,7,0)),0%,VLOOKUP(A14,'Données projet'!$A$217:$I$237,7,0))</f>
        <v>0</v>
      </c>
      <c r="DZ14" s="45">
        <f>EXP(-LN(2)/35)*DZ13+(1-EXP(-LN(2)/35))/(LN(2)/35)*DV14*DW14*VLOOKUP('Données projet'!$B$9,Paramètres!$A$1:$I$88,3,0)*0.475*44/12</f>
        <v>0</v>
      </c>
      <c r="EA14" s="45">
        <f>EXP(-LN(2)/25)*EA13+(1-EXP(-LN(2)/25))/(LN(2)/25)*Calculateur!DV14*Calculateur!DX14*VLOOKUP('Données projet'!$B$9,Paramètres!$A$1:$I$88,3,0)*0.475*44/12</f>
        <v>0</v>
      </c>
      <c r="EB14" s="45">
        <f>EXP(-LN(2)/2)*EB13+(1-EXP(-LN(2)/2))/(LN(2)/2)*DV14*DY14*VLOOKUP('Données projet'!$B$9,Paramètres!$A$1:$I$88,3,0)*0.475*44/12</f>
        <v>0</v>
      </c>
      <c r="EC14" s="46">
        <f t="shared" si="15"/>
        <v>0</v>
      </c>
      <c r="ED14" s="32" t="e">
        <f>VLOOKUP(A14,'Données projet'!$A$243:$I$263,2,0)</f>
        <v>#N/A</v>
      </c>
      <c r="EE14" s="33" t="e">
        <f>VLOOKUP(A14,'Données projet'!$A$243:$I$263,9,0)</f>
        <v>#N/A</v>
      </c>
      <c r="EF14" s="33">
        <f t="array" ref="EF14">INDEX(EE:EE,MIN(IF(ISNUMBER(EE14:EE210),ROW(EE14:EE210),"")))</f>
        <v>0</v>
      </c>
      <c r="EG14" s="33">
        <f t="shared" si="37"/>
        <v>0</v>
      </c>
      <c r="EH14" s="38" t="e">
        <f>EG14*VLOOKUP('Données projet'!$B$17,Paramètres!$A$1:$I$88,3,0)*VLOOKUP('Données projet'!$B$17,Paramètres!$A$1:$I$88,5,0)</f>
        <v>#N/A</v>
      </c>
      <c r="EI14" s="34" t="e">
        <f t="shared" si="38"/>
        <v>#N/A</v>
      </c>
      <c r="EJ14" s="44" t="e">
        <f t="shared" si="16"/>
        <v>#N/A</v>
      </c>
      <c r="EK14" s="36">
        <f>IF(ISNA(VLOOKUP(A14,'Données projet'!$A$243:$I$263,3,0)),0,VLOOKUP(A14,'Données projet'!$A$243:$I$263,3,0))</f>
        <v>0</v>
      </c>
      <c r="EL14" s="36">
        <f>IF(ISNA(VLOOKUP(A14,'Données projet'!$A$243:$I$263,4,0)),0,VLOOKUP(A14,'Données projet'!$A$243:$I$263,4,0))</f>
        <v>0</v>
      </c>
      <c r="EM14" s="37">
        <f>IF(ISNA(VLOOKUP(A14,'Données projet'!$A$243:$I$263,5,0)),0%,VLOOKUP(A14,'Données projet'!$A$243:$I$263,5,0)*VLOOKUP('Données projet'!$B$17,Paramètres!$A$1:$I$88,7,0))</f>
        <v>0</v>
      </c>
      <c r="EN14" s="37">
        <f>IF(ISNA(VLOOKUP(A14,'Données projet'!$A$243:$I$263,6,0)),0%,VLOOKUP(A14,'Données projet'!$A$243:$I$263,6,0)*VLOOKUP('Données projet'!$B$17,Paramètres!$A$1:$I$88,7,0))</f>
        <v>0</v>
      </c>
      <c r="EO14" s="37">
        <f>IF(ISNA(VLOOKUP(A14,'Données projet'!$A$243:$I$263,7,0)),0%,VLOOKUP(A14,'Données projet'!$A$243:$I$263,7,0))</f>
        <v>0</v>
      </c>
      <c r="EP14" s="45">
        <f>EXP(-LN(2)/35)*EP13+(1-EXP(-LN(2)/35))/(LN(2)/35)*EL14*EM14*VLOOKUP('Données projet'!$B$9,Paramètres!$A$1:$I$88,3,0)*0.475*44/12</f>
        <v>0</v>
      </c>
      <c r="EQ14" s="45">
        <f>EXP(-LN(2)/25)*EQ13+(1-EXP(-LN(2)/25))/(LN(2)/25)*Calculateur!EL14*Calculateur!EN14*VLOOKUP('Données projet'!$B$9,Paramètres!$A$1:$I$88,3,0)*0.475*44/12</f>
        <v>0</v>
      </c>
      <c r="ER14" s="45">
        <f>EXP(-LN(2)/2)*ER13+(1-EXP(-LN(2)/2))/(LN(2)/2)*EL14*EO14*VLOOKUP('Données projet'!$B$9,Paramètres!$A$1:$I$88,3,0)*0.475*44/12</f>
        <v>0</v>
      </c>
      <c r="ES14" s="46">
        <f t="shared" si="17"/>
        <v>0</v>
      </c>
      <c r="ET14" s="32" t="e">
        <f>VLOOKUP(A14,'Données projet'!$A$269:$I$289,2,0)</f>
        <v>#N/A</v>
      </c>
      <c r="EU14" s="33" t="e">
        <f>VLOOKUP(A14,'Données projet'!$A$269:$I$289,9,0)</f>
        <v>#N/A</v>
      </c>
      <c r="EV14" s="33">
        <f t="array" ref="EV14">INDEX(EU:EU,MIN(IF(ISNUMBER(EU14:EU210),ROW(EU14:EU210),"")))</f>
        <v>0</v>
      </c>
      <c r="EW14" s="33">
        <f t="shared" si="39"/>
        <v>0</v>
      </c>
      <c r="EX14" s="38" t="e">
        <f>EW14*VLOOKUP('Données projet'!$B$18,Paramètres!$A$1:$I$88,3,0)*VLOOKUP('Données projet'!$B$18,Paramètres!$A$1:$I$88,5,0)</f>
        <v>#N/A</v>
      </c>
      <c r="EY14" s="34" t="e">
        <f t="shared" si="40"/>
        <v>#N/A</v>
      </c>
      <c r="EZ14" s="44" t="e">
        <f t="shared" si="18"/>
        <v>#N/A</v>
      </c>
      <c r="FA14" s="36">
        <f>IF(ISNA(VLOOKUP(A14,'Données projet'!$A$269:$I$289,3,0)),0,VLOOKUP(A14,'Données projet'!$A$269:$I$289,3,0))</f>
        <v>0</v>
      </c>
      <c r="FB14" s="36">
        <f>IF(ISNA(VLOOKUP(A14,'Données projet'!$A$269:$I$289,4,0)),0,VLOOKUP(A14,'Données projet'!$A$269:$I$289,4,0))</f>
        <v>0</v>
      </c>
      <c r="FC14" s="37">
        <f>IF(ISNA(VLOOKUP(A14,'Données projet'!$A$269:$I$289,5,0)),0%,VLOOKUP(A14,'Données projet'!$A$269:$I$289,5,0)*VLOOKUP('Données projet'!$B$18,Paramètres!$A$1:$I$88,7,0))</f>
        <v>0</v>
      </c>
      <c r="FD14" s="37">
        <f>IF(ISNA(VLOOKUP(A14,'Données projet'!$A$269:$I$289,6,0)),0%,VLOOKUP(A14,'Données projet'!$A$269:$I$289,6,0)*VLOOKUP('Données projet'!$B$18,Paramètres!$A$1:$I$88,7,0))</f>
        <v>0</v>
      </c>
      <c r="FE14" s="37">
        <f>IF(ISNA(VLOOKUP(A14,'Données projet'!$A$269:$I$289,7,0)),0%,VLOOKUP(A14,'Données projet'!$A$269:$I$289,7,0))</f>
        <v>0</v>
      </c>
      <c r="FF14" s="45">
        <f>EXP(-LN(2)/35)*FF13+(1-EXP(-LN(2)/35))/(LN(2)/35)*FB14*FC14*VLOOKUP('Données projet'!$B$9,Paramètres!$A$1:$I$88,3,0)*0.475*44/12</f>
        <v>0</v>
      </c>
      <c r="FG14" s="45">
        <f>EXP(-LN(2)/25)*FG13+(1-EXP(-LN(2)/25))/(LN(2)/25)*Calculateur!FB14*Calculateur!FD14*VLOOKUP('Données projet'!$B$9,Paramètres!$A$1:$I$88,3,0)*0.475*44/12</f>
        <v>0</v>
      </c>
      <c r="FH14" s="45">
        <f>EXP(-LN(2)/2)*FH13+(1-EXP(-LN(2)/2))/(LN(2)/2)*FB14*FE14*VLOOKUP('Données projet'!$B$9,Paramètres!$A$1:$I$88,3,0)*0.475*44/12</f>
        <v>0</v>
      </c>
      <c r="FI14" s="46">
        <f t="shared" si="19"/>
        <v>0</v>
      </c>
    </row>
    <row r="15" spans="1:165" x14ac:dyDescent="0.25">
      <c r="A15" s="24">
        <f t="shared" si="20"/>
        <v>12</v>
      </c>
      <c r="B15" s="25">
        <f>IF('Scénario référence'!$N$1=1,5,0)</f>
        <v>0</v>
      </c>
      <c r="C15" s="40">
        <f>IF(OR('Scénario référence'!$N$1=2,'Scénario référence'!$N$1=4),C14+1*VLOOKUP('Scénario référence'!$G$14,Paramètres!$A$1:$I$88,3,0)*VLOOKUP('Scénario référence'!$G$14,Paramètres!$A$1:$I$88,5,0),IF(OR('Scénario référence'!$N$1=3,'Scénario référence'!$N$1=5),C14+0.5*VLOOKUP('Scénario référence'!$G$14,Paramètres!$A$1:$I$88,3,0)*VLOOKUP('Scénario référence'!$G$14,Paramètres!$A$1:$I$88,5,0),0))</f>
        <v>6.5520000000000023</v>
      </c>
      <c r="D15" s="26">
        <f t="shared" si="21"/>
        <v>2.4260515959655744</v>
      </c>
      <c r="E15" s="27">
        <f>IF('Scénario référence'!$N$1=1,B15*44/12,(C15+D15)*0.475*44/12)</f>
        <v>15.636773196306711</v>
      </c>
      <c r="F15" s="28" t="e">
        <f>VLOOKUP(A15,'Données projet'!$A$35:$I$55,2,0)</f>
        <v>#N/A</v>
      </c>
      <c r="G15" s="28" t="e">
        <f>VLOOKUP(A15,'Données projet'!$A$35:$I$55,9,0)</f>
        <v>#N/A</v>
      </c>
      <c r="H15" s="33">
        <f t="array" ref="H15">INDEX(G:G,MIN(IF(ISNUMBER(G15:G211),ROW(G15:G211),"")))</f>
        <v>2.1</v>
      </c>
      <c r="I15" s="28">
        <f t="shared" si="22"/>
        <v>25.200000000000006</v>
      </c>
      <c r="J15" s="41">
        <f>I15*VLOOKUP('Données projet'!$B$9,Paramètres!$A$1:$I$88,3,0)*VLOOKUP('Données projet'!$B$9,Paramètres!$A$1:$I$88,5,0)</f>
        <v>25.552800000000012</v>
      </c>
      <c r="K15" s="41">
        <f t="shared" si="23"/>
        <v>8.0754125740317217</v>
      </c>
      <c r="L15" s="42">
        <f t="shared" si="0"/>
        <v>58.569136899771934</v>
      </c>
      <c r="M15" s="30">
        <f>IF(ISNA(VLOOKUP(A15,'Données projet'!$A$35:$I$55,3,0)),0,VLOOKUP(A15,'Données projet'!$A$35:$I$55,3,0))</f>
        <v>0</v>
      </c>
      <c r="N15" s="30">
        <f>IF(ISNA(VLOOKUP(A15,'Données projet'!$A$35:$I$55,4,0)),0,VLOOKUP(A15,'Données projet'!$A$35:$I$55,4,0))</f>
        <v>0</v>
      </c>
      <c r="O15" s="31">
        <f>IF(ISNA(VLOOKUP(A15,'Données projet'!$A$35:$I$55,5,0)),0%,VLOOKUP(A15,'Données projet'!$A$35:$I$55,5,0)*VLOOKUP('Données projet'!$B$9,Paramètres!$A$1:$I$88,7,0))</f>
        <v>0</v>
      </c>
      <c r="P15" s="31">
        <f>IF(ISNA(VLOOKUP(A15,'Données projet'!$A$35:$I$55,6,0)),0%,VLOOKUP(A15,'Données projet'!$A$35:$I$55,6,0)*VLOOKUP('Données projet'!$B$9,Paramètres!$A$1:$I$88,7,0))</f>
        <v>0</v>
      </c>
      <c r="Q15" s="31">
        <f>IF(ISNA(VLOOKUP(A15,'Données projet'!$A$35:$I$55,7,0)),0%,VLOOKUP(A15,'Données projet'!$A$35:$I$55,7,0))</f>
        <v>0</v>
      </c>
      <c r="R15" s="43">
        <f>EXP(-LN(2)/35)*R14+(1-EXP(-LN(2)/35))/(LN(2)/35)*N15*O15*VLOOKUP('Données projet'!$B$9,Paramètres!$A$1:$I$88,3,0)*0.475*44/12</f>
        <v>0</v>
      </c>
      <c r="S15" s="43">
        <f>EXP(-LN(2)/25)*S14+(1-EXP(-LN(2)/25))/(LN(2)/25)*Calculateur!N15*Calculateur!P15*VLOOKUP('Données projet'!$B$9,Paramètres!$A$1:$I$88,3,0)*0.475*44/12</f>
        <v>0</v>
      </c>
      <c r="T15" s="43">
        <f>EXP(-LN(2)/2)*T14+(1-EXP(-LN(2)/2))/(LN(2)/2)*N15*Q15*VLOOKUP('Données projet'!$B$9,Paramètres!$A$1:$I$88,3,0)*0.475*44/12</f>
        <v>0</v>
      </c>
      <c r="U15" s="43">
        <f t="shared" si="1"/>
        <v>0</v>
      </c>
      <c r="V15" s="32" t="e">
        <f>VLOOKUP(A15,'Données projet'!$A$61:$I$81,2,0)</f>
        <v>#N/A</v>
      </c>
      <c r="W15" s="33" t="e">
        <f>VLOOKUP(A15,'Données projet'!$A$61:$I$81,9,0)</f>
        <v>#N/A</v>
      </c>
      <c r="X15" s="33">
        <f t="array" ref="X15">INDEX(W:W,MIN(IF(ISNUMBER(W15:W211),ROW(W15:W211),"")))</f>
        <v>0</v>
      </c>
      <c r="Y15" s="33">
        <f t="shared" si="24"/>
        <v>0</v>
      </c>
      <c r="Z15" s="34" t="e">
        <f>Y15*VLOOKUP('Données projet'!$B$10,Paramètres!$A$1:$I$88,3,0)*VLOOKUP('Données projet'!$B$10,Paramètres!$A$1:$I$88,5,0)</f>
        <v>#N/A</v>
      </c>
      <c r="AA15" s="34" t="e">
        <f t="shared" si="25"/>
        <v>#N/A</v>
      </c>
      <c r="AB15" s="44" t="e">
        <f t="shared" si="2"/>
        <v>#N/A</v>
      </c>
      <c r="AC15" s="36">
        <f>IF(ISNA(VLOOKUP(A15,'Données projet'!$A$61:$I$81,3,0)),0,VLOOKUP(A15,'Données projet'!$A$61:$I$81,3,0))</f>
        <v>0</v>
      </c>
      <c r="AD15" s="36">
        <f>IF(ISNA(VLOOKUP(A15,'Données projet'!$A$61:$I$81,4,0)),0,VLOOKUP(A15,'Données projet'!$A$61:$I$81,4,0))</f>
        <v>0</v>
      </c>
      <c r="AE15" s="37">
        <f>IF(ISNA(VLOOKUP(A15,'Données projet'!$A$61:$I$81,5,0)),0%,VLOOKUP(A15,'Données projet'!$A$61:$I$81,5,0)*VLOOKUP('Données projet'!$B$10,Paramètres!$A$1:$I$88,7,0))</f>
        <v>0</v>
      </c>
      <c r="AF15" s="37">
        <f>IF(ISNA(VLOOKUP(A15,'Données projet'!$A$61:$I$81,6,0)),0%,VLOOKUP(A15,'Données projet'!$A$61:$I$81,6,0)*VLOOKUP('Données projet'!$B$10,Paramètres!$A$1:$I$88,7,0))</f>
        <v>0</v>
      </c>
      <c r="AG15" s="37">
        <f>IF(ISNA(VLOOKUP(A15,'Données projet'!$A$61:$I$81,7,0)),0%,VLOOKUP(A15,'Données projet'!$A$61:$I$81,7,0))</f>
        <v>0</v>
      </c>
      <c r="AH15" s="45">
        <f>EXP(-LN(2)/35)*AH14+(1-EXP(-LN(2)/35))/(LN(2)/35)*AD15*AE15*VLOOKUP('Données projet'!$B$9,Paramètres!$A$1:$I$88,3,0)*0.475*44/12</f>
        <v>0</v>
      </c>
      <c r="AI15" s="45">
        <f>EXP(-LN(2)/25)*AI14+(1-EXP(-LN(2)/25))/(LN(2)/25)*Calculateur!AD15*Calculateur!AF15*VLOOKUP('Données projet'!$B$9,Paramètres!$A$1:$I$88,3,0)*0.475*44/12</f>
        <v>0</v>
      </c>
      <c r="AJ15" s="45">
        <f>EXP(-LN(2)/2)*AJ14+(1-EXP(-LN(2)/2))/(LN(2)/2)*AD15*AG15*VLOOKUP('Données projet'!$B$9,Paramètres!$A$1:$I$88,3,0)*0.475*44/12</f>
        <v>0</v>
      </c>
      <c r="AK15" s="45">
        <f t="shared" si="3"/>
        <v>0</v>
      </c>
      <c r="AL15" s="32" t="e">
        <f>VLOOKUP(A15,'Données projet'!$A$87:$I$107,2,0)</f>
        <v>#N/A</v>
      </c>
      <c r="AM15" s="33" t="e">
        <f>VLOOKUP(A15,'Données projet'!$A$87:$I$107,9,0)</f>
        <v>#N/A</v>
      </c>
      <c r="AN15" s="33">
        <f t="array" ref="AN15">INDEX(AM:AM,MIN(IF(ISNUMBER(AM15:AM211),ROW(AM15:AM211),"")))</f>
        <v>0</v>
      </c>
      <c r="AO15" s="33">
        <f t="shared" si="26"/>
        <v>0</v>
      </c>
      <c r="AP15" s="34" t="e">
        <f>AO15*VLOOKUP('Données projet'!$B$11,Paramètres!$A$1:$I$88,3,0)*VLOOKUP('Données projet'!$B$11,Paramètres!$A$1:$I$88,5,0)</f>
        <v>#N/A</v>
      </c>
      <c r="AQ15" s="34" t="e">
        <f t="shared" si="27"/>
        <v>#N/A</v>
      </c>
      <c r="AR15" s="44" t="e">
        <f t="shared" si="4"/>
        <v>#N/A</v>
      </c>
      <c r="AS15" s="36">
        <f>IF(ISNA(VLOOKUP(A15,'Données projet'!$A$87:$I$107,3,0)),0,VLOOKUP(A15,'Données projet'!$A$87:$I$107,3,0))</f>
        <v>0</v>
      </c>
      <c r="AT15" s="36">
        <f>IF(ISNA(VLOOKUP(A15,'Données projet'!$A$87:$I$107,4,0)),0,VLOOKUP(A15,'Données projet'!$A$87:$I$107,4,0))</f>
        <v>0</v>
      </c>
      <c r="AU15" s="37">
        <f>IF(ISNA(VLOOKUP(A15,'Données projet'!$A$87:$I$107,5,0)),0%,VLOOKUP(A15,'Données projet'!$A$87:$I$107,5,0)*VLOOKUP('Données projet'!$B$11,Paramètres!$A$1:$I$88,7,0))</f>
        <v>0</v>
      </c>
      <c r="AV15" s="37">
        <f>IF(ISNA(VLOOKUP(A15,'Données projet'!$A$87:$I$107,6,0)),0%,VLOOKUP(A15,'Données projet'!$A$87:$I$107,6,0)*VLOOKUP('Données projet'!$B$11,Paramètres!$A$1:$I$88,7,0))</f>
        <v>0</v>
      </c>
      <c r="AW15" s="37">
        <f>IF(ISNA(VLOOKUP(A15,'Données projet'!$A$87:$I$107,7,0)),0%,VLOOKUP(A15,'Données projet'!$A$87:$I$107,7,0))</f>
        <v>0</v>
      </c>
      <c r="AX15" s="45">
        <f>EXP(-LN(2)/35)*AX14+(1-EXP(-LN(2)/35))/(LN(2)/35)*AT15*AU15*VLOOKUP('Données projet'!$B$9,Paramètres!$A$1:$I$88,3,0)*0.475*44/12</f>
        <v>0</v>
      </c>
      <c r="AY15" s="45">
        <f>EXP(-LN(2)/25)*AY14+(1-EXP(-LN(2)/25))/(LN(2)/25)*Calculateur!AT15*Calculateur!AV15*VLOOKUP('Données projet'!$B$9,Paramètres!$A$1:$I$88,3,0)*0.475*44/12</f>
        <v>0</v>
      </c>
      <c r="AZ15" s="45">
        <f>EXP(-LN(2)/2)*AZ14+(1-EXP(-LN(2)/2))/(LN(2)/2)*AT15*AW15*VLOOKUP('Données projet'!$B$9,Paramètres!$A$1:$I$88,3,0)*0.475*44/12</f>
        <v>0</v>
      </c>
      <c r="BA15" s="46">
        <f t="shared" si="5"/>
        <v>0</v>
      </c>
      <c r="BB15" s="32" t="e">
        <f>VLOOKUP(A15,'Données projet'!$A$113:$I$133,2,0)</f>
        <v>#N/A</v>
      </c>
      <c r="BC15" s="33" t="e">
        <f>VLOOKUP(A15,'Données projet'!$A$113:$I$133,9,0)</f>
        <v>#N/A</v>
      </c>
      <c r="BD15" s="33">
        <f t="array" ref="BD15">INDEX(BC:BC,MIN(IF(ISNUMBER(BC15:BC211),ROW(BC15:BC211),"")))</f>
        <v>0</v>
      </c>
      <c r="BE15" s="33">
        <f t="shared" si="28"/>
        <v>0</v>
      </c>
      <c r="BF15" s="34" t="e">
        <f>BE15*VLOOKUP('Données projet'!$B$12,Paramètres!$A$1:$I$88,3,0)*VLOOKUP('Données projet'!$B$12,Paramètres!$A$1:$I$88,5,0)</f>
        <v>#N/A</v>
      </c>
      <c r="BG15" s="34" t="e">
        <f t="shared" si="29"/>
        <v>#N/A</v>
      </c>
      <c r="BH15" s="44" t="e">
        <f t="shared" si="6"/>
        <v>#N/A</v>
      </c>
      <c r="BI15" s="36">
        <f>IF(ISNA(VLOOKUP(A15,'Données projet'!$A$113:$I$133,3,0)),0,VLOOKUP(A15,'Données projet'!$A$113:$I$133,3,0))</f>
        <v>0</v>
      </c>
      <c r="BJ15" s="36">
        <f>IF(ISNA(VLOOKUP(A15,'Données projet'!$A$113:$I$133,4,0)),0,VLOOKUP(A15,'Données projet'!$A$113:$I$133,4,0))</f>
        <v>0</v>
      </c>
      <c r="BK15" s="37">
        <f>IF(ISNA(VLOOKUP(A15,'Données projet'!$A$113:$I$133,5,0)),0%,VLOOKUP(A15,'Données projet'!$A$113:$I$133,5,0)*VLOOKUP('Données projet'!$B$12,Paramètres!$A$1:$I$88,7,0))</f>
        <v>0</v>
      </c>
      <c r="BL15" s="37">
        <f>IF(ISNA(VLOOKUP(A15,'Données projet'!$A$113:$I$133,6,0)),0%,VLOOKUP(A15,'Données projet'!$A$113:$I$133,6,0)*VLOOKUP('Données projet'!$B$12,Paramètres!$A$1:$I$88,7,0))</f>
        <v>0</v>
      </c>
      <c r="BM15" s="37">
        <f>IF(ISNA(VLOOKUP(A15,'Données projet'!$A$113:$I$133,7,0)),0%,VLOOKUP(A15,'Données projet'!$A$113:$I$133,7,0))</f>
        <v>0</v>
      </c>
      <c r="BN15" s="45">
        <f>EXP(-LN(2)/35)*BN14+(1-EXP(-LN(2)/35))/(LN(2)/35)*BJ15*BK15*VLOOKUP('Données projet'!$B$9,Paramètres!$A$1:$I$88,3,0)*0.475*44/12</f>
        <v>0</v>
      </c>
      <c r="BO15" s="45">
        <f>EXP(-LN(2)/25)*BO14+(1-EXP(-LN(2)/25))/(LN(2)/25)*Calculateur!BJ15*Calculateur!BL15*VLOOKUP('Données projet'!$B$9,Paramètres!$A$1:$I$88,3,0)*0.475*44/12</f>
        <v>0</v>
      </c>
      <c r="BP15" s="45">
        <f>EXP(-LN(2)/2)*BP14+(1-EXP(-LN(2)/2))/(LN(2)/2)*BJ15*BM15*VLOOKUP('Données projet'!$B$9,Paramètres!$A$1:$I$88,3,0)*0.475*44/12</f>
        <v>0</v>
      </c>
      <c r="BQ15" s="46">
        <f t="shared" si="7"/>
        <v>0</v>
      </c>
      <c r="BR15" s="32" t="e">
        <f>VLOOKUP(A15,'Données projet'!$A$139:$I$159,2,0)</f>
        <v>#N/A</v>
      </c>
      <c r="BS15" s="33" t="e">
        <f>VLOOKUP(A15,'Données projet'!$A$139:$I$159,9,0)</f>
        <v>#N/A</v>
      </c>
      <c r="BT15" s="33">
        <f t="array" ref="BT15">INDEX(BS:BS,MIN(IF(ISNUMBER(BS15:BS211),ROW(BS15:BS211),"")))</f>
        <v>0</v>
      </c>
      <c r="BU15" s="33">
        <f t="shared" si="41"/>
        <v>0</v>
      </c>
      <c r="BV15" s="38" t="e">
        <f>BU15*VLOOKUP('Données projet'!$B$13,Paramètres!$A$1:$I$88,3,0)*VLOOKUP('Données projet'!$B$13,Paramètres!$A$1:$I$88,5,0)</f>
        <v>#N/A</v>
      </c>
      <c r="BW15" s="34" t="e">
        <f t="shared" si="30"/>
        <v>#N/A</v>
      </c>
      <c r="BX15" s="44" t="e">
        <f t="shared" si="8"/>
        <v>#N/A</v>
      </c>
      <c r="BY15" s="36">
        <f>IF(ISNA(VLOOKUP(A15,'Données projet'!$A$139:$I$159,3,0)),0,VLOOKUP(A15,'Données projet'!$A$139:$I$159,3,0))</f>
        <v>0</v>
      </c>
      <c r="BZ15" s="36">
        <f>IF(ISNA(VLOOKUP(A15,'Données projet'!$A$139:$I$159,4,0)),0,VLOOKUP(A15,'Données projet'!$A$139:$I$159,4,0))</f>
        <v>0</v>
      </c>
      <c r="CA15" s="37">
        <f>IF(ISNA(VLOOKUP(A15,'Données projet'!$A$139:$I$159,5,0)),0%,VLOOKUP(A15,'Données projet'!$A$139:$I$159,5,0)*VLOOKUP('Données projet'!$B$13,Paramètres!$A$1:$I$88,7,0))</f>
        <v>0</v>
      </c>
      <c r="CB15" s="37">
        <f>IF(ISNA(VLOOKUP(A15,'Données projet'!$A$139:$I$159,6,0)),0%,VLOOKUP(A15,'Données projet'!$A$139:$I$159,6,0)*VLOOKUP('Données projet'!$B$13,Paramètres!$A$1:$I$88,7,0))</f>
        <v>0</v>
      </c>
      <c r="CC15" s="37">
        <f>IF(ISNA(VLOOKUP(A15,'Données projet'!$A$139:$I$159,7,0)),0%,VLOOKUP(A15,'Données projet'!$A$139:$I$159,7,0))</f>
        <v>0</v>
      </c>
      <c r="CD15" s="45">
        <f>EXP(-LN(2)/35)*CD14+(1-EXP(-LN(2)/35))/(LN(2)/35)*BZ15*CA15*VLOOKUP('Données projet'!$B$9,Paramètres!$A$1:$I$88,3,0)*0.475*44/12</f>
        <v>0</v>
      </c>
      <c r="CE15" s="45">
        <f>EXP(-LN(2)/25)*CE14+(1-EXP(-LN(2)/25))/(LN(2)/25)*Calculateur!BZ15*Calculateur!CB15*VLOOKUP('Données projet'!$B$9,Paramètres!$A$1:$I$88,3,0)*0.475*44/12</f>
        <v>0</v>
      </c>
      <c r="CF15" s="45">
        <f>EXP(-LN(2)/2)*CF14+(1-EXP(-LN(2)/2))/(LN(2)/2)*BZ15*CC15*VLOOKUP('Données projet'!$B$9,Paramètres!$A$1:$I$88,3,0)*0.475*44/12</f>
        <v>0</v>
      </c>
      <c r="CG15" s="46">
        <f t="shared" si="9"/>
        <v>0</v>
      </c>
      <c r="CH15" s="32" t="e">
        <f>VLOOKUP(A15,'Données projet'!$A$165:$I$185,2,0)</f>
        <v>#N/A</v>
      </c>
      <c r="CI15" s="33" t="e">
        <f>VLOOKUP(A15,'Données projet'!$A$165:$I$185,9,0)</f>
        <v>#N/A</v>
      </c>
      <c r="CJ15" s="33">
        <f t="array" ref="CJ15">INDEX(CI:CI,MIN(IF(ISNUMBER(CI15:CI211),ROW(CI15:CI211),"")))</f>
        <v>0</v>
      </c>
      <c r="CK15" s="33">
        <f t="shared" si="31"/>
        <v>0</v>
      </c>
      <c r="CL15" s="38" t="e">
        <f>CK15*VLOOKUP('Données projet'!$B$14,Paramètres!$A$1:$I$88,3,0)*VLOOKUP('Données projet'!$B$14,Paramètres!$A$1:$I$88,5,0)</f>
        <v>#N/A</v>
      </c>
      <c r="CM15" s="34" t="e">
        <f t="shared" si="32"/>
        <v>#N/A</v>
      </c>
      <c r="CN15" s="44" t="e">
        <f t="shared" si="10"/>
        <v>#N/A</v>
      </c>
      <c r="CO15" s="36">
        <f>IF(ISNA(VLOOKUP(A15,'Données projet'!$A$165:$I$185,3,0)),0,VLOOKUP(A15,'Données projet'!$A$165:$I$185,3,0))</f>
        <v>0</v>
      </c>
      <c r="CP15" s="36">
        <f>IF(ISNA(VLOOKUP(A15,'Données projet'!$A$165:$I$185,4,0)),0,VLOOKUP(A15,'Données projet'!$A$165:$I$185,4,0))</f>
        <v>0</v>
      </c>
      <c r="CQ15" s="37">
        <f>IF(ISNA(VLOOKUP(A15,'Données projet'!$A$165:$I$185,5,0)),0%,VLOOKUP(A15,'Données projet'!$A$165:$I$185,5,0)*VLOOKUP('Données projet'!$B$14,Paramètres!$A$1:$I$88,7,0))</f>
        <v>0</v>
      </c>
      <c r="CR15" s="37">
        <f>IF(ISNA(VLOOKUP(A15,'Données projet'!$A$165:$I$185,6,0)),0%,VLOOKUP(A15,'Données projet'!$A$165:$I$185,6,0)*VLOOKUP('Données projet'!$B$14,Paramètres!$A$1:$I$88,7,0))</f>
        <v>0</v>
      </c>
      <c r="CS15" s="37">
        <f>IF(ISNA(VLOOKUP(A15,'Données projet'!$A$165:$I$185,7,0)),0%,VLOOKUP(A15,'Données projet'!$A$165:$I$185,7,0))</f>
        <v>0</v>
      </c>
      <c r="CT15" s="45">
        <f>EXP(-LN(2)/35)*CT14+(1-EXP(-LN(2)/35))/(LN(2)/35)*CP15*CQ15*VLOOKUP('Données projet'!$B$9,Paramètres!$A$1:$I$88,3,0)*0.475*44/12</f>
        <v>0</v>
      </c>
      <c r="CU15" s="45">
        <f>EXP(-LN(2)/25)*CU14+(1-EXP(-LN(2)/25))/(LN(2)/25)*Calculateur!CP15*Calculateur!CR15*VLOOKUP('Données projet'!$B$9,Paramètres!$A$1:$I$88,3,0)*0.475*44/12</f>
        <v>0</v>
      </c>
      <c r="CV15" s="45">
        <f>EXP(-LN(2)/2)*CV14+(1-EXP(-LN(2)/2))/(LN(2)/2)*CP15*CS15*VLOOKUP('Données projet'!$B$9,Paramètres!$A$1:$I$88,3,0)*0.475*44/12</f>
        <v>0</v>
      </c>
      <c r="CW15" s="46">
        <f t="shared" si="11"/>
        <v>0</v>
      </c>
      <c r="CX15" s="32" t="e">
        <f>VLOOKUP(A15,'Données projet'!$A$191:$I$211,2,0)</f>
        <v>#N/A</v>
      </c>
      <c r="CY15" s="33" t="e">
        <f>VLOOKUP(A15,'Données projet'!$A$191:$I$211,9,0)</f>
        <v>#N/A</v>
      </c>
      <c r="CZ15" s="33">
        <f t="array" ref="CZ15">INDEX(CY:CY,MIN(IF(ISNUMBER(CY15:CY211),ROW(CY15:CY211),"")))</f>
        <v>0</v>
      </c>
      <c r="DA15" s="33">
        <f t="shared" si="33"/>
        <v>0</v>
      </c>
      <c r="DB15" s="38" t="e">
        <f>DA15*VLOOKUP('Données projet'!$B$15,Paramètres!$A$1:$I$88,3,0)*VLOOKUP('Données projet'!$B$15,Paramètres!$A$1:$I$88,5,0)</f>
        <v>#N/A</v>
      </c>
      <c r="DC15" s="34" t="e">
        <f t="shared" si="34"/>
        <v>#N/A</v>
      </c>
      <c r="DD15" s="44" t="e">
        <f t="shared" si="12"/>
        <v>#N/A</v>
      </c>
      <c r="DE15" s="36">
        <f>IF(ISNA(VLOOKUP(A15,'Données projet'!$A$191:$I$211,3,0)),0,VLOOKUP(A15,'Données projet'!$A$191:$I$211,3,0))</f>
        <v>0</v>
      </c>
      <c r="DF15" s="36">
        <f>IF(ISNA(VLOOKUP(A15,'Données projet'!$A$191:$I$211,4,0)),0,VLOOKUP(A15,'Données projet'!$A$191:$I$211,4,0))</f>
        <v>0</v>
      </c>
      <c r="DG15" s="37">
        <f>IF(ISNA(VLOOKUP(A15,'Données projet'!$A$191:$I$211,5,0)),0%,VLOOKUP(A15,'Données projet'!$A$191:$I$211,5,0)*VLOOKUP('Données projet'!$B$15,Paramètres!$A$1:$I$88,7,0))</f>
        <v>0</v>
      </c>
      <c r="DH15" s="37">
        <f>IF(ISNA(VLOOKUP(A15,'Données projet'!$A$191:$I$211,6,0)),0%,VLOOKUP(A15,'Données projet'!$A$191:$I$211,6,0)*VLOOKUP('Données projet'!$B$15,Paramètres!$A$1:$I$88,7,0))</f>
        <v>0</v>
      </c>
      <c r="DI15" s="37">
        <f>IF(ISNA(VLOOKUP(A15,'Données projet'!$A$191:$I$211,7,0)),0%,VLOOKUP(A15,'Données projet'!$A$191:$I$211,7,0))</f>
        <v>0</v>
      </c>
      <c r="DJ15" s="45">
        <f>EXP(-LN(2)/35)*DJ14+(1-EXP(-LN(2)/35))/(LN(2)/35)*DF15*DG15*VLOOKUP('Données projet'!$B$9,Paramètres!$A$1:$I$88,3,0)*0.475*44/12</f>
        <v>0</v>
      </c>
      <c r="DK15" s="45">
        <f>EXP(-LN(2)/25)*DK14+(1-EXP(-LN(2)/25))/(LN(2)/25)*Calculateur!DF15*Calculateur!DH15*VLOOKUP('Données projet'!$B$9,Paramètres!$A$1:$I$88,3,0)*0.475*44/12</f>
        <v>0</v>
      </c>
      <c r="DL15" s="45">
        <f>EXP(-LN(2)/2)*DL14+(1-EXP(-LN(2)/2))/(LN(2)/2)*DF15*DI15*VLOOKUP('Données projet'!$B$9,Paramètres!$A$1:$I$88,3,0)*0.475*44/12</f>
        <v>0</v>
      </c>
      <c r="DM15" s="46">
        <f t="shared" si="13"/>
        <v>0</v>
      </c>
      <c r="DN15" s="32" t="e">
        <f>VLOOKUP(A15,'Données projet'!$A$217:$I$237,2,0)</f>
        <v>#N/A</v>
      </c>
      <c r="DO15" s="33" t="e">
        <f>VLOOKUP(A15,'Données projet'!$A$217:$I$237,9,0)</f>
        <v>#N/A</v>
      </c>
      <c r="DP15" s="33">
        <f t="array" ref="DP15">INDEX(DO:DO,MIN(IF(ISNUMBER(DO15:DO211),ROW(DO15:DO211),"")))</f>
        <v>0</v>
      </c>
      <c r="DQ15" s="33">
        <f t="shared" si="35"/>
        <v>0</v>
      </c>
      <c r="DR15" s="38" t="e">
        <f>DQ15*VLOOKUP('Données projet'!$B$16,Paramètres!$A$1:$I$88,3,0)*VLOOKUP('Données projet'!$B$16,Paramètres!$A$1:$I$88,5,0)</f>
        <v>#N/A</v>
      </c>
      <c r="DS15" s="34" t="e">
        <f t="shared" si="36"/>
        <v>#N/A</v>
      </c>
      <c r="DT15" s="44" t="e">
        <f t="shared" si="14"/>
        <v>#N/A</v>
      </c>
      <c r="DU15" s="36">
        <f>IF(ISNA(VLOOKUP(A15,'Données projet'!$A$217:$I$237,3,0)),0,VLOOKUP(A15,'Données projet'!$A$217:$I$237,3,0))</f>
        <v>0</v>
      </c>
      <c r="DV15" s="36">
        <f>IF(ISNA(VLOOKUP(A15,'Données projet'!$A$217:$I$237,4,0)),0,VLOOKUP(A15,'Données projet'!$A$217:$I$237,4,0))</f>
        <v>0</v>
      </c>
      <c r="DW15" s="37">
        <f>IF(ISNA(VLOOKUP(A15,'Données projet'!$A$217:$I$237,5,0)),0%,VLOOKUP(A15,'Données projet'!$A$217:$I$237,5,0)*VLOOKUP('Données projet'!$B$16,Paramètres!$A$1:$I$88,7,0))</f>
        <v>0</v>
      </c>
      <c r="DX15" s="37">
        <f>IF(ISNA(VLOOKUP(A15,'Données projet'!$A$217:$I$237,6,0)),0%,VLOOKUP(A15,'Données projet'!$A$217:$I$237,6,0)*VLOOKUP('Données projet'!$B$16,Paramètres!$A$1:$I$88,7,0))</f>
        <v>0</v>
      </c>
      <c r="DY15" s="37">
        <f>IF(ISNA(VLOOKUP(A15,'Données projet'!$A$217:$I$237,7,0)),0%,VLOOKUP(A15,'Données projet'!$A$217:$I$237,7,0))</f>
        <v>0</v>
      </c>
      <c r="DZ15" s="45">
        <f>EXP(-LN(2)/35)*DZ14+(1-EXP(-LN(2)/35))/(LN(2)/35)*DV15*DW15*VLOOKUP('Données projet'!$B$9,Paramètres!$A$1:$I$88,3,0)*0.475*44/12</f>
        <v>0</v>
      </c>
      <c r="EA15" s="45">
        <f>EXP(-LN(2)/25)*EA14+(1-EXP(-LN(2)/25))/(LN(2)/25)*Calculateur!DV15*Calculateur!DX15*VLOOKUP('Données projet'!$B$9,Paramètres!$A$1:$I$88,3,0)*0.475*44/12</f>
        <v>0</v>
      </c>
      <c r="EB15" s="45">
        <f>EXP(-LN(2)/2)*EB14+(1-EXP(-LN(2)/2))/(LN(2)/2)*DV15*DY15*VLOOKUP('Données projet'!$B$9,Paramètres!$A$1:$I$88,3,0)*0.475*44/12</f>
        <v>0</v>
      </c>
      <c r="EC15" s="46">
        <f t="shared" si="15"/>
        <v>0</v>
      </c>
      <c r="ED15" s="32" t="e">
        <f>VLOOKUP(A15,'Données projet'!$A$243:$I$263,2,0)</f>
        <v>#N/A</v>
      </c>
      <c r="EE15" s="33" t="e">
        <f>VLOOKUP(A15,'Données projet'!$A$243:$I$263,9,0)</f>
        <v>#N/A</v>
      </c>
      <c r="EF15" s="33">
        <f t="array" ref="EF15">INDEX(EE:EE,MIN(IF(ISNUMBER(EE15:EE211),ROW(EE15:EE211),"")))</f>
        <v>0</v>
      </c>
      <c r="EG15" s="33">
        <f t="shared" si="37"/>
        <v>0</v>
      </c>
      <c r="EH15" s="38" t="e">
        <f>EG15*VLOOKUP('Données projet'!$B$17,Paramètres!$A$1:$I$88,3,0)*VLOOKUP('Données projet'!$B$17,Paramètres!$A$1:$I$88,5,0)</f>
        <v>#N/A</v>
      </c>
      <c r="EI15" s="34" t="e">
        <f t="shared" si="38"/>
        <v>#N/A</v>
      </c>
      <c r="EJ15" s="44" t="e">
        <f t="shared" si="16"/>
        <v>#N/A</v>
      </c>
      <c r="EK15" s="36">
        <f>IF(ISNA(VLOOKUP(A15,'Données projet'!$A$243:$I$263,3,0)),0,VLOOKUP(A15,'Données projet'!$A$243:$I$263,3,0))</f>
        <v>0</v>
      </c>
      <c r="EL15" s="36">
        <f>IF(ISNA(VLOOKUP(A15,'Données projet'!$A$243:$I$263,4,0)),0,VLOOKUP(A15,'Données projet'!$A$243:$I$263,4,0))</f>
        <v>0</v>
      </c>
      <c r="EM15" s="37">
        <f>IF(ISNA(VLOOKUP(A15,'Données projet'!$A$243:$I$263,5,0)),0%,VLOOKUP(A15,'Données projet'!$A$243:$I$263,5,0)*VLOOKUP('Données projet'!$B$17,Paramètres!$A$1:$I$88,7,0))</f>
        <v>0</v>
      </c>
      <c r="EN15" s="37">
        <f>IF(ISNA(VLOOKUP(A15,'Données projet'!$A$243:$I$263,6,0)),0%,VLOOKUP(A15,'Données projet'!$A$243:$I$263,6,0)*VLOOKUP('Données projet'!$B$17,Paramètres!$A$1:$I$88,7,0))</f>
        <v>0</v>
      </c>
      <c r="EO15" s="37">
        <f>IF(ISNA(VLOOKUP(A15,'Données projet'!$A$243:$I$263,7,0)),0%,VLOOKUP(A15,'Données projet'!$A$243:$I$263,7,0))</f>
        <v>0</v>
      </c>
      <c r="EP15" s="45">
        <f>EXP(-LN(2)/35)*EP14+(1-EXP(-LN(2)/35))/(LN(2)/35)*EL15*EM15*VLOOKUP('Données projet'!$B$9,Paramètres!$A$1:$I$88,3,0)*0.475*44/12</f>
        <v>0</v>
      </c>
      <c r="EQ15" s="45">
        <f>EXP(-LN(2)/25)*EQ14+(1-EXP(-LN(2)/25))/(LN(2)/25)*Calculateur!EL15*Calculateur!EN15*VLOOKUP('Données projet'!$B$9,Paramètres!$A$1:$I$88,3,0)*0.475*44/12</f>
        <v>0</v>
      </c>
      <c r="ER15" s="45">
        <f>EXP(-LN(2)/2)*ER14+(1-EXP(-LN(2)/2))/(LN(2)/2)*EL15*EO15*VLOOKUP('Données projet'!$B$9,Paramètres!$A$1:$I$88,3,0)*0.475*44/12</f>
        <v>0</v>
      </c>
      <c r="ES15" s="46">
        <f t="shared" si="17"/>
        <v>0</v>
      </c>
      <c r="ET15" s="32" t="e">
        <f>VLOOKUP(A15,'Données projet'!$A$269:$I$289,2,0)</f>
        <v>#N/A</v>
      </c>
      <c r="EU15" s="33" t="e">
        <f>VLOOKUP(A15,'Données projet'!$A$269:$I$289,9,0)</f>
        <v>#N/A</v>
      </c>
      <c r="EV15" s="33">
        <f t="array" ref="EV15">INDEX(EU:EU,MIN(IF(ISNUMBER(EU15:EU211),ROW(EU15:EU211),"")))</f>
        <v>0</v>
      </c>
      <c r="EW15" s="33">
        <f t="shared" si="39"/>
        <v>0</v>
      </c>
      <c r="EX15" s="38" t="e">
        <f>EW15*VLOOKUP('Données projet'!$B$18,Paramètres!$A$1:$I$88,3,0)*VLOOKUP('Données projet'!$B$18,Paramètres!$A$1:$I$88,5,0)</f>
        <v>#N/A</v>
      </c>
      <c r="EY15" s="34" t="e">
        <f t="shared" si="40"/>
        <v>#N/A</v>
      </c>
      <c r="EZ15" s="44" t="e">
        <f t="shared" si="18"/>
        <v>#N/A</v>
      </c>
      <c r="FA15" s="36">
        <f>IF(ISNA(VLOOKUP(A15,'Données projet'!$A$269:$I$289,3,0)),0,VLOOKUP(A15,'Données projet'!$A$269:$I$289,3,0))</f>
        <v>0</v>
      </c>
      <c r="FB15" s="36">
        <f>IF(ISNA(VLOOKUP(A15,'Données projet'!$A$269:$I$289,4,0)),0,VLOOKUP(A15,'Données projet'!$A$269:$I$289,4,0))</f>
        <v>0</v>
      </c>
      <c r="FC15" s="37">
        <f>IF(ISNA(VLOOKUP(A15,'Données projet'!$A$269:$I$289,5,0)),0%,VLOOKUP(A15,'Données projet'!$A$269:$I$289,5,0)*VLOOKUP('Données projet'!$B$18,Paramètres!$A$1:$I$88,7,0))</f>
        <v>0</v>
      </c>
      <c r="FD15" s="37">
        <f>IF(ISNA(VLOOKUP(A15,'Données projet'!$A$269:$I$289,6,0)),0%,VLOOKUP(A15,'Données projet'!$A$269:$I$289,6,0)*VLOOKUP('Données projet'!$B$18,Paramètres!$A$1:$I$88,7,0))</f>
        <v>0</v>
      </c>
      <c r="FE15" s="37">
        <f>IF(ISNA(VLOOKUP(A15,'Données projet'!$A$269:$I$289,7,0)),0%,VLOOKUP(A15,'Données projet'!$A$269:$I$289,7,0))</f>
        <v>0</v>
      </c>
      <c r="FF15" s="45">
        <f>EXP(-LN(2)/35)*FF14+(1-EXP(-LN(2)/35))/(LN(2)/35)*FB15*FC15*VLOOKUP('Données projet'!$B$9,Paramètres!$A$1:$I$88,3,0)*0.475*44/12</f>
        <v>0</v>
      </c>
      <c r="FG15" s="45">
        <f>EXP(-LN(2)/25)*FG14+(1-EXP(-LN(2)/25))/(LN(2)/25)*Calculateur!FB15*Calculateur!FD15*VLOOKUP('Données projet'!$B$9,Paramètres!$A$1:$I$88,3,0)*0.475*44/12</f>
        <v>0</v>
      </c>
      <c r="FH15" s="45">
        <f>EXP(-LN(2)/2)*FH14+(1-EXP(-LN(2)/2))/(LN(2)/2)*FB15*FE15*VLOOKUP('Données projet'!$B$9,Paramètres!$A$1:$I$88,3,0)*0.475*44/12</f>
        <v>0</v>
      </c>
      <c r="FI15" s="46">
        <f t="shared" si="19"/>
        <v>0</v>
      </c>
    </row>
    <row r="16" spans="1:165" x14ac:dyDescent="0.25">
      <c r="A16" s="24">
        <f t="shared" si="20"/>
        <v>13</v>
      </c>
      <c r="B16" s="25">
        <f>IF('Scénario référence'!$N$1=1,5,0)</f>
        <v>0</v>
      </c>
      <c r="C16" s="40">
        <f>IF(OR('Scénario référence'!$N$1=2,'Scénario référence'!$N$1=4),C15+1*VLOOKUP('Scénario référence'!$G$14,Paramètres!$A$1:$I$88,3,0)*VLOOKUP('Scénario référence'!$G$14,Paramètres!$A$1:$I$88,5,0),IF(OR('Scénario référence'!$N$1=3,'Scénario référence'!$N$1=5),C15+0.5*VLOOKUP('Scénario référence'!$G$14,Paramètres!$A$1:$I$88,3,0)*VLOOKUP('Scénario référence'!$G$14,Paramètres!$A$1:$I$88,5,0),0))</f>
        <v>7.0980000000000025</v>
      </c>
      <c r="D16" s="26">
        <f t="shared" si="21"/>
        <v>2.6038492076799815</v>
      </c>
      <c r="E16" s="27">
        <f>IF('Scénario référence'!$N$1=1,B16*44/12,(C16+D16)*0.475*44/12)</f>
        <v>16.89738737004264</v>
      </c>
      <c r="F16" s="28" t="e">
        <f>VLOOKUP(A16,'Données projet'!$A$35:$I$55,2,0)</f>
        <v>#N/A</v>
      </c>
      <c r="G16" s="28" t="e">
        <f>VLOOKUP(A16,'Données projet'!$A$35:$I$55,9,0)</f>
        <v>#N/A</v>
      </c>
      <c r="H16" s="33">
        <f t="array" ref="H16">INDEX(G:G,MIN(IF(ISNUMBER(G16:G212),ROW(G16:G212),"")))</f>
        <v>2.1</v>
      </c>
      <c r="I16" s="28">
        <f t="shared" si="22"/>
        <v>27.300000000000008</v>
      </c>
      <c r="J16" s="41">
        <f>I16*VLOOKUP('Données projet'!$B$9,Paramètres!$A$1:$I$88,3,0)*VLOOKUP('Données projet'!$B$9,Paramètres!$A$1:$I$88,5,0)</f>
        <v>27.682200000000009</v>
      </c>
      <c r="K16" s="41">
        <f t="shared" si="23"/>
        <v>8.6672338987137696</v>
      </c>
      <c r="L16" s="42">
        <f t="shared" si="0"/>
        <v>63.308597373593159</v>
      </c>
      <c r="M16" s="30">
        <f>IF(ISNA(VLOOKUP(A16,'Données projet'!$A$35:$I$55,3,0)),0,VLOOKUP(A16,'Données projet'!$A$35:$I$55,3,0))</f>
        <v>0</v>
      </c>
      <c r="N16" s="30">
        <f>IF(ISNA(VLOOKUP(A16,'Données projet'!$A$35:$I$55,4,0)),0,VLOOKUP(A16,'Données projet'!$A$35:$I$55,4,0))</f>
        <v>0</v>
      </c>
      <c r="O16" s="31">
        <f>IF(ISNA(VLOOKUP(A16,'Données projet'!$A$35:$I$55,5,0)),0%,VLOOKUP(A16,'Données projet'!$A$35:$I$55,5,0)*VLOOKUP('Données projet'!$B$9,Paramètres!$A$1:$I$88,7,0))</f>
        <v>0</v>
      </c>
      <c r="P16" s="31">
        <f>IF(ISNA(VLOOKUP(A16,'Données projet'!$A$35:$I$55,6,0)),0%,VLOOKUP(A16,'Données projet'!$A$35:$I$55,6,0)*VLOOKUP('Données projet'!$B$9,Paramètres!$A$1:$I$88,7,0))</f>
        <v>0</v>
      </c>
      <c r="Q16" s="31">
        <f>IF(ISNA(VLOOKUP(A16,'Données projet'!$A$35:$I$55,7,0)),0%,VLOOKUP(A16,'Données projet'!$A$35:$I$55,7,0))</f>
        <v>0</v>
      </c>
      <c r="R16" s="43">
        <f>EXP(-LN(2)/35)*R15+(1-EXP(-LN(2)/35))/(LN(2)/35)*N16*O16*VLOOKUP('Données projet'!$B$9,Paramètres!$A$1:$I$88,3,0)*0.475*44/12</f>
        <v>0</v>
      </c>
      <c r="S16" s="43">
        <f>EXP(-LN(2)/25)*S15+(1-EXP(-LN(2)/25))/(LN(2)/25)*Calculateur!N16*Calculateur!P16*VLOOKUP('Données projet'!$B$9,Paramètres!$A$1:$I$88,3,0)*0.475*44/12</f>
        <v>0</v>
      </c>
      <c r="T16" s="43">
        <f>EXP(-LN(2)/2)*T15+(1-EXP(-LN(2)/2))/(LN(2)/2)*N16*Q16*VLOOKUP('Données projet'!$B$9,Paramètres!$A$1:$I$88,3,0)*0.475*44/12</f>
        <v>0</v>
      </c>
      <c r="U16" s="43">
        <f t="shared" si="1"/>
        <v>0</v>
      </c>
      <c r="V16" s="32" t="e">
        <f>VLOOKUP(A16,'Données projet'!$A$61:$I$81,2,0)</f>
        <v>#N/A</v>
      </c>
      <c r="W16" s="33" t="e">
        <f>VLOOKUP(A16,'Données projet'!$A$61:$I$81,9,0)</f>
        <v>#N/A</v>
      </c>
      <c r="X16" s="33">
        <f t="array" ref="X16">INDEX(W:W,MIN(IF(ISNUMBER(W16:W212),ROW(W16:W212),"")))</f>
        <v>0</v>
      </c>
      <c r="Y16" s="33">
        <f t="shared" si="24"/>
        <v>0</v>
      </c>
      <c r="Z16" s="34" t="e">
        <f>Y16*VLOOKUP('Données projet'!$B$10,Paramètres!$A$1:$I$88,3,0)*VLOOKUP('Données projet'!$B$10,Paramètres!$A$1:$I$88,5,0)</f>
        <v>#N/A</v>
      </c>
      <c r="AA16" s="34" t="e">
        <f t="shared" si="25"/>
        <v>#N/A</v>
      </c>
      <c r="AB16" s="44" t="e">
        <f t="shared" si="2"/>
        <v>#N/A</v>
      </c>
      <c r="AC16" s="36">
        <f>IF(ISNA(VLOOKUP(A16,'Données projet'!$A$61:$I$81,3,0)),0,VLOOKUP(A16,'Données projet'!$A$61:$I$81,3,0))</f>
        <v>0</v>
      </c>
      <c r="AD16" s="36">
        <f>IF(ISNA(VLOOKUP(A16,'Données projet'!$A$61:$I$81,4,0)),0,VLOOKUP(A16,'Données projet'!$A$61:$I$81,4,0))</f>
        <v>0</v>
      </c>
      <c r="AE16" s="37">
        <f>IF(ISNA(VLOOKUP(A16,'Données projet'!$A$61:$I$81,5,0)),0%,VLOOKUP(A16,'Données projet'!$A$61:$I$81,5,0)*VLOOKUP('Données projet'!$B$10,Paramètres!$A$1:$I$88,7,0))</f>
        <v>0</v>
      </c>
      <c r="AF16" s="37">
        <f>IF(ISNA(VLOOKUP(A16,'Données projet'!$A$61:$I$81,6,0)),0%,VLOOKUP(A16,'Données projet'!$A$61:$I$81,6,0)*VLOOKUP('Données projet'!$B$10,Paramètres!$A$1:$I$88,7,0))</f>
        <v>0</v>
      </c>
      <c r="AG16" s="37">
        <f>IF(ISNA(VLOOKUP(A16,'Données projet'!$A$61:$I$81,7,0)),0%,VLOOKUP(A16,'Données projet'!$A$61:$I$81,7,0))</f>
        <v>0</v>
      </c>
      <c r="AH16" s="45">
        <f>EXP(-LN(2)/35)*AH15+(1-EXP(-LN(2)/35))/(LN(2)/35)*AD16*AE16*VLOOKUP('Données projet'!$B$9,Paramètres!$A$1:$I$88,3,0)*0.475*44/12</f>
        <v>0</v>
      </c>
      <c r="AI16" s="45">
        <f>EXP(-LN(2)/25)*AI15+(1-EXP(-LN(2)/25))/(LN(2)/25)*Calculateur!AD16*Calculateur!AF16*VLOOKUP('Données projet'!$B$9,Paramètres!$A$1:$I$88,3,0)*0.475*44/12</f>
        <v>0</v>
      </c>
      <c r="AJ16" s="45">
        <f>EXP(-LN(2)/2)*AJ15+(1-EXP(-LN(2)/2))/(LN(2)/2)*AD16*AG16*VLOOKUP('Données projet'!$B$9,Paramètres!$A$1:$I$88,3,0)*0.475*44/12</f>
        <v>0</v>
      </c>
      <c r="AK16" s="45">
        <f t="shared" si="3"/>
        <v>0</v>
      </c>
      <c r="AL16" s="32" t="e">
        <f>VLOOKUP(A16,'Données projet'!$A$87:$I$107,2,0)</f>
        <v>#N/A</v>
      </c>
      <c r="AM16" s="33" t="e">
        <f>VLOOKUP(A16,'Données projet'!$A$87:$I$107,9,0)</f>
        <v>#N/A</v>
      </c>
      <c r="AN16" s="33">
        <f t="array" ref="AN16">INDEX(AM:AM,MIN(IF(ISNUMBER(AM16:AM212),ROW(AM16:AM212),"")))</f>
        <v>0</v>
      </c>
      <c r="AO16" s="33">
        <f t="shared" si="26"/>
        <v>0</v>
      </c>
      <c r="AP16" s="34" t="e">
        <f>AO16*VLOOKUP('Données projet'!$B$11,Paramètres!$A$1:$I$88,3,0)*VLOOKUP('Données projet'!$B$11,Paramètres!$A$1:$I$88,5,0)</f>
        <v>#N/A</v>
      </c>
      <c r="AQ16" s="34" t="e">
        <f t="shared" si="27"/>
        <v>#N/A</v>
      </c>
      <c r="AR16" s="44" t="e">
        <f t="shared" si="4"/>
        <v>#N/A</v>
      </c>
      <c r="AS16" s="36">
        <f>IF(ISNA(VLOOKUP(A16,'Données projet'!$A$87:$I$107,3,0)),0,VLOOKUP(A16,'Données projet'!$A$87:$I$107,3,0))</f>
        <v>0</v>
      </c>
      <c r="AT16" s="36">
        <f>IF(ISNA(VLOOKUP(A16,'Données projet'!$A$87:$I$107,4,0)),0,VLOOKUP(A16,'Données projet'!$A$87:$I$107,4,0))</f>
        <v>0</v>
      </c>
      <c r="AU16" s="37">
        <f>IF(ISNA(VLOOKUP(A16,'Données projet'!$A$87:$I$107,5,0)),0%,VLOOKUP(A16,'Données projet'!$A$87:$I$107,5,0)*VLOOKUP('Données projet'!$B$11,Paramètres!$A$1:$I$88,7,0))</f>
        <v>0</v>
      </c>
      <c r="AV16" s="37">
        <f>IF(ISNA(VLOOKUP(A16,'Données projet'!$A$87:$I$107,6,0)),0%,VLOOKUP(A16,'Données projet'!$A$87:$I$107,6,0)*VLOOKUP('Données projet'!$B$11,Paramètres!$A$1:$I$88,7,0))</f>
        <v>0</v>
      </c>
      <c r="AW16" s="37">
        <f>IF(ISNA(VLOOKUP(A16,'Données projet'!$A$87:$I$107,7,0)),0%,VLOOKUP(A16,'Données projet'!$A$87:$I$107,7,0))</f>
        <v>0</v>
      </c>
      <c r="AX16" s="45">
        <f>EXP(-LN(2)/35)*AX15+(1-EXP(-LN(2)/35))/(LN(2)/35)*AT16*AU16*VLOOKUP('Données projet'!$B$9,Paramètres!$A$1:$I$88,3,0)*0.475*44/12</f>
        <v>0</v>
      </c>
      <c r="AY16" s="45">
        <f>EXP(-LN(2)/25)*AY15+(1-EXP(-LN(2)/25))/(LN(2)/25)*Calculateur!AT16*Calculateur!AV16*VLOOKUP('Données projet'!$B$9,Paramètres!$A$1:$I$88,3,0)*0.475*44/12</f>
        <v>0</v>
      </c>
      <c r="AZ16" s="45">
        <f>EXP(-LN(2)/2)*AZ15+(1-EXP(-LN(2)/2))/(LN(2)/2)*AT16*AW16*VLOOKUP('Données projet'!$B$9,Paramètres!$A$1:$I$88,3,0)*0.475*44/12</f>
        <v>0</v>
      </c>
      <c r="BA16" s="46">
        <f t="shared" si="5"/>
        <v>0</v>
      </c>
      <c r="BB16" s="32" t="e">
        <f>VLOOKUP(A16,'Données projet'!$A$113:$I$133,2,0)</f>
        <v>#N/A</v>
      </c>
      <c r="BC16" s="33" t="e">
        <f>VLOOKUP(A16,'Données projet'!$A$113:$I$133,9,0)</f>
        <v>#N/A</v>
      </c>
      <c r="BD16" s="33">
        <f t="array" ref="BD16">INDEX(BC:BC,MIN(IF(ISNUMBER(BC16:BC212),ROW(BC16:BC212),"")))</f>
        <v>0</v>
      </c>
      <c r="BE16" s="33">
        <f t="shared" si="28"/>
        <v>0</v>
      </c>
      <c r="BF16" s="34" t="e">
        <f>BE16*VLOOKUP('Données projet'!$B$12,Paramètres!$A$1:$I$88,3,0)*VLOOKUP('Données projet'!$B$12,Paramètres!$A$1:$I$88,5,0)</f>
        <v>#N/A</v>
      </c>
      <c r="BG16" s="34" t="e">
        <f t="shared" si="29"/>
        <v>#N/A</v>
      </c>
      <c r="BH16" s="44" t="e">
        <f t="shared" si="6"/>
        <v>#N/A</v>
      </c>
      <c r="BI16" s="36">
        <f>IF(ISNA(VLOOKUP(A16,'Données projet'!$A$113:$I$133,3,0)),0,VLOOKUP(A16,'Données projet'!$A$113:$I$133,3,0))</f>
        <v>0</v>
      </c>
      <c r="BJ16" s="36">
        <f>IF(ISNA(VLOOKUP(A16,'Données projet'!$A$113:$I$133,4,0)),0,VLOOKUP(A16,'Données projet'!$A$113:$I$133,4,0))</f>
        <v>0</v>
      </c>
      <c r="BK16" s="37">
        <f>IF(ISNA(VLOOKUP(A16,'Données projet'!$A$113:$I$133,5,0)),0%,VLOOKUP(A16,'Données projet'!$A$113:$I$133,5,0)*VLOOKUP('Données projet'!$B$12,Paramètres!$A$1:$I$88,7,0))</f>
        <v>0</v>
      </c>
      <c r="BL16" s="37">
        <f>IF(ISNA(VLOOKUP(A16,'Données projet'!$A$113:$I$133,6,0)),0%,VLOOKUP(A16,'Données projet'!$A$113:$I$133,6,0)*VLOOKUP('Données projet'!$B$12,Paramètres!$A$1:$I$88,7,0))</f>
        <v>0</v>
      </c>
      <c r="BM16" s="37">
        <f>IF(ISNA(VLOOKUP(A16,'Données projet'!$A$113:$I$133,7,0)),0%,VLOOKUP(A16,'Données projet'!$A$113:$I$133,7,0))</f>
        <v>0</v>
      </c>
      <c r="BN16" s="45">
        <f>EXP(-LN(2)/35)*BN15+(1-EXP(-LN(2)/35))/(LN(2)/35)*BJ16*BK16*VLOOKUP('Données projet'!$B$9,Paramètres!$A$1:$I$88,3,0)*0.475*44/12</f>
        <v>0</v>
      </c>
      <c r="BO16" s="45">
        <f>EXP(-LN(2)/25)*BO15+(1-EXP(-LN(2)/25))/(LN(2)/25)*Calculateur!BJ16*Calculateur!BL16*VLOOKUP('Données projet'!$B$9,Paramètres!$A$1:$I$88,3,0)*0.475*44/12</f>
        <v>0</v>
      </c>
      <c r="BP16" s="45">
        <f>EXP(-LN(2)/2)*BP15+(1-EXP(-LN(2)/2))/(LN(2)/2)*BJ16*BM16*VLOOKUP('Données projet'!$B$9,Paramètres!$A$1:$I$88,3,0)*0.475*44/12</f>
        <v>0</v>
      </c>
      <c r="BQ16" s="46">
        <f t="shared" si="7"/>
        <v>0</v>
      </c>
      <c r="BR16" s="32" t="e">
        <f>VLOOKUP(A16,'Données projet'!$A$139:$I$159,2,0)</f>
        <v>#N/A</v>
      </c>
      <c r="BS16" s="33" t="e">
        <f>VLOOKUP(A16,'Données projet'!$A$139:$I$159,9,0)</f>
        <v>#N/A</v>
      </c>
      <c r="BT16" s="33">
        <f t="array" ref="BT16">INDEX(BS:BS,MIN(IF(ISNUMBER(BS16:BS212),ROW(BS16:BS212),"")))</f>
        <v>0</v>
      </c>
      <c r="BU16" s="33">
        <f t="shared" si="41"/>
        <v>0</v>
      </c>
      <c r="BV16" s="38" t="e">
        <f>BU16*VLOOKUP('Données projet'!$B$13,Paramètres!$A$1:$I$88,3,0)*VLOOKUP('Données projet'!$B$13,Paramètres!$A$1:$I$88,5,0)</f>
        <v>#N/A</v>
      </c>
      <c r="BW16" s="34" t="e">
        <f t="shared" si="30"/>
        <v>#N/A</v>
      </c>
      <c r="BX16" s="44" t="e">
        <f t="shared" si="8"/>
        <v>#N/A</v>
      </c>
      <c r="BY16" s="36">
        <f>IF(ISNA(VLOOKUP(A16,'Données projet'!$A$139:$I$159,3,0)),0,VLOOKUP(A16,'Données projet'!$A$139:$I$159,3,0))</f>
        <v>0</v>
      </c>
      <c r="BZ16" s="36">
        <f>IF(ISNA(VLOOKUP(A16,'Données projet'!$A$139:$I$159,4,0)),0,VLOOKUP(A16,'Données projet'!$A$139:$I$159,4,0))</f>
        <v>0</v>
      </c>
      <c r="CA16" s="37">
        <f>IF(ISNA(VLOOKUP(A16,'Données projet'!$A$139:$I$159,5,0)),0%,VLOOKUP(A16,'Données projet'!$A$139:$I$159,5,0)*VLOOKUP('Données projet'!$B$13,Paramètres!$A$1:$I$88,7,0))</f>
        <v>0</v>
      </c>
      <c r="CB16" s="37">
        <f>IF(ISNA(VLOOKUP(A16,'Données projet'!$A$139:$I$159,6,0)),0%,VLOOKUP(A16,'Données projet'!$A$139:$I$159,6,0)*VLOOKUP('Données projet'!$B$13,Paramètres!$A$1:$I$88,7,0))</f>
        <v>0</v>
      </c>
      <c r="CC16" s="37">
        <f>IF(ISNA(VLOOKUP(A16,'Données projet'!$A$139:$I$159,7,0)),0%,VLOOKUP(A16,'Données projet'!$A$139:$I$159,7,0))</f>
        <v>0</v>
      </c>
      <c r="CD16" s="45">
        <f>EXP(-LN(2)/35)*CD15+(1-EXP(-LN(2)/35))/(LN(2)/35)*BZ16*CA16*VLOOKUP('Données projet'!$B$9,Paramètres!$A$1:$I$88,3,0)*0.475*44/12</f>
        <v>0</v>
      </c>
      <c r="CE16" s="45">
        <f>EXP(-LN(2)/25)*CE15+(1-EXP(-LN(2)/25))/(LN(2)/25)*Calculateur!BZ16*Calculateur!CB16*VLOOKUP('Données projet'!$B$9,Paramètres!$A$1:$I$88,3,0)*0.475*44/12</f>
        <v>0</v>
      </c>
      <c r="CF16" s="45">
        <f>EXP(-LN(2)/2)*CF15+(1-EXP(-LN(2)/2))/(LN(2)/2)*BZ16*CC16*VLOOKUP('Données projet'!$B$9,Paramètres!$A$1:$I$88,3,0)*0.475*44/12</f>
        <v>0</v>
      </c>
      <c r="CG16" s="46">
        <f t="shared" si="9"/>
        <v>0</v>
      </c>
      <c r="CH16" s="32" t="e">
        <f>VLOOKUP(A16,'Données projet'!$A$165:$I$185,2,0)</f>
        <v>#N/A</v>
      </c>
      <c r="CI16" s="33" t="e">
        <f>VLOOKUP(A16,'Données projet'!$A$165:$I$185,9,0)</f>
        <v>#N/A</v>
      </c>
      <c r="CJ16" s="33">
        <f t="array" ref="CJ16">INDEX(CI:CI,MIN(IF(ISNUMBER(CI16:CI212),ROW(CI16:CI212),"")))</f>
        <v>0</v>
      </c>
      <c r="CK16" s="33">
        <f t="shared" si="31"/>
        <v>0</v>
      </c>
      <c r="CL16" s="38" t="e">
        <f>CK16*VLOOKUP('Données projet'!$B$14,Paramètres!$A$1:$I$88,3,0)*VLOOKUP('Données projet'!$B$14,Paramètres!$A$1:$I$88,5,0)</f>
        <v>#N/A</v>
      </c>
      <c r="CM16" s="34" t="e">
        <f t="shared" si="32"/>
        <v>#N/A</v>
      </c>
      <c r="CN16" s="44" t="e">
        <f t="shared" si="10"/>
        <v>#N/A</v>
      </c>
      <c r="CO16" s="36">
        <f>IF(ISNA(VLOOKUP(A16,'Données projet'!$A$165:$I$185,3,0)),0,VLOOKUP(A16,'Données projet'!$A$165:$I$185,3,0))</f>
        <v>0</v>
      </c>
      <c r="CP16" s="36">
        <f>IF(ISNA(VLOOKUP(A16,'Données projet'!$A$165:$I$185,4,0)),0,VLOOKUP(A16,'Données projet'!$A$165:$I$185,4,0))</f>
        <v>0</v>
      </c>
      <c r="CQ16" s="37">
        <f>IF(ISNA(VLOOKUP(A16,'Données projet'!$A$165:$I$185,5,0)),0%,VLOOKUP(A16,'Données projet'!$A$165:$I$185,5,0)*VLOOKUP('Données projet'!$B$14,Paramètres!$A$1:$I$88,7,0))</f>
        <v>0</v>
      </c>
      <c r="CR16" s="37">
        <f>IF(ISNA(VLOOKUP(A16,'Données projet'!$A$165:$I$185,6,0)),0%,VLOOKUP(A16,'Données projet'!$A$165:$I$185,6,0)*VLOOKUP('Données projet'!$B$14,Paramètres!$A$1:$I$88,7,0))</f>
        <v>0</v>
      </c>
      <c r="CS16" s="37">
        <f>IF(ISNA(VLOOKUP(A16,'Données projet'!$A$165:$I$185,7,0)),0%,VLOOKUP(A16,'Données projet'!$A$165:$I$185,7,0))</f>
        <v>0</v>
      </c>
      <c r="CT16" s="45">
        <f>EXP(-LN(2)/35)*CT15+(1-EXP(-LN(2)/35))/(LN(2)/35)*CP16*CQ16*VLOOKUP('Données projet'!$B$9,Paramètres!$A$1:$I$88,3,0)*0.475*44/12</f>
        <v>0</v>
      </c>
      <c r="CU16" s="45">
        <f>EXP(-LN(2)/25)*CU15+(1-EXP(-LN(2)/25))/(LN(2)/25)*Calculateur!CP16*Calculateur!CR16*VLOOKUP('Données projet'!$B$9,Paramètres!$A$1:$I$88,3,0)*0.475*44/12</f>
        <v>0</v>
      </c>
      <c r="CV16" s="45">
        <f>EXP(-LN(2)/2)*CV15+(1-EXP(-LN(2)/2))/(LN(2)/2)*CP16*CS16*VLOOKUP('Données projet'!$B$9,Paramètres!$A$1:$I$88,3,0)*0.475*44/12</f>
        <v>0</v>
      </c>
      <c r="CW16" s="46">
        <f t="shared" si="11"/>
        <v>0</v>
      </c>
      <c r="CX16" s="32" t="e">
        <f>VLOOKUP(A16,'Données projet'!$A$191:$I$211,2,0)</f>
        <v>#N/A</v>
      </c>
      <c r="CY16" s="33" t="e">
        <f>VLOOKUP(A16,'Données projet'!$A$191:$I$211,9,0)</f>
        <v>#N/A</v>
      </c>
      <c r="CZ16" s="33">
        <f t="array" ref="CZ16">INDEX(CY:CY,MIN(IF(ISNUMBER(CY16:CY212),ROW(CY16:CY212),"")))</f>
        <v>0</v>
      </c>
      <c r="DA16" s="33">
        <f t="shared" si="33"/>
        <v>0</v>
      </c>
      <c r="DB16" s="38" t="e">
        <f>DA16*VLOOKUP('Données projet'!$B$15,Paramètres!$A$1:$I$88,3,0)*VLOOKUP('Données projet'!$B$15,Paramètres!$A$1:$I$88,5,0)</f>
        <v>#N/A</v>
      </c>
      <c r="DC16" s="34" t="e">
        <f t="shared" si="34"/>
        <v>#N/A</v>
      </c>
      <c r="DD16" s="44" t="e">
        <f t="shared" si="12"/>
        <v>#N/A</v>
      </c>
      <c r="DE16" s="36">
        <f>IF(ISNA(VLOOKUP(A16,'Données projet'!$A$191:$I$211,3,0)),0,VLOOKUP(A16,'Données projet'!$A$191:$I$211,3,0))</f>
        <v>0</v>
      </c>
      <c r="DF16" s="36">
        <f>IF(ISNA(VLOOKUP(A16,'Données projet'!$A$191:$I$211,4,0)),0,VLOOKUP(A16,'Données projet'!$A$191:$I$211,4,0))</f>
        <v>0</v>
      </c>
      <c r="DG16" s="37">
        <f>IF(ISNA(VLOOKUP(A16,'Données projet'!$A$191:$I$211,5,0)),0%,VLOOKUP(A16,'Données projet'!$A$191:$I$211,5,0)*VLOOKUP('Données projet'!$B$15,Paramètres!$A$1:$I$88,7,0))</f>
        <v>0</v>
      </c>
      <c r="DH16" s="37">
        <f>IF(ISNA(VLOOKUP(A16,'Données projet'!$A$191:$I$211,6,0)),0%,VLOOKUP(A16,'Données projet'!$A$191:$I$211,6,0)*VLOOKUP('Données projet'!$B$15,Paramètres!$A$1:$I$88,7,0))</f>
        <v>0</v>
      </c>
      <c r="DI16" s="37">
        <f>IF(ISNA(VLOOKUP(A16,'Données projet'!$A$191:$I$211,7,0)),0%,VLOOKUP(A16,'Données projet'!$A$191:$I$211,7,0))</f>
        <v>0</v>
      </c>
      <c r="DJ16" s="45">
        <f>EXP(-LN(2)/35)*DJ15+(1-EXP(-LN(2)/35))/(LN(2)/35)*DF16*DG16*VLOOKUP('Données projet'!$B$9,Paramètres!$A$1:$I$88,3,0)*0.475*44/12</f>
        <v>0</v>
      </c>
      <c r="DK16" s="45">
        <f>EXP(-LN(2)/25)*DK15+(1-EXP(-LN(2)/25))/(LN(2)/25)*Calculateur!DF16*Calculateur!DH16*VLOOKUP('Données projet'!$B$9,Paramètres!$A$1:$I$88,3,0)*0.475*44/12</f>
        <v>0</v>
      </c>
      <c r="DL16" s="45">
        <f>EXP(-LN(2)/2)*DL15+(1-EXP(-LN(2)/2))/(LN(2)/2)*DF16*DI16*VLOOKUP('Données projet'!$B$9,Paramètres!$A$1:$I$88,3,0)*0.475*44/12</f>
        <v>0</v>
      </c>
      <c r="DM16" s="46">
        <f t="shared" si="13"/>
        <v>0</v>
      </c>
      <c r="DN16" s="32" t="e">
        <f>VLOOKUP(A16,'Données projet'!$A$217:$I$237,2,0)</f>
        <v>#N/A</v>
      </c>
      <c r="DO16" s="33" t="e">
        <f>VLOOKUP(A16,'Données projet'!$A$217:$I$237,9,0)</f>
        <v>#N/A</v>
      </c>
      <c r="DP16" s="33">
        <f t="array" ref="DP16">INDEX(DO:DO,MIN(IF(ISNUMBER(DO16:DO212),ROW(DO16:DO212),"")))</f>
        <v>0</v>
      </c>
      <c r="DQ16" s="33">
        <f t="shared" si="35"/>
        <v>0</v>
      </c>
      <c r="DR16" s="38" t="e">
        <f>DQ16*VLOOKUP('Données projet'!$B$16,Paramètres!$A$1:$I$88,3,0)*VLOOKUP('Données projet'!$B$16,Paramètres!$A$1:$I$88,5,0)</f>
        <v>#N/A</v>
      </c>
      <c r="DS16" s="34" t="e">
        <f t="shared" si="36"/>
        <v>#N/A</v>
      </c>
      <c r="DT16" s="44" t="e">
        <f t="shared" si="14"/>
        <v>#N/A</v>
      </c>
      <c r="DU16" s="36">
        <f>IF(ISNA(VLOOKUP(A16,'Données projet'!$A$217:$I$237,3,0)),0,VLOOKUP(A16,'Données projet'!$A$217:$I$237,3,0))</f>
        <v>0</v>
      </c>
      <c r="DV16" s="36">
        <f>IF(ISNA(VLOOKUP(A16,'Données projet'!$A$217:$I$237,4,0)),0,VLOOKUP(A16,'Données projet'!$A$217:$I$237,4,0))</f>
        <v>0</v>
      </c>
      <c r="DW16" s="37">
        <f>IF(ISNA(VLOOKUP(A16,'Données projet'!$A$217:$I$237,5,0)),0%,VLOOKUP(A16,'Données projet'!$A$217:$I$237,5,0)*VLOOKUP('Données projet'!$B$16,Paramètres!$A$1:$I$88,7,0))</f>
        <v>0</v>
      </c>
      <c r="DX16" s="37">
        <f>IF(ISNA(VLOOKUP(A16,'Données projet'!$A$217:$I$237,6,0)),0%,VLOOKUP(A16,'Données projet'!$A$217:$I$237,6,0)*VLOOKUP('Données projet'!$B$16,Paramètres!$A$1:$I$88,7,0))</f>
        <v>0</v>
      </c>
      <c r="DY16" s="37">
        <f>IF(ISNA(VLOOKUP(A16,'Données projet'!$A$217:$I$237,7,0)),0%,VLOOKUP(A16,'Données projet'!$A$217:$I$237,7,0))</f>
        <v>0</v>
      </c>
      <c r="DZ16" s="45">
        <f>EXP(-LN(2)/35)*DZ15+(1-EXP(-LN(2)/35))/(LN(2)/35)*DV16*DW16*VLOOKUP('Données projet'!$B$9,Paramètres!$A$1:$I$88,3,0)*0.475*44/12</f>
        <v>0</v>
      </c>
      <c r="EA16" s="45">
        <f>EXP(-LN(2)/25)*EA15+(1-EXP(-LN(2)/25))/(LN(2)/25)*Calculateur!DV16*Calculateur!DX16*VLOOKUP('Données projet'!$B$9,Paramètres!$A$1:$I$88,3,0)*0.475*44/12</f>
        <v>0</v>
      </c>
      <c r="EB16" s="45">
        <f>EXP(-LN(2)/2)*EB15+(1-EXP(-LN(2)/2))/(LN(2)/2)*DV16*DY16*VLOOKUP('Données projet'!$B$9,Paramètres!$A$1:$I$88,3,0)*0.475*44/12</f>
        <v>0</v>
      </c>
      <c r="EC16" s="46">
        <f t="shared" si="15"/>
        <v>0</v>
      </c>
      <c r="ED16" s="32" t="e">
        <f>VLOOKUP(A16,'Données projet'!$A$243:$I$263,2,0)</f>
        <v>#N/A</v>
      </c>
      <c r="EE16" s="33" t="e">
        <f>VLOOKUP(A16,'Données projet'!$A$243:$I$263,9,0)</f>
        <v>#N/A</v>
      </c>
      <c r="EF16" s="33">
        <f t="array" ref="EF16">INDEX(EE:EE,MIN(IF(ISNUMBER(EE16:EE212),ROW(EE16:EE212),"")))</f>
        <v>0</v>
      </c>
      <c r="EG16" s="33">
        <f t="shared" si="37"/>
        <v>0</v>
      </c>
      <c r="EH16" s="38" t="e">
        <f>EG16*VLOOKUP('Données projet'!$B$17,Paramètres!$A$1:$I$88,3,0)*VLOOKUP('Données projet'!$B$17,Paramètres!$A$1:$I$88,5,0)</f>
        <v>#N/A</v>
      </c>
      <c r="EI16" s="34" t="e">
        <f t="shared" si="38"/>
        <v>#N/A</v>
      </c>
      <c r="EJ16" s="44" t="e">
        <f t="shared" si="16"/>
        <v>#N/A</v>
      </c>
      <c r="EK16" s="36">
        <f>IF(ISNA(VLOOKUP(A16,'Données projet'!$A$243:$I$263,3,0)),0,VLOOKUP(A16,'Données projet'!$A$243:$I$263,3,0))</f>
        <v>0</v>
      </c>
      <c r="EL16" s="36">
        <f>IF(ISNA(VLOOKUP(A16,'Données projet'!$A$243:$I$263,4,0)),0,VLOOKUP(A16,'Données projet'!$A$243:$I$263,4,0))</f>
        <v>0</v>
      </c>
      <c r="EM16" s="37">
        <f>IF(ISNA(VLOOKUP(A16,'Données projet'!$A$243:$I$263,5,0)),0%,VLOOKUP(A16,'Données projet'!$A$243:$I$263,5,0)*VLOOKUP('Données projet'!$B$17,Paramètres!$A$1:$I$88,7,0))</f>
        <v>0</v>
      </c>
      <c r="EN16" s="37">
        <f>IF(ISNA(VLOOKUP(A16,'Données projet'!$A$243:$I$263,6,0)),0%,VLOOKUP(A16,'Données projet'!$A$243:$I$263,6,0)*VLOOKUP('Données projet'!$B$17,Paramètres!$A$1:$I$88,7,0))</f>
        <v>0</v>
      </c>
      <c r="EO16" s="37">
        <f>IF(ISNA(VLOOKUP(A16,'Données projet'!$A$243:$I$263,7,0)),0%,VLOOKUP(A16,'Données projet'!$A$243:$I$263,7,0))</f>
        <v>0</v>
      </c>
      <c r="EP16" s="45">
        <f>EXP(-LN(2)/35)*EP15+(1-EXP(-LN(2)/35))/(LN(2)/35)*EL16*EM16*VLOOKUP('Données projet'!$B$9,Paramètres!$A$1:$I$88,3,0)*0.475*44/12</f>
        <v>0</v>
      </c>
      <c r="EQ16" s="45">
        <f>EXP(-LN(2)/25)*EQ15+(1-EXP(-LN(2)/25))/(LN(2)/25)*Calculateur!EL16*Calculateur!EN16*VLOOKUP('Données projet'!$B$9,Paramètres!$A$1:$I$88,3,0)*0.475*44/12</f>
        <v>0</v>
      </c>
      <c r="ER16" s="45">
        <f>EXP(-LN(2)/2)*ER15+(1-EXP(-LN(2)/2))/(LN(2)/2)*EL16*EO16*VLOOKUP('Données projet'!$B$9,Paramètres!$A$1:$I$88,3,0)*0.475*44/12</f>
        <v>0</v>
      </c>
      <c r="ES16" s="46">
        <f t="shared" si="17"/>
        <v>0</v>
      </c>
      <c r="ET16" s="32" t="e">
        <f>VLOOKUP(A16,'Données projet'!$A$269:$I$289,2,0)</f>
        <v>#N/A</v>
      </c>
      <c r="EU16" s="33" t="e">
        <f>VLOOKUP(A16,'Données projet'!$A$269:$I$289,9,0)</f>
        <v>#N/A</v>
      </c>
      <c r="EV16" s="33">
        <f t="array" ref="EV16">INDEX(EU:EU,MIN(IF(ISNUMBER(EU16:EU212),ROW(EU16:EU212),"")))</f>
        <v>0</v>
      </c>
      <c r="EW16" s="33">
        <f t="shared" si="39"/>
        <v>0</v>
      </c>
      <c r="EX16" s="38" t="e">
        <f>EW16*VLOOKUP('Données projet'!$B$18,Paramètres!$A$1:$I$88,3,0)*VLOOKUP('Données projet'!$B$18,Paramètres!$A$1:$I$88,5,0)</f>
        <v>#N/A</v>
      </c>
      <c r="EY16" s="34" t="e">
        <f t="shared" si="40"/>
        <v>#N/A</v>
      </c>
      <c r="EZ16" s="44" t="e">
        <f t="shared" si="18"/>
        <v>#N/A</v>
      </c>
      <c r="FA16" s="36">
        <f>IF(ISNA(VLOOKUP(A16,'Données projet'!$A$269:$I$289,3,0)),0,VLOOKUP(A16,'Données projet'!$A$269:$I$289,3,0))</f>
        <v>0</v>
      </c>
      <c r="FB16" s="36">
        <f>IF(ISNA(VLOOKUP(A16,'Données projet'!$A$269:$I$289,4,0)),0,VLOOKUP(A16,'Données projet'!$A$269:$I$289,4,0))</f>
        <v>0</v>
      </c>
      <c r="FC16" s="37">
        <f>IF(ISNA(VLOOKUP(A16,'Données projet'!$A$269:$I$289,5,0)),0%,VLOOKUP(A16,'Données projet'!$A$269:$I$289,5,0)*VLOOKUP('Données projet'!$B$18,Paramètres!$A$1:$I$88,7,0))</f>
        <v>0</v>
      </c>
      <c r="FD16" s="37">
        <f>IF(ISNA(VLOOKUP(A16,'Données projet'!$A$269:$I$289,6,0)),0%,VLOOKUP(A16,'Données projet'!$A$269:$I$289,6,0)*VLOOKUP('Données projet'!$B$18,Paramètres!$A$1:$I$88,7,0))</f>
        <v>0</v>
      </c>
      <c r="FE16" s="37">
        <f>IF(ISNA(VLOOKUP(A16,'Données projet'!$A$269:$I$289,7,0)),0%,VLOOKUP(A16,'Données projet'!$A$269:$I$289,7,0))</f>
        <v>0</v>
      </c>
      <c r="FF16" s="45">
        <f>EXP(-LN(2)/35)*FF15+(1-EXP(-LN(2)/35))/(LN(2)/35)*FB16*FC16*VLOOKUP('Données projet'!$B$9,Paramètres!$A$1:$I$88,3,0)*0.475*44/12</f>
        <v>0</v>
      </c>
      <c r="FG16" s="45">
        <f>EXP(-LN(2)/25)*FG15+(1-EXP(-LN(2)/25))/(LN(2)/25)*Calculateur!FB16*Calculateur!FD16*VLOOKUP('Données projet'!$B$9,Paramètres!$A$1:$I$88,3,0)*0.475*44/12</f>
        <v>0</v>
      </c>
      <c r="FH16" s="45">
        <f>EXP(-LN(2)/2)*FH15+(1-EXP(-LN(2)/2))/(LN(2)/2)*FB16*FE16*VLOOKUP('Données projet'!$B$9,Paramètres!$A$1:$I$88,3,0)*0.475*44/12</f>
        <v>0</v>
      </c>
      <c r="FI16" s="46">
        <f t="shared" si="19"/>
        <v>0</v>
      </c>
    </row>
    <row r="17" spans="1:165" x14ac:dyDescent="0.25">
      <c r="A17" s="24">
        <f t="shared" si="20"/>
        <v>14</v>
      </c>
      <c r="B17" s="25">
        <f>IF('Scénario référence'!$N$1=1,5,0)</f>
        <v>0</v>
      </c>
      <c r="C17" s="40">
        <f>IF(OR('Scénario référence'!$N$1=2,'Scénario référence'!$N$1=4),C16+1*VLOOKUP('Scénario référence'!$G$14,Paramètres!$A$1:$I$88,3,0)*VLOOKUP('Scénario référence'!$G$14,Paramètres!$A$1:$I$88,5,0),IF(OR('Scénario référence'!$N$1=3,'Scénario référence'!$N$1=5),C16+0.5*VLOOKUP('Scénario référence'!$G$14,Paramètres!$A$1:$I$88,3,0)*VLOOKUP('Scénario référence'!$G$14,Paramètres!$A$1:$I$88,5,0),0))</f>
        <v>7.6440000000000028</v>
      </c>
      <c r="D17" s="26">
        <f t="shared" si="21"/>
        <v>2.7800603022041317</v>
      </c>
      <c r="E17" s="27">
        <f>IF('Scénario référence'!$N$1=1,B17*44/12,(C17+D17)*0.475*44/12)</f>
        <v>18.1552383596722</v>
      </c>
      <c r="F17" s="28" t="e">
        <f>VLOOKUP(A17,'Données projet'!$A$35:$I$55,2,0)</f>
        <v>#N/A</v>
      </c>
      <c r="G17" s="28" t="e">
        <f>VLOOKUP(A17,'Données projet'!$A$35:$I$55,9,0)</f>
        <v>#N/A</v>
      </c>
      <c r="H17" s="33">
        <f t="array" ref="H17">INDEX(G:G,MIN(IF(ISNUMBER(G17:G213),ROW(G17:G213),"")))</f>
        <v>2.1</v>
      </c>
      <c r="I17" s="28">
        <f t="shared" si="22"/>
        <v>29.400000000000009</v>
      </c>
      <c r="J17" s="41">
        <f>I17*VLOOKUP('Données projet'!$B$9,Paramètres!$A$1:$I$88,3,0)*VLOOKUP('Données projet'!$B$9,Paramètres!$A$1:$I$88,5,0)</f>
        <v>29.811600000000013</v>
      </c>
      <c r="K17" s="41">
        <f t="shared" si="23"/>
        <v>9.2537743048496317</v>
      </c>
      <c r="L17" s="42">
        <f t="shared" si="0"/>
        <v>68.038860247613115</v>
      </c>
      <c r="M17" s="30">
        <f>IF(ISNA(VLOOKUP(A17,'Données projet'!$A$35:$I$55,3,0)),0,VLOOKUP(A17,'Données projet'!$A$35:$I$55,3,0))</f>
        <v>0</v>
      </c>
      <c r="N17" s="30">
        <f>IF(ISNA(VLOOKUP(A17,'Données projet'!$A$35:$I$55,4,0)),0,VLOOKUP(A17,'Données projet'!$A$35:$I$55,4,0))</f>
        <v>0</v>
      </c>
      <c r="O17" s="31">
        <f>IF(ISNA(VLOOKUP(A17,'Données projet'!$A$35:$I$55,5,0)),0%,VLOOKUP(A17,'Données projet'!$A$35:$I$55,5,0)*VLOOKUP('Données projet'!$B$9,Paramètres!$A$1:$I$88,7,0))</f>
        <v>0</v>
      </c>
      <c r="P17" s="31">
        <f>IF(ISNA(VLOOKUP(A17,'Données projet'!$A$35:$I$55,6,0)),0%,VLOOKUP(A17,'Données projet'!$A$35:$I$55,6,0)*VLOOKUP('Données projet'!$B$9,Paramètres!$A$1:$I$88,7,0))</f>
        <v>0</v>
      </c>
      <c r="Q17" s="31">
        <f>IF(ISNA(VLOOKUP(A17,'Données projet'!$A$35:$I$55,7,0)),0%,VLOOKUP(A17,'Données projet'!$A$35:$I$55,7,0))</f>
        <v>0</v>
      </c>
      <c r="R17" s="43">
        <f>EXP(-LN(2)/35)*R16+(1-EXP(-LN(2)/35))/(LN(2)/35)*N17*O17*VLOOKUP('Données projet'!$B$9,Paramètres!$A$1:$I$88,3,0)*0.475*44/12</f>
        <v>0</v>
      </c>
      <c r="S17" s="43">
        <f>EXP(-LN(2)/25)*S16+(1-EXP(-LN(2)/25))/(LN(2)/25)*Calculateur!N17*Calculateur!P17*VLOOKUP('Données projet'!$B$9,Paramètres!$A$1:$I$88,3,0)*0.475*44/12</f>
        <v>0</v>
      </c>
      <c r="T17" s="43">
        <f>EXP(-LN(2)/2)*T16+(1-EXP(-LN(2)/2))/(LN(2)/2)*N17*Q17*VLOOKUP('Données projet'!$B$9,Paramètres!$A$1:$I$88,3,0)*0.475*44/12</f>
        <v>0</v>
      </c>
      <c r="U17" s="43">
        <f t="shared" si="1"/>
        <v>0</v>
      </c>
      <c r="V17" s="32" t="e">
        <f>VLOOKUP(A17,'Données projet'!$A$61:$I$81,2,0)</f>
        <v>#N/A</v>
      </c>
      <c r="W17" s="33" t="e">
        <f>VLOOKUP(A17,'Données projet'!$A$61:$I$81,9,0)</f>
        <v>#N/A</v>
      </c>
      <c r="X17" s="33">
        <f t="array" ref="X17">INDEX(W:W,MIN(IF(ISNUMBER(W17:W213),ROW(W17:W213),"")))</f>
        <v>0</v>
      </c>
      <c r="Y17" s="33">
        <f t="shared" si="24"/>
        <v>0</v>
      </c>
      <c r="Z17" s="34" t="e">
        <f>Y17*VLOOKUP('Données projet'!$B$10,Paramètres!$A$1:$I$88,3,0)*VLOOKUP('Données projet'!$B$10,Paramètres!$A$1:$I$88,5,0)</f>
        <v>#N/A</v>
      </c>
      <c r="AA17" s="34" t="e">
        <f t="shared" si="25"/>
        <v>#N/A</v>
      </c>
      <c r="AB17" s="44" t="e">
        <f t="shared" si="2"/>
        <v>#N/A</v>
      </c>
      <c r="AC17" s="36">
        <f>IF(ISNA(VLOOKUP(A17,'Données projet'!$A$61:$I$81,3,0)),0,VLOOKUP(A17,'Données projet'!$A$61:$I$81,3,0))</f>
        <v>0</v>
      </c>
      <c r="AD17" s="36">
        <f>IF(ISNA(VLOOKUP(A17,'Données projet'!$A$61:$I$81,4,0)),0,VLOOKUP(A17,'Données projet'!$A$61:$I$81,4,0))</f>
        <v>0</v>
      </c>
      <c r="AE17" s="37">
        <f>IF(ISNA(VLOOKUP(A17,'Données projet'!$A$61:$I$81,5,0)),0%,VLOOKUP(A17,'Données projet'!$A$61:$I$81,5,0)*VLOOKUP('Données projet'!$B$10,Paramètres!$A$1:$I$88,7,0))</f>
        <v>0</v>
      </c>
      <c r="AF17" s="37">
        <f>IF(ISNA(VLOOKUP(A17,'Données projet'!$A$61:$I$81,6,0)),0%,VLOOKUP(A17,'Données projet'!$A$61:$I$81,6,0)*VLOOKUP('Données projet'!$B$10,Paramètres!$A$1:$I$88,7,0))</f>
        <v>0</v>
      </c>
      <c r="AG17" s="37">
        <f>IF(ISNA(VLOOKUP(A17,'Données projet'!$A$61:$I$81,7,0)),0%,VLOOKUP(A17,'Données projet'!$A$61:$I$81,7,0))</f>
        <v>0</v>
      </c>
      <c r="AH17" s="45">
        <f>EXP(-LN(2)/35)*AH16+(1-EXP(-LN(2)/35))/(LN(2)/35)*AD17*AE17*VLOOKUP('Données projet'!$B$9,Paramètres!$A$1:$I$88,3,0)*0.475*44/12</f>
        <v>0</v>
      </c>
      <c r="AI17" s="45">
        <f>EXP(-LN(2)/25)*AI16+(1-EXP(-LN(2)/25))/(LN(2)/25)*Calculateur!AD17*Calculateur!AF17*VLOOKUP('Données projet'!$B$9,Paramètres!$A$1:$I$88,3,0)*0.475*44/12</f>
        <v>0</v>
      </c>
      <c r="AJ17" s="45">
        <f>EXP(-LN(2)/2)*AJ16+(1-EXP(-LN(2)/2))/(LN(2)/2)*AD17*AG17*VLOOKUP('Données projet'!$B$9,Paramètres!$A$1:$I$88,3,0)*0.475*44/12</f>
        <v>0</v>
      </c>
      <c r="AK17" s="45">
        <f t="shared" si="3"/>
        <v>0</v>
      </c>
      <c r="AL17" s="32" t="e">
        <f>VLOOKUP(A17,'Données projet'!$A$87:$I$107,2,0)</f>
        <v>#N/A</v>
      </c>
      <c r="AM17" s="33" t="e">
        <f>VLOOKUP(A17,'Données projet'!$A$87:$I$107,9,0)</f>
        <v>#N/A</v>
      </c>
      <c r="AN17" s="33">
        <f t="array" ref="AN17">INDEX(AM:AM,MIN(IF(ISNUMBER(AM17:AM213),ROW(AM17:AM213),"")))</f>
        <v>0</v>
      </c>
      <c r="AO17" s="33">
        <f t="shared" si="26"/>
        <v>0</v>
      </c>
      <c r="AP17" s="34" t="e">
        <f>AO17*VLOOKUP('Données projet'!$B$11,Paramètres!$A$1:$I$88,3,0)*VLOOKUP('Données projet'!$B$11,Paramètres!$A$1:$I$88,5,0)</f>
        <v>#N/A</v>
      </c>
      <c r="AQ17" s="34" t="e">
        <f t="shared" si="27"/>
        <v>#N/A</v>
      </c>
      <c r="AR17" s="44" t="e">
        <f t="shared" si="4"/>
        <v>#N/A</v>
      </c>
      <c r="AS17" s="36">
        <f>IF(ISNA(VLOOKUP(A17,'Données projet'!$A$87:$I$107,3,0)),0,VLOOKUP(A17,'Données projet'!$A$87:$I$107,3,0))</f>
        <v>0</v>
      </c>
      <c r="AT17" s="36">
        <f>IF(ISNA(VLOOKUP(A17,'Données projet'!$A$87:$I$107,4,0)),0,VLOOKUP(A17,'Données projet'!$A$87:$I$107,4,0))</f>
        <v>0</v>
      </c>
      <c r="AU17" s="37">
        <f>IF(ISNA(VLOOKUP(A17,'Données projet'!$A$87:$I$107,5,0)),0%,VLOOKUP(A17,'Données projet'!$A$87:$I$107,5,0)*VLOOKUP('Données projet'!$B$11,Paramètres!$A$1:$I$88,7,0))</f>
        <v>0</v>
      </c>
      <c r="AV17" s="37">
        <f>IF(ISNA(VLOOKUP(A17,'Données projet'!$A$87:$I$107,6,0)),0%,VLOOKUP(A17,'Données projet'!$A$87:$I$107,6,0)*VLOOKUP('Données projet'!$B$11,Paramètres!$A$1:$I$88,7,0))</f>
        <v>0</v>
      </c>
      <c r="AW17" s="37">
        <f>IF(ISNA(VLOOKUP(A17,'Données projet'!$A$87:$I$107,7,0)),0%,VLOOKUP(A17,'Données projet'!$A$87:$I$107,7,0))</f>
        <v>0</v>
      </c>
      <c r="AX17" s="45">
        <f>EXP(-LN(2)/35)*AX16+(1-EXP(-LN(2)/35))/(LN(2)/35)*AT17*AU17*VLOOKUP('Données projet'!$B$9,Paramètres!$A$1:$I$88,3,0)*0.475*44/12</f>
        <v>0</v>
      </c>
      <c r="AY17" s="45">
        <f>EXP(-LN(2)/25)*AY16+(1-EXP(-LN(2)/25))/(LN(2)/25)*Calculateur!AT17*Calculateur!AV17*VLOOKUP('Données projet'!$B$9,Paramètres!$A$1:$I$88,3,0)*0.475*44/12</f>
        <v>0</v>
      </c>
      <c r="AZ17" s="45">
        <f>EXP(-LN(2)/2)*AZ16+(1-EXP(-LN(2)/2))/(LN(2)/2)*AT17*AW17*VLOOKUP('Données projet'!$B$9,Paramètres!$A$1:$I$88,3,0)*0.475*44/12</f>
        <v>0</v>
      </c>
      <c r="BA17" s="46">
        <f t="shared" si="5"/>
        <v>0</v>
      </c>
      <c r="BB17" s="32" t="e">
        <f>VLOOKUP(A17,'Données projet'!$A$113:$I$133,2,0)</f>
        <v>#N/A</v>
      </c>
      <c r="BC17" s="33" t="e">
        <f>VLOOKUP(A17,'Données projet'!$A$113:$I$133,9,0)</f>
        <v>#N/A</v>
      </c>
      <c r="BD17" s="33">
        <f t="array" ref="BD17">INDEX(BC:BC,MIN(IF(ISNUMBER(BC17:BC213),ROW(BC17:BC213),"")))</f>
        <v>0</v>
      </c>
      <c r="BE17" s="33">
        <f t="shared" si="28"/>
        <v>0</v>
      </c>
      <c r="BF17" s="34" t="e">
        <f>BE17*VLOOKUP('Données projet'!$B$12,Paramètres!$A$1:$I$88,3,0)*VLOOKUP('Données projet'!$B$12,Paramètres!$A$1:$I$88,5,0)</f>
        <v>#N/A</v>
      </c>
      <c r="BG17" s="34" t="e">
        <f t="shared" si="29"/>
        <v>#N/A</v>
      </c>
      <c r="BH17" s="44" t="e">
        <f t="shared" si="6"/>
        <v>#N/A</v>
      </c>
      <c r="BI17" s="36">
        <f>IF(ISNA(VLOOKUP(A17,'Données projet'!$A$113:$I$133,3,0)),0,VLOOKUP(A17,'Données projet'!$A$113:$I$133,3,0))</f>
        <v>0</v>
      </c>
      <c r="BJ17" s="36">
        <f>IF(ISNA(VLOOKUP(A17,'Données projet'!$A$113:$I$133,4,0)),0,VLOOKUP(A17,'Données projet'!$A$113:$I$133,4,0))</f>
        <v>0</v>
      </c>
      <c r="BK17" s="37">
        <f>IF(ISNA(VLOOKUP(A17,'Données projet'!$A$113:$I$133,5,0)),0%,VLOOKUP(A17,'Données projet'!$A$113:$I$133,5,0)*VLOOKUP('Données projet'!$B$12,Paramètres!$A$1:$I$88,7,0))</f>
        <v>0</v>
      </c>
      <c r="BL17" s="37">
        <f>IF(ISNA(VLOOKUP(A17,'Données projet'!$A$113:$I$133,6,0)),0%,VLOOKUP(A17,'Données projet'!$A$113:$I$133,6,0)*VLOOKUP('Données projet'!$B$12,Paramètres!$A$1:$I$88,7,0))</f>
        <v>0</v>
      </c>
      <c r="BM17" s="37">
        <f>IF(ISNA(VLOOKUP(A17,'Données projet'!$A$113:$I$133,7,0)),0%,VLOOKUP(A17,'Données projet'!$A$113:$I$133,7,0))</f>
        <v>0</v>
      </c>
      <c r="BN17" s="45">
        <f>EXP(-LN(2)/35)*BN16+(1-EXP(-LN(2)/35))/(LN(2)/35)*BJ17*BK17*VLOOKUP('Données projet'!$B$9,Paramètres!$A$1:$I$88,3,0)*0.475*44/12</f>
        <v>0</v>
      </c>
      <c r="BO17" s="45">
        <f>EXP(-LN(2)/25)*BO16+(1-EXP(-LN(2)/25))/(LN(2)/25)*Calculateur!BJ17*Calculateur!BL17*VLOOKUP('Données projet'!$B$9,Paramètres!$A$1:$I$88,3,0)*0.475*44/12</f>
        <v>0</v>
      </c>
      <c r="BP17" s="45">
        <f>EXP(-LN(2)/2)*BP16+(1-EXP(-LN(2)/2))/(LN(2)/2)*BJ17*BM17*VLOOKUP('Données projet'!$B$9,Paramètres!$A$1:$I$88,3,0)*0.475*44/12</f>
        <v>0</v>
      </c>
      <c r="BQ17" s="46">
        <f t="shared" si="7"/>
        <v>0</v>
      </c>
      <c r="BR17" s="32" t="e">
        <f>VLOOKUP(A17,'Données projet'!$A$139:$I$159,2,0)</f>
        <v>#N/A</v>
      </c>
      <c r="BS17" s="33" t="e">
        <f>VLOOKUP(A17,'Données projet'!$A$139:$I$159,9,0)</f>
        <v>#N/A</v>
      </c>
      <c r="BT17" s="33">
        <f t="array" ref="BT17">INDEX(BS:BS,MIN(IF(ISNUMBER(BS17:BS213),ROW(BS17:BS213),"")))</f>
        <v>0</v>
      </c>
      <c r="BU17" s="33">
        <f t="shared" si="41"/>
        <v>0</v>
      </c>
      <c r="BV17" s="38" t="e">
        <f>BU17*VLOOKUP('Données projet'!$B$13,Paramètres!$A$1:$I$88,3,0)*VLOOKUP('Données projet'!$B$13,Paramètres!$A$1:$I$88,5,0)</f>
        <v>#N/A</v>
      </c>
      <c r="BW17" s="34" t="e">
        <f t="shared" si="30"/>
        <v>#N/A</v>
      </c>
      <c r="BX17" s="44" t="e">
        <f t="shared" si="8"/>
        <v>#N/A</v>
      </c>
      <c r="BY17" s="36">
        <f>IF(ISNA(VLOOKUP(A17,'Données projet'!$A$139:$I$159,3,0)),0,VLOOKUP(A17,'Données projet'!$A$139:$I$159,3,0))</f>
        <v>0</v>
      </c>
      <c r="BZ17" s="36">
        <f>IF(ISNA(VLOOKUP(A17,'Données projet'!$A$139:$I$159,4,0)),0,VLOOKUP(A17,'Données projet'!$A$139:$I$159,4,0))</f>
        <v>0</v>
      </c>
      <c r="CA17" s="37">
        <f>IF(ISNA(VLOOKUP(A17,'Données projet'!$A$139:$I$159,5,0)),0%,VLOOKUP(A17,'Données projet'!$A$139:$I$159,5,0)*VLOOKUP('Données projet'!$B$13,Paramètres!$A$1:$I$88,7,0))</f>
        <v>0</v>
      </c>
      <c r="CB17" s="37">
        <f>IF(ISNA(VLOOKUP(A17,'Données projet'!$A$139:$I$159,6,0)),0%,VLOOKUP(A17,'Données projet'!$A$139:$I$159,6,0)*VLOOKUP('Données projet'!$B$13,Paramètres!$A$1:$I$88,7,0))</f>
        <v>0</v>
      </c>
      <c r="CC17" s="37">
        <f>IF(ISNA(VLOOKUP(A17,'Données projet'!$A$139:$I$159,7,0)),0%,VLOOKUP(A17,'Données projet'!$A$139:$I$159,7,0))</f>
        <v>0</v>
      </c>
      <c r="CD17" s="45">
        <f>EXP(-LN(2)/35)*CD16+(1-EXP(-LN(2)/35))/(LN(2)/35)*BZ17*CA17*VLOOKUP('Données projet'!$B$9,Paramètres!$A$1:$I$88,3,0)*0.475*44/12</f>
        <v>0</v>
      </c>
      <c r="CE17" s="45">
        <f>EXP(-LN(2)/25)*CE16+(1-EXP(-LN(2)/25))/(LN(2)/25)*Calculateur!BZ17*Calculateur!CB17*VLOOKUP('Données projet'!$B$9,Paramètres!$A$1:$I$88,3,0)*0.475*44/12</f>
        <v>0</v>
      </c>
      <c r="CF17" s="45">
        <f>EXP(-LN(2)/2)*CF16+(1-EXP(-LN(2)/2))/(LN(2)/2)*BZ17*CC17*VLOOKUP('Données projet'!$B$9,Paramètres!$A$1:$I$88,3,0)*0.475*44/12</f>
        <v>0</v>
      </c>
      <c r="CG17" s="46">
        <f t="shared" si="9"/>
        <v>0</v>
      </c>
      <c r="CH17" s="32" t="e">
        <f>VLOOKUP(A17,'Données projet'!$A$165:$I$185,2,0)</f>
        <v>#N/A</v>
      </c>
      <c r="CI17" s="33" t="e">
        <f>VLOOKUP(A17,'Données projet'!$A$165:$I$185,9,0)</f>
        <v>#N/A</v>
      </c>
      <c r="CJ17" s="33">
        <f t="array" ref="CJ17">INDEX(CI:CI,MIN(IF(ISNUMBER(CI17:CI213),ROW(CI17:CI213),"")))</f>
        <v>0</v>
      </c>
      <c r="CK17" s="33">
        <f t="shared" si="31"/>
        <v>0</v>
      </c>
      <c r="CL17" s="38" t="e">
        <f>CK17*VLOOKUP('Données projet'!$B$14,Paramètres!$A$1:$I$88,3,0)*VLOOKUP('Données projet'!$B$14,Paramètres!$A$1:$I$88,5,0)</f>
        <v>#N/A</v>
      </c>
      <c r="CM17" s="34" t="e">
        <f t="shared" si="32"/>
        <v>#N/A</v>
      </c>
      <c r="CN17" s="44" t="e">
        <f t="shared" si="10"/>
        <v>#N/A</v>
      </c>
      <c r="CO17" s="36">
        <f>IF(ISNA(VLOOKUP(A17,'Données projet'!$A$165:$I$185,3,0)),0,VLOOKUP(A17,'Données projet'!$A$165:$I$185,3,0))</f>
        <v>0</v>
      </c>
      <c r="CP17" s="36">
        <f>IF(ISNA(VLOOKUP(A17,'Données projet'!$A$165:$I$185,4,0)),0,VLOOKUP(A17,'Données projet'!$A$165:$I$185,4,0))</f>
        <v>0</v>
      </c>
      <c r="CQ17" s="37">
        <f>IF(ISNA(VLOOKUP(A17,'Données projet'!$A$165:$I$185,5,0)),0%,VLOOKUP(A17,'Données projet'!$A$165:$I$185,5,0)*VLOOKUP('Données projet'!$B$14,Paramètres!$A$1:$I$88,7,0))</f>
        <v>0</v>
      </c>
      <c r="CR17" s="37">
        <f>IF(ISNA(VLOOKUP(A17,'Données projet'!$A$165:$I$185,6,0)),0%,VLOOKUP(A17,'Données projet'!$A$165:$I$185,6,0)*VLOOKUP('Données projet'!$B$14,Paramètres!$A$1:$I$88,7,0))</f>
        <v>0</v>
      </c>
      <c r="CS17" s="37">
        <f>IF(ISNA(VLOOKUP(A17,'Données projet'!$A$165:$I$185,7,0)),0%,VLOOKUP(A17,'Données projet'!$A$165:$I$185,7,0))</f>
        <v>0</v>
      </c>
      <c r="CT17" s="45">
        <f>EXP(-LN(2)/35)*CT16+(1-EXP(-LN(2)/35))/(LN(2)/35)*CP17*CQ17*VLOOKUP('Données projet'!$B$9,Paramètres!$A$1:$I$88,3,0)*0.475*44/12</f>
        <v>0</v>
      </c>
      <c r="CU17" s="45">
        <f>EXP(-LN(2)/25)*CU16+(1-EXP(-LN(2)/25))/(LN(2)/25)*Calculateur!CP17*Calculateur!CR17*VLOOKUP('Données projet'!$B$9,Paramètres!$A$1:$I$88,3,0)*0.475*44/12</f>
        <v>0</v>
      </c>
      <c r="CV17" s="45">
        <f>EXP(-LN(2)/2)*CV16+(1-EXP(-LN(2)/2))/(LN(2)/2)*CP17*CS17*VLOOKUP('Données projet'!$B$9,Paramètres!$A$1:$I$88,3,0)*0.475*44/12</f>
        <v>0</v>
      </c>
      <c r="CW17" s="46">
        <f t="shared" si="11"/>
        <v>0</v>
      </c>
      <c r="CX17" s="32" t="e">
        <f>VLOOKUP(A17,'Données projet'!$A$191:$I$211,2,0)</f>
        <v>#N/A</v>
      </c>
      <c r="CY17" s="33" t="e">
        <f>VLOOKUP(A17,'Données projet'!$A$191:$I$211,9,0)</f>
        <v>#N/A</v>
      </c>
      <c r="CZ17" s="33">
        <f t="array" ref="CZ17">INDEX(CY:CY,MIN(IF(ISNUMBER(CY17:CY213),ROW(CY17:CY213),"")))</f>
        <v>0</v>
      </c>
      <c r="DA17" s="33">
        <f t="shared" si="33"/>
        <v>0</v>
      </c>
      <c r="DB17" s="38" t="e">
        <f>DA17*VLOOKUP('Données projet'!$B$15,Paramètres!$A$1:$I$88,3,0)*VLOOKUP('Données projet'!$B$15,Paramètres!$A$1:$I$88,5,0)</f>
        <v>#N/A</v>
      </c>
      <c r="DC17" s="34" t="e">
        <f t="shared" si="34"/>
        <v>#N/A</v>
      </c>
      <c r="DD17" s="44" t="e">
        <f t="shared" si="12"/>
        <v>#N/A</v>
      </c>
      <c r="DE17" s="36">
        <f>IF(ISNA(VLOOKUP(A17,'Données projet'!$A$191:$I$211,3,0)),0,VLOOKUP(A17,'Données projet'!$A$191:$I$211,3,0))</f>
        <v>0</v>
      </c>
      <c r="DF17" s="36">
        <f>IF(ISNA(VLOOKUP(A17,'Données projet'!$A$191:$I$211,4,0)),0,VLOOKUP(A17,'Données projet'!$A$191:$I$211,4,0))</f>
        <v>0</v>
      </c>
      <c r="DG17" s="37">
        <f>IF(ISNA(VLOOKUP(A17,'Données projet'!$A$191:$I$211,5,0)),0%,VLOOKUP(A17,'Données projet'!$A$191:$I$211,5,0)*VLOOKUP('Données projet'!$B$15,Paramètres!$A$1:$I$88,7,0))</f>
        <v>0</v>
      </c>
      <c r="DH17" s="37">
        <f>IF(ISNA(VLOOKUP(A17,'Données projet'!$A$191:$I$211,6,0)),0%,VLOOKUP(A17,'Données projet'!$A$191:$I$211,6,0)*VLOOKUP('Données projet'!$B$15,Paramètres!$A$1:$I$88,7,0))</f>
        <v>0</v>
      </c>
      <c r="DI17" s="37">
        <f>IF(ISNA(VLOOKUP(A17,'Données projet'!$A$191:$I$211,7,0)),0%,VLOOKUP(A17,'Données projet'!$A$191:$I$211,7,0))</f>
        <v>0</v>
      </c>
      <c r="DJ17" s="45">
        <f>EXP(-LN(2)/35)*DJ16+(1-EXP(-LN(2)/35))/(LN(2)/35)*DF17*DG17*VLOOKUP('Données projet'!$B$9,Paramètres!$A$1:$I$88,3,0)*0.475*44/12</f>
        <v>0</v>
      </c>
      <c r="DK17" s="45">
        <f>EXP(-LN(2)/25)*DK16+(1-EXP(-LN(2)/25))/(LN(2)/25)*Calculateur!DF17*Calculateur!DH17*VLOOKUP('Données projet'!$B$9,Paramètres!$A$1:$I$88,3,0)*0.475*44/12</f>
        <v>0</v>
      </c>
      <c r="DL17" s="45">
        <f>EXP(-LN(2)/2)*DL16+(1-EXP(-LN(2)/2))/(LN(2)/2)*DF17*DI17*VLOOKUP('Données projet'!$B$9,Paramètres!$A$1:$I$88,3,0)*0.475*44/12</f>
        <v>0</v>
      </c>
      <c r="DM17" s="46">
        <f t="shared" si="13"/>
        <v>0</v>
      </c>
      <c r="DN17" s="32" t="e">
        <f>VLOOKUP(A17,'Données projet'!$A$217:$I$237,2,0)</f>
        <v>#N/A</v>
      </c>
      <c r="DO17" s="33" t="e">
        <f>VLOOKUP(A17,'Données projet'!$A$217:$I$237,9,0)</f>
        <v>#N/A</v>
      </c>
      <c r="DP17" s="33">
        <f t="array" ref="DP17">INDEX(DO:DO,MIN(IF(ISNUMBER(DO17:DO213),ROW(DO17:DO213),"")))</f>
        <v>0</v>
      </c>
      <c r="DQ17" s="33">
        <f t="shared" si="35"/>
        <v>0</v>
      </c>
      <c r="DR17" s="38" t="e">
        <f>DQ17*VLOOKUP('Données projet'!$B$16,Paramètres!$A$1:$I$88,3,0)*VLOOKUP('Données projet'!$B$16,Paramètres!$A$1:$I$88,5,0)</f>
        <v>#N/A</v>
      </c>
      <c r="DS17" s="34" t="e">
        <f t="shared" si="36"/>
        <v>#N/A</v>
      </c>
      <c r="DT17" s="44" t="e">
        <f t="shared" si="14"/>
        <v>#N/A</v>
      </c>
      <c r="DU17" s="36">
        <f>IF(ISNA(VLOOKUP(A17,'Données projet'!$A$217:$I$237,3,0)),0,VLOOKUP(A17,'Données projet'!$A$217:$I$237,3,0))</f>
        <v>0</v>
      </c>
      <c r="DV17" s="36">
        <f>IF(ISNA(VLOOKUP(A17,'Données projet'!$A$217:$I$237,4,0)),0,VLOOKUP(A17,'Données projet'!$A$217:$I$237,4,0))</f>
        <v>0</v>
      </c>
      <c r="DW17" s="37">
        <f>IF(ISNA(VLOOKUP(A17,'Données projet'!$A$217:$I$237,5,0)),0%,VLOOKUP(A17,'Données projet'!$A$217:$I$237,5,0)*VLOOKUP('Données projet'!$B$16,Paramètres!$A$1:$I$88,7,0))</f>
        <v>0</v>
      </c>
      <c r="DX17" s="37">
        <f>IF(ISNA(VLOOKUP(A17,'Données projet'!$A$217:$I$237,6,0)),0%,VLOOKUP(A17,'Données projet'!$A$217:$I$237,6,0)*VLOOKUP('Données projet'!$B$16,Paramètres!$A$1:$I$88,7,0))</f>
        <v>0</v>
      </c>
      <c r="DY17" s="37">
        <f>IF(ISNA(VLOOKUP(A17,'Données projet'!$A$217:$I$237,7,0)),0%,VLOOKUP(A17,'Données projet'!$A$217:$I$237,7,0))</f>
        <v>0</v>
      </c>
      <c r="DZ17" s="45">
        <f>EXP(-LN(2)/35)*DZ16+(1-EXP(-LN(2)/35))/(LN(2)/35)*DV17*DW17*VLOOKUP('Données projet'!$B$9,Paramètres!$A$1:$I$88,3,0)*0.475*44/12</f>
        <v>0</v>
      </c>
      <c r="EA17" s="45">
        <f>EXP(-LN(2)/25)*EA16+(1-EXP(-LN(2)/25))/(LN(2)/25)*Calculateur!DV17*Calculateur!DX17*VLOOKUP('Données projet'!$B$9,Paramètres!$A$1:$I$88,3,0)*0.475*44/12</f>
        <v>0</v>
      </c>
      <c r="EB17" s="45">
        <f>EXP(-LN(2)/2)*EB16+(1-EXP(-LN(2)/2))/(LN(2)/2)*DV17*DY17*VLOOKUP('Données projet'!$B$9,Paramètres!$A$1:$I$88,3,0)*0.475*44/12</f>
        <v>0</v>
      </c>
      <c r="EC17" s="46">
        <f t="shared" si="15"/>
        <v>0</v>
      </c>
      <c r="ED17" s="32" t="e">
        <f>VLOOKUP(A17,'Données projet'!$A$243:$I$263,2,0)</f>
        <v>#N/A</v>
      </c>
      <c r="EE17" s="33" t="e">
        <f>VLOOKUP(A17,'Données projet'!$A$243:$I$263,9,0)</f>
        <v>#N/A</v>
      </c>
      <c r="EF17" s="33">
        <f t="array" ref="EF17">INDEX(EE:EE,MIN(IF(ISNUMBER(EE17:EE213),ROW(EE17:EE213),"")))</f>
        <v>0</v>
      </c>
      <c r="EG17" s="33">
        <f t="shared" si="37"/>
        <v>0</v>
      </c>
      <c r="EH17" s="38" t="e">
        <f>EG17*VLOOKUP('Données projet'!$B$17,Paramètres!$A$1:$I$88,3,0)*VLOOKUP('Données projet'!$B$17,Paramètres!$A$1:$I$88,5,0)</f>
        <v>#N/A</v>
      </c>
      <c r="EI17" s="34" t="e">
        <f t="shared" si="38"/>
        <v>#N/A</v>
      </c>
      <c r="EJ17" s="44" t="e">
        <f t="shared" si="16"/>
        <v>#N/A</v>
      </c>
      <c r="EK17" s="36">
        <f>IF(ISNA(VLOOKUP(A17,'Données projet'!$A$243:$I$263,3,0)),0,VLOOKUP(A17,'Données projet'!$A$243:$I$263,3,0))</f>
        <v>0</v>
      </c>
      <c r="EL17" s="36">
        <f>IF(ISNA(VLOOKUP(A17,'Données projet'!$A$243:$I$263,4,0)),0,VLOOKUP(A17,'Données projet'!$A$243:$I$263,4,0))</f>
        <v>0</v>
      </c>
      <c r="EM17" s="37">
        <f>IF(ISNA(VLOOKUP(A17,'Données projet'!$A$243:$I$263,5,0)),0%,VLOOKUP(A17,'Données projet'!$A$243:$I$263,5,0)*VLOOKUP('Données projet'!$B$17,Paramètres!$A$1:$I$88,7,0))</f>
        <v>0</v>
      </c>
      <c r="EN17" s="37">
        <f>IF(ISNA(VLOOKUP(A17,'Données projet'!$A$243:$I$263,6,0)),0%,VLOOKUP(A17,'Données projet'!$A$243:$I$263,6,0)*VLOOKUP('Données projet'!$B$17,Paramètres!$A$1:$I$88,7,0))</f>
        <v>0</v>
      </c>
      <c r="EO17" s="37">
        <f>IF(ISNA(VLOOKUP(A17,'Données projet'!$A$243:$I$263,7,0)),0%,VLOOKUP(A17,'Données projet'!$A$243:$I$263,7,0))</f>
        <v>0</v>
      </c>
      <c r="EP17" s="45">
        <f>EXP(-LN(2)/35)*EP16+(1-EXP(-LN(2)/35))/(LN(2)/35)*EL17*EM17*VLOOKUP('Données projet'!$B$9,Paramètres!$A$1:$I$88,3,0)*0.475*44/12</f>
        <v>0</v>
      </c>
      <c r="EQ17" s="45">
        <f>EXP(-LN(2)/25)*EQ16+(1-EXP(-LN(2)/25))/(LN(2)/25)*Calculateur!EL17*Calculateur!EN17*VLOOKUP('Données projet'!$B$9,Paramètres!$A$1:$I$88,3,0)*0.475*44/12</f>
        <v>0</v>
      </c>
      <c r="ER17" s="45">
        <f>EXP(-LN(2)/2)*ER16+(1-EXP(-LN(2)/2))/(LN(2)/2)*EL17*EO17*VLOOKUP('Données projet'!$B$9,Paramètres!$A$1:$I$88,3,0)*0.475*44/12</f>
        <v>0</v>
      </c>
      <c r="ES17" s="46">
        <f t="shared" si="17"/>
        <v>0</v>
      </c>
      <c r="ET17" s="32" t="e">
        <f>VLOOKUP(A17,'Données projet'!$A$269:$I$289,2,0)</f>
        <v>#N/A</v>
      </c>
      <c r="EU17" s="33" t="e">
        <f>VLOOKUP(A17,'Données projet'!$A$269:$I$289,9,0)</f>
        <v>#N/A</v>
      </c>
      <c r="EV17" s="33">
        <f t="array" ref="EV17">INDEX(EU:EU,MIN(IF(ISNUMBER(EU17:EU213),ROW(EU17:EU213),"")))</f>
        <v>0</v>
      </c>
      <c r="EW17" s="33">
        <f t="shared" si="39"/>
        <v>0</v>
      </c>
      <c r="EX17" s="38" t="e">
        <f>EW17*VLOOKUP('Données projet'!$B$18,Paramètres!$A$1:$I$88,3,0)*VLOOKUP('Données projet'!$B$18,Paramètres!$A$1:$I$88,5,0)</f>
        <v>#N/A</v>
      </c>
      <c r="EY17" s="34" t="e">
        <f t="shared" si="40"/>
        <v>#N/A</v>
      </c>
      <c r="EZ17" s="44" t="e">
        <f t="shared" si="18"/>
        <v>#N/A</v>
      </c>
      <c r="FA17" s="36">
        <f>IF(ISNA(VLOOKUP(A17,'Données projet'!$A$269:$I$289,3,0)),0,VLOOKUP(A17,'Données projet'!$A$269:$I$289,3,0))</f>
        <v>0</v>
      </c>
      <c r="FB17" s="36">
        <f>IF(ISNA(VLOOKUP(A17,'Données projet'!$A$269:$I$289,4,0)),0,VLOOKUP(A17,'Données projet'!$A$269:$I$289,4,0))</f>
        <v>0</v>
      </c>
      <c r="FC17" s="37">
        <f>IF(ISNA(VLOOKUP(A17,'Données projet'!$A$269:$I$289,5,0)),0%,VLOOKUP(A17,'Données projet'!$A$269:$I$289,5,0)*VLOOKUP('Données projet'!$B$18,Paramètres!$A$1:$I$88,7,0))</f>
        <v>0</v>
      </c>
      <c r="FD17" s="37">
        <f>IF(ISNA(VLOOKUP(A17,'Données projet'!$A$269:$I$289,6,0)),0%,VLOOKUP(A17,'Données projet'!$A$269:$I$289,6,0)*VLOOKUP('Données projet'!$B$18,Paramètres!$A$1:$I$88,7,0))</f>
        <v>0</v>
      </c>
      <c r="FE17" s="37">
        <f>IF(ISNA(VLOOKUP(A17,'Données projet'!$A$269:$I$289,7,0)),0%,VLOOKUP(A17,'Données projet'!$A$269:$I$289,7,0))</f>
        <v>0</v>
      </c>
      <c r="FF17" s="45">
        <f>EXP(-LN(2)/35)*FF16+(1-EXP(-LN(2)/35))/(LN(2)/35)*FB17*FC17*VLOOKUP('Données projet'!$B$9,Paramètres!$A$1:$I$88,3,0)*0.475*44/12</f>
        <v>0</v>
      </c>
      <c r="FG17" s="45">
        <f>EXP(-LN(2)/25)*FG16+(1-EXP(-LN(2)/25))/(LN(2)/25)*Calculateur!FB17*Calculateur!FD17*VLOOKUP('Données projet'!$B$9,Paramètres!$A$1:$I$88,3,0)*0.475*44/12</f>
        <v>0</v>
      </c>
      <c r="FH17" s="45">
        <f>EXP(-LN(2)/2)*FH16+(1-EXP(-LN(2)/2))/(LN(2)/2)*FB17*FE17*VLOOKUP('Données projet'!$B$9,Paramètres!$A$1:$I$88,3,0)*0.475*44/12</f>
        <v>0</v>
      </c>
      <c r="FI17" s="46">
        <f t="shared" si="19"/>
        <v>0</v>
      </c>
    </row>
    <row r="18" spans="1:165" x14ac:dyDescent="0.25">
      <c r="A18" s="24">
        <f t="shared" si="20"/>
        <v>15</v>
      </c>
      <c r="B18" s="25">
        <f>IF('Scénario référence'!$N$1=1,5,0)</f>
        <v>0</v>
      </c>
      <c r="C18" s="40">
        <f>IF(OR('Scénario référence'!$N$1=2,'Scénario référence'!$N$1=4),C17+1*VLOOKUP('Scénario référence'!$G$14,Paramètres!$A$1:$I$88,3,0)*VLOOKUP('Scénario référence'!$G$14,Paramètres!$A$1:$I$88,5,0),IF(OR('Scénario référence'!$N$1=3,'Scénario référence'!$N$1=5),C17+0.5*VLOOKUP('Scénario référence'!$G$14,Paramètres!$A$1:$I$88,3,0)*VLOOKUP('Scénario référence'!$G$14,Paramètres!$A$1:$I$88,5,0),0))</f>
        <v>8.1900000000000031</v>
      </c>
      <c r="D18" s="26">
        <f t="shared" si="21"/>
        <v>2.9548110908066194</v>
      </c>
      <c r="E18" s="27">
        <f>IF('Scénario référence'!$N$1=1,B18*44/12,(C18+D18)*0.475*44/12)</f>
        <v>19.410545983154865</v>
      </c>
      <c r="F18" s="28" t="e">
        <f>VLOOKUP(A18,'Données projet'!$A$35:$I$55,2,0)</f>
        <v>#N/A</v>
      </c>
      <c r="G18" s="28" t="e">
        <f>VLOOKUP(A18,'Données projet'!$A$35:$I$55,9,0)</f>
        <v>#N/A</v>
      </c>
      <c r="H18" s="33">
        <f t="array" ref="H18">INDEX(G:G,MIN(IF(ISNUMBER(G18:G214),ROW(G18:G214),"")))</f>
        <v>2.1</v>
      </c>
      <c r="I18" s="28">
        <f t="shared" si="22"/>
        <v>31.500000000000011</v>
      </c>
      <c r="J18" s="41">
        <f>I18*VLOOKUP('Données projet'!$B$9,Paramètres!$A$1:$I$88,3,0)*VLOOKUP('Données projet'!$B$9,Paramètres!$A$1:$I$88,5,0)</f>
        <v>31.941000000000013</v>
      </c>
      <c r="K18" s="41">
        <f t="shared" si="23"/>
        <v>9.8354539022453498</v>
      </c>
      <c r="L18" s="42">
        <f t="shared" si="0"/>
        <v>72.760657213077337</v>
      </c>
      <c r="M18" s="30">
        <f>IF(ISNA(VLOOKUP(A18,'Données projet'!$A$35:$I$55,3,0)),0,VLOOKUP(A18,'Données projet'!$A$35:$I$55,3,0))</f>
        <v>0</v>
      </c>
      <c r="N18" s="30">
        <f>IF(ISNA(VLOOKUP(A18,'Données projet'!$A$35:$I$55,4,0)),0,VLOOKUP(A18,'Données projet'!$A$35:$I$55,4,0))</f>
        <v>0</v>
      </c>
      <c r="O18" s="31">
        <f>IF(ISNA(VLOOKUP(A18,'Données projet'!$A$35:$I$55,5,0)),0%,VLOOKUP(A18,'Données projet'!$A$35:$I$55,5,0)*VLOOKUP('Données projet'!$B$9,Paramètres!$A$1:$I$88,7,0))</f>
        <v>0</v>
      </c>
      <c r="P18" s="31">
        <f>IF(ISNA(VLOOKUP(A18,'Données projet'!$A$35:$I$55,6,0)),0%,VLOOKUP(A18,'Données projet'!$A$35:$I$55,6,0)*VLOOKUP('Données projet'!$B$9,Paramètres!$A$1:$I$88,7,0))</f>
        <v>0</v>
      </c>
      <c r="Q18" s="31">
        <f>IF(ISNA(VLOOKUP(A18,'Données projet'!$A$35:$I$55,7,0)),0%,VLOOKUP(A18,'Données projet'!$A$35:$I$55,7,0))</f>
        <v>0</v>
      </c>
      <c r="R18" s="43">
        <f>EXP(-LN(2)/35)*R17+(1-EXP(-LN(2)/35))/(LN(2)/35)*N18*O18*VLOOKUP('Données projet'!$B$9,Paramètres!$A$1:$I$88,3,0)*0.475*44/12</f>
        <v>0</v>
      </c>
      <c r="S18" s="43">
        <f>EXP(-LN(2)/25)*S17+(1-EXP(-LN(2)/25))/(LN(2)/25)*Calculateur!N18*Calculateur!P18*VLOOKUP('Données projet'!$B$9,Paramètres!$A$1:$I$88,3,0)*0.475*44/12</f>
        <v>0</v>
      </c>
      <c r="T18" s="43">
        <f>EXP(-LN(2)/2)*T17+(1-EXP(-LN(2)/2))/(LN(2)/2)*N18*Q18*VLOOKUP('Données projet'!$B$9,Paramètres!$A$1:$I$88,3,0)*0.475*44/12</f>
        <v>0</v>
      </c>
      <c r="U18" s="43">
        <f t="shared" si="1"/>
        <v>0</v>
      </c>
      <c r="V18" s="32" t="e">
        <f>VLOOKUP(A18,'Données projet'!$A$61:$I$81,2,0)</f>
        <v>#N/A</v>
      </c>
      <c r="W18" s="33" t="e">
        <f>VLOOKUP(A18,'Données projet'!$A$61:$I$81,9,0)</f>
        <v>#N/A</v>
      </c>
      <c r="X18" s="33">
        <f t="array" ref="X18">INDEX(W:W,MIN(IF(ISNUMBER(W18:W214),ROW(W18:W214),"")))</f>
        <v>0</v>
      </c>
      <c r="Y18" s="33">
        <f t="shared" si="24"/>
        <v>0</v>
      </c>
      <c r="Z18" s="34" t="e">
        <f>Y18*VLOOKUP('Données projet'!$B$10,Paramètres!$A$1:$I$88,3,0)*VLOOKUP('Données projet'!$B$10,Paramètres!$A$1:$I$88,5,0)</f>
        <v>#N/A</v>
      </c>
      <c r="AA18" s="34" t="e">
        <f t="shared" si="25"/>
        <v>#N/A</v>
      </c>
      <c r="AB18" s="44" t="e">
        <f t="shared" si="2"/>
        <v>#N/A</v>
      </c>
      <c r="AC18" s="36">
        <f>IF(ISNA(VLOOKUP(A18,'Données projet'!$A$61:$I$81,3,0)),0,VLOOKUP(A18,'Données projet'!$A$61:$I$81,3,0))</f>
        <v>0</v>
      </c>
      <c r="AD18" s="36">
        <f>IF(ISNA(VLOOKUP(A18,'Données projet'!$A$61:$I$81,4,0)),0,VLOOKUP(A18,'Données projet'!$A$61:$I$81,4,0))</f>
        <v>0</v>
      </c>
      <c r="AE18" s="37">
        <f>IF(ISNA(VLOOKUP(A18,'Données projet'!$A$61:$I$81,5,0)),0%,VLOOKUP(A18,'Données projet'!$A$61:$I$81,5,0)*VLOOKUP('Données projet'!$B$10,Paramètres!$A$1:$I$88,7,0))</f>
        <v>0</v>
      </c>
      <c r="AF18" s="37">
        <f>IF(ISNA(VLOOKUP(A18,'Données projet'!$A$61:$I$81,6,0)),0%,VLOOKUP(A18,'Données projet'!$A$61:$I$81,6,0)*VLOOKUP('Données projet'!$B$10,Paramètres!$A$1:$I$88,7,0))</f>
        <v>0</v>
      </c>
      <c r="AG18" s="37">
        <f>IF(ISNA(VLOOKUP(A18,'Données projet'!$A$61:$I$81,7,0)),0%,VLOOKUP(A18,'Données projet'!$A$61:$I$81,7,0))</f>
        <v>0</v>
      </c>
      <c r="AH18" s="45">
        <f>EXP(-LN(2)/35)*AH17+(1-EXP(-LN(2)/35))/(LN(2)/35)*AD18*AE18*VLOOKUP('Données projet'!$B$9,Paramètres!$A$1:$I$88,3,0)*0.475*44/12</f>
        <v>0</v>
      </c>
      <c r="AI18" s="45">
        <f>EXP(-LN(2)/25)*AI17+(1-EXP(-LN(2)/25))/(LN(2)/25)*Calculateur!AD18*Calculateur!AF18*VLOOKUP('Données projet'!$B$9,Paramètres!$A$1:$I$88,3,0)*0.475*44/12</f>
        <v>0</v>
      </c>
      <c r="AJ18" s="45">
        <f>EXP(-LN(2)/2)*AJ17+(1-EXP(-LN(2)/2))/(LN(2)/2)*AD18*AG18*VLOOKUP('Données projet'!$B$9,Paramètres!$A$1:$I$88,3,0)*0.475*44/12</f>
        <v>0</v>
      </c>
      <c r="AK18" s="45">
        <f t="shared" si="3"/>
        <v>0</v>
      </c>
      <c r="AL18" s="32" t="e">
        <f>VLOOKUP(A18,'Données projet'!$A$87:$I$107,2,0)</f>
        <v>#N/A</v>
      </c>
      <c r="AM18" s="33" t="e">
        <f>VLOOKUP(A18,'Données projet'!$A$87:$I$107,9,0)</f>
        <v>#N/A</v>
      </c>
      <c r="AN18" s="33">
        <f t="array" ref="AN18">INDEX(AM:AM,MIN(IF(ISNUMBER(AM18:AM214),ROW(AM18:AM214),"")))</f>
        <v>0</v>
      </c>
      <c r="AO18" s="33">
        <f t="shared" si="26"/>
        <v>0</v>
      </c>
      <c r="AP18" s="34" t="e">
        <f>AO18*VLOOKUP('Données projet'!$B$11,Paramètres!$A$1:$I$88,3,0)*VLOOKUP('Données projet'!$B$11,Paramètres!$A$1:$I$88,5,0)</f>
        <v>#N/A</v>
      </c>
      <c r="AQ18" s="34" t="e">
        <f t="shared" si="27"/>
        <v>#N/A</v>
      </c>
      <c r="AR18" s="44" t="e">
        <f t="shared" si="4"/>
        <v>#N/A</v>
      </c>
      <c r="AS18" s="36">
        <f>IF(ISNA(VLOOKUP(A18,'Données projet'!$A$87:$I$107,3,0)),0,VLOOKUP(A18,'Données projet'!$A$87:$I$107,3,0))</f>
        <v>0</v>
      </c>
      <c r="AT18" s="36">
        <f>IF(ISNA(VLOOKUP(A18,'Données projet'!$A$87:$I$107,4,0)),0,VLOOKUP(A18,'Données projet'!$A$87:$I$107,4,0))</f>
        <v>0</v>
      </c>
      <c r="AU18" s="37">
        <f>IF(ISNA(VLOOKUP(A18,'Données projet'!$A$87:$I$107,5,0)),0%,VLOOKUP(A18,'Données projet'!$A$87:$I$107,5,0)*VLOOKUP('Données projet'!$B$11,Paramètres!$A$1:$I$88,7,0))</f>
        <v>0</v>
      </c>
      <c r="AV18" s="37">
        <f>IF(ISNA(VLOOKUP(A18,'Données projet'!$A$87:$I$107,6,0)),0%,VLOOKUP(A18,'Données projet'!$A$87:$I$107,6,0)*VLOOKUP('Données projet'!$B$11,Paramètres!$A$1:$I$88,7,0))</f>
        <v>0</v>
      </c>
      <c r="AW18" s="37">
        <f>IF(ISNA(VLOOKUP(A18,'Données projet'!$A$87:$I$107,7,0)),0%,VLOOKUP(A18,'Données projet'!$A$87:$I$107,7,0))</f>
        <v>0</v>
      </c>
      <c r="AX18" s="45">
        <f>EXP(-LN(2)/35)*AX17+(1-EXP(-LN(2)/35))/(LN(2)/35)*AT18*AU18*VLOOKUP('Données projet'!$B$9,Paramètres!$A$1:$I$88,3,0)*0.475*44/12</f>
        <v>0</v>
      </c>
      <c r="AY18" s="45">
        <f>EXP(-LN(2)/25)*AY17+(1-EXP(-LN(2)/25))/(LN(2)/25)*Calculateur!AT18*Calculateur!AV18*VLOOKUP('Données projet'!$B$9,Paramètres!$A$1:$I$88,3,0)*0.475*44/12</f>
        <v>0</v>
      </c>
      <c r="AZ18" s="45">
        <f>EXP(-LN(2)/2)*AZ17+(1-EXP(-LN(2)/2))/(LN(2)/2)*AT18*AW18*VLOOKUP('Données projet'!$B$9,Paramètres!$A$1:$I$88,3,0)*0.475*44/12</f>
        <v>0</v>
      </c>
      <c r="BA18" s="46">
        <f t="shared" si="5"/>
        <v>0</v>
      </c>
      <c r="BB18" s="32" t="e">
        <f>VLOOKUP(A18,'Données projet'!$A$113:$I$133,2,0)</f>
        <v>#N/A</v>
      </c>
      <c r="BC18" s="33" t="e">
        <f>VLOOKUP(A18,'Données projet'!$A$113:$I$133,9,0)</f>
        <v>#N/A</v>
      </c>
      <c r="BD18" s="33">
        <f t="array" ref="BD18">INDEX(BC:BC,MIN(IF(ISNUMBER(BC18:BC214),ROW(BC18:BC214),"")))</f>
        <v>0</v>
      </c>
      <c r="BE18" s="33">
        <f t="shared" si="28"/>
        <v>0</v>
      </c>
      <c r="BF18" s="34" t="e">
        <f>BE18*VLOOKUP('Données projet'!$B$12,Paramètres!$A$1:$I$88,3,0)*VLOOKUP('Données projet'!$B$12,Paramètres!$A$1:$I$88,5,0)</f>
        <v>#N/A</v>
      </c>
      <c r="BG18" s="34" t="e">
        <f t="shared" si="29"/>
        <v>#N/A</v>
      </c>
      <c r="BH18" s="44" t="e">
        <f t="shared" si="6"/>
        <v>#N/A</v>
      </c>
      <c r="BI18" s="36">
        <f>IF(ISNA(VLOOKUP(A18,'Données projet'!$A$113:$I$133,3,0)),0,VLOOKUP(A18,'Données projet'!$A$113:$I$133,3,0))</f>
        <v>0</v>
      </c>
      <c r="BJ18" s="36">
        <f>IF(ISNA(VLOOKUP(A18,'Données projet'!$A$113:$I$133,4,0)),0,VLOOKUP(A18,'Données projet'!$A$113:$I$133,4,0))</f>
        <v>0</v>
      </c>
      <c r="BK18" s="37">
        <f>IF(ISNA(VLOOKUP(A18,'Données projet'!$A$113:$I$133,5,0)),0%,VLOOKUP(A18,'Données projet'!$A$113:$I$133,5,0)*VLOOKUP('Données projet'!$B$12,Paramètres!$A$1:$I$88,7,0))</f>
        <v>0</v>
      </c>
      <c r="BL18" s="37">
        <f>IF(ISNA(VLOOKUP(A18,'Données projet'!$A$113:$I$133,6,0)),0%,VLOOKUP(A18,'Données projet'!$A$113:$I$133,6,0)*VLOOKUP('Données projet'!$B$12,Paramètres!$A$1:$I$88,7,0))</f>
        <v>0</v>
      </c>
      <c r="BM18" s="37">
        <f>IF(ISNA(VLOOKUP(A18,'Données projet'!$A$113:$I$133,7,0)),0%,VLOOKUP(A18,'Données projet'!$A$113:$I$133,7,0))</f>
        <v>0</v>
      </c>
      <c r="BN18" s="45">
        <f>EXP(-LN(2)/35)*BN17+(1-EXP(-LN(2)/35))/(LN(2)/35)*BJ18*BK18*VLOOKUP('Données projet'!$B$9,Paramètres!$A$1:$I$88,3,0)*0.475*44/12</f>
        <v>0</v>
      </c>
      <c r="BO18" s="45">
        <f>EXP(-LN(2)/25)*BO17+(1-EXP(-LN(2)/25))/(LN(2)/25)*Calculateur!BJ18*Calculateur!BL18*VLOOKUP('Données projet'!$B$9,Paramètres!$A$1:$I$88,3,0)*0.475*44/12</f>
        <v>0</v>
      </c>
      <c r="BP18" s="45">
        <f>EXP(-LN(2)/2)*BP17+(1-EXP(-LN(2)/2))/(LN(2)/2)*BJ18*BM18*VLOOKUP('Données projet'!$B$9,Paramètres!$A$1:$I$88,3,0)*0.475*44/12</f>
        <v>0</v>
      </c>
      <c r="BQ18" s="46">
        <f t="shared" si="7"/>
        <v>0</v>
      </c>
      <c r="BR18" s="32" t="e">
        <f>VLOOKUP(A18,'Données projet'!$A$139:$I$159,2,0)</f>
        <v>#N/A</v>
      </c>
      <c r="BS18" s="33" t="e">
        <f>VLOOKUP(A18,'Données projet'!$A$139:$I$159,9,0)</f>
        <v>#N/A</v>
      </c>
      <c r="BT18" s="33">
        <f t="array" ref="BT18">INDEX(BS:BS,MIN(IF(ISNUMBER(BS18:BS214),ROW(BS18:BS214),"")))</f>
        <v>0</v>
      </c>
      <c r="BU18" s="33">
        <f t="shared" si="41"/>
        <v>0</v>
      </c>
      <c r="BV18" s="38" t="e">
        <f>BU18*VLOOKUP('Données projet'!$B$13,Paramètres!$A$1:$I$88,3,0)*VLOOKUP('Données projet'!$B$13,Paramètres!$A$1:$I$88,5,0)</f>
        <v>#N/A</v>
      </c>
      <c r="BW18" s="34" t="e">
        <f t="shared" si="30"/>
        <v>#N/A</v>
      </c>
      <c r="BX18" s="44" t="e">
        <f t="shared" si="8"/>
        <v>#N/A</v>
      </c>
      <c r="BY18" s="36">
        <f>IF(ISNA(VLOOKUP(A18,'Données projet'!$A$139:$I$159,3,0)),0,VLOOKUP(A18,'Données projet'!$A$139:$I$159,3,0))</f>
        <v>0</v>
      </c>
      <c r="BZ18" s="36">
        <f>IF(ISNA(VLOOKUP(A18,'Données projet'!$A$139:$I$159,4,0)),0,VLOOKUP(A18,'Données projet'!$A$139:$I$159,4,0))</f>
        <v>0</v>
      </c>
      <c r="CA18" s="37">
        <f>IF(ISNA(VLOOKUP(A18,'Données projet'!$A$139:$I$159,5,0)),0%,VLOOKUP(A18,'Données projet'!$A$139:$I$159,5,0)*VLOOKUP('Données projet'!$B$13,Paramètres!$A$1:$I$88,7,0))</f>
        <v>0</v>
      </c>
      <c r="CB18" s="37">
        <f>IF(ISNA(VLOOKUP(A18,'Données projet'!$A$139:$I$159,6,0)),0%,VLOOKUP(A18,'Données projet'!$A$139:$I$159,6,0)*VLOOKUP('Données projet'!$B$13,Paramètres!$A$1:$I$88,7,0))</f>
        <v>0</v>
      </c>
      <c r="CC18" s="37">
        <f>IF(ISNA(VLOOKUP(A18,'Données projet'!$A$139:$I$159,7,0)),0%,VLOOKUP(A18,'Données projet'!$A$139:$I$159,7,0))</f>
        <v>0</v>
      </c>
      <c r="CD18" s="45">
        <f>EXP(-LN(2)/35)*CD17+(1-EXP(-LN(2)/35))/(LN(2)/35)*BZ18*CA18*VLOOKUP('Données projet'!$B$9,Paramètres!$A$1:$I$88,3,0)*0.475*44/12</f>
        <v>0</v>
      </c>
      <c r="CE18" s="45">
        <f>EXP(-LN(2)/25)*CE17+(1-EXP(-LN(2)/25))/(LN(2)/25)*Calculateur!BZ18*Calculateur!CB18*VLOOKUP('Données projet'!$B$9,Paramètres!$A$1:$I$88,3,0)*0.475*44/12</f>
        <v>0</v>
      </c>
      <c r="CF18" s="45">
        <f>EXP(-LN(2)/2)*CF17+(1-EXP(-LN(2)/2))/(LN(2)/2)*BZ18*CC18*VLOOKUP('Données projet'!$B$9,Paramètres!$A$1:$I$88,3,0)*0.475*44/12</f>
        <v>0</v>
      </c>
      <c r="CG18" s="46">
        <f t="shared" si="9"/>
        <v>0</v>
      </c>
      <c r="CH18" s="32" t="e">
        <f>VLOOKUP(A18,'Données projet'!$A$165:$I$185,2,0)</f>
        <v>#N/A</v>
      </c>
      <c r="CI18" s="33" t="e">
        <f>VLOOKUP(A18,'Données projet'!$A$165:$I$185,9,0)</f>
        <v>#N/A</v>
      </c>
      <c r="CJ18" s="33">
        <f t="array" ref="CJ18">INDEX(CI:CI,MIN(IF(ISNUMBER(CI18:CI214),ROW(CI18:CI214),"")))</f>
        <v>0</v>
      </c>
      <c r="CK18" s="33">
        <f t="shared" si="31"/>
        <v>0</v>
      </c>
      <c r="CL18" s="38" t="e">
        <f>CK18*VLOOKUP('Données projet'!$B$14,Paramètres!$A$1:$I$88,3,0)*VLOOKUP('Données projet'!$B$14,Paramètres!$A$1:$I$88,5,0)</f>
        <v>#N/A</v>
      </c>
      <c r="CM18" s="34" t="e">
        <f t="shared" si="32"/>
        <v>#N/A</v>
      </c>
      <c r="CN18" s="44" t="e">
        <f t="shared" si="10"/>
        <v>#N/A</v>
      </c>
      <c r="CO18" s="36">
        <f>IF(ISNA(VLOOKUP(A18,'Données projet'!$A$165:$I$185,3,0)),0,VLOOKUP(A18,'Données projet'!$A$165:$I$185,3,0))</f>
        <v>0</v>
      </c>
      <c r="CP18" s="36">
        <f>IF(ISNA(VLOOKUP(A18,'Données projet'!$A$165:$I$185,4,0)),0,VLOOKUP(A18,'Données projet'!$A$165:$I$185,4,0))</f>
        <v>0</v>
      </c>
      <c r="CQ18" s="37">
        <f>IF(ISNA(VLOOKUP(A18,'Données projet'!$A$165:$I$185,5,0)),0%,VLOOKUP(A18,'Données projet'!$A$165:$I$185,5,0)*VLOOKUP('Données projet'!$B$14,Paramètres!$A$1:$I$88,7,0))</f>
        <v>0</v>
      </c>
      <c r="CR18" s="37">
        <f>IF(ISNA(VLOOKUP(A18,'Données projet'!$A$165:$I$185,6,0)),0%,VLOOKUP(A18,'Données projet'!$A$165:$I$185,6,0)*VLOOKUP('Données projet'!$B$14,Paramètres!$A$1:$I$88,7,0))</f>
        <v>0</v>
      </c>
      <c r="CS18" s="37">
        <f>IF(ISNA(VLOOKUP(A18,'Données projet'!$A$165:$I$185,7,0)),0%,VLOOKUP(A18,'Données projet'!$A$165:$I$185,7,0))</f>
        <v>0</v>
      </c>
      <c r="CT18" s="45">
        <f>EXP(-LN(2)/35)*CT17+(1-EXP(-LN(2)/35))/(LN(2)/35)*CP18*CQ18*VLOOKUP('Données projet'!$B$9,Paramètres!$A$1:$I$88,3,0)*0.475*44/12</f>
        <v>0</v>
      </c>
      <c r="CU18" s="45">
        <f>EXP(-LN(2)/25)*CU17+(1-EXP(-LN(2)/25))/(LN(2)/25)*Calculateur!CP18*Calculateur!CR18*VLOOKUP('Données projet'!$B$9,Paramètres!$A$1:$I$88,3,0)*0.475*44/12</f>
        <v>0</v>
      </c>
      <c r="CV18" s="45">
        <f>EXP(-LN(2)/2)*CV17+(1-EXP(-LN(2)/2))/(LN(2)/2)*CP18*CS18*VLOOKUP('Données projet'!$B$9,Paramètres!$A$1:$I$88,3,0)*0.475*44/12</f>
        <v>0</v>
      </c>
      <c r="CW18" s="46">
        <f t="shared" si="11"/>
        <v>0</v>
      </c>
      <c r="CX18" s="32" t="e">
        <f>VLOOKUP(A18,'Données projet'!$A$191:$I$211,2,0)</f>
        <v>#N/A</v>
      </c>
      <c r="CY18" s="33" t="e">
        <f>VLOOKUP(A18,'Données projet'!$A$191:$I$211,9,0)</f>
        <v>#N/A</v>
      </c>
      <c r="CZ18" s="33">
        <f t="array" ref="CZ18">INDEX(CY:CY,MIN(IF(ISNUMBER(CY18:CY214),ROW(CY18:CY214),"")))</f>
        <v>0</v>
      </c>
      <c r="DA18" s="33">
        <f t="shared" si="33"/>
        <v>0</v>
      </c>
      <c r="DB18" s="38" t="e">
        <f>DA18*VLOOKUP('Données projet'!$B$15,Paramètres!$A$1:$I$88,3,0)*VLOOKUP('Données projet'!$B$15,Paramètres!$A$1:$I$88,5,0)</f>
        <v>#N/A</v>
      </c>
      <c r="DC18" s="34" t="e">
        <f t="shared" si="34"/>
        <v>#N/A</v>
      </c>
      <c r="DD18" s="44" t="e">
        <f t="shared" si="12"/>
        <v>#N/A</v>
      </c>
      <c r="DE18" s="36">
        <f>IF(ISNA(VLOOKUP(A18,'Données projet'!$A$191:$I$211,3,0)),0,VLOOKUP(A18,'Données projet'!$A$191:$I$211,3,0))</f>
        <v>0</v>
      </c>
      <c r="DF18" s="36">
        <f>IF(ISNA(VLOOKUP(A18,'Données projet'!$A$191:$I$211,4,0)),0,VLOOKUP(A18,'Données projet'!$A$191:$I$211,4,0))</f>
        <v>0</v>
      </c>
      <c r="DG18" s="37">
        <f>IF(ISNA(VLOOKUP(A18,'Données projet'!$A$191:$I$211,5,0)),0%,VLOOKUP(A18,'Données projet'!$A$191:$I$211,5,0)*VLOOKUP('Données projet'!$B$15,Paramètres!$A$1:$I$88,7,0))</f>
        <v>0</v>
      </c>
      <c r="DH18" s="37">
        <f>IF(ISNA(VLOOKUP(A18,'Données projet'!$A$191:$I$211,6,0)),0%,VLOOKUP(A18,'Données projet'!$A$191:$I$211,6,0)*VLOOKUP('Données projet'!$B$15,Paramètres!$A$1:$I$88,7,0))</f>
        <v>0</v>
      </c>
      <c r="DI18" s="37">
        <f>IF(ISNA(VLOOKUP(A18,'Données projet'!$A$191:$I$211,7,0)),0%,VLOOKUP(A18,'Données projet'!$A$191:$I$211,7,0))</f>
        <v>0</v>
      </c>
      <c r="DJ18" s="45">
        <f>EXP(-LN(2)/35)*DJ17+(1-EXP(-LN(2)/35))/(LN(2)/35)*DF18*DG18*VLOOKUP('Données projet'!$B$9,Paramètres!$A$1:$I$88,3,0)*0.475*44/12</f>
        <v>0</v>
      </c>
      <c r="DK18" s="45">
        <f>EXP(-LN(2)/25)*DK17+(1-EXP(-LN(2)/25))/(LN(2)/25)*Calculateur!DF18*Calculateur!DH18*VLOOKUP('Données projet'!$B$9,Paramètres!$A$1:$I$88,3,0)*0.475*44/12</f>
        <v>0</v>
      </c>
      <c r="DL18" s="45">
        <f>EXP(-LN(2)/2)*DL17+(1-EXP(-LN(2)/2))/(LN(2)/2)*DF18*DI18*VLOOKUP('Données projet'!$B$9,Paramètres!$A$1:$I$88,3,0)*0.475*44/12</f>
        <v>0</v>
      </c>
      <c r="DM18" s="46">
        <f t="shared" si="13"/>
        <v>0</v>
      </c>
      <c r="DN18" s="32" t="e">
        <f>VLOOKUP(A18,'Données projet'!$A$217:$I$237,2,0)</f>
        <v>#N/A</v>
      </c>
      <c r="DO18" s="33" t="e">
        <f>VLOOKUP(A18,'Données projet'!$A$217:$I$237,9,0)</f>
        <v>#N/A</v>
      </c>
      <c r="DP18" s="33">
        <f t="array" ref="DP18">INDEX(DO:DO,MIN(IF(ISNUMBER(DO18:DO214),ROW(DO18:DO214),"")))</f>
        <v>0</v>
      </c>
      <c r="DQ18" s="33">
        <f t="shared" si="35"/>
        <v>0</v>
      </c>
      <c r="DR18" s="38" t="e">
        <f>DQ18*VLOOKUP('Données projet'!$B$16,Paramètres!$A$1:$I$88,3,0)*VLOOKUP('Données projet'!$B$16,Paramètres!$A$1:$I$88,5,0)</f>
        <v>#N/A</v>
      </c>
      <c r="DS18" s="34" t="e">
        <f t="shared" si="36"/>
        <v>#N/A</v>
      </c>
      <c r="DT18" s="44" t="e">
        <f t="shared" si="14"/>
        <v>#N/A</v>
      </c>
      <c r="DU18" s="36">
        <f>IF(ISNA(VLOOKUP(A18,'Données projet'!$A$217:$I$237,3,0)),0,VLOOKUP(A18,'Données projet'!$A$217:$I$237,3,0))</f>
        <v>0</v>
      </c>
      <c r="DV18" s="36">
        <f>IF(ISNA(VLOOKUP(A18,'Données projet'!$A$217:$I$237,4,0)),0,VLOOKUP(A18,'Données projet'!$A$217:$I$237,4,0))</f>
        <v>0</v>
      </c>
      <c r="DW18" s="37">
        <f>IF(ISNA(VLOOKUP(A18,'Données projet'!$A$217:$I$237,5,0)),0%,VLOOKUP(A18,'Données projet'!$A$217:$I$237,5,0)*VLOOKUP('Données projet'!$B$16,Paramètres!$A$1:$I$88,7,0))</f>
        <v>0</v>
      </c>
      <c r="DX18" s="37">
        <f>IF(ISNA(VLOOKUP(A18,'Données projet'!$A$217:$I$237,6,0)),0%,VLOOKUP(A18,'Données projet'!$A$217:$I$237,6,0)*VLOOKUP('Données projet'!$B$16,Paramètres!$A$1:$I$88,7,0))</f>
        <v>0</v>
      </c>
      <c r="DY18" s="37">
        <f>IF(ISNA(VLOOKUP(A18,'Données projet'!$A$217:$I$237,7,0)),0%,VLOOKUP(A18,'Données projet'!$A$217:$I$237,7,0))</f>
        <v>0</v>
      </c>
      <c r="DZ18" s="45">
        <f>EXP(-LN(2)/35)*DZ17+(1-EXP(-LN(2)/35))/(LN(2)/35)*DV18*DW18*VLOOKUP('Données projet'!$B$9,Paramètres!$A$1:$I$88,3,0)*0.475*44/12</f>
        <v>0</v>
      </c>
      <c r="EA18" s="45">
        <f>EXP(-LN(2)/25)*EA17+(1-EXP(-LN(2)/25))/(LN(2)/25)*Calculateur!DV18*Calculateur!DX18*VLOOKUP('Données projet'!$B$9,Paramètres!$A$1:$I$88,3,0)*0.475*44/12</f>
        <v>0</v>
      </c>
      <c r="EB18" s="45">
        <f>EXP(-LN(2)/2)*EB17+(1-EXP(-LN(2)/2))/(LN(2)/2)*DV18*DY18*VLOOKUP('Données projet'!$B$9,Paramètres!$A$1:$I$88,3,0)*0.475*44/12</f>
        <v>0</v>
      </c>
      <c r="EC18" s="46">
        <f t="shared" si="15"/>
        <v>0</v>
      </c>
      <c r="ED18" s="32" t="e">
        <f>VLOOKUP(A18,'Données projet'!$A$243:$I$263,2,0)</f>
        <v>#N/A</v>
      </c>
      <c r="EE18" s="33" t="e">
        <f>VLOOKUP(A18,'Données projet'!$A$243:$I$263,9,0)</f>
        <v>#N/A</v>
      </c>
      <c r="EF18" s="33">
        <f t="array" ref="EF18">INDEX(EE:EE,MIN(IF(ISNUMBER(EE18:EE214),ROW(EE18:EE214),"")))</f>
        <v>0</v>
      </c>
      <c r="EG18" s="33">
        <f t="shared" si="37"/>
        <v>0</v>
      </c>
      <c r="EH18" s="38" t="e">
        <f>EG18*VLOOKUP('Données projet'!$B$17,Paramètres!$A$1:$I$88,3,0)*VLOOKUP('Données projet'!$B$17,Paramètres!$A$1:$I$88,5,0)</f>
        <v>#N/A</v>
      </c>
      <c r="EI18" s="34" t="e">
        <f t="shared" si="38"/>
        <v>#N/A</v>
      </c>
      <c r="EJ18" s="44" t="e">
        <f t="shared" si="16"/>
        <v>#N/A</v>
      </c>
      <c r="EK18" s="36">
        <f>IF(ISNA(VLOOKUP(A18,'Données projet'!$A$243:$I$263,3,0)),0,VLOOKUP(A18,'Données projet'!$A$243:$I$263,3,0))</f>
        <v>0</v>
      </c>
      <c r="EL18" s="36">
        <f>IF(ISNA(VLOOKUP(A18,'Données projet'!$A$243:$I$263,4,0)),0,VLOOKUP(A18,'Données projet'!$A$243:$I$263,4,0))</f>
        <v>0</v>
      </c>
      <c r="EM18" s="37">
        <f>IF(ISNA(VLOOKUP(A18,'Données projet'!$A$243:$I$263,5,0)),0%,VLOOKUP(A18,'Données projet'!$A$243:$I$263,5,0)*VLOOKUP('Données projet'!$B$17,Paramètres!$A$1:$I$88,7,0))</f>
        <v>0</v>
      </c>
      <c r="EN18" s="37">
        <f>IF(ISNA(VLOOKUP(A18,'Données projet'!$A$243:$I$263,6,0)),0%,VLOOKUP(A18,'Données projet'!$A$243:$I$263,6,0)*VLOOKUP('Données projet'!$B$17,Paramètres!$A$1:$I$88,7,0))</f>
        <v>0</v>
      </c>
      <c r="EO18" s="37">
        <f>IF(ISNA(VLOOKUP(A18,'Données projet'!$A$243:$I$263,7,0)),0%,VLOOKUP(A18,'Données projet'!$A$243:$I$263,7,0))</f>
        <v>0</v>
      </c>
      <c r="EP18" s="45">
        <f>EXP(-LN(2)/35)*EP17+(1-EXP(-LN(2)/35))/(LN(2)/35)*EL18*EM18*VLOOKUP('Données projet'!$B$9,Paramètres!$A$1:$I$88,3,0)*0.475*44/12</f>
        <v>0</v>
      </c>
      <c r="EQ18" s="45">
        <f>EXP(-LN(2)/25)*EQ17+(1-EXP(-LN(2)/25))/(LN(2)/25)*Calculateur!EL18*Calculateur!EN18*VLOOKUP('Données projet'!$B$9,Paramètres!$A$1:$I$88,3,0)*0.475*44/12</f>
        <v>0</v>
      </c>
      <c r="ER18" s="45">
        <f>EXP(-LN(2)/2)*ER17+(1-EXP(-LN(2)/2))/(LN(2)/2)*EL18*EO18*VLOOKUP('Données projet'!$B$9,Paramètres!$A$1:$I$88,3,0)*0.475*44/12</f>
        <v>0</v>
      </c>
      <c r="ES18" s="46">
        <f t="shared" si="17"/>
        <v>0</v>
      </c>
      <c r="ET18" s="32" t="e">
        <f>VLOOKUP(A18,'Données projet'!$A$269:$I$289,2,0)</f>
        <v>#N/A</v>
      </c>
      <c r="EU18" s="33" t="e">
        <f>VLOOKUP(A18,'Données projet'!$A$269:$I$289,9,0)</f>
        <v>#N/A</v>
      </c>
      <c r="EV18" s="33">
        <f t="array" ref="EV18">INDEX(EU:EU,MIN(IF(ISNUMBER(EU18:EU214),ROW(EU18:EU214),"")))</f>
        <v>0</v>
      </c>
      <c r="EW18" s="33">
        <f t="shared" si="39"/>
        <v>0</v>
      </c>
      <c r="EX18" s="38" t="e">
        <f>EW18*VLOOKUP('Données projet'!$B$18,Paramètres!$A$1:$I$88,3,0)*VLOOKUP('Données projet'!$B$18,Paramètres!$A$1:$I$88,5,0)</f>
        <v>#N/A</v>
      </c>
      <c r="EY18" s="34" t="e">
        <f t="shared" si="40"/>
        <v>#N/A</v>
      </c>
      <c r="EZ18" s="44" t="e">
        <f t="shared" si="18"/>
        <v>#N/A</v>
      </c>
      <c r="FA18" s="36">
        <f>IF(ISNA(VLOOKUP(A18,'Données projet'!$A$269:$I$289,3,0)),0,VLOOKUP(A18,'Données projet'!$A$269:$I$289,3,0))</f>
        <v>0</v>
      </c>
      <c r="FB18" s="36">
        <f>IF(ISNA(VLOOKUP(A18,'Données projet'!$A$269:$I$289,4,0)),0,VLOOKUP(A18,'Données projet'!$A$269:$I$289,4,0))</f>
        <v>0</v>
      </c>
      <c r="FC18" s="37">
        <f>IF(ISNA(VLOOKUP(A18,'Données projet'!$A$269:$I$289,5,0)),0%,VLOOKUP(A18,'Données projet'!$A$269:$I$289,5,0)*VLOOKUP('Données projet'!$B$18,Paramètres!$A$1:$I$88,7,0))</f>
        <v>0</v>
      </c>
      <c r="FD18" s="37">
        <f>IF(ISNA(VLOOKUP(A18,'Données projet'!$A$269:$I$289,6,0)),0%,VLOOKUP(A18,'Données projet'!$A$269:$I$289,6,0)*VLOOKUP('Données projet'!$B$18,Paramètres!$A$1:$I$88,7,0))</f>
        <v>0</v>
      </c>
      <c r="FE18" s="37">
        <f>IF(ISNA(VLOOKUP(A18,'Données projet'!$A$269:$I$289,7,0)),0%,VLOOKUP(A18,'Données projet'!$A$269:$I$289,7,0))</f>
        <v>0</v>
      </c>
      <c r="FF18" s="45">
        <f>EXP(-LN(2)/35)*FF17+(1-EXP(-LN(2)/35))/(LN(2)/35)*FB18*FC18*VLOOKUP('Données projet'!$B$9,Paramètres!$A$1:$I$88,3,0)*0.475*44/12</f>
        <v>0</v>
      </c>
      <c r="FG18" s="45">
        <f>EXP(-LN(2)/25)*FG17+(1-EXP(-LN(2)/25))/(LN(2)/25)*Calculateur!FB18*Calculateur!FD18*VLOOKUP('Données projet'!$B$9,Paramètres!$A$1:$I$88,3,0)*0.475*44/12</f>
        <v>0</v>
      </c>
      <c r="FH18" s="45">
        <f>EXP(-LN(2)/2)*FH17+(1-EXP(-LN(2)/2))/(LN(2)/2)*FB18*FE18*VLOOKUP('Données projet'!$B$9,Paramètres!$A$1:$I$88,3,0)*0.475*44/12</f>
        <v>0</v>
      </c>
      <c r="FI18" s="46">
        <f t="shared" si="19"/>
        <v>0</v>
      </c>
    </row>
    <row r="19" spans="1:165" x14ac:dyDescent="0.25">
      <c r="A19" s="24">
        <f t="shared" si="20"/>
        <v>16</v>
      </c>
      <c r="B19" s="25">
        <f>IF('Scénario référence'!$N$1=1,5,0)</f>
        <v>0</v>
      </c>
      <c r="C19" s="40">
        <f>IF(OR('Scénario référence'!$N$1=2,'Scénario référence'!$N$1=4),C18+1*VLOOKUP('Scénario référence'!$G$14,Paramètres!$A$1:$I$88,3,0)*VLOOKUP('Scénario référence'!$G$14,Paramètres!$A$1:$I$88,5,0),IF(OR('Scénario référence'!$N$1=3,'Scénario référence'!$N$1=5),C18+0.5*VLOOKUP('Scénario référence'!$G$14,Paramètres!$A$1:$I$88,3,0)*VLOOKUP('Scénario référence'!$G$14,Paramètres!$A$1:$I$88,5,0),0))</f>
        <v>8.7360000000000024</v>
      </c>
      <c r="D19" s="26">
        <f t="shared" si="21"/>
        <v>3.1282100045396777</v>
      </c>
      <c r="E19" s="27">
        <f>IF('Scénario référence'!$N$1=1,B19*44/12,(C19+D19)*0.475*44/12)</f>
        <v>20.663499091239945</v>
      </c>
      <c r="F19" s="28" t="e">
        <f>VLOOKUP(A19,'Données projet'!$A$35:$I$55,2,0)</f>
        <v>#N/A</v>
      </c>
      <c r="G19" s="28" t="e">
        <f>VLOOKUP(A19,'Données projet'!$A$35:$I$55,9,0)</f>
        <v>#N/A</v>
      </c>
      <c r="H19" s="33">
        <f t="array" ref="H19">INDEX(G:G,MIN(IF(ISNUMBER(G19:G215),ROW(G19:G215),"")))</f>
        <v>2.1</v>
      </c>
      <c r="I19" s="28">
        <f t="shared" si="22"/>
        <v>33.600000000000009</v>
      </c>
      <c r="J19" s="41">
        <f>I19*VLOOKUP('Données projet'!$B$9,Paramètres!$A$1:$I$88,3,0)*VLOOKUP('Données projet'!$B$9,Paramètres!$A$1:$I$88,5,0)</f>
        <v>34.070400000000014</v>
      </c>
      <c r="K19" s="41">
        <f t="shared" si="23"/>
        <v>10.412633617059319</v>
      </c>
      <c r="L19" s="42">
        <f t="shared" si="0"/>
        <v>77.474616883045002</v>
      </c>
      <c r="M19" s="30">
        <f>IF(ISNA(VLOOKUP(A19,'Données projet'!$A$35:$I$55,3,0)),0,VLOOKUP(A19,'Données projet'!$A$35:$I$55,3,0))</f>
        <v>0</v>
      </c>
      <c r="N19" s="30">
        <f>IF(ISNA(VLOOKUP(A19,'Données projet'!$A$35:$I$55,4,0)),0,VLOOKUP(A19,'Données projet'!$A$35:$I$55,4,0))</f>
        <v>0</v>
      </c>
      <c r="O19" s="31">
        <f>IF(ISNA(VLOOKUP(A19,'Données projet'!$A$35:$I$55,5,0)),0%,VLOOKUP(A19,'Données projet'!$A$35:$I$55,5,0)*VLOOKUP('Données projet'!$B$9,Paramètres!$A$1:$I$88,7,0))</f>
        <v>0</v>
      </c>
      <c r="P19" s="31">
        <f>IF(ISNA(VLOOKUP(A19,'Données projet'!$A$35:$I$55,6,0)),0%,VLOOKUP(A19,'Données projet'!$A$35:$I$55,6,0)*VLOOKUP('Données projet'!$B$9,Paramètres!$A$1:$I$88,7,0))</f>
        <v>0</v>
      </c>
      <c r="Q19" s="31">
        <f>IF(ISNA(VLOOKUP(A19,'Données projet'!$A$35:$I$55,7,0)),0%,VLOOKUP(A19,'Données projet'!$A$35:$I$55,7,0))</f>
        <v>0</v>
      </c>
      <c r="R19" s="43">
        <f>EXP(-LN(2)/35)*R18+(1-EXP(-LN(2)/35))/(LN(2)/35)*N19*O19*VLOOKUP('Données projet'!$B$9,Paramètres!$A$1:$I$88,3,0)*0.475*44/12</f>
        <v>0</v>
      </c>
      <c r="S19" s="43">
        <f>EXP(-LN(2)/25)*S18+(1-EXP(-LN(2)/25))/(LN(2)/25)*Calculateur!N19*Calculateur!P19*VLOOKUP('Données projet'!$B$9,Paramètres!$A$1:$I$88,3,0)*0.475*44/12</f>
        <v>0</v>
      </c>
      <c r="T19" s="43">
        <f>EXP(-LN(2)/2)*T18+(1-EXP(-LN(2)/2))/(LN(2)/2)*N19*Q19*VLOOKUP('Données projet'!$B$9,Paramètres!$A$1:$I$88,3,0)*0.475*44/12</f>
        <v>0</v>
      </c>
      <c r="U19" s="43">
        <f t="shared" si="1"/>
        <v>0</v>
      </c>
      <c r="V19" s="32" t="e">
        <f>VLOOKUP(A19,'Données projet'!$A$61:$I$81,2,0)</f>
        <v>#N/A</v>
      </c>
      <c r="W19" s="33" t="e">
        <f>VLOOKUP(A19,'Données projet'!$A$61:$I$81,9,0)</f>
        <v>#N/A</v>
      </c>
      <c r="X19" s="33">
        <f t="array" ref="X19">INDEX(W:W,MIN(IF(ISNUMBER(W19:W215),ROW(W19:W215),"")))</f>
        <v>0</v>
      </c>
      <c r="Y19" s="33">
        <f t="shared" si="24"/>
        <v>0</v>
      </c>
      <c r="Z19" s="34" t="e">
        <f>Y19*VLOOKUP('Données projet'!$B$10,Paramètres!$A$1:$I$88,3,0)*VLOOKUP('Données projet'!$B$10,Paramètres!$A$1:$I$88,5,0)</f>
        <v>#N/A</v>
      </c>
      <c r="AA19" s="34" t="e">
        <f t="shared" si="25"/>
        <v>#N/A</v>
      </c>
      <c r="AB19" s="44" t="e">
        <f t="shared" si="2"/>
        <v>#N/A</v>
      </c>
      <c r="AC19" s="36">
        <f>IF(ISNA(VLOOKUP(A19,'Données projet'!$A$61:$I$81,3,0)),0,VLOOKUP(A19,'Données projet'!$A$61:$I$81,3,0))</f>
        <v>0</v>
      </c>
      <c r="AD19" s="36">
        <f>IF(ISNA(VLOOKUP(A19,'Données projet'!$A$61:$I$81,4,0)),0,VLOOKUP(A19,'Données projet'!$A$61:$I$81,4,0))</f>
        <v>0</v>
      </c>
      <c r="AE19" s="37">
        <f>IF(ISNA(VLOOKUP(A19,'Données projet'!$A$61:$I$81,5,0)),0%,VLOOKUP(A19,'Données projet'!$A$61:$I$81,5,0)*VLOOKUP('Données projet'!$B$10,Paramètres!$A$1:$I$88,7,0))</f>
        <v>0</v>
      </c>
      <c r="AF19" s="37">
        <f>IF(ISNA(VLOOKUP(A19,'Données projet'!$A$61:$I$81,6,0)),0%,VLOOKUP(A19,'Données projet'!$A$61:$I$81,6,0)*VLOOKUP('Données projet'!$B$10,Paramètres!$A$1:$I$88,7,0))</f>
        <v>0</v>
      </c>
      <c r="AG19" s="37">
        <f>IF(ISNA(VLOOKUP(A19,'Données projet'!$A$61:$I$81,7,0)),0%,VLOOKUP(A19,'Données projet'!$A$61:$I$81,7,0))</f>
        <v>0</v>
      </c>
      <c r="AH19" s="45">
        <f>EXP(-LN(2)/35)*AH18+(1-EXP(-LN(2)/35))/(LN(2)/35)*AD19*AE19*VLOOKUP('Données projet'!$B$9,Paramètres!$A$1:$I$88,3,0)*0.475*44/12</f>
        <v>0</v>
      </c>
      <c r="AI19" s="45">
        <f>EXP(-LN(2)/25)*AI18+(1-EXP(-LN(2)/25))/(LN(2)/25)*Calculateur!AD19*Calculateur!AF19*VLOOKUP('Données projet'!$B$9,Paramètres!$A$1:$I$88,3,0)*0.475*44/12</f>
        <v>0</v>
      </c>
      <c r="AJ19" s="45">
        <f>EXP(-LN(2)/2)*AJ18+(1-EXP(-LN(2)/2))/(LN(2)/2)*AD19*AG19*VLOOKUP('Données projet'!$B$9,Paramètres!$A$1:$I$88,3,0)*0.475*44/12</f>
        <v>0</v>
      </c>
      <c r="AK19" s="45">
        <f t="shared" si="3"/>
        <v>0</v>
      </c>
      <c r="AL19" s="32" t="e">
        <f>VLOOKUP(A19,'Données projet'!$A$87:$I$107,2,0)</f>
        <v>#N/A</v>
      </c>
      <c r="AM19" s="33" t="e">
        <f>VLOOKUP(A19,'Données projet'!$A$87:$I$107,9,0)</f>
        <v>#N/A</v>
      </c>
      <c r="AN19" s="33">
        <f t="array" ref="AN19">INDEX(AM:AM,MIN(IF(ISNUMBER(AM19:AM215),ROW(AM19:AM215),"")))</f>
        <v>0</v>
      </c>
      <c r="AO19" s="33">
        <f t="shared" si="26"/>
        <v>0</v>
      </c>
      <c r="AP19" s="34" t="e">
        <f>AO19*VLOOKUP('Données projet'!$B$11,Paramètres!$A$1:$I$88,3,0)*VLOOKUP('Données projet'!$B$11,Paramètres!$A$1:$I$88,5,0)</f>
        <v>#N/A</v>
      </c>
      <c r="AQ19" s="34" t="e">
        <f t="shared" si="27"/>
        <v>#N/A</v>
      </c>
      <c r="AR19" s="44" t="e">
        <f t="shared" si="4"/>
        <v>#N/A</v>
      </c>
      <c r="AS19" s="36">
        <f>IF(ISNA(VLOOKUP(A19,'Données projet'!$A$87:$I$107,3,0)),0,VLOOKUP(A19,'Données projet'!$A$87:$I$107,3,0))</f>
        <v>0</v>
      </c>
      <c r="AT19" s="36">
        <f>IF(ISNA(VLOOKUP(A19,'Données projet'!$A$87:$I$107,4,0)),0,VLOOKUP(A19,'Données projet'!$A$87:$I$107,4,0))</f>
        <v>0</v>
      </c>
      <c r="AU19" s="37">
        <f>IF(ISNA(VLOOKUP(A19,'Données projet'!$A$87:$I$107,5,0)),0%,VLOOKUP(A19,'Données projet'!$A$87:$I$107,5,0)*VLOOKUP('Données projet'!$B$11,Paramètres!$A$1:$I$88,7,0))</f>
        <v>0</v>
      </c>
      <c r="AV19" s="37">
        <f>IF(ISNA(VLOOKUP(A19,'Données projet'!$A$87:$I$107,6,0)),0%,VLOOKUP(A19,'Données projet'!$A$87:$I$107,6,0)*VLOOKUP('Données projet'!$B$11,Paramètres!$A$1:$I$88,7,0))</f>
        <v>0</v>
      </c>
      <c r="AW19" s="37">
        <f>IF(ISNA(VLOOKUP(A19,'Données projet'!$A$87:$I$107,7,0)),0%,VLOOKUP(A19,'Données projet'!$A$87:$I$107,7,0))</f>
        <v>0</v>
      </c>
      <c r="AX19" s="45">
        <f>EXP(-LN(2)/35)*AX18+(1-EXP(-LN(2)/35))/(LN(2)/35)*AT19*AU19*VLOOKUP('Données projet'!$B$9,Paramètres!$A$1:$I$88,3,0)*0.475*44/12</f>
        <v>0</v>
      </c>
      <c r="AY19" s="45">
        <f>EXP(-LN(2)/25)*AY18+(1-EXP(-LN(2)/25))/(LN(2)/25)*Calculateur!AT19*Calculateur!AV19*VLOOKUP('Données projet'!$B$9,Paramètres!$A$1:$I$88,3,0)*0.475*44/12</f>
        <v>0</v>
      </c>
      <c r="AZ19" s="45">
        <f>EXP(-LN(2)/2)*AZ18+(1-EXP(-LN(2)/2))/(LN(2)/2)*AT19*AW19*VLOOKUP('Données projet'!$B$9,Paramètres!$A$1:$I$88,3,0)*0.475*44/12</f>
        <v>0</v>
      </c>
      <c r="BA19" s="46">
        <f t="shared" si="5"/>
        <v>0</v>
      </c>
      <c r="BB19" s="32" t="e">
        <f>VLOOKUP(A19,'Données projet'!$A$113:$I$133,2,0)</f>
        <v>#N/A</v>
      </c>
      <c r="BC19" s="33" t="e">
        <f>VLOOKUP(A19,'Données projet'!$A$113:$I$133,9,0)</f>
        <v>#N/A</v>
      </c>
      <c r="BD19" s="33">
        <f t="array" ref="BD19">INDEX(BC:BC,MIN(IF(ISNUMBER(BC19:BC215),ROW(BC19:BC215),"")))</f>
        <v>0</v>
      </c>
      <c r="BE19" s="33">
        <f t="shared" si="28"/>
        <v>0</v>
      </c>
      <c r="BF19" s="34" t="e">
        <f>BE19*VLOOKUP('Données projet'!$B$12,Paramètres!$A$1:$I$88,3,0)*VLOOKUP('Données projet'!$B$12,Paramètres!$A$1:$I$88,5,0)</f>
        <v>#N/A</v>
      </c>
      <c r="BG19" s="34" t="e">
        <f t="shared" si="29"/>
        <v>#N/A</v>
      </c>
      <c r="BH19" s="44" t="e">
        <f t="shared" si="6"/>
        <v>#N/A</v>
      </c>
      <c r="BI19" s="36">
        <f>IF(ISNA(VLOOKUP(A19,'Données projet'!$A$113:$I$133,3,0)),0,VLOOKUP(A19,'Données projet'!$A$113:$I$133,3,0))</f>
        <v>0</v>
      </c>
      <c r="BJ19" s="36">
        <f>IF(ISNA(VLOOKUP(A19,'Données projet'!$A$113:$I$133,4,0)),0,VLOOKUP(A19,'Données projet'!$A$113:$I$133,4,0))</f>
        <v>0</v>
      </c>
      <c r="BK19" s="37">
        <f>IF(ISNA(VLOOKUP(A19,'Données projet'!$A$113:$I$133,5,0)),0%,VLOOKUP(A19,'Données projet'!$A$113:$I$133,5,0)*VLOOKUP('Données projet'!$B$12,Paramètres!$A$1:$I$88,7,0))</f>
        <v>0</v>
      </c>
      <c r="BL19" s="37">
        <f>IF(ISNA(VLOOKUP(A19,'Données projet'!$A$113:$I$133,6,0)),0%,VLOOKUP(A19,'Données projet'!$A$113:$I$133,6,0)*VLOOKUP('Données projet'!$B$12,Paramètres!$A$1:$I$88,7,0))</f>
        <v>0</v>
      </c>
      <c r="BM19" s="37">
        <f>IF(ISNA(VLOOKUP(A19,'Données projet'!$A$113:$I$133,7,0)),0%,VLOOKUP(A19,'Données projet'!$A$113:$I$133,7,0))</f>
        <v>0</v>
      </c>
      <c r="BN19" s="45">
        <f>EXP(-LN(2)/35)*BN18+(1-EXP(-LN(2)/35))/(LN(2)/35)*BJ19*BK19*VLOOKUP('Données projet'!$B$9,Paramètres!$A$1:$I$88,3,0)*0.475*44/12</f>
        <v>0</v>
      </c>
      <c r="BO19" s="45">
        <f>EXP(-LN(2)/25)*BO18+(1-EXP(-LN(2)/25))/(LN(2)/25)*Calculateur!BJ19*Calculateur!BL19*VLOOKUP('Données projet'!$B$9,Paramètres!$A$1:$I$88,3,0)*0.475*44/12</f>
        <v>0</v>
      </c>
      <c r="BP19" s="45">
        <f>EXP(-LN(2)/2)*BP18+(1-EXP(-LN(2)/2))/(LN(2)/2)*BJ19*BM19*VLOOKUP('Données projet'!$B$9,Paramètres!$A$1:$I$88,3,0)*0.475*44/12</f>
        <v>0</v>
      </c>
      <c r="BQ19" s="46">
        <f t="shared" si="7"/>
        <v>0</v>
      </c>
      <c r="BR19" s="32" t="e">
        <f>VLOOKUP(A19,'Données projet'!$A$139:$I$159,2,0)</f>
        <v>#N/A</v>
      </c>
      <c r="BS19" s="33" t="e">
        <f>VLOOKUP(A19,'Données projet'!$A$139:$I$159,9,0)</f>
        <v>#N/A</v>
      </c>
      <c r="BT19" s="33">
        <f t="array" ref="BT19">INDEX(BS:BS,MIN(IF(ISNUMBER(BS19:BS215),ROW(BS19:BS215),"")))</f>
        <v>0</v>
      </c>
      <c r="BU19" s="33">
        <f t="shared" si="41"/>
        <v>0</v>
      </c>
      <c r="BV19" s="38" t="e">
        <f>BU19*VLOOKUP('Données projet'!$B$13,Paramètres!$A$1:$I$88,3,0)*VLOOKUP('Données projet'!$B$13,Paramètres!$A$1:$I$88,5,0)</f>
        <v>#N/A</v>
      </c>
      <c r="BW19" s="34" t="e">
        <f t="shared" si="30"/>
        <v>#N/A</v>
      </c>
      <c r="BX19" s="44" t="e">
        <f t="shared" si="8"/>
        <v>#N/A</v>
      </c>
      <c r="BY19" s="36">
        <f>IF(ISNA(VLOOKUP(A19,'Données projet'!$A$139:$I$159,3,0)),0,VLOOKUP(A19,'Données projet'!$A$139:$I$159,3,0))</f>
        <v>0</v>
      </c>
      <c r="BZ19" s="36">
        <f>IF(ISNA(VLOOKUP(A19,'Données projet'!$A$139:$I$159,4,0)),0,VLOOKUP(A19,'Données projet'!$A$139:$I$159,4,0))</f>
        <v>0</v>
      </c>
      <c r="CA19" s="37">
        <f>IF(ISNA(VLOOKUP(A19,'Données projet'!$A$139:$I$159,5,0)),0%,VLOOKUP(A19,'Données projet'!$A$139:$I$159,5,0)*VLOOKUP('Données projet'!$B$13,Paramètres!$A$1:$I$88,7,0))</f>
        <v>0</v>
      </c>
      <c r="CB19" s="37">
        <f>IF(ISNA(VLOOKUP(A19,'Données projet'!$A$139:$I$159,6,0)),0%,VLOOKUP(A19,'Données projet'!$A$139:$I$159,6,0)*VLOOKUP('Données projet'!$B$13,Paramètres!$A$1:$I$88,7,0))</f>
        <v>0</v>
      </c>
      <c r="CC19" s="37">
        <f>IF(ISNA(VLOOKUP(A19,'Données projet'!$A$139:$I$159,7,0)),0%,VLOOKUP(A19,'Données projet'!$A$139:$I$159,7,0))</f>
        <v>0</v>
      </c>
      <c r="CD19" s="45">
        <f>EXP(-LN(2)/35)*CD18+(1-EXP(-LN(2)/35))/(LN(2)/35)*BZ19*CA19*VLOOKUP('Données projet'!$B$9,Paramètres!$A$1:$I$88,3,0)*0.475*44/12</f>
        <v>0</v>
      </c>
      <c r="CE19" s="45">
        <f>EXP(-LN(2)/25)*CE18+(1-EXP(-LN(2)/25))/(LN(2)/25)*Calculateur!BZ19*Calculateur!CB19*VLOOKUP('Données projet'!$B$9,Paramètres!$A$1:$I$88,3,0)*0.475*44/12</f>
        <v>0</v>
      </c>
      <c r="CF19" s="45">
        <f>EXP(-LN(2)/2)*CF18+(1-EXP(-LN(2)/2))/(LN(2)/2)*BZ19*CC19*VLOOKUP('Données projet'!$B$9,Paramètres!$A$1:$I$88,3,0)*0.475*44/12</f>
        <v>0</v>
      </c>
      <c r="CG19" s="46">
        <f t="shared" si="9"/>
        <v>0</v>
      </c>
      <c r="CH19" s="32" t="e">
        <f>VLOOKUP(A19,'Données projet'!$A$165:$I$185,2,0)</f>
        <v>#N/A</v>
      </c>
      <c r="CI19" s="33" t="e">
        <f>VLOOKUP(A19,'Données projet'!$A$165:$I$185,9,0)</f>
        <v>#N/A</v>
      </c>
      <c r="CJ19" s="33">
        <f t="array" ref="CJ19">INDEX(CI:CI,MIN(IF(ISNUMBER(CI19:CI215),ROW(CI19:CI215),"")))</f>
        <v>0</v>
      </c>
      <c r="CK19" s="33">
        <f t="shared" si="31"/>
        <v>0</v>
      </c>
      <c r="CL19" s="38" t="e">
        <f>CK19*VLOOKUP('Données projet'!$B$14,Paramètres!$A$1:$I$88,3,0)*VLOOKUP('Données projet'!$B$14,Paramètres!$A$1:$I$88,5,0)</f>
        <v>#N/A</v>
      </c>
      <c r="CM19" s="34" t="e">
        <f t="shared" si="32"/>
        <v>#N/A</v>
      </c>
      <c r="CN19" s="44" t="e">
        <f t="shared" si="10"/>
        <v>#N/A</v>
      </c>
      <c r="CO19" s="36">
        <f>IF(ISNA(VLOOKUP(A19,'Données projet'!$A$165:$I$185,3,0)),0,VLOOKUP(A19,'Données projet'!$A$165:$I$185,3,0))</f>
        <v>0</v>
      </c>
      <c r="CP19" s="36">
        <f>IF(ISNA(VLOOKUP(A19,'Données projet'!$A$165:$I$185,4,0)),0,VLOOKUP(A19,'Données projet'!$A$165:$I$185,4,0))</f>
        <v>0</v>
      </c>
      <c r="CQ19" s="37">
        <f>IF(ISNA(VLOOKUP(A19,'Données projet'!$A$165:$I$185,5,0)),0%,VLOOKUP(A19,'Données projet'!$A$165:$I$185,5,0)*VLOOKUP('Données projet'!$B$14,Paramètres!$A$1:$I$88,7,0))</f>
        <v>0</v>
      </c>
      <c r="CR19" s="37">
        <f>IF(ISNA(VLOOKUP(A19,'Données projet'!$A$165:$I$185,6,0)),0%,VLOOKUP(A19,'Données projet'!$A$165:$I$185,6,0)*VLOOKUP('Données projet'!$B$14,Paramètres!$A$1:$I$88,7,0))</f>
        <v>0</v>
      </c>
      <c r="CS19" s="37">
        <f>IF(ISNA(VLOOKUP(A19,'Données projet'!$A$165:$I$185,7,0)),0%,VLOOKUP(A19,'Données projet'!$A$165:$I$185,7,0))</f>
        <v>0</v>
      </c>
      <c r="CT19" s="45">
        <f>EXP(-LN(2)/35)*CT18+(1-EXP(-LN(2)/35))/(LN(2)/35)*CP19*CQ19*VLOOKUP('Données projet'!$B$9,Paramètres!$A$1:$I$88,3,0)*0.475*44/12</f>
        <v>0</v>
      </c>
      <c r="CU19" s="45">
        <f>EXP(-LN(2)/25)*CU18+(1-EXP(-LN(2)/25))/(LN(2)/25)*Calculateur!CP19*Calculateur!CR19*VLOOKUP('Données projet'!$B$9,Paramètres!$A$1:$I$88,3,0)*0.475*44/12</f>
        <v>0</v>
      </c>
      <c r="CV19" s="45">
        <f>EXP(-LN(2)/2)*CV18+(1-EXP(-LN(2)/2))/(LN(2)/2)*CP19*CS19*VLOOKUP('Données projet'!$B$9,Paramètres!$A$1:$I$88,3,0)*0.475*44/12</f>
        <v>0</v>
      </c>
      <c r="CW19" s="46">
        <f t="shared" si="11"/>
        <v>0</v>
      </c>
      <c r="CX19" s="32" t="e">
        <f>VLOOKUP(A19,'Données projet'!$A$191:$I$211,2,0)</f>
        <v>#N/A</v>
      </c>
      <c r="CY19" s="33" t="e">
        <f>VLOOKUP(A19,'Données projet'!$A$191:$I$211,9,0)</f>
        <v>#N/A</v>
      </c>
      <c r="CZ19" s="33">
        <f t="array" ref="CZ19">INDEX(CY:CY,MIN(IF(ISNUMBER(CY19:CY215),ROW(CY19:CY215),"")))</f>
        <v>0</v>
      </c>
      <c r="DA19" s="33">
        <f t="shared" si="33"/>
        <v>0</v>
      </c>
      <c r="DB19" s="38" t="e">
        <f>DA19*VLOOKUP('Données projet'!$B$15,Paramètres!$A$1:$I$88,3,0)*VLOOKUP('Données projet'!$B$15,Paramètres!$A$1:$I$88,5,0)</f>
        <v>#N/A</v>
      </c>
      <c r="DC19" s="34" t="e">
        <f t="shared" si="34"/>
        <v>#N/A</v>
      </c>
      <c r="DD19" s="44" t="e">
        <f t="shared" si="12"/>
        <v>#N/A</v>
      </c>
      <c r="DE19" s="36">
        <f>IF(ISNA(VLOOKUP(A19,'Données projet'!$A$191:$I$211,3,0)),0,VLOOKUP(A19,'Données projet'!$A$191:$I$211,3,0))</f>
        <v>0</v>
      </c>
      <c r="DF19" s="36">
        <f>IF(ISNA(VLOOKUP(A19,'Données projet'!$A$191:$I$211,4,0)),0,VLOOKUP(A19,'Données projet'!$A$191:$I$211,4,0))</f>
        <v>0</v>
      </c>
      <c r="DG19" s="37">
        <f>IF(ISNA(VLOOKUP(A19,'Données projet'!$A$191:$I$211,5,0)),0%,VLOOKUP(A19,'Données projet'!$A$191:$I$211,5,0)*VLOOKUP('Données projet'!$B$15,Paramètres!$A$1:$I$88,7,0))</f>
        <v>0</v>
      </c>
      <c r="DH19" s="37">
        <f>IF(ISNA(VLOOKUP(A19,'Données projet'!$A$191:$I$211,6,0)),0%,VLOOKUP(A19,'Données projet'!$A$191:$I$211,6,0)*VLOOKUP('Données projet'!$B$15,Paramètres!$A$1:$I$88,7,0))</f>
        <v>0</v>
      </c>
      <c r="DI19" s="37">
        <f>IF(ISNA(VLOOKUP(A19,'Données projet'!$A$191:$I$211,7,0)),0%,VLOOKUP(A19,'Données projet'!$A$191:$I$211,7,0))</f>
        <v>0</v>
      </c>
      <c r="DJ19" s="45">
        <f>EXP(-LN(2)/35)*DJ18+(1-EXP(-LN(2)/35))/(LN(2)/35)*DF19*DG19*VLOOKUP('Données projet'!$B$9,Paramètres!$A$1:$I$88,3,0)*0.475*44/12</f>
        <v>0</v>
      </c>
      <c r="DK19" s="45">
        <f>EXP(-LN(2)/25)*DK18+(1-EXP(-LN(2)/25))/(LN(2)/25)*Calculateur!DF19*Calculateur!DH19*VLOOKUP('Données projet'!$B$9,Paramètres!$A$1:$I$88,3,0)*0.475*44/12</f>
        <v>0</v>
      </c>
      <c r="DL19" s="45">
        <f>EXP(-LN(2)/2)*DL18+(1-EXP(-LN(2)/2))/(LN(2)/2)*DF19*DI19*VLOOKUP('Données projet'!$B$9,Paramètres!$A$1:$I$88,3,0)*0.475*44/12</f>
        <v>0</v>
      </c>
      <c r="DM19" s="46">
        <f t="shared" si="13"/>
        <v>0</v>
      </c>
      <c r="DN19" s="32" t="e">
        <f>VLOOKUP(A19,'Données projet'!$A$217:$I$237,2,0)</f>
        <v>#N/A</v>
      </c>
      <c r="DO19" s="33" t="e">
        <f>VLOOKUP(A19,'Données projet'!$A$217:$I$237,9,0)</f>
        <v>#N/A</v>
      </c>
      <c r="DP19" s="33">
        <f t="array" ref="DP19">INDEX(DO:DO,MIN(IF(ISNUMBER(DO19:DO215),ROW(DO19:DO215),"")))</f>
        <v>0</v>
      </c>
      <c r="DQ19" s="33">
        <f t="shared" si="35"/>
        <v>0</v>
      </c>
      <c r="DR19" s="38" t="e">
        <f>DQ19*VLOOKUP('Données projet'!$B$16,Paramètres!$A$1:$I$88,3,0)*VLOOKUP('Données projet'!$B$16,Paramètres!$A$1:$I$88,5,0)</f>
        <v>#N/A</v>
      </c>
      <c r="DS19" s="34" t="e">
        <f t="shared" si="36"/>
        <v>#N/A</v>
      </c>
      <c r="DT19" s="44" t="e">
        <f t="shared" si="14"/>
        <v>#N/A</v>
      </c>
      <c r="DU19" s="36">
        <f>IF(ISNA(VLOOKUP(A19,'Données projet'!$A$217:$I$237,3,0)),0,VLOOKUP(A19,'Données projet'!$A$217:$I$237,3,0))</f>
        <v>0</v>
      </c>
      <c r="DV19" s="36">
        <f>IF(ISNA(VLOOKUP(A19,'Données projet'!$A$217:$I$237,4,0)),0,VLOOKUP(A19,'Données projet'!$A$217:$I$237,4,0))</f>
        <v>0</v>
      </c>
      <c r="DW19" s="37">
        <f>IF(ISNA(VLOOKUP(A19,'Données projet'!$A$217:$I$237,5,0)),0%,VLOOKUP(A19,'Données projet'!$A$217:$I$237,5,0)*VLOOKUP('Données projet'!$B$16,Paramètres!$A$1:$I$88,7,0))</f>
        <v>0</v>
      </c>
      <c r="DX19" s="37">
        <f>IF(ISNA(VLOOKUP(A19,'Données projet'!$A$217:$I$237,6,0)),0%,VLOOKUP(A19,'Données projet'!$A$217:$I$237,6,0)*VLOOKUP('Données projet'!$B$16,Paramètres!$A$1:$I$88,7,0))</f>
        <v>0</v>
      </c>
      <c r="DY19" s="37">
        <f>IF(ISNA(VLOOKUP(A19,'Données projet'!$A$217:$I$237,7,0)),0%,VLOOKUP(A19,'Données projet'!$A$217:$I$237,7,0))</f>
        <v>0</v>
      </c>
      <c r="DZ19" s="45">
        <f>EXP(-LN(2)/35)*DZ18+(1-EXP(-LN(2)/35))/(LN(2)/35)*DV19*DW19*VLOOKUP('Données projet'!$B$9,Paramètres!$A$1:$I$88,3,0)*0.475*44/12</f>
        <v>0</v>
      </c>
      <c r="EA19" s="45">
        <f>EXP(-LN(2)/25)*EA18+(1-EXP(-LN(2)/25))/(LN(2)/25)*Calculateur!DV19*Calculateur!DX19*VLOOKUP('Données projet'!$B$9,Paramètres!$A$1:$I$88,3,0)*0.475*44/12</f>
        <v>0</v>
      </c>
      <c r="EB19" s="45">
        <f>EXP(-LN(2)/2)*EB18+(1-EXP(-LN(2)/2))/(LN(2)/2)*DV19*DY19*VLOOKUP('Données projet'!$B$9,Paramètres!$A$1:$I$88,3,0)*0.475*44/12</f>
        <v>0</v>
      </c>
      <c r="EC19" s="46">
        <f t="shared" si="15"/>
        <v>0</v>
      </c>
      <c r="ED19" s="32" t="e">
        <f>VLOOKUP(A19,'Données projet'!$A$243:$I$263,2,0)</f>
        <v>#N/A</v>
      </c>
      <c r="EE19" s="33" t="e">
        <f>VLOOKUP(A19,'Données projet'!$A$243:$I$263,9,0)</f>
        <v>#N/A</v>
      </c>
      <c r="EF19" s="33">
        <f t="array" ref="EF19">INDEX(EE:EE,MIN(IF(ISNUMBER(EE19:EE215),ROW(EE19:EE215),"")))</f>
        <v>0</v>
      </c>
      <c r="EG19" s="33">
        <f t="shared" si="37"/>
        <v>0</v>
      </c>
      <c r="EH19" s="38" t="e">
        <f>EG19*VLOOKUP('Données projet'!$B$17,Paramètres!$A$1:$I$88,3,0)*VLOOKUP('Données projet'!$B$17,Paramètres!$A$1:$I$88,5,0)</f>
        <v>#N/A</v>
      </c>
      <c r="EI19" s="34" t="e">
        <f t="shared" si="38"/>
        <v>#N/A</v>
      </c>
      <c r="EJ19" s="44" t="e">
        <f t="shared" si="16"/>
        <v>#N/A</v>
      </c>
      <c r="EK19" s="36">
        <f>IF(ISNA(VLOOKUP(A19,'Données projet'!$A$243:$I$263,3,0)),0,VLOOKUP(A19,'Données projet'!$A$243:$I$263,3,0))</f>
        <v>0</v>
      </c>
      <c r="EL19" s="36">
        <f>IF(ISNA(VLOOKUP(A19,'Données projet'!$A$243:$I$263,4,0)),0,VLOOKUP(A19,'Données projet'!$A$243:$I$263,4,0))</f>
        <v>0</v>
      </c>
      <c r="EM19" s="37">
        <f>IF(ISNA(VLOOKUP(A19,'Données projet'!$A$243:$I$263,5,0)),0%,VLOOKUP(A19,'Données projet'!$A$243:$I$263,5,0)*VLOOKUP('Données projet'!$B$17,Paramètres!$A$1:$I$88,7,0))</f>
        <v>0</v>
      </c>
      <c r="EN19" s="37">
        <f>IF(ISNA(VLOOKUP(A19,'Données projet'!$A$243:$I$263,6,0)),0%,VLOOKUP(A19,'Données projet'!$A$243:$I$263,6,0)*VLOOKUP('Données projet'!$B$17,Paramètres!$A$1:$I$88,7,0))</f>
        <v>0</v>
      </c>
      <c r="EO19" s="37">
        <f>IF(ISNA(VLOOKUP(A19,'Données projet'!$A$243:$I$263,7,0)),0%,VLOOKUP(A19,'Données projet'!$A$243:$I$263,7,0))</f>
        <v>0</v>
      </c>
      <c r="EP19" s="45">
        <f>EXP(-LN(2)/35)*EP18+(1-EXP(-LN(2)/35))/(LN(2)/35)*EL19*EM19*VLOOKUP('Données projet'!$B$9,Paramètres!$A$1:$I$88,3,0)*0.475*44/12</f>
        <v>0</v>
      </c>
      <c r="EQ19" s="45">
        <f>EXP(-LN(2)/25)*EQ18+(1-EXP(-LN(2)/25))/(LN(2)/25)*Calculateur!EL19*Calculateur!EN19*VLOOKUP('Données projet'!$B$9,Paramètres!$A$1:$I$88,3,0)*0.475*44/12</f>
        <v>0</v>
      </c>
      <c r="ER19" s="45">
        <f>EXP(-LN(2)/2)*ER18+(1-EXP(-LN(2)/2))/(LN(2)/2)*EL19*EO19*VLOOKUP('Données projet'!$B$9,Paramètres!$A$1:$I$88,3,0)*0.475*44/12</f>
        <v>0</v>
      </c>
      <c r="ES19" s="46">
        <f t="shared" si="17"/>
        <v>0</v>
      </c>
      <c r="ET19" s="32" t="e">
        <f>VLOOKUP(A19,'Données projet'!$A$269:$I$289,2,0)</f>
        <v>#N/A</v>
      </c>
      <c r="EU19" s="33" t="e">
        <f>VLOOKUP(A19,'Données projet'!$A$269:$I$289,9,0)</f>
        <v>#N/A</v>
      </c>
      <c r="EV19" s="33">
        <f t="array" ref="EV19">INDEX(EU:EU,MIN(IF(ISNUMBER(EU19:EU215),ROW(EU19:EU215),"")))</f>
        <v>0</v>
      </c>
      <c r="EW19" s="33">
        <f t="shared" si="39"/>
        <v>0</v>
      </c>
      <c r="EX19" s="38" t="e">
        <f>EW19*VLOOKUP('Données projet'!$B$18,Paramètres!$A$1:$I$88,3,0)*VLOOKUP('Données projet'!$B$18,Paramètres!$A$1:$I$88,5,0)</f>
        <v>#N/A</v>
      </c>
      <c r="EY19" s="34" t="e">
        <f t="shared" si="40"/>
        <v>#N/A</v>
      </c>
      <c r="EZ19" s="44" t="e">
        <f t="shared" si="18"/>
        <v>#N/A</v>
      </c>
      <c r="FA19" s="36">
        <f>IF(ISNA(VLOOKUP(A19,'Données projet'!$A$269:$I$289,3,0)),0,VLOOKUP(A19,'Données projet'!$A$269:$I$289,3,0))</f>
        <v>0</v>
      </c>
      <c r="FB19" s="36">
        <f>IF(ISNA(VLOOKUP(A19,'Données projet'!$A$269:$I$289,4,0)),0,VLOOKUP(A19,'Données projet'!$A$269:$I$289,4,0))</f>
        <v>0</v>
      </c>
      <c r="FC19" s="37">
        <f>IF(ISNA(VLOOKUP(A19,'Données projet'!$A$269:$I$289,5,0)),0%,VLOOKUP(A19,'Données projet'!$A$269:$I$289,5,0)*VLOOKUP('Données projet'!$B$18,Paramètres!$A$1:$I$88,7,0))</f>
        <v>0</v>
      </c>
      <c r="FD19" s="37">
        <f>IF(ISNA(VLOOKUP(A19,'Données projet'!$A$269:$I$289,6,0)),0%,VLOOKUP(A19,'Données projet'!$A$269:$I$289,6,0)*VLOOKUP('Données projet'!$B$18,Paramètres!$A$1:$I$88,7,0))</f>
        <v>0</v>
      </c>
      <c r="FE19" s="37">
        <f>IF(ISNA(VLOOKUP(A19,'Données projet'!$A$269:$I$289,7,0)),0%,VLOOKUP(A19,'Données projet'!$A$269:$I$289,7,0))</f>
        <v>0</v>
      </c>
      <c r="FF19" s="45">
        <f>EXP(-LN(2)/35)*FF18+(1-EXP(-LN(2)/35))/(LN(2)/35)*FB19*FC19*VLOOKUP('Données projet'!$B$9,Paramètres!$A$1:$I$88,3,0)*0.475*44/12</f>
        <v>0</v>
      </c>
      <c r="FG19" s="45">
        <f>EXP(-LN(2)/25)*FG18+(1-EXP(-LN(2)/25))/(LN(2)/25)*Calculateur!FB19*Calculateur!FD19*VLOOKUP('Données projet'!$B$9,Paramètres!$A$1:$I$88,3,0)*0.475*44/12</f>
        <v>0</v>
      </c>
      <c r="FH19" s="45">
        <f>EXP(-LN(2)/2)*FH18+(1-EXP(-LN(2)/2))/(LN(2)/2)*FB19*FE19*VLOOKUP('Données projet'!$B$9,Paramètres!$A$1:$I$88,3,0)*0.475*44/12</f>
        <v>0</v>
      </c>
      <c r="FI19" s="46">
        <f t="shared" si="19"/>
        <v>0</v>
      </c>
    </row>
    <row r="20" spans="1:165" x14ac:dyDescent="0.25">
      <c r="A20" s="24">
        <f t="shared" si="20"/>
        <v>17</v>
      </c>
      <c r="B20" s="25">
        <f>IF('Scénario référence'!$N$1=1,5,0)</f>
        <v>0</v>
      </c>
      <c r="C20" s="40">
        <f>IF(OR('Scénario référence'!$N$1=2,'Scénario référence'!$N$1=4),C19+1*VLOOKUP('Scénario référence'!$G$14,Paramètres!$A$1:$I$88,3,0)*VLOOKUP('Scénario référence'!$G$14,Paramètres!$A$1:$I$88,5,0),IF(OR('Scénario référence'!$N$1=3,'Scénario référence'!$N$1=5),C19+0.5*VLOOKUP('Scénario référence'!$G$14,Paramètres!$A$1:$I$88,3,0)*VLOOKUP('Scénario référence'!$G$14,Paramètres!$A$1:$I$88,5,0),0))</f>
        <v>9.2820000000000018</v>
      </c>
      <c r="D20" s="26">
        <f t="shared" si="21"/>
        <v>3.3003511545061563</v>
      </c>
      <c r="E20" s="27">
        <f>IF('Scénario référence'!$N$1=1,B20*44/12,(C20+D20)*0.475*44/12)</f>
        <v>21.914261594098225</v>
      </c>
      <c r="F20" s="28" t="e">
        <f>VLOOKUP(A20,'Données projet'!$A$35:$I$55,2,0)</f>
        <v>#N/A</v>
      </c>
      <c r="G20" s="28" t="e">
        <f>VLOOKUP(A20,'Données projet'!$A$35:$I$55,9,0)</f>
        <v>#N/A</v>
      </c>
      <c r="H20" s="33">
        <f t="array" ref="H20">INDEX(G:G,MIN(IF(ISNUMBER(G20:G216),ROW(G20:G216),"")))</f>
        <v>2.1</v>
      </c>
      <c r="I20" s="28">
        <f t="shared" si="22"/>
        <v>35.70000000000001</v>
      </c>
      <c r="J20" s="41">
        <f>I20*VLOOKUP('Données projet'!$B$9,Paramètres!$A$1:$I$88,3,0)*VLOOKUP('Données projet'!$B$9,Paramètres!$A$1:$I$88,5,0)</f>
        <v>36.199800000000018</v>
      </c>
      <c r="K20" s="41">
        <f t="shared" si="23"/>
        <v>10.985626709728612</v>
      </c>
      <c r="L20" s="42">
        <f t="shared" si="0"/>
        <v>82.181284852777367</v>
      </c>
      <c r="M20" s="30">
        <f>IF(ISNA(VLOOKUP(A20,'Données projet'!$A$35:$I$55,3,0)),0,VLOOKUP(A20,'Données projet'!$A$35:$I$55,3,0))</f>
        <v>0</v>
      </c>
      <c r="N20" s="30">
        <f>IF(ISNA(VLOOKUP(A20,'Données projet'!$A$35:$I$55,4,0)),0,VLOOKUP(A20,'Données projet'!$A$35:$I$55,4,0))</f>
        <v>0</v>
      </c>
      <c r="O20" s="31">
        <f>IF(ISNA(VLOOKUP(A20,'Données projet'!$A$35:$I$55,5,0)),0%,VLOOKUP(A20,'Données projet'!$A$35:$I$55,5,0)*VLOOKUP('Données projet'!$B$9,Paramètres!$A$1:$I$88,7,0))</f>
        <v>0</v>
      </c>
      <c r="P20" s="31">
        <f>IF(ISNA(VLOOKUP(A20,'Données projet'!$A$35:$I$55,6,0)),0%,VLOOKUP(A20,'Données projet'!$A$35:$I$55,6,0)*VLOOKUP('Données projet'!$B$9,Paramètres!$A$1:$I$88,7,0))</f>
        <v>0</v>
      </c>
      <c r="Q20" s="31">
        <f>IF(ISNA(VLOOKUP(A20,'Données projet'!$A$35:$I$55,7,0)),0%,VLOOKUP(A20,'Données projet'!$A$35:$I$55,7,0))</f>
        <v>0</v>
      </c>
      <c r="R20" s="43">
        <f>EXP(-LN(2)/35)*R19+(1-EXP(-LN(2)/35))/(LN(2)/35)*N20*O20*VLOOKUP('Données projet'!$B$9,Paramètres!$A$1:$I$88,3,0)*0.475*44/12</f>
        <v>0</v>
      </c>
      <c r="S20" s="43">
        <f>EXP(-LN(2)/25)*S19+(1-EXP(-LN(2)/25))/(LN(2)/25)*Calculateur!N20*Calculateur!P20*VLOOKUP('Données projet'!$B$9,Paramètres!$A$1:$I$88,3,0)*0.475*44/12</f>
        <v>0</v>
      </c>
      <c r="T20" s="43">
        <f>EXP(-LN(2)/2)*T19+(1-EXP(-LN(2)/2))/(LN(2)/2)*N20*Q20*VLOOKUP('Données projet'!$B$9,Paramètres!$A$1:$I$88,3,0)*0.475*44/12</f>
        <v>0</v>
      </c>
      <c r="U20" s="43">
        <f t="shared" si="1"/>
        <v>0</v>
      </c>
      <c r="V20" s="32" t="e">
        <f>VLOOKUP(A20,'Données projet'!$A$61:$I$81,2,0)</f>
        <v>#N/A</v>
      </c>
      <c r="W20" s="33" t="e">
        <f>VLOOKUP(A20,'Données projet'!$A$61:$I$81,9,0)</f>
        <v>#N/A</v>
      </c>
      <c r="X20" s="33">
        <f t="array" ref="X20">INDEX(W:W,MIN(IF(ISNUMBER(W20:W216),ROW(W20:W216),"")))</f>
        <v>0</v>
      </c>
      <c r="Y20" s="33">
        <f t="shared" si="24"/>
        <v>0</v>
      </c>
      <c r="Z20" s="34" t="e">
        <f>Y20*VLOOKUP('Données projet'!$B$10,Paramètres!$A$1:$I$88,3,0)*VLOOKUP('Données projet'!$B$10,Paramètres!$A$1:$I$88,5,0)</f>
        <v>#N/A</v>
      </c>
      <c r="AA20" s="34" t="e">
        <f t="shared" si="25"/>
        <v>#N/A</v>
      </c>
      <c r="AB20" s="44" t="e">
        <f t="shared" si="2"/>
        <v>#N/A</v>
      </c>
      <c r="AC20" s="36">
        <f>IF(ISNA(VLOOKUP(A20,'Données projet'!$A$61:$I$81,3,0)),0,VLOOKUP(A20,'Données projet'!$A$61:$I$81,3,0))</f>
        <v>0</v>
      </c>
      <c r="AD20" s="36">
        <f>IF(ISNA(VLOOKUP(A20,'Données projet'!$A$61:$I$81,4,0)),0,VLOOKUP(A20,'Données projet'!$A$61:$I$81,4,0))</f>
        <v>0</v>
      </c>
      <c r="AE20" s="37">
        <f>IF(ISNA(VLOOKUP(A20,'Données projet'!$A$61:$I$81,5,0)),0%,VLOOKUP(A20,'Données projet'!$A$61:$I$81,5,0)*VLOOKUP('Données projet'!$B$10,Paramètres!$A$1:$I$88,7,0))</f>
        <v>0</v>
      </c>
      <c r="AF20" s="37">
        <f>IF(ISNA(VLOOKUP(A20,'Données projet'!$A$61:$I$81,6,0)),0%,VLOOKUP(A20,'Données projet'!$A$61:$I$81,6,0)*VLOOKUP('Données projet'!$B$10,Paramètres!$A$1:$I$88,7,0))</f>
        <v>0</v>
      </c>
      <c r="AG20" s="37">
        <f>IF(ISNA(VLOOKUP(A20,'Données projet'!$A$61:$I$81,7,0)),0%,VLOOKUP(A20,'Données projet'!$A$61:$I$81,7,0))</f>
        <v>0</v>
      </c>
      <c r="AH20" s="45">
        <f>EXP(-LN(2)/35)*AH19+(1-EXP(-LN(2)/35))/(LN(2)/35)*AD20*AE20*VLOOKUP('Données projet'!$B$9,Paramètres!$A$1:$I$88,3,0)*0.475*44/12</f>
        <v>0</v>
      </c>
      <c r="AI20" s="45">
        <f>EXP(-LN(2)/25)*AI19+(1-EXP(-LN(2)/25))/(LN(2)/25)*Calculateur!AD20*Calculateur!AF20*VLOOKUP('Données projet'!$B$9,Paramètres!$A$1:$I$88,3,0)*0.475*44/12</f>
        <v>0</v>
      </c>
      <c r="AJ20" s="45">
        <f>EXP(-LN(2)/2)*AJ19+(1-EXP(-LN(2)/2))/(LN(2)/2)*AD20*AG20*VLOOKUP('Données projet'!$B$9,Paramètres!$A$1:$I$88,3,0)*0.475*44/12</f>
        <v>0</v>
      </c>
      <c r="AK20" s="45">
        <f t="shared" si="3"/>
        <v>0</v>
      </c>
      <c r="AL20" s="32" t="e">
        <f>VLOOKUP(A20,'Données projet'!$A$87:$I$107,2,0)</f>
        <v>#N/A</v>
      </c>
      <c r="AM20" s="33" t="e">
        <f>VLOOKUP(A20,'Données projet'!$A$87:$I$107,9,0)</f>
        <v>#N/A</v>
      </c>
      <c r="AN20" s="33">
        <f t="array" ref="AN20">INDEX(AM:AM,MIN(IF(ISNUMBER(AM20:AM216),ROW(AM20:AM216),"")))</f>
        <v>0</v>
      </c>
      <c r="AO20" s="33">
        <f t="shared" si="26"/>
        <v>0</v>
      </c>
      <c r="AP20" s="34" t="e">
        <f>AO20*VLOOKUP('Données projet'!$B$11,Paramètres!$A$1:$I$88,3,0)*VLOOKUP('Données projet'!$B$11,Paramètres!$A$1:$I$88,5,0)</f>
        <v>#N/A</v>
      </c>
      <c r="AQ20" s="34" t="e">
        <f t="shared" si="27"/>
        <v>#N/A</v>
      </c>
      <c r="AR20" s="44" t="e">
        <f t="shared" si="4"/>
        <v>#N/A</v>
      </c>
      <c r="AS20" s="36">
        <f>IF(ISNA(VLOOKUP(A20,'Données projet'!$A$87:$I$107,3,0)),0,VLOOKUP(A20,'Données projet'!$A$87:$I$107,3,0))</f>
        <v>0</v>
      </c>
      <c r="AT20" s="36">
        <f>IF(ISNA(VLOOKUP(A20,'Données projet'!$A$87:$I$107,4,0)),0,VLOOKUP(A20,'Données projet'!$A$87:$I$107,4,0))</f>
        <v>0</v>
      </c>
      <c r="AU20" s="37">
        <f>IF(ISNA(VLOOKUP(A20,'Données projet'!$A$87:$I$107,5,0)),0%,VLOOKUP(A20,'Données projet'!$A$87:$I$107,5,0)*VLOOKUP('Données projet'!$B$11,Paramètres!$A$1:$I$88,7,0))</f>
        <v>0</v>
      </c>
      <c r="AV20" s="37">
        <f>IF(ISNA(VLOOKUP(A20,'Données projet'!$A$87:$I$107,6,0)),0%,VLOOKUP(A20,'Données projet'!$A$87:$I$107,6,0)*VLOOKUP('Données projet'!$B$11,Paramètres!$A$1:$I$88,7,0))</f>
        <v>0</v>
      </c>
      <c r="AW20" s="37">
        <f>IF(ISNA(VLOOKUP(A20,'Données projet'!$A$87:$I$107,7,0)),0%,VLOOKUP(A20,'Données projet'!$A$87:$I$107,7,0))</f>
        <v>0</v>
      </c>
      <c r="AX20" s="45">
        <f>EXP(-LN(2)/35)*AX19+(1-EXP(-LN(2)/35))/(LN(2)/35)*AT20*AU20*VLOOKUP('Données projet'!$B$9,Paramètres!$A$1:$I$88,3,0)*0.475*44/12</f>
        <v>0</v>
      </c>
      <c r="AY20" s="45">
        <f>EXP(-LN(2)/25)*AY19+(1-EXP(-LN(2)/25))/(LN(2)/25)*Calculateur!AT20*Calculateur!AV20*VLOOKUP('Données projet'!$B$9,Paramètres!$A$1:$I$88,3,0)*0.475*44/12</f>
        <v>0</v>
      </c>
      <c r="AZ20" s="45">
        <f>EXP(-LN(2)/2)*AZ19+(1-EXP(-LN(2)/2))/(LN(2)/2)*AT20*AW20*VLOOKUP('Données projet'!$B$9,Paramètres!$A$1:$I$88,3,0)*0.475*44/12</f>
        <v>0</v>
      </c>
      <c r="BA20" s="46">
        <f t="shared" si="5"/>
        <v>0</v>
      </c>
      <c r="BB20" s="32" t="e">
        <f>VLOOKUP(A20,'Données projet'!$A$113:$I$133,2,0)</f>
        <v>#N/A</v>
      </c>
      <c r="BC20" s="33" t="e">
        <f>VLOOKUP(A20,'Données projet'!$A$113:$I$133,9,0)</f>
        <v>#N/A</v>
      </c>
      <c r="BD20" s="33">
        <f t="array" ref="BD20">INDEX(BC:BC,MIN(IF(ISNUMBER(BC20:BC216),ROW(BC20:BC216),"")))</f>
        <v>0</v>
      </c>
      <c r="BE20" s="33">
        <f t="shared" si="28"/>
        <v>0</v>
      </c>
      <c r="BF20" s="34" t="e">
        <f>BE20*VLOOKUP('Données projet'!$B$12,Paramètres!$A$1:$I$88,3,0)*VLOOKUP('Données projet'!$B$12,Paramètres!$A$1:$I$88,5,0)</f>
        <v>#N/A</v>
      </c>
      <c r="BG20" s="34" t="e">
        <f t="shared" si="29"/>
        <v>#N/A</v>
      </c>
      <c r="BH20" s="44" t="e">
        <f t="shared" si="6"/>
        <v>#N/A</v>
      </c>
      <c r="BI20" s="36">
        <f>IF(ISNA(VLOOKUP(A20,'Données projet'!$A$113:$I$133,3,0)),0,VLOOKUP(A20,'Données projet'!$A$113:$I$133,3,0))</f>
        <v>0</v>
      </c>
      <c r="BJ20" s="36">
        <f>IF(ISNA(VLOOKUP(A20,'Données projet'!$A$113:$I$133,4,0)),0,VLOOKUP(A20,'Données projet'!$A$113:$I$133,4,0))</f>
        <v>0</v>
      </c>
      <c r="BK20" s="37">
        <f>IF(ISNA(VLOOKUP(A20,'Données projet'!$A$113:$I$133,5,0)),0%,VLOOKUP(A20,'Données projet'!$A$113:$I$133,5,0)*VLOOKUP('Données projet'!$B$12,Paramètres!$A$1:$I$88,7,0))</f>
        <v>0</v>
      </c>
      <c r="BL20" s="37">
        <f>IF(ISNA(VLOOKUP(A20,'Données projet'!$A$113:$I$133,6,0)),0%,VLOOKUP(A20,'Données projet'!$A$113:$I$133,6,0)*VLOOKUP('Données projet'!$B$12,Paramètres!$A$1:$I$88,7,0))</f>
        <v>0</v>
      </c>
      <c r="BM20" s="37">
        <f>IF(ISNA(VLOOKUP(A20,'Données projet'!$A$113:$I$133,7,0)),0%,VLOOKUP(A20,'Données projet'!$A$113:$I$133,7,0))</f>
        <v>0</v>
      </c>
      <c r="BN20" s="45">
        <f>EXP(-LN(2)/35)*BN19+(1-EXP(-LN(2)/35))/(LN(2)/35)*BJ20*BK20*VLOOKUP('Données projet'!$B$9,Paramètres!$A$1:$I$88,3,0)*0.475*44/12</f>
        <v>0</v>
      </c>
      <c r="BO20" s="45">
        <f>EXP(-LN(2)/25)*BO19+(1-EXP(-LN(2)/25))/(LN(2)/25)*Calculateur!BJ20*Calculateur!BL20*VLOOKUP('Données projet'!$B$9,Paramètres!$A$1:$I$88,3,0)*0.475*44/12</f>
        <v>0</v>
      </c>
      <c r="BP20" s="45">
        <f>EXP(-LN(2)/2)*BP19+(1-EXP(-LN(2)/2))/(LN(2)/2)*BJ20*BM20*VLOOKUP('Données projet'!$B$9,Paramètres!$A$1:$I$88,3,0)*0.475*44/12</f>
        <v>0</v>
      </c>
      <c r="BQ20" s="46">
        <f t="shared" si="7"/>
        <v>0</v>
      </c>
      <c r="BR20" s="32" t="e">
        <f>VLOOKUP(A20,'Données projet'!$A$139:$I$159,2,0)</f>
        <v>#N/A</v>
      </c>
      <c r="BS20" s="33" t="e">
        <f>VLOOKUP(A20,'Données projet'!$A$139:$I$159,9,0)</f>
        <v>#N/A</v>
      </c>
      <c r="BT20" s="33">
        <f t="array" ref="BT20">INDEX(BS:BS,MIN(IF(ISNUMBER(BS20:BS216),ROW(BS20:BS216),"")))</f>
        <v>0</v>
      </c>
      <c r="BU20" s="33">
        <f t="shared" si="41"/>
        <v>0</v>
      </c>
      <c r="BV20" s="38" t="e">
        <f>BU20*VLOOKUP('Données projet'!$B$13,Paramètres!$A$1:$I$88,3,0)*VLOOKUP('Données projet'!$B$13,Paramètres!$A$1:$I$88,5,0)</f>
        <v>#N/A</v>
      </c>
      <c r="BW20" s="34" t="e">
        <f t="shared" si="30"/>
        <v>#N/A</v>
      </c>
      <c r="BX20" s="44" t="e">
        <f t="shared" si="8"/>
        <v>#N/A</v>
      </c>
      <c r="BY20" s="36">
        <f>IF(ISNA(VLOOKUP(A20,'Données projet'!$A$139:$I$159,3,0)),0,VLOOKUP(A20,'Données projet'!$A$139:$I$159,3,0))</f>
        <v>0</v>
      </c>
      <c r="BZ20" s="36">
        <f>IF(ISNA(VLOOKUP(A20,'Données projet'!$A$139:$I$159,4,0)),0,VLOOKUP(A20,'Données projet'!$A$139:$I$159,4,0))</f>
        <v>0</v>
      </c>
      <c r="CA20" s="37">
        <f>IF(ISNA(VLOOKUP(A20,'Données projet'!$A$139:$I$159,5,0)),0%,VLOOKUP(A20,'Données projet'!$A$139:$I$159,5,0)*VLOOKUP('Données projet'!$B$13,Paramètres!$A$1:$I$88,7,0))</f>
        <v>0</v>
      </c>
      <c r="CB20" s="37">
        <f>IF(ISNA(VLOOKUP(A20,'Données projet'!$A$139:$I$159,6,0)),0%,VLOOKUP(A20,'Données projet'!$A$139:$I$159,6,0)*VLOOKUP('Données projet'!$B$13,Paramètres!$A$1:$I$88,7,0))</f>
        <v>0</v>
      </c>
      <c r="CC20" s="37">
        <f>IF(ISNA(VLOOKUP(A20,'Données projet'!$A$139:$I$159,7,0)),0%,VLOOKUP(A20,'Données projet'!$A$139:$I$159,7,0))</f>
        <v>0</v>
      </c>
      <c r="CD20" s="45">
        <f>EXP(-LN(2)/35)*CD19+(1-EXP(-LN(2)/35))/(LN(2)/35)*BZ20*CA20*VLOOKUP('Données projet'!$B$9,Paramètres!$A$1:$I$88,3,0)*0.475*44/12</f>
        <v>0</v>
      </c>
      <c r="CE20" s="45">
        <f>EXP(-LN(2)/25)*CE19+(1-EXP(-LN(2)/25))/(LN(2)/25)*Calculateur!BZ20*Calculateur!CB20*VLOOKUP('Données projet'!$B$9,Paramètres!$A$1:$I$88,3,0)*0.475*44/12</f>
        <v>0</v>
      </c>
      <c r="CF20" s="45">
        <f>EXP(-LN(2)/2)*CF19+(1-EXP(-LN(2)/2))/(LN(2)/2)*BZ20*CC20*VLOOKUP('Données projet'!$B$9,Paramètres!$A$1:$I$88,3,0)*0.475*44/12</f>
        <v>0</v>
      </c>
      <c r="CG20" s="46">
        <f t="shared" si="9"/>
        <v>0</v>
      </c>
      <c r="CH20" s="32" t="e">
        <f>VLOOKUP(A20,'Données projet'!$A$165:$I$185,2,0)</f>
        <v>#N/A</v>
      </c>
      <c r="CI20" s="33" t="e">
        <f>VLOOKUP(A20,'Données projet'!$A$165:$I$185,9,0)</f>
        <v>#N/A</v>
      </c>
      <c r="CJ20" s="33">
        <f t="array" ref="CJ20">INDEX(CI:CI,MIN(IF(ISNUMBER(CI20:CI216),ROW(CI20:CI216),"")))</f>
        <v>0</v>
      </c>
      <c r="CK20" s="33">
        <f t="shared" si="31"/>
        <v>0</v>
      </c>
      <c r="CL20" s="38" t="e">
        <f>CK20*VLOOKUP('Données projet'!$B$14,Paramètres!$A$1:$I$88,3,0)*VLOOKUP('Données projet'!$B$14,Paramètres!$A$1:$I$88,5,0)</f>
        <v>#N/A</v>
      </c>
      <c r="CM20" s="34" t="e">
        <f t="shared" si="32"/>
        <v>#N/A</v>
      </c>
      <c r="CN20" s="44" t="e">
        <f t="shared" si="10"/>
        <v>#N/A</v>
      </c>
      <c r="CO20" s="36">
        <f>IF(ISNA(VLOOKUP(A20,'Données projet'!$A$165:$I$185,3,0)),0,VLOOKUP(A20,'Données projet'!$A$165:$I$185,3,0))</f>
        <v>0</v>
      </c>
      <c r="CP20" s="36">
        <f>IF(ISNA(VLOOKUP(A20,'Données projet'!$A$165:$I$185,4,0)),0,VLOOKUP(A20,'Données projet'!$A$165:$I$185,4,0))</f>
        <v>0</v>
      </c>
      <c r="CQ20" s="37">
        <f>IF(ISNA(VLOOKUP(A20,'Données projet'!$A$165:$I$185,5,0)),0%,VLOOKUP(A20,'Données projet'!$A$165:$I$185,5,0)*VLOOKUP('Données projet'!$B$14,Paramètres!$A$1:$I$88,7,0))</f>
        <v>0</v>
      </c>
      <c r="CR20" s="37">
        <f>IF(ISNA(VLOOKUP(A20,'Données projet'!$A$165:$I$185,6,0)),0%,VLOOKUP(A20,'Données projet'!$A$165:$I$185,6,0)*VLOOKUP('Données projet'!$B$14,Paramètres!$A$1:$I$88,7,0))</f>
        <v>0</v>
      </c>
      <c r="CS20" s="37">
        <f>IF(ISNA(VLOOKUP(A20,'Données projet'!$A$165:$I$185,7,0)),0%,VLOOKUP(A20,'Données projet'!$A$165:$I$185,7,0))</f>
        <v>0</v>
      </c>
      <c r="CT20" s="45">
        <f>EXP(-LN(2)/35)*CT19+(1-EXP(-LN(2)/35))/(LN(2)/35)*CP20*CQ20*VLOOKUP('Données projet'!$B$9,Paramètres!$A$1:$I$88,3,0)*0.475*44/12</f>
        <v>0</v>
      </c>
      <c r="CU20" s="45">
        <f>EXP(-LN(2)/25)*CU19+(1-EXP(-LN(2)/25))/(LN(2)/25)*Calculateur!CP20*Calculateur!CR20*VLOOKUP('Données projet'!$B$9,Paramètres!$A$1:$I$88,3,0)*0.475*44/12</f>
        <v>0</v>
      </c>
      <c r="CV20" s="45">
        <f>EXP(-LN(2)/2)*CV19+(1-EXP(-LN(2)/2))/(LN(2)/2)*CP20*CS20*VLOOKUP('Données projet'!$B$9,Paramètres!$A$1:$I$88,3,0)*0.475*44/12</f>
        <v>0</v>
      </c>
      <c r="CW20" s="46">
        <f t="shared" si="11"/>
        <v>0</v>
      </c>
      <c r="CX20" s="32" t="e">
        <f>VLOOKUP(A20,'Données projet'!$A$191:$I$211,2,0)</f>
        <v>#N/A</v>
      </c>
      <c r="CY20" s="33" t="e">
        <f>VLOOKUP(A20,'Données projet'!$A$191:$I$211,9,0)</f>
        <v>#N/A</v>
      </c>
      <c r="CZ20" s="33">
        <f t="array" ref="CZ20">INDEX(CY:CY,MIN(IF(ISNUMBER(CY20:CY216),ROW(CY20:CY216),"")))</f>
        <v>0</v>
      </c>
      <c r="DA20" s="33">
        <f t="shared" si="33"/>
        <v>0</v>
      </c>
      <c r="DB20" s="38" t="e">
        <f>DA20*VLOOKUP('Données projet'!$B$15,Paramètres!$A$1:$I$88,3,0)*VLOOKUP('Données projet'!$B$15,Paramètres!$A$1:$I$88,5,0)</f>
        <v>#N/A</v>
      </c>
      <c r="DC20" s="34" t="e">
        <f t="shared" si="34"/>
        <v>#N/A</v>
      </c>
      <c r="DD20" s="44" t="e">
        <f t="shared" si="12"/>
        <v>#N/A</v>
      </c>
      <c r="DE20" s="36">
        <f>IF(ISNA(VLOOKUP(A20,'Données projet'!$A$191:$I$211,3,0)),0,VLOOKUP(A20,'Données projet'!$A$191:$I$211,3,0))</f>
        <v>0</v>
      </c>
      <c r="DF20" s="36">
        <f>IF(ISNA(VLOOKUP(A20,'Données projet'!$A$191:$I$211,4,0)),0,VLOOKUP(A20,'Données projet'!$A$191:$I$211,4,0))</f>
        <v>0</v>
      </c>
      <c r="DG20" s="37">
        <f>IF(ISNA(VLOOKUP(A20,'Données projet'!$A$191:$I$211,5,0)),0%,VLOOKUP(A20,'Données projet'!$A$191:$I$211,5,0)*VLOOKUP('Données projet'!$B$15,Paramètres!$A$1:$I$88,7,0))</f>
        <v>0</v>
      </c>
      <c r="DH20" s="37">
        <f>IF(ISNA(VLOOKUP(A20,'Données projet'!$A$191:$I$211,6,0)),0%,VLOOKUP(A20,'Données projet'!$A$191:$I$211,6,0)*VLOOKUP('Données projet'!$B$15,Paramètres!$A$1:$I$88,7,0))</f>
        <v>0</v>
      </c>
      <c r="DI20" s="37">
        <f>IF(ISNA(VLOOKUP(A20,'Données projet'!$A$191:$I$211,7,0)),0%,VLOOKUP(A20,'Données projet'!$A$191:$I$211,7,0))</f>
        <v>0</v>
      </c>
      <c r="DJ20" s="45">
        <f>EXP(-LN(2)/35)*DJ19+(1-EXP(-LN(2)/35))/(LN(2)/35)*DF20*DG20*VLOOKUP('Données projet'!$B$9,Paramètres!$A$1:$I$88,3,0)*0.475*44/12</f>
        <v>0</v>
      </c>
      <c r="DK20" s="45">
        <f>EXP(-LN(2)/25)*DK19+(1-EXP(-LN(2)/25))/(LN(2)/25)*Calculateur!DF20*Calculateur!DH20*VLOOKUP('Données projet'!$B$9,Paramètres!$A$1:$I$88,3,0)*0.475*44/12</f>
        <v>0</v>
      </c>
      <c r="DL20" s="45">
        <f>EXP(-LN(2)/2)*DL19+(1-EXP(-LN(2)/2))/(LN(2)/2)*DF20*DI20*VLOOKUP('Données projet'!$B$9,Paramètres!$A$1:$I$88,3,0)*0.475*44/12</f>
        <v>0</v>
      </c>
      <c r="DM20" s="46">
        <f t="shared" si="13"/>
        <v>0</v>
      </c>
      <c r="DN20" s="32" t="e">
        <f>VLOOKUP(A20,'Données projet'!$A$217:$I$237,2,0)</f>
        <v>#N/A</v>
      </c>
      <c r="DO20" s="33" t="e">
        <f>VLOOKUP(A20,'Données projet'!$A$217:$I$237,9,0)</f>
        <v>#N/A</v>
      </c>
      <c r="DP20" s="33">
        <f t="array" ref="DP20">INDEX(DO:DO,MIN(IF(ISNUMBER(DO20:DO216),ROW(DO20:DO216),"")))</f>
        <v>0</v>
      </c>
      <c r="DQ20" s="33">
        <f t="shared" si="35"/>
        <v>0</v>
      </c>
      <c r="DR20" s="38" t="e">
        <f>DQ20*VLOOKUP('Données projet'!$B$16,Paramètres!$A$1:$I$88,3,0)*VLOOKUP('Données projet'!$B$16,Paramètres!$A$1:$I$88,5,0)</f>
        <v>#N/A</v>
      </c>
      <c r="DS20" s="34" t="e">
        <f t="shared" si="36"/>
        <v>#N/A</v>
      </c>
      <c r="DT20" s="44" t="e">
        <f t="shared" si="14"/>
        <v>#N/A</v>
      </c>
      <c r="DU20" s="36">
        <f>IF(ISNA(VLOOKUP(A20,'Données projet'!$A$217:$I$237,3,0)),0,VLOOKUP(A20,'Données projet'!$A$217:$I$237,3,0))</f>
        <v>0</v>
      </c>
      <c r="DV20" s="36">
        <f>IF(ISNA(VLOOKUP(A20,'Données projet'!$A$217:$I$237,4,0)),0,VLOOKUP(A20,'Données projet'!$A$217:$I$237,4,0))</f>
        <v>0</v>
      </c>
      <c r="DW20" s="37">
        <f>IF(ISNA(VLOOKUP(A20,'Données projet'!$A$217:$I$237,5,0)),0%,VLOOKUP(A20,'Données projet'!$A$217:$I$237,5,0)*VLOOKUP('Données projet'!$B$16,Paramètres!$A$1:$I$88,7,0))</f>
        <v>0</v>
      </c>
      <c r="DX20" s="37">
        <f>IF(ISNA(VLOOKUP(A20,'Données projet'!$A$217:$I$237,6,0)),0%,VLOOKUP(A20,'Données projet'!$A$217:$I$237,6,0)*VLOOKUP('Données projet'!$B$16,Paramètres!$A$1:$I$88,7,0))</f>
        <v>0</v>
      </c>
      <c r="DY20" s="37">
        <f>IF(ISNA(VLOOKUP(A20,'Données projet'!$A$217:$I$237,7,0)),0%,VLOOKUP(A20,'Données projet'!$A$217:$I$237,7,0))</f>
        <v>0</v>
      </c>
      <c r="DZ20" s="45">
        <f>EXP(-LN(2)/35)*DZ19+(1-EXP(-LN(2)/35))/(LN(2)/35)*DV20*DW20*VLOOKUP('Données projet'!$B$9,Paramètres!$A$1:$I$88,3,0)*0.475*44/12</f>
        <v>0</v>
      </c>
      <c r="EA20" s="45">
        <f>EXP(-LN(2)/25)*EA19+(1-EXP(-LN(2)/25))/(LN(2)/25)*Calculateur!DV20*Calculateur!DX20*VLOOKUP('Données projet'!$B$9,Paramètres!$A$1:$I$88,3,0)*0.475*44/12</f>
        <v>0</v>
      </c>
      <c r="EB20" s="45">
        <f>EXP(-LN(2)/2)*EB19+(1-EXP(-LN(2)/2))/(LN(2)/2)*DV20*DY20*VLOOKUP('Données projet'!$B$9,Paramètres!$A$1:$I$88,3,0)*0.475*44/12</f>
        <v>0</v>
      </c>
      <c r="EC20" s="46">
        <f t="shared" si="15"/>
        <v>0</v>
      </c>
      <c r="ED20" s="32" t="e">
        <f>VLOOKUP(A20,'Données projet'!$A$243:$I$263,2,0)</f>
        <v>#N/A</v>
      </c>
      <c r="EE20" s="33" t="e">
        <f>VLOOKUP(A20,'Données projet'!$A$243:$I$263,9,0)</f>
        <v>#N/A</v>
      </c>
      <c r="EF20" s="33">
        <f t="array" ref="EF20">INDEX(EE:EE,MIN(IF(ISNUMBER(EE20:EE216),ROW(EE20:EE216),"")))</f>
        <v>0</v>
      </c>
      <c r="EG20" s="33">
        <f t="shared" si="37"/>
        <v>0</v>
      </c>
      <c r="EH20" s="38" t="e">
        <f>EG20*VLOOKUP('Données projet'!$B$17,Paramètres!$A$1:$I$88,3,0)*VLOOKUP('Données projet'!$B$17,Paramètres!$A$1:$I$88,5,0)</f>
        <v>#N/A</v>
      </c>
      <c r="EI20" s="34" t="e">
        <f t="shared" si="38"/>
        <v>#N/A</v>
      </c>
      <c r="EJ20" s="44" t="e">
        <f t="shared" si="16"/>
        <v>#N/A</v>
      </c>
      <c r="EK20" s="36">
        <f>IF(ISNA(VLOOKUP(A20,'Données projet'!$A$243:$I$263,3,0)),0,VLOOKUP(A20,'Données projet'!$A$243:$I$263,3,0))</f>
        <v>0</v>
      </c>
      <c r="EL20" s="36">
        <f>IF(ISNA(VLOOKUP(A20,'Données projet'!$A$243:$I$263,4,0)),0,VLOOKUP(A20,'Données projet'!$A$243:$I$263,4,0))</f>
        <v>0</v>
      </c>
      <c r="EM20" s="37">
        <f>IF(ISNA(VLOOKUP(A20,'Données projet'!$A$243:$I$263,5,0)),0%,VLOOKUP(A20,'Données projet'!$A$243:$I$263,5,0)*VLOOKUP('Données projet'!$B$17,Paramètres!$A$1:$I$88,7,0))</f>
        <v>0</v>
      </c>
      <c r="EN20" s="37">
        <f>IF(ISNA(VLOOKUP(A20,'Données projet'!$A$243:$I$263,6,0)),0%,VLOOKUP(A20,'Données projet'!$A$243:$I$263,6,0)*VLOOKUP('Données projet'!$B$17,Paramètres!$A$1:$I$88,7,0))</f>
        <v>0</v>
      </c>
      <c r="EO20" s="37">
        <f>IF(ISNA(VLOOKUP(A20,'Données projet'!$A$243:$I$263,7,0)),0%,VLOOKUP(A20,'Données projet'!$A$243:$I$263,7,0))</f>
        <v>0</v>
      </c>
      <c r="EP20" s="45">
        <f>EXP(-LN(2)/35)*EP19+(1-EXP(-LN(2)/35))/(LN(2)/35)*EL20*EM20*VLOOKUP('Données projet'!$B$9,Paramètres!$A$1:$I$88,3,0)*0.475*44/12</f>
        <v>0</v>
      </c>
      <c r="EQ20" s="45">
        <f>EXP(-LN(2)/25)*EQ19+(1-EXP(-LN(2)/25))/(LN(2)/25)*Calculateur!EL20*Calculateur!EN20*VLOOKUP('Données projet'!$B$9,Paramètres!$A$1:$I$88,3,0)*0.475*44/12</f>
        <v>0</v>
      </c>
      <c r="ER20" s="45">
        <f>EXP(-LN(2)/2)*ER19+(1-EXP(-LN(2)/2))/(LN(2)/2)*EL20*EO20*VLOOKUP('Données projet'!$B$9,Paramètres!$A$1:$I$88,3,0)*0.475*44/12</f>
        <v>0</v>
      </c>
      <c r="ES20" s="46">
        <f t="shared" si="17"/>
        <v>0</v>
      </c>
      <c r="ET20" s="32" t="e">
        <f>VLOOKUP(A20,'Données projet'!$A$269:$I$289,2,0)</f>
        <v>#N/A</v>
      </c>
      <c r="EU20" s="33" t="e">
        <f>VLOOKUP(A20,'Données projet'!$A$269:$I$289,9,0)</f>
        <v>#N/A</v>
      </c>
      <c r="EV20" s="33">
        <f t="array" ref="EV20">INDEX(EU:EU,MIN(IF(ISNUMBER(EU20:EU216),ROW(EU20:EU216),"")))</f>
        <v>0</v>
      </c>
      <c r="EW20" s="33">
        <f t="shared" si="39"/>
        <v>0</v>
      </c>
      <c r="EX20" s="38" t="e">
        <f>EW20*VLOOKUP('Données projet'!$B$18,Paramètres!$A$1:$I$88,3,0)*VLOOKUP('Données projet'!$B$18,Paramètres!$A$1:$I$88,5,0)</f>
        <v>#N/A</v>
      </c>
      <c r="EY20" s="34" t="e">
        <f t="shared" si="40"/>
        <v>#N/A</v>
      </c>
      <c r="EZ20" s="44" t="e">
        <f t="shared" si="18"/>
        <v>#N/A</v>
      </c>
      <c r="FA20" s="36">
        <f>IF(ISNA(VLOOKUP(A20,'Données projet'!$A$269:$I$289,3,0)),0,VLOOKUP(A20,'Données projet'!$A$269:$I$289,3,0))</f>
        <v>0</v>
      </c>
      <c r="FB20" s="36">
        <f>IF(ISNA(VLOOKUP(A20,'Données projet'!$A$269:$I$289,4,0)),0,VLOOKUP(A20,'Données projet'!$A$269:$I$289,4,0))</f>
        <v>0</v>
      </c>
      <c r="FC20" s="37">
        <f>IF(ISNA(VLOOKUP(A20,'Données projet'!$A$269:$I$289,5,0)),0%,VLOOKUP(A20,'Données projet'!$A$269:$I$289,5,0)*VLOOKUP('Données projet'!$B$18,Paramètres!$A$1:$I$88,7,0))</f>
        <v>0</v>
      </c>
      <c r="FD20" s="37">
        <f>IF(ISNA(VLOOKUP(A20,'Données projet'!$A$269:$I$289,6,0)),0%,VLOOKUP(A20,'Données projet'!$A$269:$I$289,6,0)*VLOOKUP('Données projet'!$B$18,Paramètres!$A$1:$I$88,7,0))</f>
        <v>0</v>
      </c>
      <c r="FE20" s="37">
        <f>IF(ISNA(VLOOKUP(A20,'Données projet'!$A$269:$I$289,7,0)),0%,VLOOKUP(A20,'Données projet'!$A$269:$I$289,7,0))</f>
        <v>0</v>
      </c>
      <c r="FF20" s="45">
        <f>EXP(-LN(2)/35)*FF19+(1-EXP(-LN(2)/35))/(LN(2)/35)*FB20*FC20*VLOOKUP('Données projet'!$B$9,Paramètres!$A$1:$I$88,3,0)*0.475*44/12</f>
        <v>0</v>
      </c>
      <c r="FG20" s="45">
        <f>EXP(-LN(2)/25)*FG19+(1-EXP(-LN(2)/25))/(LN(2)/25)*Calculateur!FB20*Calculateur!FD20*VLOOKUP('Données projet'!$B$9,Paramètres!$A$1:$I$88,3,0)*0.475*44/12</f>
        <v>0</v>
      </c>
      <c r="FH20" s="45">
        <f>EXP(-LN(2)/2)*FH19+(1-EXP(-LN(2)/2))/(LN(2)/2)*FB20*FE20*VLOOKUP('Données projet'!$B$9,Paramètres!$A$1:$I$88,3,0)*0.475*44/12</f>
        <v>0</v>
      </c>
      <c r="FI20" s="46">
        <f t="shared" si="19"/>
        <v>0</v>
      </c>
    </row>
    <row r="21" spans="1:165" x14ac:dyDescent="0.25">
      <c r="A21" s="24">
        <f t="shared" si="20"/>
        <v>18</v>
      </c>
      <c r="B21" s="25">
        <f>IF('Scénario référence'!$N$1=1,5,0)</f>
        <v>0</v>
      </c>
      <c r="C21" s="40">
        <f>IF(OR('Scénario référence'!$N$1=2,'Scénario référence'!$N$1=4),C20+1*VLOOKUP('Scénario référence'!$G$14,Paramètres!$A$1:$I$88,3,0)*VLOOKUP('Scénario référence'!$G$14,Paramètres!$A$1:$I$88,5,0),IF(OR('Scénario référence'!$N$1=3,'Scénario référence'!$N$1=5),C20+0.5*VLOOKUP('Scénario référence'!$G$14,Paramètres!$A$1:$I$88,3,0)*VLOOKUP('Scénario référence'!$G$14,Paramètres!$A$1:$I$88,5,0),0))</f>
        <v>9.8280000000000012</v>
      </c>
      <c r="D21" s="26">
        <f t="shared" si="21"/>
        <v>3.4713169544550633</v>
      </c>
      <c r="E21" s="27">
        <f>IF('Scénario référence'!$N$1=1,B21*44/12,(C21+D21)*0.475*44/12)</f>
        <v>23.162977029009237</v>
      </c>
      <c r="F21" s="28" t="e">
        <f>VLOOKUP(A21,'Données projet'!$A$35:$I$55,2,0)</f>
        <v>#N/A</v>
      </c>
      <c r="G21" s="28" t="e">
        <f>VLOOKUP(A21,'Données projet'!$A$35:$I$55,9,0)</f>
        <v>#N/A</v>
      </c>
      <c r="H21" s="33">
        <f t="array" ref="H21">INDEX(G:G,MIN(IF(ISNUMBER(G21:G217),ROW(G21:G217),"")))</f>
        <v>2.1</v>
      </c>
      <c r="I21" s="28">
        <f t="shared" si="22"/>
        <v>37.800000000000011</v>
      </c>
      <c r="J21" s="41">
        <f>I21*VLOOKUP('Données projet'!$B$9,Paramètres!$A$1:$I$88,3,0)*VLOOKUP('Données projet'!$B$9,Paramètres!$A$1:$I$88,5,0)</f>
        <v>38.329200000000014</v>
      </c>
      <c r="K21" s="41">
        <f t="shared" si="23"/>
        <v>11.554707504602344</v>
      </c>
      <c r="L21" s="42">
        <f t="shared" si="0"/>
        <v>86.881138903849106</v>
      </c>
      <c r="M21" s="30">
        <f>IF(ISNA(VLOOKUP(A21,'Données projet'!$A$35:$I$55,3,0)),0,VLOOKUP(A21,'Données projet'!$A$35:$I$55,3,0))</f>
        <v>0</v>
      </c>
      <c r="N21" s="30">
        <f>IF(ISNA(VLOOKUP(A21,'Données projet'!$A$35:$I$55,4,0)),0,VLOOKUP(A21,'Données projet'!$A$35:$I$55,4,0))</f>
        <v>0</v>
      </c>
      <c r="O21" s="31">
        <f>IF(ISNA(VLOOKUP(A21,'Données projet'!$A$35:$I$55,5,0)),0%,VLOOKUP(A21,'Données projet'!$A$35:$I$55,5,0)*VLOOKUP('Données projet'!$B$9,Paramètres!$A$1:$I$88,7,0))</f>
        <v>0</v>
      </c>
      <c r="P21" s="31">
        <f>IF(ISNA(VLOOKUP(A21,'Données projet'!$A$35:$I$55,6,0)),0%,VLOOKUP(A21,'Données projet'!$A$35:$I$55,6,0)*VLOOKUP('Données projet'!$B$9,Paramètres!$A$1:$I$88,7,0))</f>
        <v>0</v>
      </c>
      <c r="Q21" s="31">
        <f>IF(ISNA(VLOOKUP(A21,'Données projet'!$A$35:$I$55,7,0)),0%,VLOOKUP(A21,'Données projet'!$A$35:$I$55,7,0))</f>
        <v>0</v>
      </c>
      <c r="R21" s="43">
        <f>EXP(-LN(2)/35)*R20+(1-EXP(-LN(2)/35))/(LN(2)/35)*N21*O21*VLOOKUP('Données projet'!$B$9,Paramètres!$A$1:$I$88,3,0)*0.475*44/12</f>
        <v>0</v>
      </c>
      <c r="S21" s="43">
        <f>EXP(-LN(2)/25)*S20+(1-EXP(-LN(2)/25))/(LN(2)/25)*Calculateur!N21*Calculateur!P21*VLOOKUP('Données projet'!$B$9,Paramètres!$A$1:$I$88,3,0)*0.475*44/12</f>
        <v>0</v>
      </c>
      <c r="T21" s="43">
        <f>EXP(-LN(2)/2)*T20+(1-EXP(-LN(2)/2))/(LN(2)/2)*N21*Q21*VLOOKUP('Données projet'!$B$9,Paramètres!$A$1:$I$88,3,0)*0.475*44/12</f>
        <v>0</v>
      </c>
      <c r="U21" s="43">
        <f t="shared" si="1"/>
        <v>0</v>
      </c>
      <c r="V21" s="32" t="e">
        <f>VLOOKUP(A21,'Données projet'!$A$61:$I$81,2,0)</f>
        <v>#N/A</v>
      </c>
      <c r="W21" s="33" t="e">
        <f>VLOOKUP(A21,'Données projet'!$A$61:$I$81,9,0)</f>
        <v>#N/A</v>
      </c>
      <c r="X21" s="33">
        <f t="array" ref="X21">INDEX(W:W,MIN(IF(ISNUMBER(W21:W217),ROW(W21:W217),"")))</f>
        <v>0</v>
      </c>
      <c r="Y21" s="33">
        <f t="shared" si="24"/>
        <v>0</v>
      </c>
      <c r="Z21" s="34" t="e">
        <f>Y21*VLOOKUP('Données projet'!$B$10,Paramètres!$A$1:$I$88,3,0)*VLOOKUP('Données projet'!$B$10,Paramètres!$A$1:$I$88,5,0)</f>
        <v>#N/A</v>
      </c>
      <c r="AA21" s="34" t="e">
        <f t="shared" si="25"/>
        <v>#N/A</v>
      </c>
      <c r="AB21" s="44" t="e">
        <f t="shared" si="2"/>
        <v>#N/A</v>
      </c>
      <c r="AC21" s="36">
        <f>IF(ISNA(VLOOKUP(A21,'Données projet'!$A$61:$I$81,3,0)),0,VLOOKUP(A21,'Données projet'!$A$61:$I$81,3,0))</f>
        <v>0</v>
      </c>
      <c r="AD21" s="36">
        <f>IF(ISNA(VLOOKUP(A21,'Données projet'!$A$61:$I$81,4,0)),0,VLOOKUP(A21,'Données projet'!$A$61:$I$81,4,0))</f>
        <v>0</v>
      </c>
      <c r="AE21" s="37">
        <f>IF(ISNA(VLOOKUP(A21,'Données projet'!$A$61:$I$81,5,0)),0%,VLOOKUP(A21,'Données projet'!$A$61:$I$81,5,0)*VLOOKUP('Données projet'!$B$10,Paramètres!$A$1:$I$88,7,0))</f>
        <v>0</v>
      </c>
      <c r="AF21" s="37">
        <f>IF(ISNA(VLOOKUP(A21,'Données projet'!$A$61:$I$81,6,0)),0%,VLOOKUP(A21,'Données projet'!$A$61:$I$81,6,0)*VLOOKUP('Données projet'!$B$10,Paramètres!$A$1:$I$88,7,0))</f>
        <v>0</v>
      </c>
      <c r="AG21" s="37">
        <f>IF(ISNA(VLOOKUP(A21,'Données projet'!$A$61:$I$81,7,0)),0%,VLOOKUP(A21,'Données projet'!$A$61:$I$81,7,0))</f>
        <v>0</v>
      </c>
      <c r="AH21" s="45">
        <f>EXP(-LN(2)/35)*AH20+(1-EXP(-LN(2)/35))/(LN(2)/35)*AD21*AE21*VLOOKUP('Données projet'!$B$9,Paramètres!$A$1:$I$88,3,0)*0.475*44/12</f>
        <v>0</v>
      </c>
      <c r="AI21" s="45">
        <f>EXP(-LN(2)/25)*AI20+(1-EXP(-LN(2)/25))/(LN(2)/25)*Calculateur!AD21*Calculateur!AF21*VLOOKUP('Données projet'!$B$9,Paramètres!$A$1:$I$88,3,0)*0.475*44/12</f>
        <v>0</v>
      </c>
      <c r="AJ21" s="45">
        <f>EXP(-LN(2)/2)*AJ20+(1-EXP(-LN(2)/2))/(LN(2)/2)*AD21*AG21*VLOOKUP('Données projet'!$B$9,Paramètres!$A$1:$I$88,3,0)*0.475*44/12</f>
        <v>0</v>
      </c>
      <c r="AK21" s="45">
        <f t="shared" si="3"/>
        <v>0</v>
      </c>
      <c r="AL21" s="32" t="e">
        <f>VLOOKUP(A21,'Données projet'!$A$87:$I$107,2,0)</f>
        <v>#N/A</v>
      </c>
      <c r="AM21" s="33" t="e">
        <f>VLOOKUP(A21,'Données projet'!$A$87:$I$107,9,0)</f>
        <v>#N/A</v>
      </c>
      <c r="AN21" s="33">
        <f t="array" ref="AN21">INDEX(AM:AM,MIN(IF(ISNUMBER(AM21:AM217),ROW(AM21:AM217),"")))</f>
        <v>0</v>
      </c>
      <c r="AO21" s="33">
        <f t="shared" si="26"/>
        <v>0</v>
      </c>
      <c r="AP21" s="34" t="e">
        <f>AO21*VLOOKUP('Données projet'!$B$11,Paramètres!$A$1:$I$88,3,0)*VLOOKUP('Données projet'!$B$11,Paramètres!$A$1:$I$88,5,0)</f>
        <v>#N/A</v>
      </c>
      <c r="AQ21" s="34" t="e">
        <f t="shared" si="27"/>
        <v>#N/A</v>
      </c>
      <c r="AR21" s="44" t="e">
        <f t="shared" si="4"/>
        <v>#N/A</v>
      </c>
      <c r="AS21" s="36">
        <f>IF(ISNA(VLOOKUP(A21,'Données projet'!$A$87:$I$107,3,0)),0,VLOOKUP(A21,'Données projet'!$A$87:$I$107,3,0))</f>
        <v>0</v>
      </c>
      <c r="AT21" s="36">
        <f>IF(ISNA(VLOOKUP(A21,'Données projet'!$A$87:$I$107,4,0)),0,VLOOKUP(A21,'Données projet'!$A$87:$I$107,4,0))</f>
        <v>0</v>
      </c>
      <c r="AU21" s="37">
        <f>IF(ISNA(VLOOKUP(A21,'Données projet'!$A$87:$I$107,5,0)),0%,VLOOKUP(A21,'Données projet'!$A$87:$I$107,5,0)*VLOOKUP('Données projet'!$B$11,Paramètres!$A$1:$I$88,7,0))</f>
        <v>0</v>
      </c>
      <c r="AV21" s="37">
        <f>IF(ISNA(VLOOKUP(A21,'Données projet'!$A$87:$I$107,6,0)),0%,VLOOKUP(A21,'Données projet'!$A$87:$I$107,6,0)*VLOOKUP('Données projet'!$B$11,Paramètres!$A$1:$I$88,7,0))</f>
        <v>0</v>
      </c>
      <c r="AW21" s="37">
        <f>IF(ISNA(VLOOKUP(A21,'Données projet'!$A$87:$I$107,7,0)),0%,VLOOKUP(A21,'Données projet'!$A$87:$I$107,7,0))</f>
        <v>0</v>
      </c>
      <c r="AX21" s="45">
        <f>EXP(-LN(2)/35)*AX20+(1-EXP(-LN(2)/35))/(LN(2)/35)*AT21*AU21*VLOOKUP('Données projet'!$B$9,Paramètres!$A$1:$I$88,3,0)*0.475*44/12</f>
        <v>0</v>
      </c>
      <c r="AY21" s="45">
        <f>EXP(-LN(2)/25)*AY20+(1-EXP(-LN(2)/25))/(LN(2)/25)*Calculateur!AT21*Calculateur!AV21*VLOOKUP('Données projet'!$B$9,Paramètres!$A$1:$I$88,3,0)*0.475*44/12</f>
        <v>0</v>
      </c>
      <c r="AZ21" s="45">
        <f>EXP(-LN(2)/2)*AZ20+(1-EXP(-LN(2)/2))/(LN(2)/2)*AT21*AW21*VLOOKUP('Données projet'!$B$9,Paramètres!$A$1:$I$88,3,0)*0.475*44/12</f>
        <v>0</v>
      </c>
      <c r="BA21" s="46">
        <f t="shared" si="5"/>
        <v>0</v>
      </c>
      <c r="BB21" s="32" t="e">
        <f>VLOOKUP(A21,'Données projet'!$A$113:$I$133,2,0)</f>
        <v>#N/A</v>
      </c>
      <c r="BC21" s="33" t="e">
        <f>VLOOKUP(A21,'Données projet'!$A$113:$I$133,9,0)</f>
        <v>#N/A</v>
      </c>
      <c r="BD21" s="33">
        <f t="array" ref="BD21">INDEX(BC:BC,MIN(IF(ISNUMBER(BC21:BC217),ROW(BC21:BC217),"")))</f>
        <v>0</v>
      </c>
      <c r="BE21" s="33">
        <f t="shared" si="28"/>
        <v>0</v>
      </c>
      <c r="BF21" s="34" t="e">
        <f>BE21*VLOOKUP('Données projet'!$B$12,Paramètres!$A$1:$I$88,3,0)*VLOOKUP('Données projet'!$B$12,Paramètres!$A$1:$I$88,5,0)</f>
        <v>#N/A</v>
      </c>
      <c r="BG21" s="34" t="e">
        <f t="shared" si="29"/>
        <v>#N/A</v>
      </c>
      <c r="BH21" s="44" t="e">
        <f t="shared" si="6"/>
        <v>#N/A</v>
      </c>
      <c r="BI21" s="36">
        <f>IF(ISNA(VLOOKUP(A21,'Données projet'!$A$113:$I$133,3,0)),0,VLOOKUP(A21,'Données projet'!$A$113:$I$133,3,0))</f>
        <v>0</v>
      </c>
      <c r="BJ21" s="36">
        <f>IF(ISNA(VLOOKUP(A21,'Données projet'!$A$113:$I$133,4,0)),0,VLOOKUP(A21,'Données projet'!$A$113:$I$133,4,0))</f>
        <v>0</v>
      </c>
      <c r="BK21" s="37">
        <f>IF(ISNA(VLOOKUP(A21,'Données projet'!$A$113:$I$133,5,0)),0%,VLOOKUP(A21,'Données projet'!$A$113:$I$133,5,0)*VLOOKUP('Données projet'!$B$12,Paramètres!$A$1:$I$88,7,0))</f>
        <v>0</v>
      </c>
      <c r="BL21" s="37">
        <f>IF(ISNA(VLOOKUP(A21,'Données projet'!$A$113:$I$133,6,0)),0%,VLOOKUP(A21,'Données projet'!$A$113:$I$133,6,0)*VLOOKUP('Données projet'!$B$12,Paramètres!$A$1:$I$88,7,0))</f>
        <v>0</v>
      </c>
      <c r="BM21" s="37">
        <f>IF(ISNA(VLOOKUP(A21,'Données projet'!$A$113:$I$133,7,0)),0%,VLOOKUP(A21,'Données projet'!$A$113:$I$133,7,0))</f>
        <v>0</v>
      </c>
      <c r="BN21" s="45">
        <f>EXP(-LN(2)/35)*BN20+(1-EXP(-LN(2)/35))/(LN(2)/35)*BJ21*BK21*VLOOKUP('Données projet'!$B$9,Paramètres!$A$1:$I$88,3,0)*0.475*44/12</f>
        <v>0</v>
      </c>
      <c r="BO21" s="45">
        <f>EXP(-LN(2)/25)*BO20+(1-EXP(-LN(2)/25))/(LN(2)/25)*Calculateur!BJ21*Calculateur!BL21*VLOOKUP('Données projet'!$B$9,Paramètres!$A$1:$I$88,3,0)*0.475*44/12</f>
        <v>0</v>
      </c>
      <c r="BP21" s="45">
        <f>EXP(-LN(2)/2)*BP20+(1-EXP(-LN(2)/2))/(LN(2)/2)*BJ21*BM21*VLOOKUP('Données projet'!$B$9,Paramètres!$A$1:$I$88,3,0)*0.475*44/12</f>
        <v>0</v>
      </c>
      <c r="BQ21" s="46">
        <f t="shared" si="7"/>
        <v>0</v>
      </c>
      <c r="BR21" s="32" t="e">
        <f>VLOOKUP(A21,'Données projet'!$A$139:$I$159,2,0)</f>
        <v>#N/A</v>
      </c>
      <c r="BS21" s="33" t="e">
        <f>VLOOKUP(A21,'Données projet'!$A$139:$I$159,9,0)</f>
        <v>#N/A</v>
      </c>
      <c r="BT21" s="33">
        <f t="array" ref="BT21">INDEX(BS:BS,MIN(IF(ISNUMBER(BS21:BS217),ROW(BS21:BS217),"")))</f>
        <v>0</v>
      </c>
      <c r="BU21" s="33">
        <f t="shared" si="41"/>
        <v>0</v>
      </c>
      <c r="BV21" s="38" t="e">
        <f>BU21*VLOOKUP('Données projet'!$B$13,Paramètres!$A$1:$I$88,3,0)*VLOOKUP('Données projet'!$B$13,Paramètres!$A$1:$I$88,5,0)</f>
        <v>#N/A</v>
      </c>
      <c r="BW21" s="34" t="e">
        <f t="shared" si="30"/>
        <v>#N/A</v>
      </c>
      <c r="BX21" s="44" t="e">
        <f t="shared" si="8"/>
        <v>#N/A</v>
      </c>
      <c r="BY21" s="36">
        <f>IF(ISNA(VLOOKUP(A21,'Données projet'!$A$139:$I$159,3,0)),0,VLOOKUP(A21,'Données projet'!$A$139:$I$159,3,0))</f>
        <v>0</v>
      </c>
      <c r="BZ21" s="36">
        <f>IF(ISNA(VLOOKUP(A21,'Données projet'!$A$139:$I$159,4,0)),0,VLOOKUP(A21,'Données projet'!$A$139:$I$159,4,0))</f>
        <v>0</v>
      </c>
      <c r="CA21" s="37">
        <f>IF(ISNA(VLOOKUP(A21,'Données projet'!$A$139:$I$159,5,0)),0%,VLOOKUP(A21,'Données projet'!$A$139:$I$159,5,0)*VLOOKUP('Données projet'!$B$13,Paramètres!$A$1:$I$88,7,0))</f>
        <v>0</v>
      </c>
      <c r="CB21" s="37">
        <f>IF(ISNA(VLOOKUP(A21,'Données projet'!$A$139:$I$159,6,0)),0%,VLOOKUP(A21,'Données projet'!$A$139:$I$159,6,0)*VLOOKUP('Données projet'!$B$13,Paramètres!$A$1:$I$88,7,0))</f>
        <v>0</v>
      </c>
      <c r="CC21" s="37">
        <f>IF(ISNA(VLOOKUP(A21,'Données projet'!$A$139:$I$159,7,0)),0%,VLOOKUP(A21,'Données projet'!$A$139:$I$159,7,0))</f>
        <v>0</v>
      </c>
      <c r="CD21" s="45">
        <f>EXP(-LN(2)/35)*CD20+(1-EXP(-LN(2)/35))/(LN(2)/35)*BZ21*CA21*VLOOKUP('Données projet'!$B$9,Paramètres!$A$1:$I$88,3,0)*0.475*44/12</f>
        <v>0</v>
      </c>
      <c r="CE21" s="45">
        <f>EXP(-LN(2)/25)*CE20+(1-EXP(-LN(2)/25))/(LN(2)/25)*Calculateur!BZ21*Calculateur!CB21*VLOOKUP('Données projet'!$B$9,Paramètres!$A$1:$I$88,3,0)*0.475*44/12</f>
        <v>0</v>
      </c>
      <c r="CF21" s="45">
        <f>EXP(-LN(2)/2)*CF20+(1-EXP(-LN(2)/2))/(LN(2)/2)*BZ21*CC21*VLOOKUP('Données projet'!$B$9,Paramètres!$A$1:$I$88,3,0)*0.475*44/12</f>
        <v>0</v>
      </c>
      <c r="CG21" s="46">
        <f t="shared" si="9"/>
        <v>0</v>
      </c>
      <c r="CH21" s="32" t="e">
        <f>VLOOKUP(A21,'Données projet'!$A$165:$I$185,2,0)</f>
        <v>#N/A</v>
      </c>
      <c r="CI21" s="33" t="e">
        <f>VLOOKUP(A21,'Données projet'!$A$165:$I$185,9,0)</f>
        <v>#N/A</v>
      </c>
      <c r="CJ21" s="33">
        <f t="array" ref="CJ21">INDEX(CI:CI,MIN(IF(ISNUMBER(CI21:CI217),ROW(CI21:CI217),"")))</f>
        <v>0</v>
      </c>
      <c r="CK21" s="33">
        <f t="shared" si="31"/>
        <v>0</v>
      </c>
      <c r="CL21" s="38" t="e">
        <f>CK21*VLOOKUP('Données projet'!$B$14,Paramètres!$A$1:$I$88,3,0)*VLOOKUP('Données projet'!$B$14,Paramètres!$A$1:$I$88,5,0)</f>
        <v>#N/A</v>
      </c>
      <c r="CM21" s="34" t="e">
        <f t="shared" si="32"/>
        <v>#N/A</v>
      </c>
      <c r="CN21" s="44" t="e">
        <f t="shared" si="10"/>
        <v>#N/A</v>
      </c>
      <c r="CO21" s="36">
        <f>IF(ISNA(VLOOKUP(A21,'Données projet'!$A$165:$I$185,3,0)),0,VLOOKUP(A21,'Données projet'!$A$165:$I$185,3,0))</f>
        <v>0</v>
      </c>
      <c r="CP21" s="36">
        <f>IF(ISNA(VLOOKUP(A21,'Données projet'!$A$165:$I$185,4,0)),0,VLOOKUP(A21,'Données projet'!$A$165:$I$185,4,0))</f>
        <v>0</v>
      </c>
      <c r="CQ21" s="37">
        <f>IF(ISNA(VLOOKUP(A21,'Données projet'!$A$165:$I$185,5,0)),0%,VLOOKUP(A21,'Données projet'!$A$165:$I$185,5,0)*VLOOKUP('Données projet'!$B$14,Paramètres!$A$1:$I$88,7,0))</f>
        <v>0</v>
      </c>
      <c r="CR21" s="37">
        <f>IF(ISNA(VLOOKUP(A21,'Données projet'!$A$165:$I$185,6,0)),0%,VLOOKUP(A21,'Données projet'!$A$165:$I$185,6,0)*VLOOKUP('Données projet'!$B$14,Paramètres!$A$1:$I$88,7,0))</f>
        <v>0</v>
      </c>
      <c r="CS21" s="37">
        <f>IF(ISNA(VLOOKUP(A21,'Données projet'!$A$165:$I$185,7,0)),0%,VLOOKUP(A21,'Données projet'!$A$165:$I$185,7,0))</f>
        <v>0</v>
      </c>
      <c r="CT21" s="45">
        <f>EXP(-LN(2)/35)*CT20+(1-EXP(-LN(2)/35))/(LN(2)/35)*CP21*CQ21*VLOOKUP('Données projet'!$B$9,Paramètres!$A$1:$I$88,3,0)*0.475*44/12</f>
        <v>0</v>
      </c>
      <c r="CU21" s="45">
        <f>EXP(-LN(2)/25)*CU20+(1-EXP(-LN(2)/25))/(LN(2)/25)*Calculateur!CP21*Calculateur!CR21*VLOOKUP('Données projet'!$B$9,Paramètres!$A$1:$I$88,3,0)*0.475*44/12</f>
        <v>0</v>
      </c>
      <c r="CV21" s="45">
        <f>EXP(-LN(2)/2)*CV20+(1-EXP(-LN(2)/2))/(LN(2)/2)*CP21*CS21*VLOOKUP('Données projet'!$B$9,Paramètres!$A$1:$I$88,3,0)*0.475*44/12</f>
        <v>0</v>
      </c>
      <c r="CW21" s="46">
        <f t="shared" si="11"/>
        <v>0</v>
      </c>
      <c r="CX21" s="32" t="e">
        <f>VLOOKUP(A21,'Données projet'!$A$191:$I$211,2,0)</f>
        <v>#N/A</v>
      </c>
      <c r="CY21" s="33" t="e">
        <f>VLOOKUP(A21,'Données projet'!$A$191:$I$211,9,0)</f>
        <v>#N/A</v>
      </c>
      <c r="CZ21" s="33">
        <f t="array" ref="CZ21">INDEX(CY:CY,MIN(IF(ISNUMBER(CY21:CY217),ROW(CY21:CY217),"")))</f>
        <v>0</v>
      </c>
      <c r="DA21" s="33">
        <f t="shared" si="33"/>
        <v>0</v>
      </c>
      <c r="DB21" s="38" t="e">
        <f>DA21*VLOOKUP('Données projet'!$B$15,Paramètres!$A$1:$I$88,3,0)*VLOOKUP('Données projet'!$B$15,Paramètres!$A$1:$I$88,5,0)</f>
        <v>#N/A</v>
      </c>
      <c r="DC21" s="34" t="e">
        <f t="shared" si="34"/>
        <v>#N/A</v>
      </c>
      <c r="DD21" s="44" t="e">
        <f t="shared" si="12"/>
        <v>#N/A</v>
      </c>
      <c r="DE21" s="36">
        <f>IF(ISNA(VLOOKUP(A21,'Données projet'!$A$191:$I$211,3,0)),0,VLOOKUP(A21,'Données projet'!$A$191:$I$211,3,0))</f>
        <v>0</v>
      </c>
      <c r="DF21" s="36">
        <f>IF(ISNA(VLOOKUP(A21,'Données projet'!$A$191:$I$211,4,0)),0,VLOOKUP(A21,'Données projet'!$A$191:$I$211,4,0))</f>
        <v>0</v>
      </c>
      <c r="DG21" s="37">
        <f>IF(ISNA(VLOOKUP(A21,'Données projet'!$A$191:$I$211,5,0)),0%,VLOOKUP(A21,'Données projet'!$A$191:$I$211,5,0)*VLOOKUP('Données projet'!$B$15,Paramètres!$A$1:$I$88,7,0))</f>
        <v>0</v>
      </c>
      <c r="DH21" s="37">
        <f>IF(ISNA(VLOOKUP(A21,'Données projet'!$A$191:$I$211,6,0)),0%,VLOOKUP(A21,'Données projet'!$A$191:$I$211,6,0)*VLOOKUP('Données projet'!$B$15,Paramètres!$A$1:$I$88,7,0))</f>
        <v>0</v>
      </c>
      <c r="DI21" s="37">
        <f>IF(ISNA(VLOOKUP(A21,'Données projet'!$A$191:$I$211,7,0)),0%,VLOOKUP(A21,'Données projet'!$A$191:$I$211,7,0))</f>
        <v>0</v>
      </c>
      <c r="DJ21" s="45">
        <f>EXP(-LN(2)/35)*DJ20+(1-EXP(-LN(2)/35))/(LN(2)/35)*DF21*DG21*VLOOKUP('Données projet'!$B$9,Paramètres!$A$1:$I$88,3,0)*0.475*44/12</f>
        <v>0</v>
      </c>
      <c r="DK21" s="45">
        <f>EXP(-LN(2)/25)*DK20+(1-EXP(-LN(2)/25))/(LN(2)/25)*Calculateur!DF21*Calculateur!DH21*VLOOKUP('Données projet'!$B$9,Paramètres!$A$1:$I$88,3,0)*0.475*44/12</f>
        <v>0</v>
      </c>
      <c r="DL21" s="45">
        <f>EXP(-LN(2)/2)*DL20+(1-EXP(-LN(2)/2))/(LN(2)/2)*DF21*DI21*VLOOKUP('Données projet'!$B$9,Paramètres!$A$1:$I$88,3,0)*0.475*44/12</f>
        <v>0</v>
      </c>
      <c r="DM21" s="46">
        <f t="shared" si="13"/>
        <v>0</v>
      </c>
      <c r="DN21" s="32" t="e">
        <f>VLOOKUP(A21,'Données projet'!$A$217:$I$237,2,0)</f>
        <v>#N/A</v>
      </c>
      <c r="DO21" s="33" t="e">
        <f>VLOOKUP(A21,'Données projet'!$A$217:$I$237,9,0)</f>
        <v>#N/A</v>
      </c>
      <c r="DP21" s="33">
        <f t="array" ref="DP21">INDEX(DO:DO,MIN(IF(ISNUMBER(DO21:DO217),ROW(DO21:DO217),"")))</f>
        <v>0</v>
      </c>
      <c r="DQ21" s="33">
        <f t="shared" si="35"/>
        <v>0</v>
      </c>
      <c r="DR21" s="38" t="e">
        <f>DQ21*VLOOKUP('Données projet'!$B$16,Paramètres!$A$1:$I$88,3,0)*VLOOKUP('Données projet'!$B$16,Paramètres!$A$1:$I$88,5,0)</f>
        <v>#N/A</v>
      </c>
      <c r="DS21" s="34" t="e">
        <f t="shared" si="36"/>
        <v>#N/A</v>
      </c>
      <c r="DT21" s="44" t="e">
        <f t="shared" si="14"/>
        <v>#N/A</v>
      </c>
      <c r="DU21" s="36">
        <f>IF(ISNA(VLOOKUP(A21,'Données projet'!$A$217:$I$237,3,0)),0,VLOOKUP(A21,'Données projet'!$A$217:$I$237,3,0))</f>
        <v>0</v>
      </c>
      <c r="DV21" s="36">
        <f>IF(ISNA(VLOOKUP(A21,'Données projet'!$A$217:$I$237,4,0)),0,VLOOKUP(A21,'Données projet'!$A$217:$I$237,4,0))</f>
        <v>0</v>
      </c>
      <c r="DW21" s="37">
        <f>IF(ISNA(VLOOKUP(A21,'Données projet'!$A$217:$I$237,5,0)),0%,VLOOKUP(A21,'Données projet'!$A$217:$I$237,5,0)*VLOOKUP('Données projet'!$B$16,Paramètres!$A$1:$I$88,7,0))</f>
        <v>0</v>
      </c>
      <c r="DX21" s="37">
        <f>IF(ISNA(VLOOKUP(A21,'Données projet'!$A$217:$I$237,6,0)),0%,VLOOKUP(A21,'Données projet'!$A$217:$I$237,6,0)*VLOOKUP('Données projet'!$B$16,Paramètres!$A$1:$I$88,7,0))</f>
        <v>0</v>
      </c>
      <c r="DY21" s="37">
        <f>IF(ISNA(VLOOKUP(A21,'Données projet'!$A$217:$I$237,7,0)),0%,VLOOKUP(A21,'Données projet'!$A$217:$I$237,7,0))</f>
        <v>0</v>
      </c>
      <c r="DZ21" s="45">
        <f>EXP(-LN(2)/35)*DZ20+(1-EXP(-LN(2)/35))/(LN(2)/35)*DV21*DW21*VLOOKUP('Données projet'!$B$9,Paramètres!$A$1:$I$88,3,0)*0.475*44/12</f>
        <v>0</v>
      </c>
      <c r="EA21" s="45">
        <f>EXP(-LN(2)/25)*EA20+(1-EXP(-LN(2)/25))/(LN(2)/25)*Calculateur!DV21*Calculateur!DX21*VLOOKUP('Données projet'!$B$9,Paramètres!$A$1:$I$88,3,0)*0.475*44/12</f>
        <v>0</v>
      </c>
      <c r="EB21" s="45">
        <f>EXP(-LN(2)/2)*EB20+(1-EXP(-LN(2)/2))/(LN(2)/2)*DV21*DY21*VLOOKUP('Données projet'!$B$9,Paramètres!$A$1:$I$88,3,0)*0.475*44/12</f>
        <v>0</v>
      </c>
      <c r="EC21" s="46">
        <f t="shared" si="15"/>
        <v>0</v>
      </c>
      <c r="ED21" s="32" t="e">
        <f>VLOOKUP(A21,'Données projet'!$A$243:$I$263,2,0)</f>
        <v>#N/A</v>
      </c>
      <c r="EE21" s="33" t="e">
        <f>VLOOKUP(A21,'Données projet'!$A$243:$I$263,9,0)</f>
        <v>#N/A</v>
      </c>
      <c r="EF21" s="33">
        <f t="array" ref="EF21">INDEX(EE:EE,MIN(IF(ISNUMBER(EE21:EE217),ROW(EE21:EE217),"")))</f>
        <v>0</v>
      </c>
      <c r="EG21" s="33">
        <f t="shared" si="37"/>
        <v>0</v>
      </c>
      <c r="EH21" s="38" t="e">
        <f>EG21*VLOOKUP('Données projet'!$B$17,Paramètres!$A$1:$I$88,3,0)*VLOOKUP('Données projet'!$B$17,Paramètres!$A$1:$I$88,5,0)</f>
        <v>#N/A</v>
      </c>
      <c r="EI21" s="34" t="e">
        <f t="shared" si="38"/>
        <v>#N/A</v>
      </c>
      <c r="EJ21" s="44" t="e">
        <f t="shared" si="16"/>
        <v>#N/A</v>
      </c>
      <c r="EK21" s="36">
        <f>IF(ISNA(VLOOKUP(A21,'Données projet'!$A$243:$I$263,3,0)),0,VLOOKUP(A21,'Données projet'!$A$243:$I$263,3,0))</f>
        <v>0</v>
      </c>
      <c r="EL21" s="36">
        <f>IF(ISNA(VLOOKUP(A21,'Données projet'!$A$243:$I$263,4,0)),0,VLOOKUP(A21,'Données projet'!$A$243:$I$263,4,0))</f>
        <v>0</v>
      </c>
      <c r="EM21" s="37">
        <f>IF(ISNA(VLOOKUP(A21,'Données projet'!$A$243:$I$263,5,0)),0%,VLOOKUP(A21,'Données projet'!$A$243:$I$263,5,0)*VLOOKUP('Données projet'!$B$17,Paramètres!$A$1:$I$88,7,0))</f>
        <v>0</v>
      </c>
      <c r="EN21" s="37">
        <f>IF(ISNA(VLOOKUP(A21,'Données projet'!$A$243:$I$263,6,0)),0%,VLOOKUP(A21,'Données projet'!$A$243:$I$263,6,0)*VLOOKUP('Données projet'!$B$17,Paramètres!$A$1:$I$88,7,0))</f>
        <v>0</v>
      </c>
      <c r="EO21" s="37">
        <f>IF(ISNA(VLOOKUP(A21,'Données projet'!$A$243:$I$263,7,0)),0%,VLOOKUP(A21,'Données projet'!$A$243:$I$263,7,0))</f>
        <v>0</v>
      </c>
      <c r="EP21" s="45">
        <f>EXP(-LN(2)/35)*EP20+(1-EXP(-LN(2)/35))/(LN(2)/35)*EL21*EM21*VLOOKUP('Données projet'!$B$9,Paramètres!$A$1:$I$88,3,0)*0.475*44/12</f>
        <v>0</v>
      </c>
      <c r="EQ21" s="45">
        <f>EXP(-LN(2)/25)*EQ20+(1-EXP(-LN(2)/25))/(LN(2)/25)*Calculateur!EL21*Calculateur!EN21*VLOOKUP('Données projet'!$B$9,Paramètres!$A$1:$I$88,3,0)*0.475*44/12</f>
        <v>0</v>
      </c>
      <c r="ER21" s="45">
        <f>EXP(-LN(2)/2)*ER20+(1-EXP(-LN(2)/2))/(LN(2)/2)*EL21*EO21*VLOOKUP('Données projet'!$B$9,Paramètres!$A$1:$I$88,3,0)*0.475*44/12</f>
        <v>0</v>
      </c>
      <c r="ES21" s="46">
        <f t="shared" si="17"/>
        <v>0</v>
      </c>
      <c r="ET21" s="32" t="e">
        <f>VLOOKUP(A21,'Données projet'!$A$269:$I$289,2,0)</f>
        <v>#N/A</v>
      </c>
      <c r="EU21" s="33" t="e">
        <f>VLOOKUP(A21,'Données projet'!$A$269:$I$289,9,0)</f>
        <v>#N/A</v>
      </c>
      <c r="EV21" s="33">
        <f t="array" ref="EV21">INDEX(EU:EU,MIN(IF(ISNUMBER(EU21:EU217),ROW(EU21:EU217),"")))</f>
        <v>0</v>
      </c>
      <c r="EW21" s="33">
        <f t="shared" si="39"/>
        <v>0</v>
      </c>
      <c r="EX21" s="38" t="e">
        <f>EW21*VLOOKUP('Données projet'!$B$18,Paramètres!$A$1:$I$88,3,0)*VLOOKUP('Données projet'!$B$18,Paramètres!$A$1:$I$88,5,0)</f>
        <v>#N/A</v>
      </c>
      <c r="EY21" s="34" t="e">
        <f t="shared" si="40"/>
        <v>#N/A</v>
      </c>
      <c r="EZ21" s="44" t="e">
        <f t="shared" si="18"/>
        <v>#N/A</v>
      </c>
      <c r="FA21" s="36">
        <f>IF(ISNA(VLOOKUP(A21,'Données projet'!$A$269:$I$289,3,0)),0,VLOOKUP(A21,'Données projet'!$A$269:$I$289,3,0))</f>
        <v>0</v>
      </c>
      <c r="FB21" s="36">
        <f>IF(ISNA(VLOOKUP(A21,'Données projet'!$A$269:$I$289,4,0)),0,VLOOKUP(A21,'Données projet'!$A$269:$I$289,4,0))</f>
        <v>0</v>
      </c>
      <c r="FC21" s="37">
        <f>IF(ISNA(VLOOKUP(A21,'Données projet'!$A$269:$I$289,5,0)),0%,VLOOKUP(A21,'Données projet'!$A$269:$I$289,5,0)*VLOOKUP('Données projet'!$B$18,Paramètres!$A$1:$I$88,7,0))</f>
        <v>0</v>
      </c>
      <c r="FD21" s="37">
        <f>IF(ISNA(VLOOKUP(A21,'Données projet'!$A$269:$I$289,6,0)),0%,VLOOKUP(A21,'Données projet'!$A$269:$I$289,6,0)*VLOOKUP('Données projet'!$B$18,Paramètres!$A$1:$I$88,7,0))</f>
        <v>0</v>
      </c>
      <c r="FE21" s="37">
        <f>IF(ISNA(VLOOKUP(A21,'Données projet'!$A$269:$I$289,7,0)),0%,VLOOKUP(A21,'Données projet'!$A$269:$I$289,7,0))</f>
        <v>0</v>
      </c>
      <c r="FF21" s="45">
        <f>EXP(-LN(2)/35)*FF20+(1-EXP(-LN(2)/35))/(LN(2)/35)*FB21*FC21*VLOOKUP('Données projet'!$B$9,Paramètres!$A$1:$I$88,3,0)*0.475*44/12</f>
        <v>0</v>
      </c>
      <c r="FG21" s="45">
        <f>EXP(-LN(2)/25)*FG20+(1-EXP(-LN(2)/25))/(LN(2)/25)*Calculateur!FB21*Calculateur!FD21*VLOOKUP('Données projet'!$B$9,Paramètres!$A$1:$I$88,3,0)*0.475*44/12</f>
        <v>0</v>
      </c>
      <c r="FH21" s="45">
        <f>EXP(-LN(2)/2)*FH20+(1-EXP(-LN(2)/2))/(LN(2)/2)*FB21*FE21*VLOOKUP('Données projet'!$B$9,Paramètres!$A$1:$I$88,3,0)*0.475*44/12</f>
        <v>0</v>
      </c>
      <c r="FI21" s="46">
        <f t="shared" si="19"/>
        <v>0</v>
      </c>
    </row>
    <row r="22" spans="1:165" x14ac:dyDescent="0.25">
      <c r="A22" s="24">
        <f t="shared" si="20"/>
        <v>19</v>
      </c>
      <c r="B22" s="25">
        <f>IF('Scénario référence'!$N$1=1,5,0)</f>
        <v>0</v>
      </c>
      <c r="C22" s="40">
        <f>IF(OR('Scénario référence'!$N$1=2,'Scénario référence'!$N$1=4),C21+1*VLOOKUP('Scénario référence'!$G$14,Paramètres!$A$1:$I$88,3,0)*VLOOKUP('Scénario référence'!$G$14,Paramètres!$A$1:$I$88,5,0),IF(OR('Scénario référence'!$N$1=3,'Scénario référence'!$N$1=5),C21+0.5*VLOOKUP('Scénario référence'!$G$14,Paramètres!$A$1:$I$88,3,0)*VLOOKUP('Scénario référence'!$G$14,Paramètres!$A$1:$I$88,5,0),0))</f>
        <v>10.374000000000001</v>
      </c>
      <c r="D22" s="26">
        <f t="shared" si="21"/>
        <v>3.6411801438697724</v>
      </c>
      <c r="E22" s="27">
        <f>IF('Scénario référence'!$N$1=1,B22*44/12,(C22+D22)*0.475*44/12)</f>
        <v>24.409772083906521</v>
      </c>
      <c r="F22" s="28" t="e">
        <f>VLOOKUP(A22,'Données projet'!$A$35:$I$55,2,0)</f>
        <v>#N/A</v>
      </c>
      <c r="G22" s="28" t="e">
        <f>VLOOKUP(A22,'Données projet'!$A$35:$I$55,9,0)</f>
        <v>#N/A</v>
      </c>
      <c r="H22" s="33">
        <f t="array" ref="H22">INDEX(G:G,MIN(IF(ISNUMBER(G22:G218),ROW(G22:G218),"")))</f>
        <v>2.1</v>
      </c>
      <c r="I22" s="28">
        <f t="shared" si="22"/>
        <v>39.900000000000013</v>
      </c>
      <c r="J22" s="41">
        <f>I22*VLOOKUP('Données projet'!$B$9,Paramètres!$A$1:$I$88,3,0)*VLOOKUP('Données projet'!$B$9,Paramètres!$A$1:$I$88,5,0)</f>
        <v>40.458600000000018</v>
      </c>
      <c r="K22" s="41">
        <f t="shared" si="23"/>
        <v>12.120118124040852</v>
      </c>
      <c r="L22" s="42">
        <f t="shared" si="0"/>
        <v>91.574600732704496</v>
      </c>
      <c r="M22" s="30">
        <f>IF(ISNA(VLOOKUP(A22,'Données projet'!$A$35:$I$55,3,0)),0,VLOOKUP(A22,'Données projet'!$A$35:$I$55,3,0))</f>
        <v>0</v>
      </c>
      <c r="N22" s="30">
        <f>IF(ISNA(VLOOKUP(A22,'Données projet'!$A$35:$I$55,4,0)),0,VLOOKUP(A22,'Données projet'!$A$35:$I$55,4,0))</f>
        <v>0</v>
      </c>
      <c r="O22" s="31">
        <f>IF(ISNA(VLOOKUP(A22,'Données projet'!$A$35:$I$55,5,0)),0%,VLOOKUP(A22,'Données projet'!$A$35:$I$55,5,0)*VLOOKUP('Données projet'!$B$9,Paramètres!$A$1:$I$88,7,0))</f>
        <v>0</v>
      </c>
      <c r="P22" s="31">
        <f>IF(ISNA(VLOOKUP(A22,'Données projet'!$A$35:$I$55,6,0)),0%,VLOOKUP(A22,'Données projet'!$A$35:$I$55,6,0)*VLOOKUP('Données projet'!$B$9,Paramètres!$A$1:$I$88,7,0))</f>
        <v>0</v>
      </c>
      <c r="Q22" s="31">
        <f>IF(ISNA(VLOOKUP(A22,'Données projet'!$A$35:$I$55,7,0)),0%,VLOOKUP(A22,'Données projet'!$A$35:$I$55,7,0))</f>
        <v>0</v>
      </c>
      <c r="R22" s="43">
        <f>EXP(-LN(2)/35)*R21+(1-EXP(-LN(2)/35))/(LN(2)/35)*N22*O22*VLOOKUP('Données projet'!$B$9,Paramètres!$A$1:$I$88,3,0)*0.475*44/12</f>
        <v>0</v>
      </c>
      <c r="S22" s="43">
        <f>EXP(-LN(2)/25)*S21+(1-EXP(-LN(2)/25))/(LN(2)/25)*Calculateur!N22*Calculateur!P22*VLOOKUP('Données projet'!$B$9,Paramètres!$A$1:$I$88,3,0)*0.475*44/12</f>
        <v>0</v>
      </c>
      <c r="T22" s="43">
        <f>EXP(-LN(2)/2)*T21+(1-EXP(-LN(2)/2))/(LN(2)/2)*N22*Q22*VLOOKUP('Données projet'!$B$9,Paramètres!$A$1:$I$88,3,0)*0.475*44/12</f>
        <v>0</v>
      </c>
      <c r="U22" s="43">
        <f t="shared" si="1"/>
        <v>0</v>
      </c>
      <c r="V22" s="32" t="e">
        <f>VLOOKUP(A22,'Données projet'!$A$61:$I$81,2,0)</f>
        <v>#N/A</v>
      </c>
      <c r="W22" s="33" t="e">
        <f>VLOOKUP(A22,'Données projet'!$A$61:$I$81,9,0)</f>
        <v>#N/A</v>
      </c>
      <c r="X22" s="33">
        <f t="array" ref="X22">INDEX(W:W,MIN(IF(ISNUMBER(W22:W218),ROW(W22:W218),"")))</f>
        <v>0</v>
      </c>
      <c r="Y22" s="33">
        <f t="shared" si="24"/>
        <v>0</v>
      </c>
      <c r="Z22" s="34" t="e">
        <f>Y22*VLOOKUP('Données projet'!$B$10,Paramètres!$A$1:$I$88,3,0)*VLOOKUP('Données projet'!$B$10,Paramètres!$A$1:$I$88,5,0)</f>
        <v>#N/A</v>
      </c>
      <c r="AA22" s="34" t="e">
        <f t="shared" si="25"/>
        <v>#N/A</v>
      </c>
      <c r="AB22" s="44" t="e">
        <f t="shared" si="2"/>
        <v>#N/A</v>
      </c>
      <c r="AC22" s="36">
        <f>IF(ISNA(VLOOKUP(A22,'Données projet'!$A$61:$I$81,3,0)),0,VLOOKUP(A22,'Données projet'!$A$61:$I$81,3,0))</f>
        <v>0</v>
      </c>
      <c r="AD22" s="36">
        <f>IF(ISNA(VLOOKUP(A22,'Données projet'!$A$61:$I$81,4,0)),0,VLOOKUP(A22,'Données projet'!$A$61:$I$81,4,0))</f>
        <v>0</v>
      </c>
      <c r="AE22" s="37">
        <f>IF(ISNA(VLOOKUP(A22,'Données projet'!$A$61:$I$81,5,0)),0%,VLOOKUP(A22,'Données projet'!$A$61:$I$81,5,0)*VLOOKUP('Données projet'!$B$10,Paramètres!$A$1:$I$88,7,0))</f>
        <v>0</v>
      </c>
      <c r="AF22" s="37">
        <f>IF(ISNA(VLOOKUP(A22,'Données projet'!$A$61:$I$81,6,0)),0%,VLOOKUP(A22,'Données projet'!$A$61:$I$81,6,0)*VLOOKUP('Données projet'!$B$10,Paramètres!$A$1:$I$88,7,0))</f>
        <v>0</v>
      </c>
      <c r="AG22" s="37">
        <f>IF(ISNA(VLOOKUP(A22,'Données projet'!$A$61:$I$81,7,0)),0%,VLOOKUP(A22,'Données projet'!$A$61:$I$81,7,0))</f>
        <v>0</v>
      </c>
      <c r="AH22" s="45">
        <f>EXP(-LN(2)/35)*AH21+(1-EXP(-LN(2)/35))/(LN(2)/35)*AD22*AE22*VLOOKUP('Données projet'!$B$9,Paramètres!$A$1:$I$88,3,0)*0.475*44/12</f>
        <v>0</v>
      </c>
      <c r="AI22" s="45">
        <f>EXP(-LN(2)/25)*AI21+(1-EXP(-LN(2)/25))/(LN(2)/25)*Calculateur!AD22*Calculateur!AF22*VLOOKUP('Données projet'!$B$9,Paramètres!$A$1:$I$88,3,0)*0.475*44/12</f>
        <v>0</v>
      </c>
      <c r="AJ22" s="45">
        <f>EXP(-LN(2)/2)*AJ21+(1-EXP(-LN(2)/2))/(LN(2)/2)*AD22*AG22*VLOOKUP('Données projet'!$B$9,Paramètres!$A$1:$I$88,3,0)*0.475*44/12</f>
        <v>0</v>
      </c>
      <c r="AK22" s="45">
        <f t="shared" si="3"/>
        <v>0</v>
      </c>
      <c r="AL22" s="32" t="e">
        <f>VLOOKUP(A22,'Données projet'!$A$87:$I$107,2,0)</f>
        <v>#N/A</v>
      </c>
      <c r="AM22" s="33" t="e">
        <f>VLOOKUP(A22,'Données projet'!$A$87:$I$107,9,0)</f>
        <v>#N/A</v>
      </c>
      <c r="AN22" s="33">
        <f t="array" ref="AN22">INDEX(AM:AM,MIN(IF(ISNUMBER(AM22:AM218),ROW(AM22:AM218),"")))</f>
        <v>0</v>
      </c>
      <c r="AO22" s="33">
        <f t="shared" si="26"/>
        <v>0</v>
      </c>
      <c r="AP22" s="34" t="e">
        <f>AO22*VLOOKUP('Données projet'!$B$11,Paramètres!$A$1:$I$88,3,0)*VLOOKUP('Données projet'!$B$11,Paramètres!$A$1:$I$88,5,0)</f>
        <v>#N/A</v>
      </c>
      <c r="AQ22" s="34" t="e">
        <f t="shared" si="27"/>
        <v>#N/A</v>
      </c>
      <c r="AR22" s="44" t="e">
        <f t="shared" si="4"/>
        <v>#N/A</v>
      </c>
      <c r="AS22" s="36">
        <f>IF(ISNA(VLOOKUP(A22,'Données projet'!$A$87:$I$107,3,0)),0,VLOOKUP(A22,'Données projet'!$A$87:$I$107,3,0))</f>
        <v>0</v>
      </c>
      <c r="AT22" s="36">
        <f>IF(ISNA(VLOOKUP(A22,'Données projet'!$A$87:$I$107,4,0)),0,VLOOKUP(A22,'Données projet'!$A$87:$I$107,4,0))</f>
        <v>0</v>
      </c>
      <c r="AU22" s="37">
        <f>IF(ISNA(VLOOKUP(A22,'Données projet'!$A$87:$I$107,5,0)),0%,VLOOKUP(A22,'Données projet'!$A$87:$I$107,5,0)*VLOOKUP('Données projet'!$B$11,Paramètres!$A$1:$I$88,7,0))</f>
        <v>0</v>
      </c>
      <c r="AV22" s="37">
        <f>IF(ISNA(VLOOKUP(A22,'Données projet'!$A$87:$I$107,6,0)),0%,VLOOKUP(A22,'Données projet'!$A$87:$I$107,6,0)*VLOOKUP('Données projet'!$B$11,Paramètres!$A$1:$I$88,7,0))</f>
        <v>0</v>
      </c>
      <c r="AW22" s="37">
        <f>IF(ISNA(VLOOKUP(A22,'Données projet'!$A$87:$I$107,7,0)),0%,VLOOKUP(A22,'Données projet'!$A$87:$I$107,7,0))</f>
        <v>0</v>
      </c>
      <c r="AX22" s="45">
        <f>EXP(-LN(2)/35)*AX21+(1-EXP(-LN(2)/35))/(LN(2)/35)*AT22*AU22*VLOOKUP('Données projet'!$B$9,Paramètres!$A$1:$I$88,3,0)*0.475*44/12</f>
        <v>0</v>
      </c>
      <c r="AY22" s="45">
        <f>EXP(-LN(2)/25)*AY21+(1-EXP(-LN(2)/25))/(LN(2)/25)*Calculateur!AT22*Calculateur!AV22*VLOOKUP('Données projet'!$B$9,Paramètres!$A$1:$I$88,3,0)*0.475*44/12</f>
        <v>0</v>
      </c>
      <c r="AZ22" s="45">
        <f>EXP(-LN(2)/2)*AZ21+(1-EXP(-LN(2)/2))/(LN(2)/2)*AT22*AW22*VLOOKUP('Données projet'!$B$9,Paramètres!$A$1:$I$88,3,0)*0.475*44/12</f>
        <v>0</v>
      </c>
      <c r="BA22" s="46">
        <f t="shared" si="5"/>
        <v>0</v>
      </c>
      <c r="BB22" s="32" t="e">
        <f>VLOOKUP(A22,'Données projet'!$A$113:$I$133,2,0)</f>
        <v>#N/A</v>
      </c>
      <c r="BC22" s="33" t="e">
        <f>VLOOKUP(A22,'Données projet'!$A$113:$I$133,9,0)</f>
        <v>#N/A</v>
      </c>
      <c r="BD22" s="33">
        <f t="array" ref="BD22">INDEX(BC:BC,MIN(IF(ISNUMBER(BC22:BC218),ROW(BC22:BC218),"")))</f>
        <v>0</v>
      </c>
      <c r="BE22" s="33">
        <f t="shared" si="28"/>
        <v>0</v>
      </c>
      <c r="BF22" s="34" t="e">
        <f>BE22*VLOOKUP('Données projet'!$B$12,Paramètres!$A$1:$I$88,3,0)*VLOOKUP('Données projet'!$B$12,Paramètres!$A$1:$I$88,5,0)</f>
        <v>#N/A</v>
      </c>
      <c r="BG22" s="34" t="e">
        <f t="shared" si="29"/>
        <v>#N/A</v>
      </c>
      <c r="BH22" s="44" t="e">
        <f t="shared" si="6"/>
        <v>#N/A</v>
      </c>
      <c r="BI22" s="36">
        <f>IF(ISNA(VLOOKUP(A22,'Données projet'!$A$113:$I$133,3,0)),0,VLOOKUP(A22,'Données projet'!$A$113:$I$133,3,0))</f>
        <v>0</v>
      </c>
      <c r="BJ22" s="36">
        <f>IF(ISNA(VLOOKUP(A22,'Données projet'!$A$113:$I$133,4,0)),0,VLOOKUP(A22,'Données projet'!$A$113:$I$133,4,0))</f>
        <v>0</v>
      </c>
      <c r="BK22" s="37">
        <f>IF(ISNA(VLOOKUP(A22,'Données projet'!$A$113:$I$133,5,0)),0%,VLOOKUP(A22,'Données projet'!$A$113:$I$133,5,0)*VLOOKUP('Données projet'!$B$12,Paramètres!$A$1:$I$88,7,0))</f>
        <v>0</v>
      </c>
      <c r="BL22" s="37">
        <f>IF(ISNA(VLOOKUP(A22,'Données projet'!$A$113:$I$133,6,0)),0%,VLOOKUP(A22,'Données projet'!$A$113:$I$133,6,0)*VLOOKUP('Données projet'!$B$12,Paramètres!$A$1:$I$88,7,0))</f>
        <v>0</v>
      </c>
      <c r="BM22" s="37">
        <f>IF(ISNA(VLOOKUP(A22,'Données projet'!$A$113:$I$133,7,0)),0%,VLOOKUP(A22,'Données projet'!$A$113:$I$133,7,0))</f>
        <v>0</v>
      </c>
      <c r="BN22" s="45">
        <f>EXP(-LN(2)/35)*BN21+(1-EXP(-LN(2)/35))/(LN(2)/35)*BJ22*BK22*VLOOKUP('Données projet'!$B$9,Paramètres!$A$1:$I$88,3,0)*0.475*44/12</f>
        <v>0</v>
      </c>
      <c r="BO22" s="45">
        <f>EXP(-LN(2)/25)*BO21+(1-EXP(-LN(2)/25))/(LN(2)/25)*Calculateur!BJ22*Calculateur!BL22*VLOOKUP('Données projet'!$B$9,Paramètres!$A$1:$I$88,3,0)*0.475*44/12</f>
        <v>0</v>
      </c>
      <c r="BP22" s="45">
        <f>EXP(-LN(2)/2)*BP21+(1-EXP(-LN(2)/2))/(LN(2)/2)*BJ22*BM22*VLOOKUP('Données projet'!$B$9,Paramètres!$A$1:$I$88,3,0)*0.475*44/12</f>
        <v>0</v>
      </c>
      <c r="BQ22" s="46">
        <f t="shared" si="7"/>
        <v>0</v>
      </c>
      <c r="BR22" s="32" t="e">
        <f>VLOOKUP(A22,'Données projet'!$A$139:$I$159,2,0)</f>
        <v>#N/A</v>
      </c>
      <c r="BS22" s="33" t="e">
        <f>VLOOKUP(A22,'Données projet'!$A$139:$I$159,9,0)</f>
        <v>#N/A</v>
      </c>
      <c r="BT22" s="33">
        <f t="array" ref="BT22">INDEX(BS:BS,MIN(IF(ISNUMBER(BS22:BS218),ROW(BS22:BS218),"")))</f>
        <v>0</v>
      </c>
      <c r="BU22" s="33">
        <f t="shared" si="41"/>
        <v>0</v>
      </c>
      <c r="BV22" s="38" t="e">
        <f>BU22*VLOOKUP('Données projet'!$B$13,Paramètres!$A$1:$I$88,3,0)*VLOOKUP('Données projet'!$B$13,Paramètres!$A$1:$I$88,5,0)</f>
        <v>#N/A</v>
      </c>
      <c r="BW22" s="34" t="e">
        <f t="shared" si="30"/>
        <v>#N/A</v>
      </c>
      <c r="BX22" s="44" t="e">
        <f t="shared" si="8"/>
        <v>#N/A</v>
      </c>
      <c r="BY22" s="36">
        <f>IF(ISNA(VLOOKUP(A22,'Données projet'!$A$139:$I$159,3,0)),0,VLOOKUP(A22,'Données projet'!$A$139:$I$159,3,0))</f>
        <v>0</v>
      </c>
      <c r="BZ22" s="36">
        <f>IF(ISNA(VLOOKUP(A22,'Données projet'!$A$139:$I$159,4,0)),0,VLOOKUP(A22,'Données projet'!$A$139:$I$159,4,0))</f>
        <v>0</v>
      </c>
      <c r="CA22" s="37">
        <f>IF(ISNA(VLOOKUP(A22,'Données projet'!$A$139:$I$159,5,0)),0%,VLOOKUP(A22,'Données projet'!$A$139:$I$159,5,0)*VLOOKUP('Données projet'!$B$13,Paramètres!$A$1:$I$88,7,0))</f>
        <v>0</v>
      </c>
      <c r="CB22" s="37">
        <f>IF(ISNA(VLOOKUP(A22,'Données projet'!$A$139:$I$159,6,0)),0%,VLOOKUP(A22,'Données projet'!$A$139:$I$159,6,0)*VLOOKUP('Données projet'!$B$13,Paramètres!$A$1:$I$88,7,0))</f>
        <v>0</v>
      </c>
      <c r="CC22" s="37">
        <f>IF(ISNA(VLOOKUP(A22,'Données projet'!$A$139:$I$159,7,0)),0%,VLOOKUP(A22,'Données projet'!$A$139:$I$159,7,0))</f>
        <v>0</v>
      </c>
      <c r="CD22" s="45">
        <f>EXP(-LN(2)/35)*CD21+(1-EXP(-LN(2)/35))/(LN(2)/35)*BZ22*CA22*VLOOKUP('Données projet'!$B$9,Paramètres!$A$1:$I$88,3,0)*0.475*44/12</f>
        <v>0</v>
      </c>
      <c r="CE22" s="45">
        <f>EXP(-LN(2)/25)*CE21+(1-EXP(-LN(2)/25))/(LN(2)/25)*Calculateur!BZ22*Calculateur!CB22*VLOOKUP('Données projet'!$B$9,Paramètres!$A$1:$I$88,3,0)*0.475*44/12</f>
        <v>0</v>
      </c>
      <c r="CF22" s="45">
        <f>EXP(-LN(2)/2)*CF21+(1-EXP(-LN(2)/2))/(LN(2)/2)*BZ22*CC22*VLOOKUP('Données projet'!$B$9,Paramètres!$A$1:$I$88,3,0)*0.475*44/12</f>
        <v>0</v>
      </c>
      <c r="CG22" s="46">
        <f t="shared" si="9"/>
        <v>0</v>
      </c>
      <c r="CH22" s="32" t="e">
        <f>VLOOKUP(A22,'Données projet'!$A$165:$I$185,2,0)</f>
        <v>#N/A</v>
      </c>
      <c r="CI22" s="33" t="e">
        <f>VLOOKUP(A22,'Données projet'!$A$165:$I$185,9,0)</f>
        <v>#N/A</v>
      </c>
      <c r="CJ22" s="33">
        <f t="array" ref="CJ22">INDEX(CI:CI,MIN(IF(ISNUMBER(CI22:CI218),ROW(CI22:CI218),"")))</f>
        <v>0</v>
      </c>
      <c r="CK22" s="33">
        <f t="shared" si="31"/>
        <v>0</v>
      </c>
      <c r="CL22" s="38" t="e">
        <f>CK22*VLOOKUP('Données projet'!$B$14,Paramètres!$A$1:$I$88,3,0)*VLOOKUP('Données projet'!$B$14,Paramètres!$A$1:$I$88,5,0)</f>
        <v>#N/A</v>
      </c>
      <c r="CM22" s="34" t="e">
        <f t="shared" si="32"/>
        <v>#N/A</v>
      </c>
      <c r="CN22" s="44" t="e">
        <f t="shared" si="10"/>
        <v>#N/A</v>
      </c>
      <c r="CO22" s="36">
        <f>IF(ISNA(VLOOKUP(A22,'Données projet'!$A$165:$I$185,3,0)),0,VLOOKUP(A22,'Données projet'!$A$165:$I$185,3,0))</f>
        <v>0</v>
      </c>
      <c r="CP22" s="36">
        <f>IF(ISNA(VLOOKUP(A22,'Données projet'!$A$165:$I$185,4,0)),0,VLOOKUP(A22,'Données projet'!$A$165:$I$185,4,0))</f>
        <v>0</v>
      </c>
      <c r="CQ22" s="37">
        <f>IF(ISNA(VLOOKUP(A22,'Données projet'!$A$165:$I$185,5,0)),0%,VLOOKUP(A22,'Données projet'!$A$165:$I$185,5,0)*VLOOKUP('Données projet'!$B$14,Paramètres!$A$1:$I$88,7,0))</f>
        <v>0</v>
      </c>
      <c r="CR22" s="37">
        <f>IF(ISNA(VLOOKUP(A22,'Données projet'!$A$165:$I$185,6,0)),0%,VLOOKUP(A22,'Données projet'!$A$165:$I$185,6,0)*VLOOKUP('Données projet'!$B$14,Paramètres!$A$1:$I$88,7,0))</f>
        <v>0</v>
      </c>
      <c r="CS22" s="37">
        <f>IF(ISNA(VLOOKUP(A22,'Données projet'!$A$165:$I$185,7,0)),0%,VLOOKUP(A22,'Données projet'!$A$165:$I$185,7,0))</f>
        <v>0</v>
      </c>
      <c r="CT22" s="45">
        <f>EXP(-LN(2)/35)*CT21+(1-EXP(-LN(2)/35))/(LN(2)/35)*CP22*CQ22*VLOOKUP('Données projet'!$B$9,Paramètres!$A$1:$I$88,3,0)*0.475*44/12</f>
        <v>0</v>
      </c>
      <c r="CU22" s="45">
        <f>EXP(-LN(2)/25)*CU21+(1-EXP(-LN(2)/25))/(LN(2)/25)*Calculateur!CP22*Calculateur!CR22*VLOOKUP('Données projet'!$B$9,Paramètres!$A$1:$I$88,3,0)*0.475*44/12</f>
        <v>0</v>
      </c>
      <c r="CV22" s="45">
        <f>EXP(-LN(2)/2)*CV21+(1-EXP(-LN(2)/2))/(LN(2)/2)*CP22*CS22*VLOOKUP('Données projet'!$B$9,Paramètres!$A$1:$I$88,3,0)*0.475*44/12</f>
        <v>0</v>
      </c>
      <c r="CW22" s="46">
        <f t="shared" si="11"/>
        <v>0</v>
      </c>
      <c r="CX22" s="32" t="e">
        <f>VLOOKUP(A22,'Données projet'!$A$191:$I$211,2,0)</f>
        <v>#N/A</v>
      </c>
      <c r="CY22" s="33" t="e">
        <f>VLOOKUP(A22,'Données projet'!$A$191:$I$211,9,0)</f>
        <v>#N/A</v>
      </c>
      <c r="CZ22" s="33">
        <f t="array" ref="CZ22">INDEX(CY:CY,MIN(IF(ISNUMBER(CY22:CY218),ROW(CY22:CY218),"")))</f>
        <v>0</v>
      </c>
      <c r="DA22" s="33">
        <f t="shared" si="33"/>
        <v>0</v>
      </c>
      <c r="DB22" s="38" t="e">
        <f>DA22*VLOOKUP('Données projet'!$B$15,Paramètres!$A$1:$I$88,3,0)*VLOOKUP('Données projet'!$B$15,Paramètres!$A$1:$I$88,5,0)</f>
        <v>#N/A</v>
      </c>
      <c r="DC22" s="34" t="e">
        <f t="shared" si="34"/>
        <v>#N/A</v>
      </c>
      <c r="DD22" s="44" t="e">
        <f t="shared" si="12"/>
        <v>#N/A</v>
      </c>
      <c r="DE22" s="36">
        <f>IF(ISNA(VLOOKUP(A22,'Données projet'!$A$191:$I$211,3,0)),0,VLOOKUP(A22,'Données projet'!$A$191:$I$211,3,0))</f>
        <v>0</v>
      </c>
      <c r="DF22" s="36">
        <f>IF(ISNA(VLOOKUP(A22,'Données projet'!$A$191:$I$211,4,0)),0,VLOOKUP(A22,'Données projet'!$A$191:$I$211,4,0))</f>
        <v>0</v>
      </c>
      <c r="DG22" s="37">
        <f>IF(ISNA(VLOOKUP(A22,'Données projet'!$A$191:$I$211,5,0)),0%,VLOOKUP(A22,'Données projet'!$A$191:$I$211,5,0)*VLOOKUP('Données projet'!$B$15,Paramètres!$A$1:$I$88,7,0))</f>
        <v>0</v>
      </c>
      <c r="DH22" s="37">
        <f>IF(ISNA(VLOOKUP(A22,'Données projet'!$A$191:$I$211,6,0)),0%,VLOOKUP(A22,'Données projet'!$A$191:$I$211,6,0)*VLOOKUP('Données projet'!$B$15,Paramètres!$A$1:$I$88,7,0))</f>
        <v>0</v>
      </c>
      <c r="DI22" s="37">
        <f>IF(ISNA(VLOOKUP(A22,'Données projet'!$A$191:$I$211,7,0)),0%,VLOOKUP(A22,'Données projet'!$A$191:$I$211,7,0))</f>
        <v>0</v>
      </c>
      <c r="DJ22" s="45">
        <f>EXP(-LN(2)/35)*DJ21+(1-EXP(-LN(2)/35))/(LN(2)/35)*DF22*DG22*VLOOKUP('Données projet'!$B$9,Paramètres!$A$1:$I$88,3,0)*0.475*44/12</f>
        <v>0</v>
      </c>
      <c r="DK22" s="45">
        <f>EXP(-LN(2)/25)*DK21+(1-EXP(-LN(2)/25))/(LN(2)/25)*Calculateur!DF22*Calculateur!DH22*VLOOKUP('Données projet'!$B$9,Paramètres!$A$1:$I$88,3,0)*0.475*44/12</f>
        <v>0</v>
      </c>
      <c r="DL22" s="45">
        <f>EXP(-LN(2)/2)*DL21+(1-EXP(-LN(2)/2))/(LN(2)/2)*DF22*DI22*VLOOKUP('Données projet'!$B$9,Paramètres!$A$1:$I$88,3,0)*0.475*44/12</f>
        <v>0</v>
      </c>
      <c r="DM22" s="46">
        <f t="shared" si="13"/>
        <v>0</v>
      </c>
      <c r="DN22" s="32" t="e">
        <f>VLOOKUP(A22,'Données projet'!$A$217:$I$237,2,0)</f>
        <v>#N/A</v>
      </c>
      <c r="DO22" s="33" t="e">
        <f>VLOOKUP(A22,'Données projet'!$A$217:$I$237,9,0)</f>
        <v>#N/A</v>
      </c>
      <c r="DP22" s="33">
        <f t="array" ref="DP22">INDEX(DO:DO,MIN(IF(ISNUMBER(DO22:DO218),ROW(DO22:DO218),"")))</f>
        <v>0</v>
      </c>
      <c r="DQ22" s="33">
        <f t="shared" si="35"/>
        <v>0</v>
      </c>
      <c r="DR22" s="38" t="e">
        <f>DQ22*VLOOKUP('Données projet'!$B$16,Paramètres!$A$1:$I$88,3,0)*VLOOKUP('Données projet'!$B$16,Paramètres!$A$1:$I$88,5,0)</f>
        <v>#N/A</v>
      </c>
      <c r="DS22" s="34" t="e">
        <f t="shared" si="36"/>
        <v>#N/A</v>
      </c>
      <c r="DT22" s="44" t="e">
        <f t="shared" si="14"/>
        <v>#N/A</v>
      </c>
      <c r="DU22" s="36">
        <f>IF(ISNA(VLOOKUP(A22,'Données projet'!$A$217:$I$237,3,0)),0,VLOOKUP(A22,'Données projet'!$A$217:$I$237,3,0))</f>
        <v>0</v>
      </c>
      <c r="DV22" s="36">
        <f>IF(ISNA(VLOOKUP(A22,'Données projet'!$A$217:$I$237,4,0)),0,VLOOKUP(A22,'Données projet'!$A$217:$I$237,4,0))</f>
        <v>0</v>
      </c>
      <c r="DW22" s="37">
        <f>IF(ISNA(VLOOKUP(A22,'Données projet'!$A$217:$I$237,5,0)),0%,VLOOKUP(A22,'Données projet'!$A$217:$I$237,5,0)*VLOOKUP('Données projet'!$B$16,Paramètres!$A$1:$I$88,7,0))</f>
        <v>0</v>
      </c>
      <c r="DX22" s="37">
        <f>IF(ISNA(VLOOKUP(A22,'Données projet'!$A$217:$I$237,6,0)),0%,VLOOKUP(A22,'Données projet'!$A$217:$I$237,6,0)*VLOOKUP('Données projet'!$B$16,Paramètres!$A$1:$I$88,7,0))</f>
        <v>0</v>
      </c>
      <c r="DY22" s="37">
        <f>IF(ISNA(VLOOKUP(A22,'Données projet'!$A$217:$I$237,7,0)),0%,VLOOKUP(A22,'Données projet'!$A$217:$I$237,7,0))</f>
        <v>0</v>
      </c>
      <c r="DZ22" s="45">
        <f>EXP(-LN(2)/35)*DZ21+(1-EXP(-LN(2)/35))/(LN(2)/35)*DV22*DW22*VLOOKUP('Données projet'!$B$9,Paramètres!$A$1:$I$88,3,0)*0.475*44/12</f>
        <v>0</v>
      </c>
      <c r="EA22" s="45">
        <f>EXP(-LN(2)/25)*EA21+(1-EXP(-LN(2)/25))/(LN(2)/25)*Calculateur!DV22*Calculateur!DX22*VLOOKUP('Données projet'!$B$9,Paramètres!$A$1:$I$88,3,0)*0.475*44/12</f>
        <v>0</v>
      </c>
      <c r="EB22" s="45">
        <f>EXP(-LN(2)/2)*EB21+(1-EXP(-LN(2)/2))/(LN(2)/2)*DV22*DY22*VLOOKUP('Données projet'!$B$9,Paramètres!$A$1:$I$88,3,0)*0.475*44/12</f>
        <v>0</v>
      </c>
      <c r="EC22" s="46">
        <f t="shared" si="15"/>
        <v>0</v>
      </c>
      <c r="ED22" s="32" t="e">
        <f>VLOOKUP(A22,'Données projet'!$A$243:$I$263,2,0)</f>
        <v>#N/A</v>
      </c>
      <c r="EE22" s="33" t="e">
        <f>VLOOKUP(A22,'Données projet'!$A$243:$I$263,9,0)</f>
        <v>#N/A</v>
      </c>
      <c r="EF22" s="33">
        <f t="array" ref="EF22">INDEX(EE:EE,MIN(IF(ISNUMBER(EE22:EE218),ROW(EE22:EE218),"")))</f>
        <v>0</v>
      </c>
      <c r="EG22" s="33">
        <f t="shared" si="37"/>
        <v>0</v>
      </c>
      <c r="EH22" s="38" t="e">
        <f>EG22*VLOOKUP('Données projet'!$B$17,Paramètres!$A$1:$I$88,3,0)*VLOOKUP('Données projet'!$B$17,Paramètres!$A$1:$I$88,5,0)</f>
        <v>#N/A</v>
      </c>
      <c r="EI22" s="34" t="e">
        <f t="shared" si="38"/>
        <v>#N/A</v>
      </c>
      <c r="EJ22" s="44" t="e">
        <f t="shared" si="16"/>
        <v>#N/A</v>
      </c>
      <c r="EK22" s="36">
        <f>IF(ISNA(VLOOKUP(A22,'Données projet'!$A$243:$I$263,3,0)),0,VLOOKUP(A22,'Données projet'!$A$243:$I$263,3,0))</f>
        <v>0</v>
      </c>
      <c r="EL22" s="36">
        <f>IF(ISNA(VLOOKUP(A22,'Données projet'!$A$243:$I$263,4,0)),0,VLOOKUP(A22,'Données projet'!$A$243:$I$263,4,0))</f>
        <v>0</v>
      </c>
      <c r="EM22" s="37">
        <f>IF(ISNA(VLOOKUP(A22,'Données projet'!$A$243:$I$263,5,0)),0%,VLOOKUP(A22,'Données projet'!$A$243:$I$263,5,0)*VLOOKUP('Données projet'!$B$17,Paramètres!$A$1:$I$88,7,0))</f>
        <v>0</v>
      </c>
      <c r="EN22" s="37">
        <f>IF(ISNA(VLOOKUP(A22,'Données projet'!$A$243:$I$263,6,0)),0%,VLOOKUP(A22,'Données projet'!$A$243:$I$263,6,0)*VLOOKUP('Données projet'!$B$17,Paramètres!$A$1:$I$88,7,0))</f>
        <v>0</v>
      </c>
      <c r="EO22" s="37">
        <f>IF(ISNA(VLOOKUP(A22,'Données projet'!$A$243:$I$263,7,0)),0%,VLOOKUP(A22,'Données projet'!$A$243:$I$263,7,0))</f>
        <v>0</v>
      </c>
      <c r="EP22" s="45">
        <f>EXP(-LN(2)/35)*EP21+(1-EXP(-LN(2)/35))/(LN(2)/35)*EL22*EM22*VLOOKUP('Données projet'!$B$9,Paramètres!$A$1:$I$88,3,0)*0.475*44/12</f>
        <v>0</v>
      </c>
      <c r="EQ22" s="45">
        <f>EXP(-LN(2)/25)*EQ21+(1-EXP(-LN(2)/25))/(LN(2)/25)*Calculateur!EL22*Calculateur!EN22*VLOOKUP('Données projet'!$B$9,Paramètres!$A$1:$I$88,3,0)*0.475*44/12</f>
        <v>0</v>
      </c>
      <c r="ER22" s="45">
        <f>EXP(-LN(2)/2)*ER21+(1-EXP(-LN(2)/2))/(LN(2)/2)*EL22*EO22*VLOOKUP('Données projet'!$B$9,Paramètres!$A$1:$I$88,3,0)*0.475*44/12</f>
        <v>0</v>
      </c>
      <c r="ES22" s="46">
        <f t="shared" si="17"/>
        <v>0</v>
      </c>
      <c r="ET22" s="32" t="e">
        <f>VLOOKUP(A22,'Données projet'!$A$269:$I$289,2,0)</f>
        <v>#N/A</v>
      </c>
      <c r="EU22" s="33" t="e">
        <f>VLOOKUP(A22,'Données projet'!$A$269:$I$289,9,0)</f>
        <v>#N/A</v>
      </c>
      <c r="EV22" s="33">
        <f t="array" ref="EV22">INDEX(EU:EU,MIN(IF(ISNUMBER(EU22:EU218),ROW(EU22:EU218),"")))</f>
        <v>0</v>
      </c>
      <c r="EW22" s="33">
        <f t="shared" si="39"/>
        <v>0</v>
      </c>
      <c r="EX22" s="38" t="e">
        <f>EW22*VLOOKUP('Données projet'!$B$18,Paramètres!$A$1:$I$88,3,0)*VLOOKUP('Données projet'!$B$18,Paramètres!$A$1:$I$88,5,0)</f>
        <v>#N/A</v>
      </c>
      <c r="EY22" s="34" t="e">
        <f t="shared" si="40"/>
        <v>#N/A</v>
      </c>
      <c r="EZ22" s="44" t="e">
        <f t="shared" si="18"/>
        <v>#N/A</v>
      </c>
      <c r="FA22" s="36">
        <f>IF(ISNA(VLOOKUP(A22,'Données projet'!$A$269:$I$289,3,0)),0,VLOOKUP(A22,'Données projet'!$A$269:$I$289,3,0))</f>
        <v>0</v>
      </c>
      <c r="FB22" s="36">
        <f>IF(ISNA(VLOOKUP(A22,'Données projet'!$A$269:$I$289,4,0)),0,VLOOKUP(A22,'Données projet'!$A$269:$I$289,4,0))</f>
        <v>0</v>
      </c>
      <c r="FC22" s="37">
        <f>IF(ISNA(VLOOKUP(A22,'Données projet'!$A$269:$I$289,5,0)),0%,VLOOKUP(A22,'Données projet'!$A$269:$I$289,5,0)*VLOOKUP('Données projet'!$B$18,Paramètres!$A$1:$I$88,7,0))</f>
        <v>0</v>
      </c>
      <c r="FD22" s="37">
        <f>IF(ISNA(VLOOKUP(A22,'Données projet'!$A$269:$I$289,6,0)),0%,VLOOKUP(A22,'Données projet'!$A$269:$I$289,6,0)*VLOOKUP('Données projet'!$B$18,Paramètres!$A$1:$I$88,7,0))</f>
        <v>0</v>
      </c>
      <c r="FE22" s="37">
        <f>IF(ISNA(VLOOKUP(A22,'Données projet'!$A$269:$I$289,7,0)),0%,VLOOKUP(A22,'Données projet'!$A$269:$I$289,7,0))</f>
        <v>0</v>
      </c>
      <c r="FF22" s="45">
        <f>EXP(-LN(2)/35)*FF21+(1-EXP(-LN(2)/35))/(LN(2)/35)*FB22*FC22*VLOOKUP('Données projet'!$B$9,Paramètres!$A$1:$I$88,3,0)*0.475*44/12</f>
        <v>0</v>
      </c>
      <c r="FG22" s="45">
        <f>EXP(-LN(2)/25)*FG21+(1-EXP(-LN(2)/25))/(LN(2)/25)*Calculateur!FB22*Calculateur!FD22*VLOOKUP('Données projet'!$B$9,Paramètres!$A$1:$I$88,3,0)*0.475*44/12</f>
        <v>0</v>
      </c>
      <c r="FH22" s="45">
        <f>EXP(-LN(2)/2)*FH21+(1-EXP(-LN(2)/2))/(LN(2)/2)*FB22*FE22*VLOOKUP('Données projet'!$B$9,Paramètres!$A$1:$I$88,3,0)*0.475*44/12</f>
        <v>0</v>
      </c>
      <c r="FI22" s="46">
        <f t="shared" si="19"/>
        <v>0</v>
      </c>
    </row>
    <row r="23" spans="1:165" x14ac:dyDescent="0.25">
      <c r="A23" s="24">
        <f t="shared" si="20"/>
        <v>20</v>
      </c>
      <c r="B23" s="25">
        <f>IF('Scénario référence'!$N$1=1,5,0)</f>
        <v>0</v>
      </c>
      <c r="C23" s="40">
        <f>IF(OR('Scénario référence'!$N$1=2,'Scénario référence'!$N$1=4),C22+1*VLOOKUP('Scénario référence'!$G$14,Paramètres!$A$1:$I$88,3,0)*VLOOKUP('Scénario référence'!$G$14,Paramètres!$A$1:$I$88,5,0),IF(OR('Scénario référence'!$N$1=3,'Scénario référence'!$N$1=5),C22+0.5*VLOOKUP('Scénario référence'!$G$14,Paramètres!$A$1:$I$88,3,0)*VLOOKUP('Scénario référence'!$G$14,Paramètres!$A$1:$I$88,5,0),0))</f>
        <v>10.92</v>
      </c>
      <c r="D23" s="26">
        <f t="shared" si="21"/>
        <v>3.810005372992582</v>
      </c>
      <c r="E23" s="27">
        <f>IF('Scénario référence'!$N$1=1,B23*44/12,(C23+D23)*0.475*44/12)</f>
        <v>25.654759357962078</v>
      </c>
      <c r="F23" s="28">
        <f>VLOOKUP(A23,'Données projet'!$A$35:$I$55,2,0)</f>
        <v>42</v>
      </c>
      <c r="G23" s="28">
        <f>VLOOKUP(A23,'Données projet'!$A$35:$I$55,9,0)</f>
        <v>2.1</v>
      </c>
      <c r="H23" s="33">
        <f t="array" ref="H23">INDEX(G:G,MIN(IF(ISNUMBER(G23:G219),ROW(G23:G219),"")))</f>
        <v>2.1</v>
      </c>
      <c r="I23" s="28">
        <f t="shared" si="22"/>
        <v>42.000000000000014</v>
      </c>
      <c r="J23" s="41">
        <f>I23*VLOOKUP('Données projet'!$B$9,Paramètres!$A$1:$I$88,3,0)*VLOOKUP('Données projet'!$B$9,Paramètres!$A$1:$I$88,5,0)</f>
        <v>42.588000000000022</v>
      </c>
      <c r="K23" s="41">
        <f t="shared" si="23"/>
        <v>12.68207376436577</v>
      </c>
      <c r="L23" s="42">
        <f t="shared" si="0"/>
        <v>96.262045139603742</v>
      </c>
      <c r="M23" s="30">
        <f>IF(ISNA(VLOOKUP(A23,'Données projet'!$A$35:$I$55,3,0)),0,VLOOKUP(A23,'Données projet'!$A$35:$I$55,3,0))</f>
        <v>0</v>
      </c>
      <c r="N23" s="30">
        <f>IF(ISNA(VLOOKUP(A23,'Données projet'!$A$35:$I$55,4,0)),0,VLOOKUP(A23,'Données projet'!$A$35:$I$55,4,0))</f>
        <v>0</v>
      </c>
      <c r="O23" s="31">
        <f>IF(ISNA(VLOOKUP(A23,'Données projet'!$A$35:$I$55,5,0)),0%,VLOOKUP(A23,'Données projet'!$A$35:$I$55,5,0)*VLOOKUP('Données projet'!$B$9,Paramètres!$A$1:$I$88,7,0))</f>
        <v>0</v>
      </c>
      <c r="P23" s="47">
        <f>IF(ISNA(VLOOKUP(A23,'Données projet'!$A$35:$I$55,6,0)),0%,VLOOKUP(A23,'Données projet'!$A$35:$I$55,6,0)*VLOOKUP('Données projet'!$B$9,Paramètres!$A$1:$I$88,7,0))</f>
        <v>0</v>
      </c>
      <c r="Q23" s="31">
        <f>IF(ISNA(VLOOKUP(A23,'Données projet'!$A$35:$I$55,7,0)),0%,VLOOKUP(A23,'Données projet'!$A$35:$I$55,7,0))</f>
        <v>0</v>
      </c>
      <c r="R23" s="43">
        <f>EXP(-LN(2)/35)*R22+(1-EXP(-LN(2)/35))/(LN(2)/35)*N23*O23*VLOOKUP('Données projet'!$B$9,Paramètres!$A$1:$I$88,3,0)*0.475*44/12</f>
        <v>0</v>
      </c>
      <c r="S23" s="43">
        <f>EXP(-LN(2)/25)*S22+(1-EXP(-LN(2)/25))/(LN(2)/25)*Calculateur!N23*Calculateur!P23*VLOOKUP('Données projet'!$B$9,Paramètres!$A$1:$I$88,3,0)*0.475*44/12</f>
        <v>0</v>
      </c>
      <c r="T23" s="43">
        <f>EXP(-LN(2)/2)*T22+(1-EXP(-LN(2)/2))/(LN(2)/2)*N23*Q23*VLOOKUP('Données projet'!$B$9,Paramètres!$A$1:$I$88,3,0)*0.475*44/12</f>
        <v>0</v>
      </c>
      <c r="U23" s="43">
        <f t="shared" si="1"/>
        <v>0</v>
      </c>
      <c r="V23" s="32" t="e">
        <f>VLOOKUP(A23,'Données projet'!$A$61:$I$81,2,0)</f>
        <v>#N/A</v>
      </c>
      <c r="W23" s="33" t="e">
        <f>VLOOKUP(A23,'Données projet'!$A$61:$I$81,9,0)</f>
        <v>#N/A</v>
      </c>
      <c r="X23" s="33">
        <f t="array" ref="X23">INDEX(W:W,MIN(IF(ISNUMBER(W23:W219),ROW(W23:W219),"")))</f>
        <v>0</v>
      </c>
      <c r="Y23" s="33">
        <f t="shared" si="24"/>
        <v>0</v>
      </c>
      <c r="Z23" s="34" t="e">
        <f>Y23*VLOOKUP('Données projet'!$B$10,Paramètres!$A$1:$I$88,3,0)*VLOOKUP('Données projet'!$B$10,Paramètres!$A$1:$I$88,5,0)</f>
        <v>#N/A</v>
      </c>
      <c r="AA23" s="34" t="e">
        <f t="shared" si="25"/>
        <v>#N/A</v>
      </c>
      <c r="AB23" s="44" t="e">
        <f t="shared" si="2"/>
        <v>#N/A</v>
      </c>
      <c r="AC23" s="36">
        <f>IF(ISNA(VLOOKUP(A23,'Données projet'!$A$61:$I$81,3,0)),0,VLOOKUP(A23,'Données projet'!$A$61:$I$81,3,0))</f>
        <v>0</v>
      </c>
      <c r="AD23" s="36">
        <f>IF(ISNA(VLOOKUP(A23,'Données projet'!$A$61:$I$81,4,0)),0,VLOOKUP(A23,'Données projet'!$A$61:$I$81,4,0))</f>
        <v>0</v>
      </c>
      <c r="AE23" s="37">
        <f>IF(ISNA(VLOOKUP(A23,'Données projet'!$A$61:$I$81,5,0)),0%,VLOOKUP(A23,'Données projet'!$A$61:$I$81,5,0)*VLOOKUP('Données projet'!$B$10,Paramètres!$A$1:$I$88,7,0))</f>
        <v>0</v>
      </c>
      <c r="AF23" s="37">
        <f>IF(ISNA(VLOOKUP(A23,'Données projet'!$A$61:$I$81,6,0)),0%,VLOOKUP(A23,'Données projet'!$A$61:$I$81,6,0)*VLOOKUP('Données projet'!$B$10,Paramètres!$A$1:$I$88,7,0))</f>
        <v>0</v>
      </c>
      <c r="AG23" s="37">
        <f>IF(ISNA(VLOOKUP(A23,'Données projet'!$A$61:$I$81,7,0)),0%,VLOOKUP(A23,'Données projet'!$A$61:$I$81,7,0))</f>
        <v>0</v>
      </c>
      <c r="AH23" s="45">
        <f>EXP(-LN(2)/35)*AH22+(1-EXP(-LN(2)/35))/(LN(2)/35)*AD23*AE23*VLOOKUP('Données projet'!$B$9,Paramètres!$A$1:$I$88,3,0)*0.475*44/12</f>
        <v>0</v>
      </c>
      <c r="AI23" s="45">
        <f>EXP(-LN(2)/25)*AI22+(1-EXP(-LN(2)/25))/(LN(2)/25)*Calculateur!AD23*Calculateur!AF23*VLOOKUP('Données projet'!$B$9,Paramètres!$A$1:$I$88,3,0)*0.475*44/12</f>
        <v>0</v>
      </c>
      <c r="AJ23" s="45">
        <f>EXP(-LN(2)/2)*AJ22+(1-EXP(-LN(2)/2))/(LN(2)/2)*AD23*AG23*VLOOKUP('Données projet'!$B$9,Paramètres!$A$1:$I$88,3,0)*0.475*44/12</f>
        <v>0</v>
      </c>
      <c r="AK23" s="45">
        <f t="shared" si="3"/>
        <v>0</v>
      </c>
      <c r="AL23" s="32" t="e">
        <f>VLOOKUP(A23,'Données projet'!$A$87:$I$107,2,0)</f>
        <v>#N/A</v>
      </c>
      <c r="AM23" s="33" t="e">
        <f>VLOOKUP(A23,'Données projet'!$A$87:$I$107,9,0)</f>
        <v>#N/A</v>
      </c>
      <c r="AN23" s="33">
        <f t="array" ref="AN23">INDEX(AM:AM,MIN(IF(ISNUMBER(AM23:AM219),ROW(AM23:AM219),"")))</f>
        <v>0</v>
      </c>
      <c r="AO23" s="33">
        <f t="shared" si="26"/>
        <v>0</v>
      </c>
      <c r="AP23" s="34" t="e">
        <f>AO23*VLOOKUP('Données projet'!$B$11,Paramètres!$A$1:$I$88,3,0)*VLOOKUP('Données projet'!$B$11,Paramètres!$A$1:$I$88,5,0)</f>
        <v>#N/A</v>
      </c>
      <c r="AQ23" s="34" t="e">
        <f t="shared" si="27"/>
        <v>#N/A</v>
      </c>
      <c r="AR23" s="44" t="e">
        <f t="shared" si="4"/>
        <v>#N/A</v>
      </c>
      <c r="AS23" s="36">
        <f>IF(ISNA(VLOOKUP(A23,'Données projet'!$A$87:$I$107,3,0)),0,VLOOKUP(A23,'Données projet'!$A$87:$I$107,3,0))</f>
        <v>0</v>
      </c>
      <c r="AT23" s="36">
        <f>IF(ISNA(VLOOKUP(A23,'Données projet'!$A$87:$I$107,4,0)),0,VLOOKUP(A23,'Données projet'!$A$87:$I$107,4,0))</f>
        <v>0</v>
      </c>
      <c r="AU23" s="37">
        <f>IF(ISNA(VLOOKUP(A23,'Données projet'!$A$87:$I$107,5,0)),0%,VLOOKUP(A23,'Données projet'!$A$87:$I$107,5,0)*VLOOKUP('Données projet'!$B$11,Paramètres!$A$1:$I$88,7,0))</f>
        <v>0</v>
      </c>
      <c r="AV23" s="37">
        <f>IF(ISNA(VLOOKUP(A23,'Données projet'!$A$87:$I$107,6,0)),0%,VLOOKUP(A23,'Données projet'!$A$87:$I$107,6,0)*VLOOKUP('Données projet'!$B$11,Paramètres!$A$1:$I$88,7,0))</f>
        <v>0</v>
      </c>
      <c r="AW23" s="37">
        <f>IF(ISNA(VLOOKUP(A23,'Données projet'!$A$87:$I$107,7,0)),0%,VLOOKUP(A23,'Données projet'!$A$87:$I$107,7,0))</f>
        <v>0</v>
      </c>
      <c r="AX23" s="45">
        <f>EXP(-LN(2)/35)*AX22+(1-EXP(-LN(2)/35))/(LN(2)/35)*AT23*AU23*VLOOKUP('Données projet'!$B$9,Paramètres!$A$1:$I$88,3,0)*0.475*44/12</f>
        <v>0</v>
      </c>
      <c r="AY23" s="45">
        <f>EXP(-LN(2)/25)*AY22+(1-EXP(-LN(2)/25))/(LN(2)/25)*Calculateur!AT23*Calculateur!AV23*VLOOKUP('Données projet'!$B$9,Paramètres!$A$1:$I$88,3,0)*0.475*44/12</f>
        <v>0</v>
      </c>
      <c r="AZ23" s="45">
        <f>EXP(-LN(2)/2)*AZ22+(1-EXP(-LN(2)/2))/(LN(2)/2)*AT23*AW23*VLOOKUP('Données projet'!$B$9,Paramètres!$A$1:$I$88,3,0)*0.475*44/12</f>
        <v>0</v>
      </c>
      <c r="BA23" s="46">
        <f t="shared" si="5"/>
        <v>0</v>
      </c>
      <c r="BB23" s="32" t="e">
        <f>VLOOKUP(A23,'Données projet'!$A$113:$I$133,2,0)</f>
        <v>#N/A</v>
      </c>
      <c r="BC23" s="33" t="e">
        <f>VLOOKUP(A23,'Données projet'!$A$113:$I$133,9,0)</f>
        <v>#N/A</v>
      </c>
      <c r="BD23" s="33">
        <f t="array" ref="BD23">INDEX(BC:BC,MIN(IF(ISNUMBER(BC23:BC219),ROW(BC23:BC219),"")))</f>
        <v>0</v>
      </c>
      <c r="BE23" s="33">
        <f t="shared" si="28"/>
        <v>0</v>
      </c>
      <c r="BF23" s="34" t="e">
        <f>BE23*VLOOKUP('Données projet'!$B$12,Paramètres!$A$1:$I$88,3,0)*VLOOKUP('Données projet'!$B$12,Paramètres!$A$1:$I$88,5,0)</f>
        <v>#N/A</v>
      </c>
      <c r="BG23" s="34" t="e">
        <f t="shared" si="29"/>
        <v>#N/A</v>
      </c>
      <c r="BH23" s="44" t="e">
        <f t="shared" si="6"/>
        <v>#N/A</v>
      </c>
      <c r="BI23" s="36">
        <f>IF(ISNA(VLOOKUP(A23,'Données projet'!$A$113:$I$133,3,0)),0,VLOOKUP(A23,'Données projet'!$A$113:$I$133,3,0))</f>
        <v>0</v>
      </c>
      <c r="BJ23" s="36">
        <f>IF(ISNA(VLOOKUP(A23,'Données projet'!$A$113:$I$133,4,0)),0,VLOOKUP(A23,'Données projet'!$A$113:$I$133,4,0))</f>
        <v>0</v>
      </c>
      <c r="BK23" s="37">
        <f>IF(ISNA(VLOOKUP(A23,'Données projet'!$A$113:$I$133,5,0)),0%,VLOOKUP(A23,'Données projet'!$A$113:$I$133,5,0)*VLOOKUP('Données projet'!$B$12,Paramètres!$A$1:$I$88,7,0))</f>
        <v>0</v>
      </c>
      <c r="BL23" s="37">
        <f>IF(ISNA(VLOOKUP(A23,'Données projet'!$A$113:$I$133,6,0)),0%,VLOOKUP(A23,'Données projet'!$A$113:$I$133,6,0)*VLOOKUP('Données projet'!$B$12,Paramètres!$A$1:$I$88,7,0))</f>
        <v>0</v>
      </c>
      <c r="BM23" s="37">
        <f>IF(ISNA(VLOOKUP(A23,'Données projet'!$A$113:$I$133,7,0)),0%,VLOOKUP(A23,'Données projet'!$A$113:$I$133,7,0))</f>
        <v>0</v>
      </c>
      <c r="BN23" s="45">
        <f>EXP(-LN(2)/35)*BN22+(1-EXP(-LN(2)/35))/(LN(2)/35)*BJ23*BK23*VLOOKUP('Données projet'!$B$9,Paramètres!$A$1:$I$88,3,0)*0.475*44/12</f>
        <v>0</v>
      </c>
      <c r="BO23" s="45">
        <f>EXP(-LN(2)/25)*BO22+(1-EXP(-LN(2)/25))/(LN(2)/25)*Calculateur!BJ23*Calculateur!BL23*VLOOKUP('Données projet'!$B$9,Paramètres!$A$1:$I$88,3,0)*0.475*44/12</f>
        <v>0</v>
      </c>
      <c r="BP23" s="45">
        <f>EXP(-LN(2)/2)*BP22+(1-EXP(-LN(2)/2))/(LN(2)/2)*BJ23*BM23*VLOOKUP('Données projet'!$B$9,Paramètres!$A$1:$I$88,3,0)*0.475*44/12</f>
        <v>0</v>
      </c>
      <c r="BQ23" s="46">
        <f t="shared" si="7"/>
        <v>0</v>
      </c>
      <c r="BR23" s="32" t="e">
        <f>VLOOKUP(A23,'Données projet'!$A$139:$I$159,2,0)</f>
        <v>#N/A</v>
      </c>
      <c r="BS23" s="33" t="e">
        <f>VLOOKUP(A23,'Données projet'!$A$139:$I$159,9,0)</f>
        <v>#N/A</v>
      </c>
      <c r="BT23" s="33">
        <f t="array" ref="BT23">INDEX(BS:BS,MIN(IF(ISNUMBER(BS23:BS219),ROW(BS23:BS219),"")))</f>
        <v>0</v>
      </c>
      <c r="BU23" s="33">
        <f t="shared" si="41"/>
        <v>0</v>
      </c>
      <c r="BV23" s="38" t="e">
        <f>BU23*VLOOKUP('Données projet'!$B$13,Paramètres!$A$1:$I$88,3,0)*VLOOKUP('Données projet'!$B$13,Paramètres!$A$1:$I$88,5,0)</f>
        <v>#N/A</v>
      </c>
      <c r="BW23" s="34" t="e">
        <f t="shared" si="30"/>
        <v>#N/A</v>
      </c>
      <c r="BX23" s="44" t="e">
        <f t="shared" si="8"/>
        <v>#N/A</v>
      </c>
      <c r="BY23" s="36">
        <f>IF(ISNA(VLOOKUP(A23,'Données projet'!$A$139:$I$159,3,0)),0,VLOOKUP(A23,'Données projet'!$A$139:$I$159,3,0))</f>
        <v>0</v>
      </c>
      <c r="BZ23" s="36">
        <f>IF(ISNA(VLOOKUP(A23,'Données projet'!$A$139:$I$159,4,0)),0,VLOOKUP(A23,'Données projet'!$A$139:$I$159,4,0))</f>
        <v>0</v>
      </c>
      <c r="CA23" s="37">
        <f>IF(ISNA(VLOOKUP(A23,'Données projet'!$A$139:$I$159,5,0)),0%,VLOOKUP(A23,'Données projet'!$A$139:$I$159,5,0)*VLOOKUP('Données projet'!$B$13,Paramètres!$A$1:$I$88,7,0))</f>
        <v>0</v>
      </c>
      <c r="CB23" s="37">
        <f>IF(ISNA(VLOOKUP(A23,'Données projet'!$A$139:$I$159,6,0)),0%,VLOOKUP(A23,'Données projet'!$A$139:$I$159,6,0)*VLOOKUP('Données projet'!$B$13,Paramètres!$A$1:$I$88,7,0))</f>
        <v>0</v>
      </c>
      <c r="CC23" s="37">
        <f>IF(ISNA(VLOOKUP(A23,'Données projet'!$A$139:$I$159,7,0)),0%,VLOOKUP(A23,'Données projet'!$A$139:$I$159,7,0))</f>
        <v>0</v>
      </c>
      <c r="CD23" s="45">
        <f>EXP(-LN(2)/35)*CD22+(1-EXP(-LN(2)/35))/(LN(2)/35)*BZ23*CA23*VLOOKUP('Données projet'!$B$9,Paramètres!$A$1:$I$88,3,0)*0.475*44/12</f>
        <v>0</v>
      </c>
      <c r="CE23" s="45">
        <f>EXP(-LN(2)/25)*CE22+(1-EXP(-LN(2)/25))/(LN(2)/25)*Calculateur!BZ23*Calculateur!CB23*VLOOKUP('Données projet'!$B$9,Paramètres!$A$1:$I$88,3,0)*0.475*44/12</f>
        <v>0</v>
      </c>
      <c r="CF23" s="45">
        <f>EXP(-LN(2)/2)*CF22+(1-EXP(-LN(2)/2))/(LN(2)/2)*BZ23*CC23*VLOOKUP('Données projet'!$B$9,Paramètres!$A$1:$I$88,3,0)*0.475*44/12</f>
        <v>0</v>
      </c>
      <c r="CG23" s="46">
        <f t="shared" si="9"/>
        <v>0</v>
      </c>
      <c r="CH23" s="32" t="e">
        <f>VLOOKUP(A23,'Données projet'!$A$165:$I$185,2,0)</f>
        <v>#N/A</v>
      </c>
      <c r="CI23" s="33" t="e">
        <f>VLOOKUP(A23,'Données projet'!$A$165:$I$185,9,0)</f>
        <v>#N/A</v>
      </c>
      <c r="CJ23" s="33">
        <f t="array" ref="CJ23">INDEX(CI:CI,MIN(IF(ISNUMBER(CI23:CI219),ROW(CI23:CI219),"")))</f>
        <v>0</v>
      </c>
      <c r="CK23" s="33">
        <f t="shared" si="31"/>
        <v>0</v>
      </c>
      <c r="CL23" s="38" t="e">
        <f>CK23*VLOOKUP('Données projet'!$B$14,Paramètres!$A$1:$I$88,3,0)*VLOOKUP('Données projet'!$B$14,Paramètres!$A$1:$I$88,5,0)</f>
        <v>#N/A</v>
      </c>
      <c r="CM23" s="34" t="e">
        <f t="shared" si="32"/>
        <v>#N/A</v>
      </c>
      <c r="CN23" s="44" t="e">
        <f t="shared" si="10"/>
        <v>#N/A</v>
      </c>
      <c r="CO23" s="36">
        <f>IF(ISNA(VLOOKUP(A23,'Données projet'!$A$165:$I$185,3,0)),0,VLOOKUP(A23,'Données projet'!$A$165:$I$185,3,0))</f>
        <v>0</v>
      </c>
      <c r="CP23" s="36">
        <f>IF(ISNA(VLOOKUP(A23,'Données projet'!$A$165:$I$185,4,0)),0,VLOOKUP(A23,'Données projet'!$A$165:$I$185,4,0))</f>
        <v>0</v>
      </c>
      <c r="CQ23" s="37">
        <f>IF(ISNA(VLOOKUP(A23,'Données projet'!$A$165:$I$185,5,0)),0%,VLOOKUP(A23,'Données projet'!$A$165:$I$185,5,0)*VLOOKUP('Données projet'!$B$14,Paramètres!$A$1:$I$88,7,0))</f>
        <v>0</v>
      </c>
      <c r="CR23" s="37">
        <f>IF(ISNA(VLOOKUP(A23,'Données projet'!$A$165:$I$185,6,0)),0%,VLOOKUP(A23,'Données projet'!$A$165:$I$185,6,0)*VLOOKUP('Données projet'!$B$14,Paramètres!$A$1:$I$88,7,0))</f>
        <v>0</v>
      </c>
      <c r="CS23" s="37">
        <f>IF(ISNA(VLOOKUP(A23,'Données projet'!$A$165:$I$185,7,0)),0%,VLOOKUP(A23,'Données projet'!$A$165:$I$185,7,0))</f>
        <v>0</v>
      </c>
      <c r="CT23" s="45">
        <f>EXP(-LN(2)/35)*CT22+(1-EXP(-LN(2)/35))/(LN(2)/35)*CP23*CQ23*VLOOKUP('Données projet'!$B$9,Paramètres!$A$1:$I$88,3,0)*0.475*44/12</f>
        <v>0</v>
      </c>
      <c r="CU23" s="45">
        <f>EXP(-LN(2)/25)*CU22+(1-EXP(-LN(2)/25))/(LN(2)/25)*Calculateur!CP23*Calculateur!CR23*VLOOKUP('Données projet'!$B$9,Paramètres!$A$1:$I$88,3,0)*0.475*44/12</f>
        <v>0</v>
      </c>
      <c r="CV23" s="45">
        <f>EXP(-LN(2)/2)*CV22+(1-EXP(-LN(2)/2))/(LN(2)/2)*CP23*CS23*VLOOKUP('Données projet'!$B$9,Paramètres!$A$1:$I$88,3,0)*0.475*44/12</f>
        <v>0</v>
      </c>
      <c r="CW23" s="46">
        <f t="shared" si="11"/>
        <v>0</v>
      </c>
      <c r="CX23" s="32" t="e">
        <f>VLOOKUP(A23,'Données projet'!$A$191:$I$211,2,0)</f>
        <v>#N/A</v>
      </c>
      <c r="CY23" s="33" t="e">
        <f>VLOOKUP(A23,'Données projet'!$A$191:$I$211,9,0)</f>
        <v>#N/A</v>
      </c>
      <c r="CZ23" s="33">
        <f t="array" ref="CZ23">INDEX(CY:CY,MIN(IF(ISNUMBER(CY23:CY219),ROW(CY23:CY219),"")))</f>
        <v>0</v>
      </c>
      <c r="DA23" s="33">
        <f t="shared" si="33"/>
        <v>0</v>
      </c>
      <c r="DB23" s="38" t="e">
        <f>DA23*VLOOKUP('Données projet'!$B$15,Paramètres!$A$1:$I$88,3,0)*VLOOKUP('Données projet'!$B$15,Paramètres!$A$1:$I$88,5,0)</f>
        <v>#N/A</v>
      </c>
      <c r="DC23" s="34" t="e">
        <f t="shared" si="34"/>
        <v>#N/A</v>
      </c>
      <c r="DD23" s="44" t="e">
        <f t="shared" si="12"/>
        <v>#N/A</v>
      </c>
      <c r="DE23" s="36">
        <f>IF(ISNA(VLOOKUP(A23,'Données projet'!$A$191:$I$211,3,0)),0,VLOOKUP(A23,'Données projet'!$A$191:$I$211,3,0))</f>
        <v>0</v>
      </c>
      <c r="DF23" s="36">
        <f>IF(ISNA(VLOOKUP(A23,'Données projet'!$A$191:$I$211,4,0)),0,VLOOKUP(A23,'Données projet'!$A$191:$I$211,4,0))</f>
        <v>0</v>
      </c>
      <c r="DG23" s="37">
        <f>IF(ISNA(VLOOKUP(A23,'Données projet'!$A$191:$I$211,5,0)),0%,VLOOKUP(A23,'Données projet'!$A$191:$I$211,5,0)*VLOOKUP('Données projet'!$B$15,Paramètres!$A$1:$I$88,7,0))</f>
        <v>0</v>
      </c>
      <c r="DH23" s="37">
        <f>IF(ISNA(VLOOKUP(A23,'Données projet'!$A$191:$I$211,6,0)),0%,VLOOKUP(A23,'Données projet'!$A$191:$I$211,6,0)*VLOOKUP('Données projet'!$B$15,Paramètres!$A$1:$I$88,7,0))</f>
        <v>0</v>
      </c>
      <c r="DI23" s="37">
        <f>IF(ISNA(VLOOKUP(A23,'Données projet'!$A$191:$I$211,7,0)),0%,VLOOKUP(A23,'Données projet'!$A$191:$I$211,7,0))</f>
        <v>0</v>
      </c>
      <c r="DJ23" s="45">
        <f>EXP(-LN(2)/35)*DJ22+(1-EXP(-LN(2)/35))/(LN(2)/35)*DF23*DG23*VLOOKUP('Données projet'!$B$9,Paramètres!$A$1:$I$88,3,0)*0.475*44/12</f>
        <v>0</v>
      </c>
      <c r="DK23" s="45">
        <f>EXP(-LN(2)/25)*DK22+(1-EXP(-LN(2)/25))/(LN(2)/25)*Calculateur!DF23*Calculateur!DH23*VLOOKUP('Données projet'!$B$9,Paramètres!$A$1:$I$88,3,0)*0.475*44/12</f>
        <v>0</v>
      </c>
      <c r="DL23" s="45">
        <f>EXP(-LN(2)/2)*DL22+(1-EXP(-LN(2)/2))/(LN(2)/2)*DF23*DI23*VLOOKUP('Données projet'!$B$9,Paramètres!$A$1:$I$88,3,0)*0.475*44/12</f>
        <v>0</v>
      </c>
      <c r="DM23" s="46">
        <f t="shared" si="13"/>
        <v>0</v>
      </c>
      <c r="DN23" s="32" t="e">
        <f>VLOOKUP(A23,'Données projet'!$A$217:$I$237,2,0)</f>
        <v>#N/A</v>
      </c>
      <c r="DO23" s="33" t="e">
        <f>VLOOKUP(A23,'Données projet'!$A$217:$I$237,9,0)</f>
        <v>#N/A</v>
      </c>
      <c r="DP23" s="33">
        <f t="array" ref="DP23">INDEX(DO:DO,MIN(IF(ISNUMBER(DO23:DO219),ROW(DO23:DO219),"")))</f>
        <v>0</v>
      </c>
      <c r="DQ23" s="33">
        <f t="shared" si="35"/>
        <v>0</v>
      </c>
      <c r="DR23" s="38" t="e">
        <f>DQ23*VLOOKUP('Données projet'!$B$16,Paramètres!$A$1:$I$88,3,0)*VLOOKUP('Données projet'!$B$16,Paramètres!$A$1:$I$88,5,0)</f>
        <v>#N/A</v>
      </c>
      <c r="DS23" s="34" t="e">
        <f t="shared" si="36"/>
        <v>#N/A</v>
      </c>
      <c r="DT23" s="44" t="e">
        <f t="shared" si="14"/>
        <v>#N/A</v>
      </c>
      <c r="DU23" s="36">
        <f>IF(ISNA(VLOOKUP(A23,'Données projet'!$A$217:$I$237,3,0)),0,VLOOKUP(A23,'Données projet'!$A$217:$I$237,3,0))</f>
        <v>0</v>
      </c>
      <c r="DV23" s="36">
        <f>IF(ISNA(VLOOKUP(A23,'Données projet'!$A$217:$I$237,4,0)),0,VLOOKUP(A23,'Données projet'!$A$217:$I$237,4,0))</f>
        <v>0</v>
      </c>
      <c r="DW23" s="37">
        <f>IF(ISNA(VLOOKUP(A23,'Données projet'!$A$217:$I$237,5,0)),0%,VLOOKUP(A23,'Données projet'!$A$217:$I$237,5,0)*VLOOKUP('Données projet'!$B$16,Paramètres!$A$1:$I$88,7,0))</f>
        <v>0</v>
      </c>
      <c r="DX23" s="37">
        <f>IF(ISNA(VLOOKUP(A23,'Données projet'!$A$217:$I$237,6,0)),0%,VLOOKUP(A23,'Données projet'!$A$217:$I$237,6,0)*VLOOKUP('Données projet'!$B$16,Paramètres!$A$1:$I$88,7,0))</f>
        <v>0</v>
      </c>
      <c r="DY23" s="37">
        <f>IF(ISNA(VLOOKUP(A23,'Données projet'!$A$217:$I$237,7,0)),0%,VLOOKUP(A23,'Données projet'!$A$217:$I$237,7,0))</f>
        <v>0</v>
      </c>
      <c r="DZ23" s="45">
        <f>EXP(-LN(2)/35)*DZ22+(1-EXP(-LN(2)/35))/(LN(2)/35)*DV23*DW23*VLOOKUP('Données projet'!$B$9,Paramètres!$A$1:$I$88,3,0)*0.475*44/12</f>
        <v>0</v>
      </c>
      <c r="EA23" s="45">
        <f>EXP(-LN(2)/25)*EA22+(1-EXP(-LN(2)/25))/(LN(2)/25)*Calculateur!DV23*Calculateur!DX23*VLOOKUP('Données projet'!$B$9,Paramètres!$A$1:$I$88,3,0)*0.475*44/12</f>
        <v>0</v>
      </c>
      <c r="EB23" s="45">
        <f>EXP(-LN(2)/2)*EB22+(1-EXP(-LN(2)/2))/(LN(2)/2)*DV23*DY23*VLOOKUP('Données projet'!$B$9,Paramètres!$A$1:$I$88,3,0)*0.475*44/12</f>
        <v>0</v>
      </c>
      <c r="EC23" s="46">
        <f t="shared" si="15"/>
        <v>0</v>
      </c>
      <c r="ED23" s="32" t="e">
        <f>VLOOKUP(A23,'Données projet'!$A$243:$I$263,2,0)</f>
        <v>#N/A</v>
      </c>
      <c r="EE23" s="33" t="e">
        <f>VLOOKUP(A23,'Données projet'!$A$243:$I$263,9,0)</f>
        <v>#N/A</v>
      </c>
      <c r="EF23" s="33">
        <f t="array" ref="EF23">INDEX(EE:EE,MIN(IF(ISNUMBER(EE23:EE219),ROW(EE23:EE219),"")))</f>
        <v>0</v>
      </c>
      <c r="EG23" s="33">
        <f t="shared" si="37"/>
        <v>0</v>
      </c>
      <c r="EH23" s="38" t="e">
        <f>EG23*VLOOKUP('Données projet'!$B$17,Paramètres!$A$1:$I$88,3,0)*VLOOKUP('Données projet'!$B$17,Paramètres!$A$1:$I$88,5,0)</f>
        <v>#N/A</v>
      </c>
      <c r="EI23" s="34" t="e">
        <f t="shared" si="38"/>
        <v>#N/A</v>
      </c>
      <c r="EJ23" s="44" t="e">
        <f t="shared" si="16"/>
        <v>#N/A</v>
      </c>
      <c r="EK23" s="36">
        <f>IF(ISNA(VLOOKUP(A23,'Données projet'!$A$243:$I$263,3,0)),0,VLOOKUP(A23,'Données projet'!$A$243:$I$263,3,0))</f>
        <v>0</v>
      </c>
      <c r="EL23" s="36">
        <f>IF(ISNA(VLOOKUP(A23,'Données projet'!$A$243:$I$263,4,0)),0,VLOOKUP(A23,'Données projet'!$A$243:$I$263,4,0))</f>
        <v>0</v>
      </c>
      <c r="EM23" s="37">
        <f>IF(ISNA(VLOOKUP(A23,'Données projet'!$A$243:$I$263,5,0)),0%,VLOOKUP(A23,'Données projet'!$A$243:$I$263,5,0)*VLOOKUP('Données projet'!$B$17,Paramètres!$A$1:$I$88,7,0))</f>
        <v>0</v>
      </c>
      <c r="EN23" s="37">
        <f>IF(ISNA(VLOOKUP(A23,'Données projet'!$A$243:$I$263,6,0)),0%,VLOOKUP(A23,'Données projet'!$A$243:$I$263,6,0)*VLOOKUP('Données projet'!$B$17,Paramètres!$A$1:$I$88,7,0))</f>
        <v>0</v>
      </c>
      <c r="EO23" s="37">
        <f>IF(ISNA(VLOOKUP(A23,'Données projet'!$A$243:$I$263,7,0)),0%,VLOOKUP(A23,'Données projet'!$A$243:$I$263,7,0))</f>
        <v>0</v>
      </c>
      <c r="EP23" s="45">
        <f>EXP(-LN(2)/35)*EP22+(1-EXP(-LN(2)/35))/(LN(2)/35)*EL23*EM23*VLOOKUP('Données projet'!$B$9,Paramètres!$A$1:$I$88,3,0)*0.475*44/12</f>
        <v>0</v>
      </c>
      <c r="EQ23" s="45">
        <f>EXP(-LN(2)/25)*EQ22+(1-EXP(-LN(2)/25))/(LN(2)/25)*Calculateur!EL23*Calculateur!EN23*VLOOKUP('Données projet'!$B$9,Paramètres!$A$1:$I$88,3,0)*0.475*44/12</f>
        <v>0</v>
      </c>
      <c r="ER23" s="45">
        <f>EXP(-LN(2)/2)*ER22+(1-EXP(-LN(2)/2))/(LN(2)/2)*EL23*EO23*VLOOKUP('Données projet'!$B$9,Paramètres!$A$1:$I$88,3,0)*0.475*44/12</f>
        <v>0</v>
      </c>
      <c r="ES23" s="46">
        <f t="shared" si="17"/>
        <v>0</v>
      </c>
      <c r="ET23" s="32" t="e">
        <f>VLOOKUP(A23,'Données projet'!$A$269:$I$289,2,0)</f>
        <v>#N/A</v>
      </c>
      <c r="EU23" s="33" t="e">
        <f>VLOOKUP(A23,'Données projet'!$A$269:$I$289,9,0)</f>
        <v>#N/A</v>
      </c>
      <c r="EV23" s="33">
        <f t="array" ref="EV23">INDEX(EU:EU,MIN(IF(ISNUMBER(EU23:EU219),ROW(EU23:EU219),"")))</f>
        <v>0</v>
      </c>
      <c r="EW23" s="33">
        <f t="shared" si="39"/>
        <v>0</v>
      </c>
      <c r="EX23" s="38" t="e">
        <f>EW23*VLOOKUP('Données projet'!$B$18,Paramètres!$A$1:$I$88,3,0)*VLOOKUP('Données projet'!$B$18,Paramètres!$A$1:$I$88,5,0)</f>
        <v>#N/A</v>
      </c>
      <c r="EY23" s="34" t="e">
        <f t="shared" si="40"/>
        <v>#N/A</v>
      </c>
      <c r="EZ23" s="44" t="e">
        <f t="shared" si="18"/>
        <v>#N/A</v>
      </c>
      <c r="FA23" s="36">
        <f>IF(ISNA(VLOOKUP(A23,'Données projet'!$A$269:$I$289,3,0)),0,VLOOKUP(A23,'Données projet'!$A$269:$I$289,3,0))</f>
        <v>0</v>
      </c>
      <c r="FB23" s="36">
        <f>IF(ISNA(VLOOKUP(A23,'Données projet'!$A$269:$I$289,4,0)),0,VLOOKUP(A23,'Données projet'!$A$269:$I$289,4,0))</f>
        <v>0</v>
      </c>
      <c r="FC23" s="37">
        <f>IF(ISNA(VLOOKUP(A23,'Données projet'!$A$269:$I$289,5,0)),0%,VLOOKUP(A23,'Données projet'!$A$269:$I$289,5,0)*VLOOKUP('Données projet'!$B$18,Paramètres!$A$1:$I$88,7,0))</f>
        <v>0</v>
      </c>
      <c r="FD23" s="37">
        <f>IF(ISNA(VLOOKUP(A23,'Données projet'!$A$269:$I$289,6,0)),0%,VLOOKUP(A23,'Données projet'!$A$269:$I$289,6,0)*VLOOKUP('Données projet'!$B$18,Paramètres!$A$1:$I$88,7,0))</f>
        <v>0</v>
      </c>
      <c r="FE23" s="37">
        <f>IF(ISNA(VLOOKUP(A23,'Données projet'!$A$269:$I$289,7,0)),0%,VLOOKUP(A23,'Données projet'!$A$269:$I$289,7,0))</f>
        <v>0</v>
      </c>
      <c r="FF23" s="45">
        <f>EXP(-LN(2)/35)*FF22+(1-EXP(-LN(2)/35))/(LN(2)/35)*FB23*FC23*VLOOKUP('Données projet'!$B$9,Paramètres!$A$1:$I$88,3,0)*0.475*44/12</f>
        <v>0</v>
      </c>
      <c r="FG23" s="45">
        <f>EXP(-LN(2)/25)*FG22+(1-EXP(-LN(2)/25))/(LN(2)/25)*Calculateur!FB23*Calculateur!FD23*VLOOKUP('Données projet'!$B$9,Paramètres!$A$1:$I$88,3,0)*0.475*44/12</f>
        <v>0</v>
      </c>
      <c r="FH23" s="45">
        <f>EXP(-LN(2)/2)*FH22+(1-EXP(-LN(2)/2))/(LN(2)/2)*FB23*FE23*VLOOKUP('Données projet'!$B$9,Paramètres!$A$1:$I$88,3,0)*0.475*44/12</f>
        <v>0</v>
      </c>
      <c r="FI23" s="46">
        <f t="shared" si="19"/>
        <v>0</v>
      </c>
    </row>
    <row r="24" spans="1:165" x14ac:dyDescent="0.25">
      <c r="A24" s="24">
        <f t="shared" si="20"/>
        <v>21</v>
      </c>
      <c r="B24" s="25">
        <f>IF('Scénario référence'!$N$1=1,5,0)</f>
        <v>0</v>
      </c>
      <c r="C24" s="40">
        <f>IF(OR('Scénario référence'!$N$1=2,'Scénario référence'!$N$1=4),C23+1*VLOOKUP('Scénario référence'!$G$14,Paramètres!$A$1:$I$88,3,0)*VLOOKUP('Scénario référence'!$G$14,Paramètres!$A$1:$I$88,5,0),IF(OR('Scénario référence'!$N$1=3,'Scénario référence'!$N$1=5),C23+0.5*VLOOKUP('Scénario référence'!$G$14,Paramètres!$A$1:$I$88,3,0)*VLOOKUP('Scénario référence'!$G$14,Paramètres!$A$1:$I$88,5,0),0))</f>
        <v>11.465999999999999</v>
      </c>
      <c r="D24" s="26">
        <f t="shared" si="21"/>
        <v>3.9778504618356041</v>
      </c>
      <c r="E24" s="27">
        <f>IF('Scénario référence'!$N$1=1,B24*44/12,(C24+D24)*0.475*44/12)</f>
        <v>26.898039554363677</v>
      </c>
      <c r="F24" s="28" t="e">
        <f>VLOOKUP(A24,'Données projet'!$A$35:$I$55,2,0)</f>
        <v>#N/A</v>
      </c>
      <c r="G24" s="28" t="e">
        <f>VLOOKUP(A24,'Données projet'!$A$35:$I$55,9,0)</f>
        <v>#N/A</v>
      </c>
      <c r="H24" s="33">
        <f t="array" ref="H24">INDEX(G:G,MIN(IF(ISNUMBER(G24:G220),ROW(G24:G220),"")))</f>
        <v>5.6</v>
      </c>
      <c r="I24" s="28">
        <f t="shared" si="22"/>
        <v>47.600000000000016</v>
      </c>
      <c r="J24" s="41">
        <f>I24*VLOOKUP('Données projet'!$B$9,Paramètres!$A$1:$I$88,3,0)*VLOOKUP('Données projet'!$B$9,Paramètres!$A$1:$I$88,5,0)</f>
        <v>48.266400000000019</v>
      </c>
      <c r="K24" s="41">
        <f t="shared" si="23"/>
        <v>14.165134590154441</v>
      </c>
      <c r="L24" s="42">
        <f t="shared" si="0"/>
        <v>108.73492274451901</v>
      </c>
      <c r="M24" s="30">
        <f>IF(ISNA(VLOOKUP(A24,'Données projet'!$A$35:$I$55,3,0)),0,VLOOKUP(A24,'Données projet'!$A$35:$I$55,3,0))</f>
        <v>0</v>
      </c>
      <c r="N24" s="30">
        <f>IF(ISNA(VLOOKUP(A24,'Données projet'!$A$35:$I$55,4,0)),0,VLOOKUP(A24,'Données projet'!$A$35:$I$55,4,0))</f>
        <v>0</v>
      </c>
      <c r="O24" s="31">
        <f>IF(ISNA(VLOOKUP(A24,'Données projet'!$A$35:$I$55,5,0)),0%,VLOOKUP(A24,'Données projet'!$A$35:$I$55,5,0)*VLOOKUP('Données projet'!$B$9,Paramètres!$A$1:$I$88,7,0))</f>
        <v>0</v>
      </c>
      <c r="P24" s="31">
        <f>IF(ISNA(VLOOKUP(A24,'Données projet'!$A$35:$I$55,6,0)),0%,VLOOKUP(A24,'Données projet'!$A$35:$I$55,6,0)*VLOOKUP('Données projet'!$B$9,Paramètres!$A$1:$I$88,7,0))</f>
        <v>0</v>
      </c>
      <c r="Q24" s="31">
        <f>IF(ISNA(VLOOKUP(A24,'Données projet'!$A$35:$I$55,7,0)),0%,VLOOKUP(A24,'Données projet'!$A$35:$I$55,7,0))</f>
        <v>0</v>
      </c>
      <c r="R24" s="43">
        <f>EXP(-LN(2)/35)*R23+(1-EXP(-LN(2)/35))/(LN(2)/35)*N24*O24*VLOOKUP('Données projet'!$B$9,Paramètres!$A$1:$I$88,3,0)*0.475*44/12</f>
        <v>0</v>
      </c>
      <c r="S24" s="43">
        <f>EXP(-LN(2)/25)*S23+(1-EXP(-LN(2)/25))/(LN(2)/25)*Calculateur!N24*Calculateur!P24*VLOOKUP('Données projet'!$B$9,Paramètres!$A$1:$I$88,3,0)*0.475*44/12</f>
        <v>0</v>
      </c>
      <c r="T24" s="43">
        <f>EXP(-LN(2)/2)*T23+(1-EXP(-LN(2)/2))/(LN(2)/2)*N24*Q24*VLOOKUP('Données projet'!$B$9,Paramètres!$A$1:$I$88,3,0)*0.475*44/12</f>
        <v>0</v>
      </c>
      <c r="U24" s="43">
        <f t="shared" si="1"/>
        <v>0</v>
      </c>
      <c r="V24" s="32" t="e">
        <f>VLOOKUP(A24,'Données projet'!$A$61:$I$81,2,0)</f>
        <v>#N/A</v>
      </c>
      <c r="W24" s="33" t="e">
        <f>VLOOKUP(A24,'Données projet'!$A$61:$I$81,9,0)</f>
        <v>#N/A</v>
      </c>
      <c r="X24" s="33">
        <f t="array" ref="X24">INDEX(W:W,MIN(IF(ISNUMBER(W24:W220),ROW(W24:W220),"")))</f>
        <v>0</v>
      </c>
      <c r="Y24" s="33">
        <f t="shared" si="24"/>
        <v>0</v>
      </c>
      <c r="Z24" s="34" t="e">
        <f>Y24*VLOOKUP('Données projet'!$B$10,Paramètres!$A$1:$I$88,3,0)*VLOOKUP('Données projet'!$B$10,Paramètres!$A$1:$I$88,5,0)</f>
        <v>#N/A</v>
      </c>
      <c r="AA24" s="34" t="e">
        <f t="shared" si="25"/>
        <v>#N/A</v>
      </c>
      <c r="AB24" s="44" t="e">
        <f t="shared" si="2"/>
        <v>#N/A</v>
      </c>
      <c r="AC24" s="36">
        <f>IF(ISNA(VLOOKUP(A24,'Données projet'!$A$61:$I$81,3,0)),0,VLOOKUP(A24,'Données projet'!$A$61:$I$81,3,0))</f>
        <v>0</v>
      </c>
      <c r="AD24" s="36">
        <f>IF(ISNA(VLOOKUP(A24,'Données projet'!$A$61:$I$81,4,0)),0,VLOOKUP(A24,'Données projet'!$A$61:$I$81,4,0))</f>
        <v>0</v>
      </c>
      <c r="AE24" s="37">
        <f>IF(ISNA(VLOOKUP(A24,'Données projet'!$A$61:$I$81,5,0)),0%,VLOOKUP(A24,'Données projet'!$A$61:$I$81,5,0)*VLOOKUP('Données projet'!$B$10,Paramètres!$A$1:$I$88,7,0))</f>
        <v>0</v>
      </c>
      <c r="AF24" s="37">
        <f>IF(ISNA(VLOOKUP(A24,'Données projet'!$A$61:$I$81,6,0)),0%,VLOOKUP(A24,'Données projet'!$A$61:$I$81,6,0)*VLOOKUP('Données projet'!$B$10,Paramètres!$A$1:$I$88,7,0))</f>
        <v>0</v>
      </c>
      <c r="AG24" s="37">
        <f>IF(ISNA(VLOOKUP(A24,'Données projet'!$A$61:$I$81,7,0)),0%,VLOOKUP(A24,'Données projet'!$A$61:$I$81,7,0))</f>
        <v>0</v>
      </c>
      <c r="AH24" s="45">
        <f>EXP(-LN(2)/35)*AH23+(1-EXP(-LN(2)/35))/(LN(2)/35)*AD24*AE24*VLOOKUP('Données projet'!$B$9,Paramètres!$A$1:$I$88,3,0)*0.475*44/12</f>
        <v>0</v>
      </c>
      <c r="AI24" s="45">
        <f>EXP(-LN(2)/25)*AI23+(1-EXP(-LN(2)/25))/(LN(2)/25)*Calculateur!AD24*Calculateur!AF24*VLOOKUP('Données projet'!$B$9,Paramètres!$A$1:$I$88,3,0)*0.475*44/12</f>
        <v>0</v>
      </c>
      <c r="AJ24" s="45">
        <f>EXP(-LN(2)/2)*AJ23+(1-EXP(-LN(2)/2))/(LN(2)/2)*AD24*AG24*VLOOKUP('Données projet'!$B$9,Paramètres!$A$1:$I$88,3,0)*0.475*44/12</f>
        <v>0</v>
      </c>
      <c r="AK24" s="45">
        <f t="shared" si="3"/>
        <v>0</v>
      </c>
      <c r="AL24" s="32" t="e">
        <f>VLOOKUP(A24,'Données projet'!$A$87:$I$107,2,0)</f>
        <v>#N/A</v>
      </c>
      <c r="AM24" s="33" t="e">
        <f>VLOOKUP(A24,'Données projet'!$A$87:$I$107,9,0)</f>
        <v>#N/A</v>
      </c>
      <c r="AN24" s="33">
        <f t="array" ref="AN24">INDEX(AM:AM,MIN(IF(ISNUMBER(AM24:AM220),ROW(AM24:AM220),"")))</f>
        <v>0</v>
      </c>
      <c r="AO24" s="33">
        <f t="shared" si="26"/>
        <v>0</v>
      </c>
      <c r="AP24" s="34" t="e">
        <f>AO24*VLOOKUP('Données projet'!$B$11,Paramètres!$A$1:$I$88,3,0)*VLOOKUP('Données projet'!$B$11,Paramètres!$A$1:$I$88,5,0)</f>
        <v>#N/A</v>
      </c>
      <c r="AQ24" s="34" t="e">
        <f t="shared" si="27"/>
        <v>#N/A</v>
      </c>
      <c r="AR24" s="44" t="e">
        <f t="shared" si="4"/>
        <v>#N/A</v>
      </c>
      <c r="AS24" s="36">
        <f>IF(ISNA(VLOOKUP(A24,'Données projet'!$A$87:$I$107,3,0)),0,VLOOKUP(A24,'Données projet'!$A$87:$I$107,3,0))</f>
        <v>0</v>
      </c>
      <c r="AT24" s="36">
        <f>IF(ISNA(VLOOKUP(A24,'Données projet'!$A$87:$I$107,4,0)),0,VLOOKUP(A24,'Données projet'!$A$87:$I$107,4,0))</f>
        <v>0</v>
      </c>
      <c r="AU24" s="37">
        <f>IF(ISNA(VLOOKUP(A24,'Données projet'!$A$87:$I$107,5,0)),0%,VLOOKUP(A24,'Données projet'!$A$87:$I$107,5,0)*VLOOKUP('Données projet'!$B$11,Paramètres!$A$1:$I$88,7,0))</f>
        <v>0</v>
      </c>
      <c r="AV24" s="37">
        <f>IF(ISNA(VLOOKUP(A24,'Données projet'!$A$87:$I$107,6,0)),0%,VLOOKUP(A24,'Données projet'!$A$87:$I$107,6,0)*VLOOKUP('Données projet'!$B$11,Paramètres!$A$1:$I$88,7,0))</f>
        <v>0</v>
      </c>
      <c r="AW24" s="37">
        <f>IF(ISNA(VLOOKUP(A24,'Données projet'!$A$87:$I$107,7,0)),0%,VLOOKUP(A24,'Données projet'!$A$87:$I$107,7,0))</f>
        <v>0</v>
      </c>
      <c r="AX24" s="45">
        <f>EXP(-LN(2)/35)*AX23+(1-EXP(-LN(2)/35))/(LN(2)/35)*AT24*AU24*VLOOKUP('Données projet'!$B$9,Paramètres!$A$1:$I$88,3,0)*0.475*44/12</f>
        <v>0</v>
      </c>
      <c r="AY24" s="45">
        <f>EXP(-LN(2)/25)*AY23+(1-EXP(-LN(2)/25))/(LN(2)/25)*Calculateur!AT24*Calculateur!AV24*VLOOKUP('Données projet'!$B$9,Paramètres!$A$1:$I$88,3,0)*0.475*44/12</f>
        <v>0</v>
      </c>
      <c r="AZ24" s="45">
        <f>EXP(-LN(2)/2)*AZ23+(1-EXP(-LN(2)/2))/(LN(2)/2)*AT24*AW24*VLOOKUP('Données projet'!$B$9,Paramètres!$A$1:$I$88,3,0)*0.475*44/12</f>
        <v>0</v>
      </c>
      <c r="BA24" s="46">
        <f t="shared" si="5"/>
        <v>0</v>
      </c>
      <c r="BB24" s="32" t="e">
        <f>VLOOKUP(A24,'Données projet'!$A$113:$I$133,2,0)</f>
        <v>#N/A</v>
      </c>
      <c r="BC24" s="33" t="e">
        <f>VLOOKUP(A24,'Données projet'!$A$113:$I$133,9,0)</f>
        <v>#N/A</v>
      </c>
      <c r="BD24" s="33">
        <f t="array" ref="BD24">INDEX(BC:BC,MIN(IF(ISNUMBER(BC24:BC220),ROW(BC24:BC220),"")))</f>
        <v>0</v>
      </c>
      <c r="BE24" s="33">
        <f t="shared" si="28"/>
        <v>0</v>
      </c>
      <c r="BF24" s="34" t="e">
        <f>BE24*VLOOKUP('Données projet'!$B$12,Paramètres!$A$1:$I$88,3,0)*VLOOKUP('Données projet'!$B$12,Paramètres!$A$1:$I$88,5,0)</f>
        <v>#N/A</v>
      </c>
      <c r="BG24" s="34" t="e">
        <f t="shared" si="29"/>
        <v>#N/A</v>
      </c>
      <c r="BH24" s="44" t="e">
        <f t="shared" si="6"/>
        <v>#N/A</v>
      </c>
      <c r="BI24" s="36">
        <f>IF(ISNA(VLOOKUP(A24,'Données projet'!$A$113:$I$133,3,0)),0,VLOOKUP(A24,'Données projet'!$A$113:$I$133,3,0))</f>
        <v>0</v>
      </c>
      <c r="BJ24" s="36">
        <f>IF(ISNA(VLOOKUP(A24,'Données projet'!$A$113:$I$133,4,0)),0,VLOOKUP(A24,'Données projet'!$A$113:$I$133,4,0))</f>
        <v>0</v>
      </c>
      <c r="BK24" s="37">
        <f>IF(ISNA(VLOOKUP(A24,'Données projet'!$A$113:$I$133,5,0)),0%,VLOOKUP(A24,'Données projet'!$A$113:$I$133,5,0)*VLOOKUP('Données projet'!$B$12,Paramètres!$A$1:$I$88,7,0))</f>
        <v>0</v>
      </c>
      <c r="BL24" s="37">
        <f>IF(ISNA(VLOOKUP(A24,'Données projet'!$A$113:$I$133,6,0)),0%,VLOOKUP(A24,'Données projet'!$A$113:$I$133,6,0)*VLOOKUP('Données projet'!$B$12,Paramètres!$A$1:$I$88,7,0))</f>
        <v>0</v>
      </c>
      <c r="BM24" s="37">
        <f>IF(ISNA(VLOOKUP(A24,'Données projet'!$A$113:$I$133,7,0)),0%,VLOOKUP(A24,'Données projet'!$A$113:$I$133,7,0))</f>
        <v>0</v>
      </c>
      <c r="BN24" s="45">
        <f>EXP(-LN(2)/35)*BN23+(1-EXP(-LN(2)/35))/(LN(2)/35)*BJ24*BK24*VLOOKUP('Données projet'!$B$9,Paramètres!$A$1:$I$88,3,0)*0.475*44/12</f>
        <v>0</v>
      </c>
      <c r="BO24" s="45">
        <f>EXP(-LN(2)/25)*BO23+(1-EXP(-LN(2)/25))/(LN(2)/25)*Calculateur!BJ24*Calculateur!BL24*VLOOKUP('Données projet'!$B$9,Paramètres!$A$1:$I$88,3,0)*0.475*44/12</f>
        <v>0</v>
      </c>
      <c r="BP24" s="45">
        <f>EXP(-LN(2)/2)*BP23+(1-EXP(-LN(2)/2))/(LN(2)/2)*BJ24*BM24*VLOOKUP('Données projet'!$B$9,Paramètres!$A$1:$I$88,3,0)*0.475*44/12</f>
        <v>0</v>
      </c>
      <c r="BQ24" s="46">
        <f t="shared" si="7"/>
        <v>0</v>
      </c>
      <c r="BR24" s="32" t="e">
        <f>VLOOKUP(A24,'Données projet'!$A$139:$I$159,2,0)</f>
        <v>#N/A</v>
      </c>
      <c r="BS24" s="33" t="e">
        <f>VLOOKUP(A24,'Données projet'!$A$139:$I$159,9,0)</f>
        <v>#N/A</v>
      </c>
      <c r="BT24" s="33">
        <f t="array" ref="BT24">INDEX(BS:BS,MIN(IF(ISNUMBER(BS24:BS220),ROW(BS24:BS220),"")))</f>
        <v>0</v>
      </c>
      <c r="BU24" s="33">
        <f t="shared" si="41"/>
        <v>0</v>
      </c>
      <c r="BV24" s="38" t="e">
        <f>BU24*VLOOKUP('Données projet'!$B$13,Paramètres!$A$1:$I$88,3,0)*VLOOKUP('Données projet'!$B$13,Paramètres!$A$1:$I$88,5,0)</f>
        <v>#N/A</v>
      </c>
      <c r="BW24" s="34" t="e">
        <f t="shared" si="30"/>
        <v>#N/A</v>
      </c>
      <c r="BX24" s="44" t="e">
        <f t="shared" si="8"/>
        <v>#N/A</v>
      </c>
      <c r="BY24" s="36">
        <f>IF(ISNA(VLOOKUP(A24,'Données projet'!$A$139:$I$159,3,0)),0,VLOOKUP(A24,'Données projet'!$A$139:$I$159,3,0))</f>
        <v>0</v>
      </c>
      <c r="BZ24" s="36">
        <f>IF(ISNA(VLOOKUP(A24,'Données projet'!$A$139:$I$159,4,0)),0,VLOOKUP(A24,'Données projet'!$A$139:$I$159,4,0))</f>
        <v>0</v>
      </c>
      <c r="CA24" s="37">
        <f>IF(ISNA(VLOOKUP(A24,'Données projet'!$A$139:$I$159,5,0)),0%,VLOOKUP(A24,'Données projet'!$A$139:$I$159,5,0)*VLOOKUP('Données projet'!$B$13,Paramètres!$A$1:$I$88,7,0))</f>
        <v>0</v>
      </c>
      <c r="CB24" s="37">
        <f>IF(ISNA(VLOOKUP(A24,'Données projet'!$A$139:$I$159,6,0)),0%,VLOOKUP(A24,'Données projet'!$A$139:$I$159,6,0)*VLOOKUP('Données projet'!$B$13,Paramètres!$A$1:$I$88,7,0))</f>
        <v>0</v>
      </c>
      <c r="CC24" s="37">
        <f>IF(ISNA(VLOOKUP(A24,'Données projet'!$A$139:$I$159,7,0)),0%,VLOOKUP(A24,'Données projet'!$A$139:$I$159,7,0))</f>
        <v>0</v>
      </c>
      <c r="CD24" s="45">
        <f>EXP(-LN(2)/35)*CD23+(1-EXP(-LN(2)/35))/(LN(2)/35)*BZ24*CA24*VLOOKUP('Données projet'!$B$9,Paramètres!$A$1:$I$88,3,0)*0.475*44/12</f>
        <v>0</v>
      </c>
      <c r="CE24" s="45">
        <f>EXP(-LN(2)/25)*CE23+(1-EXP(-LN(2)/25))/(LN(2)/25)*Calculateur!BZ24*Calculateur!CB24*VLOOKUP('Données projet'!$B$9,Paramètres!$A$1:$I$88,3,0)*0.475*44/12</f>
        <v>0</v>
      </c>
      <c r="CF24" s="45">
        <f>EXP(-LN(2)/2)*CF23+(1-EXP(-LN(2)/2))/(LN(2)/2)*BZ24*CC24*VLOOKUP('Données projet'!$B$9,Paramètres!$A$1:$I$88,3,0)*0.475*44/12</f>
        <v>0</v>
      </c>
      <c r="CG24" s="46">
        <f t="shared" si="9"/>
        <v>0</v>
      </c>
      <c r="CH24" s="32" t="e">
        <f>VLOOKUP(A24,'Données projet'!$A$165:$I$185,2,0)</f>
        <v>#N/A</v>
      </c>
      <c r="CI24" s="33" t="e">
        <f>VLOOKUP(A24,'Données projet'!$A$165:$I$185,9,0)</f>
        <v>#N/A</v>
      </c>
      <c r="CJ24" s="33">
        <f t="array" ref="CJ24">INDEX(CI:CI,MIN(IF(ISNUMBER(CI24:CI220),ROW(CI24:CI220),"")))</f>
        <v>0</v>
      </c>
      <c r="CK24" s="33">
        <f t="shared" si="31"/>
        <v>0</v>
      </c>
      <c r="CL24" s="38" t="e">
        <f>CK24*VLOOKUP('Données projet'!$B$14,Paramètres!$A$1:$I$88,3,0)*VLOOKUP('Données projet'!$B$14,Paramètres!$A$1:$I$88,5,0)</f>
        <v>#N/A</v>
      </c>
      <c r="CM24" s="34" t="e">
        <f t="shared" si="32"/>
        <v>#N/A</v>
      </c>
      <c r="CN24" s="44" t="e">
        <f t="shared" si="10"/>
        <v>#N/A</v>
      </c>
      <c r="CO24" s="36">
        <f>IF(ISNA(VLOOKUP(A24,'Données projet'!$A$165:$I$185,3,0)),0,VLOOKUP(A24,'Données projet'!$A$165:$I$185,3,0))</f>
        <v>0</v>
      </c>
      <c r="CP24" s="36">
        <f>IF(ISNA(VLOOKUP(A24,'Données projet'!$A$165:$I$185,4,0)),0,VLOOKUP(A24,'Données projet'!$A$165:$I$185,4,0))</f>
        <v>0</v>
      </c>
      <c r="CQ24" s="37">
        <f>IF(ISNA(VLOOKUP(A24,'Données projet'!$A$165:$I$185,5,0)),0%,VLOOKUP(A24,'Données projet'!$A$165:$I$185,5,0)*VLOOKUP('Données projet'!$B$14,Paramètres!$A$1:$I$88,7,0))</f>
        <v>0</v>
      </c>
      <c r="CR24" s="37">
        <f>IF(ISNA(VLOOKUP(A24,'Données projet'!$A$165:$I$185,6,0)),0%,VLOOKUP(A24,'Données projet'!$A$165:$I$185,6,0)*VLOOKUP('Données projet'!$B$14,Paramètres!$A$1:$I$88,7,0))</f>
        <v>0</v>
      </c>
      <c r="CS24" s="37">
        <f>IF(ISNA(VLOOKUP(A24,'Données projet'!$A$165:$I$185,7,0)),0%,VLOOKUP(A24,'Données projet'!$A$165:$I$185,7,0))</f>
        <v>0</v>
      </c>
      <c r="CT24" s="45">
        <f>EXP(-LN(2)/35)*CT23+(1-EXP(-LN(2)/35))/(LN(2)/35)*CP24*CQ24*VLOOKUP('Données projet'!$B$9,Paramètres!$A$1:$I$88,3,0)*0.475*44/12</f>
        <v>0</v>
      </c>
      <c r="CU24" s="45">
        <f>EXP(-LN(2)/25)*CU23+(1-EXP(-LN(2)/25))/(LN(2)/25)*Calculateur!CP24*Calculateur!CR24*VLOOKUP('Données projet'!$B$9,Paramètres!$A$1:$I$88,3,0)*0.475*44/12</f>
        <v>0</v>
      </c>
      <c r="CV24" s="45">
        <f>EXP(-LN(2)/2)*CV23+(1-EXP(-LN(2)/2))/(LN(2)/2)*CP24*CS24*VLOOKUP('Données projet'!$B$9,Paramètres!$A$1:$I$88,3,0)*0.475*44/12</f>
        <v>0</v>
      </c>
      <c r="CW24" s="46">
        <f t="shared" si="11"/>
        <v>0</v>
      </c>
      <c r="CX24" s="32" t="e">
        <f>VLOOKUP(A24,'Données projet'!$A$191:$I$211,2,0)</f>
        <v>#N/A</v>
      </c>
      <c r="CY24" s="33" t="e">
        <f>VLOOKUP(A24,'Données projet'!$A$191:$I$211,9,0)</f>
        <v>#N/A</v>
      </c>
      <c r="CZ24" s="33">
        <f t="array" ref="CZ24">INDEX(CY:CY,MIN(IF(ISNUMBER(CY24:CY220),ROW(CY24:CY220),"")))</f>
        <v>0</v>
      </c>
      <c r="DA24" s="33">
        <f t="shared" si="33"/>
        <v>0</v>
      </c>
      <c r="DB24" s="38" t="e">
        <f>DA24*VLOOKUP('Données projet'!$B$15,Paramètres!$A$1:$I$88,3,0)*VLOOKUP('Données projet'!$B$15,Paramètres!$A$1:$I$88,5,0)</f>
        <v>#N/A</v>
      </c>
      <c r="DC24" s="34" t="e">
        <f t="shared" si="34"/>
        <v>#N/A</v>
      </c>
      <c r="DD24" s="44" t="e">
        <f t="shared" si="12"/>
        <v>#N/A</v>
      </c>
      <c r="DE24" s="36">
        <f>IF(ISNA(VLOOKUP(A24,'Données projet'!$A$191:$I$211,3,0)),0,VLOOKUP(A24,'Données projet'!$A$191:$I$211,3,0))</f>
        <v>0</v>
      </c>
      <c r="DF24" s="36">
        <f>IF(ISNA(VLOOKUP(A24,'Données projet'!$A$191:$I$211,4,0)),0,VLOOKUP(A24,'Données projet'!$A$191:$I$211,4,0))</f>
        <v>0</v>
      </c>
      <c r="DG24" s="37">
        <f>IF(ISNA(VLOOKUP(A24,'Données projet'!$A$191:$I$211,5,0)),0%,VLOOKUP(A24,'Données projet'!$A$191:$I$211,5,0)*VLOOKUP('Données projet'!$B$15,Paramètres!$A$1:$I$88,7,0))</f>
        <v>0</v>
      </c>
      <c r="DH24" s="37">
        <f>IF(ISNA(VLOOKUP(A24,'Données projet'!$A$191:$I$211,6,0)),0%,VLOOKUP(A24,'Données projet'!$A$191:$I$211,6,0)*VLOOKUP('Données projet'!$B$15,Paramètres!$A$1:$I$88,7,0))</f>
        <v>0</v>
      </c>
      <c r="DI24" s="37">
        <f>IF(ISNA(VLOOKUP(A24,'Données projet'!$A$191:$I$211,7,0)),0%,VLOOKUP(A24,'Données projet'!$A$191:$I$211,7,0))</f>
        <v>0</v>
      </c>
      <c r="DJ24" s="45">
        <f>EXP(-LN(2)/35)*DJ23+(1-EXP(-LN(2)/35))/(LN(2)/35)*DF24*DG24*VLOOKUP('Données projet'!$B$9,Paramètres!$A$1:$I$88,3,0)*0.475*44/12</f>
        <v>0</v>
      </c>
      <c r="DK24" s="45">
        <f>EXP(-LN(2)/25)*DK23+(1-EXP(-LN(2)/25))/(LN(2)/25)*Calculateur!DF24*Calculateur!DH24*VLOOKUP('Données projet'!$B$9,Paramètres!$A$1:$I$88,3,0)*0.475*44/12</f>
        <v>0</v>
      </c>
      <c r="DL24" s="45">
        <f>EXP(-LN(2)/2)*DL23+(1-EXP(-LN(2)/2))/(LN(2)/2)*DF24*DI24*VLOOKUP('Données projet'!$B$9,Paramètres!$A$1:$I$88,3,0)*0.475*44/12</f>
        <v>0</v>
      </c>
      <c r="DM24" s="46">
        <f t="shared" si="13"/>
        <v>0</v>
      </c>
      <c r="DN24" s="32" t="e">
        <f>VLOOKUP(A24,'Données projet'!$A$217:$I$237,2,0)</f>
        <v>#N/A</v>
      </c>
      <c r="DO24" s="33" t="e">
        <f>VLOOKUP(A24,'Données projet'!$A$217:$I$237,9,0)</f>
        <v>#N/A</v>
      </c>
      <c r="DP24" s="33">
        <f t="array" ref="DP24">INDEX(DO:DO,MIN(IF(ISNUMBER(DO24:DO220),ROW(DO24:DO220),"")))</f>
        <v>0</v>
      </c>
      <c r="DQ24" s="33">
        <f t="shared" si="35"/>
        <v>0</v>
      </c>
      <c r="DR24" s="38" t="e">
        <f>DQ24*VLOOKUP('Données projet'!$B$16,Paramètres!$A$1:$I$88,3,0)*VLOOKUP('Données projet'!$B$16,Paramètres!$A$1:$I$88,5,0)</f>
        <v>#N/A</v>
      </c>
      <c r="DS24" s="34" t="e">
        <f t="shared" si="36"/>
        <v>#N/A</v>
      </c>
      <c r="DT24" s="44" t="e">
        <f t="shared" si="14"/>
        <v>#N/A</v>
      </c>
      <c r="DU24" s="36">
        <f>IF(ISNA(VLOOKUP(A24,'Données projet'!$A$217:$I$237,3,0)),0,VLOOKUP(A24,'Données projet'!$A$217:$I$237,3,0))</f>
        <v>0</v>
      </c>
      <c r="DV24" s="36">
        <f>IF(ISNA(VLOOKUP(A24,'Données projet'!$A$217:$I$237,4,0)),0,VLOOKUP(A24,'Données projet'!$A$217:$I$237,4,0))</f>
        <v>0</v>
      </c>
      <c r="DW24" s="37">
        <f>IF(ISNA(VLOOKUP(A24,'Données projet'!$A$217:$I$237,5,0)),0%,VLOOKUP(A24,'Données projet'!$A$217:$I$237,5,0)*VLOOKUP('Données projet'!$B$16,Paramètres!$A$1:$I$88,7,0))</f>
        <v>0</v>
      </c>
      <c r="DX24" s="37">
        <f>IF(ISNA(VLOOKUP(A24,'Données projet'!$A$217:$I$237,6,0)),0%,VLOOKUP(A24,'Données projet'!$A$217:$I$237,6,0)*VLOOKUP('Données projet'!$B$16,Paramètres!$A$1:$I$88,7,0))</f>
        <v>0</v>
      </c>
      <c r="DY24" s="37">
        <f>IF(ISNA(VLOOKUP(A24,'Données projet'!$A$217:$I$237,7,0)),0%,VLOOKUP(A24,'Données projet'!$A$217:$I$237,7,0))</f>
        <v>0</v>
      </c>
      <c r="DZ24" s="45">
        <f>EXP(-LN(2)/35)*DZ23+(1-EXP(-LN(2)/35))/(LN(2)/35)*DV24*DW24*VLOOKUP('Données projet'!$B$9,Paramètres!$A$1:$I$88,3,0)*0.475*44/12</f>
        <v>0</v>
      </c>
      <c r="EA24" s="45">
        <f>EXP(-LN(2)/25)*EA23+(1-EXP(-LN(2)/25))/(LN(2)/25)*Calculateur!DV24*Calculateur!DX24*VLOOKUP('Données projet'!$B$9,Paramètres!$A$1:$I$88,3,0)*0.475*44/12</f>
        <v>0</v>
      </c>
      <c r="EB24" s="45">
        <f>EXP(-LN(2)/2)*EB23+(1-EXP(-LN(2)/2))/(LN(2)/2)*DV24*DY24*VLOOKUP('Données projet'!$B$9,Paramètres!$A$1:$I$88,3,0)*0.475*44/12</f>
        <v>0</v>
      </c>
      <c r="EC24" s="46">
        <f t="shared" si="15"/>
        <v>0</v>
      </c>
      <c r="ED24" s="32" t="e">
        <f>VLOOKUP(A24,'Données projet'!$A$243:$I$263,2,0)</f>
        <v>#N/A</v>
      </c>
      <c r="EE24" s="33" t="e">
        <f>VLOOKUP(A24,'Données projet'!$A$243:$I$263,9,0)</f>
        <v>#N/A</v>
      </c>
      <c r="EF24" s="33">
        <f t="array" ref="EF24">INDEX(EE:EE,MIN(IF(ISNUMBER(EE24:EE220),ROW(EE24:EE220),"")))</f>
        <v>0</v>
      </c>
      <c r="EG24" s="33">
        <f t="shared" si="37"/>
        <v>0</v>
      </c>
      <c r="EH24" s="38" t="e">
        <f>EG24*VLOOKUP('Données projet'!$B$17,Paramètres!$A$1:$I$88,3,0)*VLOOKUP('Données projet'!$B$17,Paramètres!$A$1:$I$88,5,0)</f>
        <v>#N/A</v>
      </c>
      <c r="EI24" s="34" t="e">
        <f t="shared" si="38"/>
        <v>#N/A</v>
      </c>
      <c r="EJ24" s="44" t="e">
        <f t="shared" si="16"/>
        <v>#N/A</v>
      </c>
      <c r="EK24" s="36">
        <f>IF(ISNA(VLOOKUP(A24,'Données projet'!$A$243:$I$263,3,0)),0,VLOOKUP(A24,'Données projet'!$A$243:$I$263,3,0))</f>
        <v>0</v>
      </c>
      <c r="EL24" s="36">
        <f>IF(ISNA(VLOOKUP(A24,'Données projet'!$A$243:$I$263,4,0)),0,VLOOKUP(A24,'Données projet'!$A$243:$I$263,4,0))</f>
        <v>0</v>
      </c>
      <c r="EM24" s="37">
        <f>IF(ISNA(VLOOKUP(A24,'Données projet'!$A$243:$I$263,5,0)),0%,VLOOKUP(A24,'Données projet'!$A$243:$I$263,5,0)*VLOOKUP('Données projet'!$B$17,Paramètres!$A$1:$I$88,7,0))</f>
        <v>0</v>
      </c>
      <c r="EN24" s="37">
        <f>IF(ISNA(VLOOKUP(A24,'Données projet'!$A$243:$I$263,6,0)),0%,VLOOKUP(A24,'Données projet'!$A$243:$I$263,6,0)*VLOOKUP('Données projet'!$B$17,Paramètres!$A$1:$I$88,7,0))</f>
        <v>0</v>
      </c>
      <c r="EO24" s="37">
        <f>IF(ISNA(VLOOKUP(A24,'Données projet'!$A$243:$I$263,7,0)),0%,VLOOKUP(A24,'Données projet'!$A$243:$I$263,7,0))</f>
        <v>0</v>
      </c>
      <c r="EP24" s="45">
        <f>EXP(-LN(2)/35)*EP23+(1-EXP(-LN(2)/35))/(LN(2)/35)*EL24*EM24*VLOOKUP('Données projet'!$B$9,Paramètres!$A$1:$I$88,3,0)*0.475*44/12</f>
        <v>0</v>
      </c>
      <c r="EQ24" s="45">
        <f>EXP(-LN(2)/25)*EQ23+(1-EXP(-LN(2)/25))/(LN(2)/25)*Calculateur!EL24*Calculateur!EN24*VLOOKUP('Données projet'!$B$9,Paramètres!$A$1:$I$88,3,0)*0.475*44/12</f>
        <v>0</v>
      </c>
      <c r="ER24" s="45">
        <f>EXP(-LN(2)/2)*ER23+(1-EXP(-LN(2)/2))/(LN(2)/2)*EL24*EO24*VLOOKUP('Données projet'!$B$9,Paramètres!$A$1:$I$88,3,0)*0.475*44/12</f>
        <v>0</v>
      </c>
      <c r="ES24" s="46">
        <f t="shared" si="17"/>
        <v>0</v>
      </c>
      <c r="ET24" s="32" t="e">
        <f>VLOOKUP(A24,'Données projet'!$A$269:$I$289,2,0)</f>
        <v>#N/A</v>
      </c>
      <c r="EU24" s="33" t="e">
        <f>VLOOKUP(A24,'Données projet'!$A$269:$I$289,9,0)</f>
        <v>#N/A</v>
      </c>
      <c r="EV24" s="33">
        <f t="array" ref="EV24">INDEX(EU:EU,MIN(IF(ISNUMBER(EU24:EU220),ROW(EU24:EU220),"")))</f>
        <v>0</v>
      </c>
      <c r="EW24" s="33">
        <f t="shared" si="39"/>
        <v>0</v>
      </c>
      <c r="EX24" s="38" t="e">
        <f>EW24*VLOOKUP('Données projet'!$B$18,Paramètres!$A$1:$I$88,3,0)*VLOOKUP('Données projet'!$B$18,Paramètres!$A$1:$I$88,5,0)</f>
        <v>#N/A</v>
      </c>
      <c r="EY24" s="34" t="e">
        <f t="shared" si="40"/>
        <v>#N/A</v>
      </c>
      <c r="EZ24" s="44" t="e">
        <f t="shared" si="18"/>
        <v>#N/A</v>
      </c>
      <c r="FA24" s="36">
        <f>IF(ISNA(VLOOKUP(A24,'Données projet'!$A$269:$I$289,3,0)),0,VLOOKUP(A24,'Données projet'!$A$269:$I$289,3,0))</f>
        <v>0</v>
      </c>
      <c r="FB24" s="36">
        <f>IF(ISNA(VLOOKUP(A24,'Données projet'!$A$269:$I$289,4,0)),0,VLOOKUP(A24,'Données projet'!$A$269:$I$289,4,0))</f>
        <v>0</v>
      </c>
      <c r="FC24" s="37">
        <f>IF(ISNA(VLOOKUP(A24,'Données projet'!$A$269:$I$289,5,0)),0%,VLOOKUP(A24,'Données projet'!$A$269:$I$289,5,0)*VLOOKUP('Données projet'!$B$18,Paramètres!$A$1:$I$88,7,0))</f>
        <v>0</v>
      </c>
      <c r="FD24" s="37">
        <f>IF(ISNA(VLOOKUP(A24,'Données projet'!$A$269:$I$289,6,0)),0%,VLOOKUP(A24,'Données projet'!$A$269:$I$289,6,0)*VLOOKUP('Données projet'!$B$18,Paramètres!$A$1:$I$88,7,0))</f>
        <v>0</v>
      </c>
      <c r="FE24" s="37">
        <f>IF(ISNA(VLOOKUP(A24,'Données projet'!$A$269:$I$289,7,0)),0%,VLOOKUP(A24,'Données projet'!$A$269:$I$289,7,0))</f>
        <v>0</v>
      </c>
      <c r="FF24" s="45">
        <f>EXP(-LN(2)/35)*FF23+(1-EXP(-LN(2)/35))/(LN(2)/35)*FB24*FC24*VLOOKUP('Données projet'!$B$9,Paramètres!$A$1:$I$88,3,0)*0.475*44/12</f>
        <v>0</v>
      </c>
      <c r="FG24" s="45">
        <f>EXP(-LN(2)/25)*FG23+(1-EXP(-LN(2)/25))/(LN(2)/25)*Calculateur!FB24*Calculateur!FD24*VLOOKUP('Données projet'!$B$9,Paramètres!$A$1:$I$88,3,0)*0.475*44/12</f>
        <v>0</v>
      </c>
      <c r="FH24" s="45">
        <f>EXP(-LN(2)/2)*FH23+(1-EXP(-LN(2)/2))/(LN(2)/2)*FB24*FE24*VLOOKUP('Données projet'!$B$9,Paramètres!$A$1:$I$88,3,0)*0.475*44/12</f>
        <v>0</v>
      </c>
      <c r="FI24" s="46">
        <f t="shared" si="19"/>
        <v>0</v>
      </c>
    </row>
    <row r="25" spans="1:165" x14ac:dyDescent="0.25">
      <c r="A25" s="24">
        <f t="shared" si="20"/>
        <v>22</v>
      </c>
      <c r="B25" s="25">
        <f>IF('Scénario référence'!$N$1=1,5,0)</f>
        <v>0</v>
      </c>
      <c r="C25" s="40">
        <f>IF(OR('Scénario référence'!$N$1=2,'Scénario référence'!$N$1=4),C24+1*VLOOKUP('Scénario référence'!$G$14,Paramètres!$A$1:$I$88,3,0)*VLOOKUP('Scénario référence'!$G$14,Paramètres!$A$1:$I$88,5,0),IF(OR('Scénario référence'!$N$1=3,'Scénario référence'!$N$1=5),C24+0.5*VLOOKUP('Scénario référence'!$G$14,Paramètres!$A$1:$I$88,3,0)*VLOOKUP('Scénario référence'!$G$14,Paramètres!$A$1:$I$88,5,0),0))</f>
        <v>12.011999999999999</v>
      </c>
      <c r="D25" s="26">
        <f t="shared" si="21"/>
        <v>4.1447674125853915</v>
      </c>
      <c r="E25" s="27">
        <f>IF('Scénario référence'!$N$1=1,B25*44/12,(C25+D25)*0.475*44/12)</f>
        <v>28.139703243586215</v>
      </c>
      <c r="F25" s="28" t="e">
        <f>VLOOKUP(A25,'Données projet'!$A$35:$I$55,2,0)</f>
        <v>#N/A</v>
      </c>
      <c r="G25" s="28" t="e">
        <f>VLOOKUP(A25,'Données projet'!$A$35:$I$55,9,0)</f>
        <v>#N/A</v>
      </c>
      <c r="H25" s="33">
        <f t="array" ref="H25">INDEX(G:G,MIN(IF(ISNUMBER(G25:G221),ROW(G25:G221),"")))</f>
        <v>5.6</v>
      </c>
      <c r="I25" s="28">
        <f t="shared" si="22"/>
        <v>53.200000000000017</v>
      </c>
      <c r="J25" s="41">
        <f>I25*VLOOKUP('Données projet'!$B$9,Paramètres!$A$1:$I$88,3,0)*VLOOKUP('Données projet'!$B$9,Paramètres!$A$1:$I$88,5,0)</f>
        <v>53.944800000000022</v>
      </c>
      <c r="K25" s="41">
        <f t="shared" si="23"/>
        <v>15.627975445731321</v>
      </c>
      <c r="L25" s="42">
        <f t="shared" si="0"/>
        <v>121.17258390131541</v>
      </c>
      <c r="M25" s="30">
        <f>IF(ISNA(VLOOKUP(A25,'Données projet'!$A$35:$I$55,3,0)),0,VLOOKUP(A25,'Données projet'!$A$35:$I$55,3,0))</f>
        <v>0</v>
      </c>
      <c r="N25" s="30">
        <f>IF(ISNA(VLOOKUP(A25,'Données projet'!$A$35:$I$55,4,0)),0,VLOOKUP(A25,'Données projet'!$A$35:$I$55,4,0))</f>
        <v>0</v>
      </c>
      <c r="O25" s="31">
        <f>IF(ISNA(VLOOKUP(A25,'Données projet'!$A$35:$I$55,5,0)),0%,VLOOKUP(A25,'Données projet'!$A$35:$I$55,5,0)*VLOOKUP('Données projet'!$B$9,Paramètres!$A$1:$I$88,7,0))</f>
        <v>0</v>
      </c>
      <c r="P25" s="31">
        <f>IF(ISNA(VLOOKUP(A25,'Données projet'!$A$35:$I$55,6,0)),0%,VLOOKUP(A25,'Données projet'!$A$35:$I$55,6,0)*VLOOKUP('Données projet'!$B$9,Paramètres!$A$1:$I$88,7,0))</f>
        <v>0</v>
      </c>
      <c r="Q25" s="31">
        <f>IF(ISNA(VLOOKUP(A25,'Données projet'!$A$35:$I$55,7,0)),0%,VLOOKUP(A25,'Données projet'!$A$35:$I$55,7,0))</f>
        <v>0</v>
      </c>
      <c r="R25" s="43">
        <f>EXP(-LN(2)/35)*R24+(1-EXP(-LN(2)/35))/(LN(2)/35)*N25*O25*VLOOKUP('Données projet'!$B$9,Paramètres!$A$1:$I$88,3,0)*0.475*44/12</f>
        <v>0</v>
      </c>
      <c r="S25" s="43">
        <f>EXP(-LN(2)/25)*S24+(1-EXP(-LN(2)/25))/(LN(2)/25)*Calculateur!N25*Calculateur!P25*VLOOKUP('Données projet'!$B$9,Paramètres!$A$1:$I$88,3,0)*0.475*44/12</f>
        <v>0</v>
      </c>
      <c r="T25" s="43">
        <f>EXP(-LN(2)/2)*T24+(1-EXP(-LN(2)/2))/(LN(2)/2)*N25*Q25*VLOOKUP('Données projet'!$B$9,Paramètres!$A$1:$I$88,3,0)*0.475*44/12</f>
        <v>0</v>
      </c>
      <c r="U25" s="43">
        <f t="shared" si="1"/>
        <v>0</v>
      </c>
      <c r="V25" s="32" t="e">
        <f>VLOOKUP(A25,'Données projet'!$A$61:$I$81,2,0)</f>
        <v>#N/A</v>
      </c>
      <c r="W25" s="33" t="e">
        <f>VLOOKUP(A25,'Données projet'!$A$61:$I$81,9,0)</f>
        <v>#N/A</v>
      </c>
      <c r="X25" s="33">
        <f t="array" ref="X25">INDEX(W:W,MIN(IF(ISNUMBER(W25:W221),ROW(W25:W221),"")))</f>
        <v>0</v>
      </c>
      <c r="Y25" s="33">
        <f t="shared" si="24"/>
        <v>0</v>
      </c>
      <c r="Z25" s="34" t="e">
        <f>Y25*VLOOKUP('Données projet'!$B$10,Paramètres!$A$1:$I$88,3,0)*VLOOKUP('Données projet'!$B$10,Paramètres!$A$1:$I$88,5,0)</f>
        <v>#N/A</v>
      </c>
      <c r="AA25" s="34" t="e">
        <f t="shared" si="25"/>
        <v>#N/A</v>
      </c>
      <c r="AB25" s="44" t="e">
        <f t="shared" si="2"/>
        <v>#N/A</v>
      </c>
      <c r="AC25" s="36">
        <f>IF(ISNA(VLOOKUP(A25,'Données projet'!$A$61:$I$81,3,0)),0,VLOOKUP(A25,'Données projet'!$A$61:$I$81,3,0))</f>
        <v>0</v>
      </c>
      <c r="AD25" s="36">
        <f>IF(ISNA(VLOOKUP(A25,'Données projet'!$A$61:$I$81,4,0)),0,VLOOKUP(A25,'Données projet'!$A$61:$I$81,4,0))</f>
        <v>0</v>
      </c>
      <c r="AE25" s="37">
        <f>IF(ISNA(VLOOKUP(A25,'Données projet'!$A$61:$I$81,5,0)),0%,VLOOKUP(A25,'Données projet'!$A$61:$I$81,5,0)*VLOOKUP('Données projet'!$B$10,Paramètres!$A$1:$I$88,7,0))</f>
        <v>0</v>
      </c>
      <c r="AF25" s="37">
        <f>IF(ISNA(VLOOKUP(A25,'Données projet'!$A$61:$I$81,6,0)),0%,VLOOKUP(A25,'Données projet'!$A$61:$I$81,6,0)*VLOOKUP('Données projet'!$B$10,Paramètres!$A$1:$I$88,7,0))</f>
        <v>0</v>
      </c>
      <c r="AG25" s="37">
        <f>IF(ISNA(VLOOKUP(A25,'Données projet'!$A$61:$I$81,7,0)),0%,VLOOKUP(A25,'Données projet'!$A$61:$I$81,7,0))</f>
        <v>0</v>
      </c>
      <c r="AH25" s="45">
        <f>EXP(-LN(2)/35)*AH24+(1-EXP(-LN(2)/35))/(LN(2)/35)*AD25*AE25*VLOOKUP('Données projet'!$B$9,Paramètres!$A$1:$I$88,3,0)*0.475*44/12</f>
        <v>0</v>
      </c>
      <c r="AI25" s="45">
        <f>EXP(-LN(2)/25)*AI24+(1-EXP(-LN(2)/25))/(LN(2)/25)*Calculateur!AD25*Calculateur!AF25*VLOOKUP('Données projet'!$B$9,Paramètres!$A$1:$I$88,3,0)*0.475*44/12</f>
        <v>0</v>
      </c>
      <c r="AJ25" s="45">
        <f>EXP(-LN(2)/2)*AJ24+(1-EXP(-LN(2)/2))/(LN(2)/2)*AD25*AG25*VLOOKUP('Données projet'!$B$9,Paramètres!$A$1:$I$88,3,0)*0.475*44/12</f>
        <v>0</v>
      </c>
      <c r="AK25" s="45">
        <f t="shared" si="3"/>
        <v>0</v>
      </c>
      <c r="AL25" s="32" t="e">
        <f>VLOOKUP(A25,'Données projet'!$A$87:$I$107,2,0)</f>
        <v>#N/A</v>
      </c>
      <c r="AM25" s="33" t="e">
        <f>VLOOKUP(A25,'Données projet'!$A$87:$I$107,9,0)</f>
        <v>#N/A</v>
      </c>
      <c r="AN25" s="33">
        <f t="array" ref="AN25">INDEX(AM:AM,MIN(IF(ISNUMBER(AM25:AM221),ROW(AM25:AM221),"")))</f>
        <v>0</v>
      </c>
      <c r="AO25" s="33">
        <f t="shared" si="26"/>
        <v>0</v>
      </c>
      <c r="AP25" s="34" t="e">
        <f>AO25*VLOOKUP('Données projet'!$B$11,Paramètres!$A$1:$I$88,3,0)*VLOOKUP('Données projet'!$B$11,Paramètres!$A$1:$I$88,5,0)</f>
        <v>#N/A</v>
      </c>
      <c r="AQ25" s="34" t="e">
        <f t="shared" si="27"/>
        <v>#N/A</v>
      </c>
      <c r="AR25" s="44" t="e">
        <f t="shared" si="4"/>
        <v>#N/A</v>
      </c>
      <c r="AS25" s="36">
        <f>IF(ISNA(VLOOKUP(A25,'Données projet'!$A$87:$I$107,3,0)),0,VLOOKUP(A25,'Données projet'!$A$87:$I$107,3,0))</f>
        <v>0</v>
      </c>
      <c r="AT25" s="36">
        <f>IF(ISNA(VLOOKUP(A25,'Données projet'!$A$87:$I$107,4,0)),0,VLOOKUP(A25,'Données projet'!$A$87:$I$107,4,0))</f>
        <v>0</v>
      </c>
      <c r="AU25" s="37">
        <f>IF(ISNA(VLOOKUP(A25,'Données projet'!$A$87:$I$107,5,0)),0%,VLOOKUP(A25,'Données projet'!$A$87:$I$107,5,0)*VLOOKUP('Données projet'!$B$11,Paramètres!$A$1:$I$88,7,0))</f>
        <v>0</v>
      </c>
      <c r="AV25" s="37">
        <f>IF(ISNA(VLOOKUP(A25,'Données projet'!$A$87:$I$107,6,0)),0%,VLOOKUP(A25,'Données projet'!$A$87:$I$107,6,0)*VLOOKUP('Données projet'!$B$11,Paramètres!$A$1:$I$88,7,0))</f>
        <v>0</v>
      </c>
      <c r="AW25" s="37">
        <f>IF(ISNA(VLOOKUP(A25,'Données projet'!$A$87:$I$107,7,0)),0%,VLOOKUP(A25,'Données projet'!$A$87:$I$107,7,0))</f>
        <v>0</v>
      </c>
      <c r="AX25" s="45">
        <f>EXP(-LN(2)/35)*AX24+(1-EXP(-LN(2)/35))/(LN(2)/35)*AT25*AU25*VLOOKUP('Données projet'!$B$9,Paramètres!$A$1:$I$88,3,0)*0.475*44/12</f>
        <v>0</v>
      </c>
      <c r="AY25" s="45">
        <f>EXP(-LN(2)/25)*AY24+(1-EXP(-LN(2)/25))/(LN(2)/25)*Calculateur!AT25*Calculateur!AV25*VLOOKUP('Données projet'!$B$9,Paramètres!$A$1:$I$88,3,0)*0.475*44/12</f>
        <v>0</v>
      </c>
      <c r="AZ25" s="45">
        <f>EXP(-LN(2)/2)*AZ24+(1-EXP(-LN(2)/2))/(LN(2)/2)*AT25*AW25*VLOOKUP('Données projet'!$B$9,Paramètres!$A$1:$I$88,3,0)*0.475*44/12</f>
        <v>0</v>
      </c>
      <c r="BA25" s="46">
        <f t="shared" si="5"/>
        <v>0</v>
      </c>
      <c r="BB25" s="32" t="e">
        <f>VLOOKUP(A25,'Données projet'!$A$113:$I$133,2,0)</f>
        <v>#N/A</v>
      </c>
      <c r="BC25" s="33" t="e">
        <f>VLOOKUP(A25,'Données projet'!$A$113:$I$133,9,0)</f>
        <v>#N/A</v>
      </c>
      <c r="BD25" s="33">
        <f t="array" ref="BD25">INDEX(BC:BC,MIN(IF(ISNUMBER(BC25:BC221),ROW(BC25:BC221),"")))</f>
        <v>0</v>
      </c>
      <c r="BE25" s="33">
        <f t="shared" si="28"/>
        <v>0</v>
      </c>
      <c r="BF25" s="34" t="e">
        <f>BE25*VLOOKUP('Données projet'!$B$12,Paramètres!$A$1:$I$88,3,0)*VLOOKUP('Données projet'!$B$12,Paramètres!$A$1:$I$88,5,0)</f>
        <v>#N/A</v>
      </c>
      <c r="BG25" s="34" t="e">
        <f t="shared" si="29"/>
        <v>#N/A</v>
      </c>
      <c r="BH25" s="44" t="e">
        <f t="shared" si="6"/>
        <v>#N/A</v>
      </c>
      <c r="BI25" s="36">
        <f>IF(ISNA(VLOOKUP(A25,'Données projet'!$A$113:$I$133,3,0)),0,VLOOKUP(A25,'Données projet'!$A$113:$I$133,3,0))</f>
        <v>0</v>
      </c>
      <c r="BJ25" s="36">
        <f>IF(ISNA(VLOOKUP(A25,'Données projet'!$A$113:$I$133,4,0)),0,VLOOKUP(A25,'Données projet'!$A$113:$I$133,4,0))</f>
        <v>0</v>
      </c>
      <c r="BK25" s="37">
        <f>IF(ISNA(VLOOKUP(A25,'Données projet'!$A$113:$I$133,5,0)),0%,VLOOKUP(A25,'Données projet'!$A$113:$I$133,5,0)*VLOOKUP('Données projet'!$B$12,Paramètres!$A$1:$I$88,7,0))</f>
        <v>0</v>
      </c>
      <c r="BL25" s="37">
        <f>IF(ISNA(VLOOKUP(A25,'Données projet'!$A$113:$I$133,6,0)),0%,VLOOKUP(A25,'Données projet'!$A$113:$I$133,6,0)*VLOOKUP('Données projet'!$B$12,Paramètres!$A$1:$I$88,7,0))</f>
        <v>0</v>
      </c>
      <c r="BM25" s="37">
        <f>IF(ISNA(VLOOKUP(A25,'Données projet'!$A$113:$I$133,7,0)),0%,VLOOKUP(A25,'Données projet'!$A$113:$I$133,7,0))</f>
        <v>0</v>
      </c>
      <c r="BN25" s="45">
        <f>EXP(-LN(2)/35)*BN24+(1-EXP(-LN(2)/35))/(LN(2)/35)*BJ25*BK25*VLOOKUP('Données projet'!$B$9,Paramètres!$A$1:$I$88,3,0)*0.475*44/12</f>
        <v>0</v>
      </c>
      <c r="BO25" s="45">
        <f>EXP(-LN(2)/25)*BO24+(1-EXP(-LN(2)/25))/(LN(2)/25)*Calculateur!BJ25*Calculateur!BL25*VLOOKUP('Données projet'!$B$9,Paramètres!$A$1:$I$88,3,0)*0.475*44/12</f>
        <v>0</v>
      </c>
      <c r="BP25" s="45">
        <f>EXP(-LN(2)/2)*BP24+(1-EXP(-LN(2)/2))/(LN(2)/2)*BJ25*BM25*VLOOKUP('Données projet'!$B$9,Paramètres!$A$1:$I$88,3,0)*0.475*44/12</f>
        <v>0</v>
      </c>
      <c r="BQ25" s="46">
        <f t="shared" si="7"/>
        <v>0</v>
      </c>
      <c r="BR25" s="32" t="e">
        <f>VLOOKUP(A25,'Données projet'!$A$139:$I$159,2,0)</f>
        <v>#N/A</v>
      </c>
      <c r="BS25" s="33" t="e">
        <f>VLOOKUP(A25,'Données projet'!$A$139:$I$159,9,0)</f>
        <v>#N/A</v>
      </c>
      <c r="BT25" s="33">
        <f t="array" ref="BT25">INDEX(BS:BS,MIN(IF(ISNUMBER(BS25:BS221),ROW(BS25:BS221),"")))</f>
        <v>0</v>
      </c>
      <c r="BU25" s="33">
        <f t="shared" si="41"/>
        <v>0</v>
      </c>
      <c r="BV25" s="38" t="e">
        <f>BU25*VLOOKUP('Données projet'!$B$13,Paramètres!$A$1:$I$88,3,0)*VLOOKUP('Données projet'!$B$13,Paramètres!$A$1:$I$88,5,0)</f>
        <v>#N/A</v>
      </c>
      <c r="BW25" s="34" t="e">
        <f t="shared" si="30"/>
        <v>#N/A</v>
      </c>
      <c r="BX25" s="44" t="e">
        <f t="shared" si="8"/>
        <v>#N/A</v>
      </c>
      <c r="BY25" s="36">
        <f>IF(ISNA(VLOOKUP(A25,'Données projet'!$A$139:$I$159,3,0)),0,VLOOKUP(A25,'Données projet'!$A$139:$I$159,3,0))</f>
        <v>0</v>
      </c>
      <c r="BZ25" s="36">
        <f>IF(ISNA(VLOOKUP(A25,'Données projet'!$A$139:$I$159,4,0)),0,VLOOKUP(A25,'Données projet'!$A$139:$I$159,4,0))</f>
        <v>0</v>
      </c>
      <c r="CA25" s="37">
        <f>IF(ISNA(VLOOKUP(A25,'Données projet'!$A$139:$I$159,5,0)),0%,VLOOKUP(A25,'Données projet'!$A$139:$I$159,5,0)*VLOOKUP('Données projet'!$B$13,Paramètres!$A$1:$I$88,7,0))</f>
        <v>0</v>
      </c>
      <c r="CB25" s="37">
        <f>IF(ISNA(VLOOKUP(A25,'Données projet'!$A$139:$I$159,6,0)),0%,VLOOKUP(A25,'Données projet'!$A$139:$I$159,6,0)*VLOOKUP('Données projet'!$B$13,Paramètres!$A$1:$I$88,7,0))</f>
        <v>0</v>
      </c>
      <c r="CC25" s="37">
        <f>IF(ISNA(VLOOKUP(A25,'Données projet'!$A$139:$I$159,7,0)),0%,VLOOKUP(A25,'Données projet'!$A$139:$I$159,7,0))</f>
        <v>0</v>
      </c>
      <c r="CD25" s="45">
        <f>EXP(-LN(2)/35)*CD24+(1-EXP(-LN(2)/35))/(LN(2)/35)*BZ25*CA25*VLOOKUP('Données projet'!$B$9,Paramètres!$A$1:$I$88,3,0)*0.475*44/12</f>
        <v>0</v>
      </c>
      <c r="CE25" s="45">
        <f>EXP(-LN(2)/25)*CE24+(1-EXP(-LN(2)/25))/(LN(2)/25)*Calculateur!BZ25*Calculateur!CB25*VLOOKUP('Données projet'!$B$9,Paramètres!$A$1:$I$88,3,0)*0.475*44/12</f>
        <v>0</v>
      </c>
      <c r="CF25" s="45">
        <f>EXP(-LN(2)/2)*CF24+(1-EXP(-LN(2)/2))/(LN(2)/2)*BZ25*CC25*VLOOKUP('Données projet'!$B$9,Paramètres!$A$1:$I$88,3,0)*0.475*44/12</f>
        <v>0</v>
      </c>
      <c r="CG25" s="46">
        <f t="shared" si="9"/>
        <v>0</v>
      </c>
      <c r="CH25" s="32" t="e">
        <f>VLOOKUP(A25,'Données projet'!$A$165:$I$185,2,0)</f>
        <v>#N/A</v>
      </c>
      <c r="CI25" s="33" t="e">
        <f>VLOOKUP(A25,'Données projet'!$A$165:$I$185,9,0)</f>
        <v>#N/A</v>
      </c>
      <c r="CJ25" s="33">
        <f t="array" ref="CJ25">INDEX(CI:CI,MIN(IF(ISNUMBER(CI25:CI221),ROW(CI25:CI221),"")))</f>
        <v>0</v>
      </c>
      <c r="CK25" s="33">
        <f t="shared" si="31"/>
        <v>0</v>
      </c>
      <c r="CL25" s="38" t="e">
        <f>CK25*VLOOKUP('Données projet'!$B$14,Paramètres!$A$1:$I$88,3,0)*VLOOKUP('Données projet'!$B$14,Paramètres!$A$1:$I$88,5,0)</f>
        <v>#N/A</v>
      </c>
      <c r="CM25" s="34" t="e">
        <f t="shared" si="32"/>
        <v>#N/A</v>
      </c>
      <c r="CN25" s="44" t="e">
        <f t="shared" si="10"/>
        <v>#N/A</v>
      </c>
      <c r="CO25" s="36">
        <f>IF(ISNA(VLOOKUP(A25,'Données projet'!$A$165:$I$185,3,0)),0,VLOOKUP(A25,'Données projet'!$A$165:$I$185,3,0))</f>
        <v>0</v>
      </c>
      <c r="CP25" s="36">
        <f>IF(ISNA(VLOOKUP(A25,'Données projet'!$A$165:$I$185,4,0)),0,VLOOKUP(A25,'Données projet'!$A$165:$I$185,4,0))</f>
        <v>0</v>
      </c>
      <c r="CQ25" s="37">
        <f>IF(ISNA(VLOOKUP(A25,'Données projet'!$A$165:$I$185,5,0)),0%,VLOOKUP(A25,'Données projet'!$A$165:$I$185,5,0)*VLOOKUP('Données projet'!$B$14,Paramètres!$A$1:$I$88,7,0))</f>
        <v>0</v>
      </c>
      <c r="CR25" s="37">
        <f>IF(ISNA(VLOOKUP(A25,'Données projet'!$A$165:$I$185,6,0)),0%,VLOOKUP(A25,'Données projet'!$A$165:$I$185,6,0)*VLOOKUP('Données projet'!$B$14,Paramètres!$A$1:$I$88,7,0))</f>
        <v>0</v>
      </c>
      <c r="CS25" s="37">
        <f>IF(ISNA(VLOOKUP(A25,'Données projet'!$A$165:$I$185,7,0)),0%,VLOOKUP(A25,'Données projet'!$A$165:$I$185,7,0))</f>
        <v>0</v>
      </c>
      <c r="CT25" s="45">
        <f>EXP(-LN(2)/35)*CT24+(1-EXP(-LN(2)/35))/(LN(2)/35)*CP25*CQ25*VLOOKUP('Données projet'!$B$9,Paramètres!$A$1:$I$88,3,0)*0.475*44/12</f>
        <v>0</v>
      </c>
      <c r="CU25" s="45">
        <f>EXP(-LN(2)/25)*CU24+(1-EXP(-LN(2)/25))/(LN(2)/25)*Calculateur!CP25*Calculateur!CR25*VLOOKUP('Données projet'!$B$9,Paramètres!$A$1:$I$88,3,0)*0.475*44/12</f>
        <v>0</v>
      </c>
      <c r="CV25" s="45">
        <f>EXP(-LN(2)/2)*CV24+(1-EXP(-LN(2)/2))/(LN(2)/2)*CP25*CS25*VLOOKUP('Données projet'!$B$9,Paramètres!$A$1:$I$88,3,0)*0.475*44/12</f>
        <v>0</v>
      </c>
      <c r="CW25" s="46">
        <f t="shared" si="11"/>
        <v>0</v>
      </c>
      <c r="CX25" s="32" t="e">
        <f>VLOOKUP(A25,'Données projet'!$A$191:$I$211,2,0)</f>
        <v>#N/A</v>
      </c>
      <c r="CY25" s="33" t="e">
        <f>VLOOKUP(A25,'Données projet'!$A$191:$I$211,9,0)</f>
        <v>#N/A</v>
      </c>
      <c r="CZ25" s="33">
        <f t="array" ref="CZ25">INDEX(CY:CY,MIN(IF(ISNUMBER(CY25:CY221),ROW(CY25:CY221),"")))</f>
        <v>0</v>
      </c>
      <c r="DA25" s="33">
        <f t="shared" si="33"/>
        <v>0</v>
      </c>
      <c r="DB25" s="38" t="e">
        <f>DA25*VLOOKUP('Données projet'!$B$15,Paramètres!$A$1:$I$88,3,0)*VLOOKUP('Données projet'!$B$15,Paramètres!$A$1:$I$88,5,0)</f>
        <v>#N/A</v>
      </c>
      <c r="DC25" s="34" t="e">
        <f t="shared" si="34"/>
        <v>#N/A</v>
      </c>
      <c r="DD25" s="44" t="e">
        <f t="shared" si="12"/>
        <v>#N/A</v>
      </c>
      <c r="DE25" s="36">
        <f>IF(ISNA(VLOOKUP(A25,'Données projet'!$A$191:$I$211,3,0)),0,VLOOKUP(A25,'Données projet'!$A$191:$I$211,3,0))</f>
        <v>0</v>
      </c>
      <c r="DF25" s="36">
        <f>IF(ISNA(VLOOKUP(A25,'Données projet'!$A$191:$I$211,4,0)),0,VLOOKUP(A25,'Données projet'!$A$191:$I$211,4,0))</f>
        <v>0</v>
      </c>
      <c r="DG25" s="37">
        <f>IF(ISNA(VLOOKUP(A25,'Données projet'!$A$191:$I$211,5,0)),0%,VLOOKUP(A25,'Données projet'!$A$191:$I$211,5,0)*VLOOKUP('Données projet'!$B$15,Paramètres!$A$1:$I$88,7,0))</f>
        <v>0</v>
      </c>
      <c r="DH25" s="37">
        <f>IF(ISNA(VLOOKUP(A25,'Données projet'!$A$191:$I$211,6,0)),0%,VLOOKUP(A25,'Données projet'!$A$191:$I$211,6,0)*VLOOKUP('Données projet'!$B$15,Paramètres!$A$1:$I$88,7,0))</f>
        <v>0</v>
      </c>
      <c r="DI25" s="37">
        <f>IF(ISNA(VLOOKUP(A25,'Données projet'!$A$191:$I$211,7,0)),0%,VLOOKUP(A25,'Données projet'!$A$191:$I$211,7,0))</f>
        <v>0</v>
      </c>
      <c r="DJ25" s="45">
        <f>EXP(-LN(2)/35)*DJ24+(1-EXP(-LN(2)/35))/(LN(2)/35)*DF25*DG25*VLOOKUP('Données projet'!$B$9,Paramètres!$A$1:$I$88,3,0)*0.475*44/12</f>
        <v>0</v>
      </c>
      <c r="DK25" s="45">
        <f>EXP(-LN(2)/25)*DK24+(1-EXP(-LN(2)/25))/(LN(2)/25)*Calculateur!DF25*Calculateur!DH25*VLOOKUP('Données projet'!$B$9,Paramètres!$A$1:$I$88,3,0)*0.475*44/12</f>
        <v>0</v>
      </c>
      <c r="DL25" s="45">
        <f>EXP(-LN(2)/2)*DL24+(1-EXP(-LN(2)/2))/(LN(2)/2)*DF25*DI25*VLOOKUP('Données projet'!$B$9,Paramètres!$A$1:$I$88,3,0)*0.475*44/12</f>
        <v>0</v>
      </c>
      <c r="DM25" s="46">
        <f t="shared" si="13"/>
        <v>0</v>
      </c>
      <c r="DN25" s="32" t="e">
        <f>VLOOKUP(A25,'Données projet'!$A$217:$I$237,2,0)</f>
        <v>#N/A</v>
      </c>
      <c r="DO25" s="33" t="e">
        <f>VLOOKUP(A25,'Données projet'!$A$217:$I$237,9,0)</f>
        <v>#N/A</v>
      </c>
      <c r="DP25" s="33">
        <f t="array" ref="DP25">INDEX(DO:DO,MIN(IF(ISNUMBER(DO25:DO221),ROW(DO25:DO221),"")))</f>
        <v>0</v>
      </c>
      <c r="DQ25" s="33">
        <f t="shared" si="35"/>
        <v>0</v>
      </c>
      <c r="DR25" s="38" t="e">
        <f>DQ25*VLOOKUP('Données projet'!$B$16,Paramètres!$A$1:$I$88,3,0)*VLOOKUP('Données projet'!$B$16,Paramètres!$A$1:$I$88,5,0)</f>
        <v>#N/A</v>
      </c>
      <c r="DS25" s="34" t="e">
        <f t="shared" si="36"/>
        <v>#N/A</v>
      </c>
      <c r="DT25" s="44" t="e">
        <f t="shared" si="14"/>
        <v>#N/A</v>
      </c>
      <c r="DU25" s="36">
        <f>IF(ISNA(VLOOKUP(A25,'Données projet'!$A$217:$I$237,3,0)),0,VLOOKUP(A25,'Données projet'!$A$217:$I$237,3,0))</f>
        <v>0</v>
      </c>
      <c r="DV25" s="36">
        <f>IF(ISNA(VLOOKUP(A25,'Données projet'!$A$217:$I$237,4,0)),0,VLOOKUP(A25,'Données projet'!$A$217:$I$237,4,0))</f>
        <v>0</v>
      </c>
      <c r="DW25" s="37">
        <f>IF(ISNA(VLOOKUP(A25,'Données projet'!$A$217:$I$237,5,0)),0%,VLOOKUP(A25,'Données projet'!$A$217:$I$237,5,0)*VLOOKUP('Données projet'!$B$16,Paramètres!$A$1:$I$88,7,0))</f>
        <v>0</v>
      </c>
      <c r="DX25" s="37">
        <f>IF(ISNA(VLOOKUP(A25,'Données projet'!$A$217:$I$237,6,0)),0%,VLOOKUP(A25,'Données projet'!$A$217:$I$237,6,0)*VLOOKUP('Données projet'!$B$16,Paramètres!$A$1:$I$88,7,0))</f>
        <v>0</v>
      </c>
      <c r="DY25" s="37">
        <f>IF(ISNA(VLOOKUP(A25,'Données projet'!$A$217:$I$237,7,0)),0%,VLOOKUP(A25,'Données projet'!$A$217:$I$237,7,0))</f>
        <v>0</v>
      </c>
      <c r="DZ25" s="45">
        <f>EXP(-LN(2)/35)*DZ24+(1-EXP(-LN(2)/35))/(LN(2)/35)*DV25*DW25*VLOOKUP('Données projet'!$B$9,Paramètres!$A$1:$I$88,3,0)*0.475*44/12</f>
        <v>0</v>
      </c>
      <c r="EA25" s="45">
        <f>EXP(-LN(2)/25)*EA24+(1-EXP(-LN(2)/25))/(LN(2)/25)*Calculateur!DV25*Calculateur!DX25*VLOOKUP('Données projet'!$B$9,Paramètres!$A$1:$I$88,3,0)*0.475*44/12</f>
        <v>0</v>
      </c>
      <c r="EB25" s="45">
        <f>EXP(-LN(2)/2)*EB24+(1-EXP(-LN(2)/2))/(LN(2)/2)*DV25*DY25*VLOOKUP('Données projet'!$B$9,Paramètres!$A$1:$I$88,3,0)*0.475*44/12</f>
        <v>0</v>
      </c>
      <c r="EC25" s="46">
        <f t="shared" si="15"/>
        <v>0</v>
      </c>
      <c r="ED25" s="32" t="e">
        <f>VLOOKUP(A25,'Données projet'!$A$243:$I$263,2,0)</f>
        <v>#N/A</v>
      </c>
      <c r="EE25" s="33" t="e">
        <f>VLOOKUP(A25,'Données projet'!$A$243:$I$263,9,0)</f>
        <v>#N/A</v>
      </c>
      <c r="EF25" s="33">
        <f t="array" ref="EF25">INDEX(EE:EE,MIN(IF(ISNUMBER(EE25:EE221),ROW(EE25:EE221),"")))</f>
        <v>0</v>
      </c>
      <c r="EG25" s="33">
        <f t="shared" si="37"/>
        <v>0</v>
      </c>
      <c r="EH25" s="38" t="e">
        <f>EG25*VLOOKUP('Données projet'!$B$17,Paramètres!$A$1:$I$88,3,0)*VLOOKUP('Données projet'!$B$17,Paramètres!$A$1:$I$88,5,0)</f>
        <v>#N/A</v>
      </c>
      <c r="EI25" s="34" t="e">
        <f t="shared" si="38"/>
        <v>#N/A</v>
      </c>
      <c r="EJ25" s="44" t="e">
        <f t="shared" si="16"/>
        <v>#N/A</v>
      </c>
      <c r="EK25" s="36">
        <f>IF(ISNA(VLOOKUP(A25,'Données projet'!$A$243:$I$263,3,0)),0,VLOOKUP(A25,'Données projet'!$A$243:$I$263,3,0))</f>
        <v>0</v>
      </c>
      <c r="EL25" s="36">
        <f>IF(ISNA(VLOOKUP(A25,'Données projet'!$A$243:$I$263,4,0)),0,VLOOKUP(A25,'Données projet'!$A$243:$I$263,4,0))</f>
        <v>0</v>
      </c>
      <c r="EM25" s="37">
        <f>IF(ISNA(VLOOKUP(A25,'Données projet'!$A$243:$I$263,5,0)),0%,VLOOKUP(A25,'Données projet'!$A$243:$I$263,5,0)*VLOOKUP('Données projet'!$B$17,Paramètres!$A$1:$I$88,7,0))</f>
        <v>0</v>
      </c>
      <c r="EN25" s="37">
        <f>IF(ISNA(VLOOKUP(A25,'Données projet'!$A$243:$I$263,6,0)),0%,VLOOKUP(A25,'Données projet'!$A$243:$I$263,6,0)*VLOOKUP('Données projet'!$B$17,Paramètres!$A$1:$I$88,7,0))</f>
        <v>0</v>
      </c>
      <c r="EO25" s="37">
        <f>IF(ISNA(VLOOKUP(A25,'Données projet'!$A$243:$I$263,7,0)),0%,VLOOKUP(A25,'Données projet'!$A$243:$I$263,7,0))</f>
        <v>0</v>
      </c>
      <c r="EP25" s="45">
        <f>EXP(-LN(2)/35)*EP24+(1-EXP(-LN(2)/35))/(LN(2)/35)*EL25*EM25*VLOOKUP('Données projet'!$B$9,Paramètres!$A$1:$I$88,3,0)*0.475*44/12</f>
        <v>0</v>
      </c>
      <c r="EQ25" s="45">
        <f>EXP(-LN(2)/25)*EQ24+(1-EXP(-LN(2)/25))/(LN(2)/25)*Calculateur!EL25*Calculateur!EN25*VLOOKUP('Données projet'!$B$9,Paramètres!$A$1:$I$88,3,0)*0.475*44/12</f>
        <v>0</v>
      </c>
      <c r="ER25" s="45">
        <f>EXP(-LN(2)/2)*ER24+(1-EXP(-LN(2)/2))/(LN(2)/2)*EL25*EO25*VLOOKUP('Données projet'!$B$9,Paramètres!$A$1:$I$88,3,0)*0.475*44/12</f>
        <v>0</v>
      </c>
      <c r="ES25" s="46">
        <f t="shared" si="17"/>
        <v>0</v>
      </c>
      <c r="ET25" s="32" t="e">
        <f>VLOOKUP(A25,'Données projet'!$A$269:$I$289,2,0)</f>
        <v>#N/A</v>
      </c>
      <c r="EU25" s="33" t="e">
        <f>VLOOKUP(A25,'Données projet'!$A$269:$I$289,9,0)</f>
        <v>#N/A</v>
      </c>
      <c r="EV25" s="33">
        <f t="array" ref="EV25">INDEX(EU:EU,MIN(IF(ISNUMBER(EU25:EU221),ROW(EU25:EU221),"")))</f>
        <v>0</v>
      </c>
      <c r="EW25" s="33">
        <f t="shared" si="39"/>
        <v>0</v>
      </c>
      <c r="EX25" s="38" t="e">
        <f>EW25*VLOOKUP('Données projet'!$B$18,Paramètres!$A$1:$I$88,3,0)*VLOOKUP('Données projet'!$B$18,Paramètres!$A$1:$I$88,5,0)</f>
        <v>#N/A</v>
      </c>
      <c r="EY25" s="34" t="e">
        <f t="shared" si="40"/>
        <v>#N/A</v>
      </c>
      <c r="EZ25" s="44" t="e">
        <f t="shared" si="18"/>
        <v>#N/A</v>
      </c>
      <c r="FA25" s="36">
        <f>IF(ISNA(VLOOKUP(A25,'Données projet'!$A$269:$I$289,3,0)),0,VLOOKUP(A25,'Données projet'!$A$269:$I$289,3,0))</f>
        <v>0</v>
      </c>
      <c r="FB25" s="36">
        <f>IF(ISNA(VLOOKUP(A25,'Données projet'!$A$269:$I$289,4,0)),0,VLOOKUP(A25,'Données projet'!$A$269:$I$289,4,0))</f>
        <v>0</v>
      </c>
      <c r="FC25" s="37">
        <f>IF(ISNA(VLOOKUP(A25,'Données projet'!$A$269:$I$289,5,0)),0%,VLOOKUP(A25,'Données projet'!$A$269:$I$289,5,0)*VLOOKUP('Données projet'!$B$18,Paramètres!$A$1:$I$88,7,0))</f>
        <v>0</v>
      </c>
      <c r="FD25" s="37">
        <f>IF(ISNA(VLOOKUP(A25,'Données projet'!$A$269:$I$289,6,0)),0%,VLOOKUP(A25,'Données projet'!$A$269:$I$289,6,0)*VLOOKUP('Données projet'!$B$18,Paramètres!$A$1:$I$88,7,0))</f>
        <v>0</v>
      </c>
      <c r="FE25" s="37">
        <f>IF(ISNA(VLOOKUP(A25,'Données projet'!$A$269:$I$289,7,0)),0%,VLOOKUP(A25,'Données projet'!$A$269:$I$289,7,0))</f>
        <v>0</v>
      </c>
      <c r="FF25" s="45">
        <f>EXP(-LN(2)/35)*FF24+(1-EXP(-LN(2)/35))/(LN(2)/35)*FB25*FC25*VLOOKUP('Données projet'!$B$9,Paramètres!$A$1:$I$88,3,0)*0.475*44/12</f>
        <v>0</v>
      </c>
      <c r="FG25" s="45">
        <f>EXP(-LN(2)/25)*FG24+(1-EXP(-LN(2)/25))/(LN(2)/25)*Calculateur!FB25*Calculateur!FD25*VLOOKUP('Données projet'!$B$9,Paramètres!$A$1:$I$88,3,0)*0.475*44/12</f>
        <v>0</v>
      </c>
      <c r="FH25" s="45">
        <f>EXP(-LN(2)/2)*FH24+(1-EXP(-LN(2)/2))/(LN(2)/2)*FB25*FE25*VLOOKUP('Données projet'!$B$9,Paramètres!$A$1:$I$88,3,0)*0.475*44/12</f>
        <v>0</v>
      </c>
      <c r="FI25" s="46">
        <f t="shared" si="19"/>
        <v>0</v>
      </c>
    </row>
    <row r="26" spans="1:165" x14ac:dyDescent="0.25">
      <c r="A26" s="24">
        <f t="shared" si="20"/>
        <v>23</v>
      </c>
      <c r="B26" s="25">
        <f>IF('Scénario référence'!$N$1=1,5,0)</f>
        <v>0</v>
      </c>
      <c r="C26" s="40">
        <f>IF(OR('Scénario référence'!$N$1=2,'Scénario référence'!$N$1=4),C25+1*VLOOKUP('Scénario référence'!$G$14,Paramètres!$A$1:$I$88,3,0)*VLOOKUP('Scénario référence'!$G$14,Paramètres!$A$1:$I$88,5,0),IF(OR('Scénario référence'!$N$1=3,'Scénario référence'!$N$1=5),C25+0.5*VLOOKUP('Scénario référence'!$G$14,Paramètres!$A$1:$I$88,3,0)*VLOOKUP('Scénario référence'!$G$14,Paramètres!$A$1:$I$88,5,0),0))</f>
        <v>12.557999999999998</v>
      </c>
      <c r="D26" s="26">
        <f t="shared" si="21"/>
        <v>4.3108032327306516</v>
      </c>
      <c r="E26" s="27">
        <f>IF('Scénario référence'!$N$1=1,B26*44/12,(C26+D26)*0.475*44/12)</f>
        <v>29.37983229700588</v>
      </c>
      <c r="F26" s="28" t="e">
        <f>VLOOKUP(A26,'Données projet'!$A$35:$I$55,2,0)</f>
        <v>#N/A</v>
      </c>
      <c r="G26" s="28" t="e">
        <f>VLOOKUP(A26,'Données projet'!$A$35:$I$55,9,0)</f>
        <v>#N/A</v>
      </c>
      <c r="H26" s="33">
        <f t="array" ref="H26">INDEX(G:G,MIN(IF(ISNUMBER(G26:G222),ROW(G26:G222),"")))</f>
        <v>5.6</v>
      </c>
      <c r="I26" s="28">
        <f t="shared" si="22"/>
        <v>58.800000000000018</v>
      </c>
      <c r="J26" s="41">
        <f>I26*VLOOKUP('Données projet'!$B$9,Paramètres!$A$1:$I$88,3,0)*VLOOKUP('Données projet'!$B$9,Paramètres!$A$1:$I$88,5,0)</f>
        <v>59.623200000000026</v>
      </c>
      <c r="K26" s="41">
        <f t="shared" si="23"/>
        <v>17.072967249098898</v>
      </c>
      <c r="L26" s="42">
        <f t="shared" si="0"/>
        <v>133.57915795884728</v>
      </c>
      <c r="M26" s="30">
        <f>IF(ISNA(VLOOKUP(A26,'Données projet'!$A$35:$I$55,3,0)),0,VLOOKUP(A26,'Données projet'!$A$35:$I$55,3,0))</f>
        <v>0</v>
      </c>
      <c r="N26" s="30">
        <f>IF(ISNA(VLOOKUP(A26,'Données projet'!$A$35:$I$55,4,0)),0,VLOOKUP(A26,'Données projet'!$A$35:$I$55,4,0))</f>
        <v>0</v>
      </c>
      <c r="O26" s="31">
        <f>IF(ISNA(VLOOKUP(A26,'Données projet'!$A$35:$I$55,5,0)),0%,VLOOKUP(A26,'Données projet'!$A$35:$I$55,5,0)*VLOOKUP('Données projet'!$B$9,Paramètres!$A$1:$I$88,7,0))</f>
        <v>0</v>
      </c>
      <c r="P26" s="31">
        <f>IF(ISNA(VLOOKUP(A26,'Données projet'!$A$35:$I$55,6,0)),0%,VLOOKUP(A26,'Données projet'!$A$35:$I$55,6,0)*VLOOKUP('Données projet'!$B$9,Paramètres!$A$1:$I$88,7,0))</f>
        <v>0</v>
      </c>
      <c r="Q26" s="31">
        <f>IF(ISNA(VLOOKUP(A26,'Données projet'!$A$35:$I$55,7,0)),0%,VLOOKUP(A26,'Données projet'!$A$35:$I$55,7,0))</f>
        <v>0</v>
      </c>
      <c r="R26" s="43">
        <f>EXP(-LN(2)/35)*R25+(1-EXP(-LN(2)/35))/(LN(2)/35)*N26*O26*VLOOKUP('Données projet'!$B$9,Paramètres!$A$1:$I$88,3,0)*0.475*44/12</f>
        <v>0</v>
      </c>
      <c r="S26" s="43">
        <f>EXP(-LN(2)/25)*S25+(1-EXP(-LN(2)/25))/(LN(2)/25)*Calculateur!N26*Calculateur!P26*VLOOKUP('Données projet'!$B$9,Paramètres!$A$1:$I$88,3,0)*0.475*44/12</f>
        <v>0</v>
      </c>
      <c r="T26" s="43">
        <f>EXP(-LN(2)/2)*T25+(1-EXP(-LN(2)/2))/(LN(2)/2)*N26*Q26*VLOOKUP('Données projet'!$B$9,Paramètres!$A$1:$I$88,3,0)*0.475*44/12</f>
        <v>0</v>
      </c>
      <c r="U26" s="43">
        <f t="shared" si="1"/>
        <v>0</v>
      </c>
      <c r="V26" s="32" t="e">
        <f>VLOOKUP(A26,'Données projet'!$A$61:$I$81,2,0)</f>
        <v>#N/A</v>
      </c>
      <c r="W26" s="33" t="e">
        <f>VLOOKUP(A26,'Données projet'!$A$61:$I$81,9,0)</f>
        <v>#N/A</v>
      </c>
      <c r="X26" s="33">
        <f t="array" ref="X26">INDEX(W:W,MIN(IF(ISNUMBER(W26:W222),ROW(W26:W222),"")))</f>
        <v>0</v>
      </c>
      <c r="Y26" s="33">
        <f t="shared" si="24"/>
        <v>0</v>
      </c>
      <c r="Z26" s="34" t="e">
        <f>Y26*VLOOKUP('Données projet'!$B$10,Paramètres!$A$1:$I$88,3,0)*VLOOKUP('Données projet'!$B$10,Paramètres!$A$1:$I$88,5,0)</f>
        <v>#N/A</v>
      </c>
      <c r="AA26" s="34" t="e">
        <f t="shared" si="25"/>
        <v>#N/A</v>
      </c>
      <c r="AB26" s="44" t="e">
        <f t="shared" si="2"/>
        <v>#N/A</v>
      </c>
      <c r="AC26" s="36">
        <f>IF(ISNA(VLOOKUP(A26,'Données projet'!$A$61:$I$81,3,0)),0,VLOOKUP(A26,'Données projet'!$A$61:$I$81,3,0))</f>
        <v>0</v>
      </c>
      <c r="AD26" s="36">
        <f>IF(ISNA(VLOOKUP(A26,'Données projet'!$A$61:$I$81,4,0)),0,VLOOKUP(A26,'Données projet'!$A$61:$I$81,4,0))</f>
        <v>0</v>
      </c>
      <c r="AE26" s="37">
        <f>IF(ISNA(VLOOKUP(A26,'Données projet'!$A$61:$I$81,5,0)),0%,VLOOKUP(A26,'Données projet'!$A$61:$I$81,5,0)*VLOOKUP('Données projet'!$B$10,Paramètres!$A$1:$I$88,7,0))</f>
        <v>0</v>
      </c>
      <c r="AF26" s="37">
        <f>IF(ISNA(VLOOKUP(A26,'Données projet'!$A$61:$I$81,6,0)),0%,VLOOKUP(A26,'Données projet'!$A$61:$I$81,6,0)*VLOOKUP('Données projet'!$B$10,Paramètres!$A$1:$I$88,7,0))</f>
        <v>0</v>
      </c>
      <c r="AG26" s="37">
        <f>IF(ISNA(VLOOKUP(A26,'Données projet'!$A$61:$I$81,7,0)),0%,VLOOKUP(A26,'Données projet'!$A$61:$I$81,7,0))</f>
        <v>0</v>
      </c>
      <c r="AH26" s="45">
        <f>EXP(-LN(2)/35)*AH25+(1-EXP(-LN(2)/35))/(LN(2)/35)*AD26*AE26*VLOOKUP('Données projet'!$B$9,Paramètres!$A$1:$I$88,3,0)*0.475*44/12</f>
        <v>0</v>
      </c>
      <c r="AI26" s="45">
        <f>EXP(-LN(2)/25)*AI25+(1-EXP(-LN(2)/25))/(LN(2)/25)*Calculateur!AD26*Calculateur!AF26*VLOOKUP('Données projet'!$B$9,Paramètres!$A$1:$I$88,3,0)*0.475*44/12</f>
        <v>0</v>
      </c>
      <c r="AJ26" s="45">
        <f>EXP(-LN(2)/2)*AJ25+(1-EXP(-LN(2)/2))/(LN(2)/2)*AD26*AG26*VLOOKUP('Données projet'!$B$9,Paramètres!$A$1:$I$88,3,0)*0.475*44/12</f>
        <v>0</v>
      </c>
      <c r="AK26" s="45">
        <f t="shared" si="3"/>
        <v>0</v>
      </c>
      <c r="AL26" s="32" t="e">
        <f>VLOOKUP(A26,'Données projet'!$A$87:$I$107,2,0)</f>
        <v>#N/A</v>
      </c>
      <c r="AM26" s="33" t="e">
        <f>VLOOKUP(A26,'Données projet'!$A$87:$I$107,9,0)</f>
        <v>#N/A</v>
      </c>
      <c r="AN26" s="33">
        <f t="array" ref="AN26">INDEX(AM:AM,MIN(IF(ISNUMBER(AM26:AM222),ROW(AM26:AM222),"")))</f>
        <v>0</v>
      </c>
      <c r="AO26" s="33">
        <f t="shared" si="26"/>
        <v>0</v>
      </c>
      <c r="AP26" s="34" t="e">
        <f>AO26*VLOOKUP('Données projet'!$B$11,Paramètres!$A$1:$I$88,3,0)*VLOOKUP('Données projet'!$B$11,Paramètres!$A$1:$I$88,5,0)</f>
        <v>#N/A</v>
      </c>
      <c r="AQ26" s="34" t="e">
        <f t="shared" si="27"/>
        <v>#N/A</v>
      </c>
      <c r="AR26" s="44" t="e">
        <f t="shared" si="4"/>
        <v>#N/A</v>
      </c>
      <c r="AS26" s="36">
        <f>IF(ISNA(VLOOKUP(A26,'Données projet'!$A$87:$I$107,3,0)),0,VLOOKUP(A26,'Données projet'!$A$87:$I$107,3,0))</f>
        <v>0</v>
      </c>
      <c r="AT26" s="36">
        <f>IF(ISNA(VLOOKUP(A26,'Données projet'!$A$87:$I$107,4,0)),0,VLOOKUP(A26,'Données projet'!$A$87:$I$107,4,0))</f>
        <v>0</v>
      </c>
      <c r="AU26" s="37">
        <f>IF(ISNA(VLOOKUP(A26,'Données projet'!$A$87:$I$107,5,0)),0%,VLOOKUP(A26,'Données projet'!$A$87:$I$107,5,0)*VLOOKUP('Données projet'!$B$11,Paramètres!$A$1:$I$88,7,0))</f>
        <v>0</v>
      </c>
      <c r="AV26" s="37">
        <f>IF(ISNA(VLOOKUP(A26,'Données projet'!$A$87:$I$107,6,0)),0%,VLOOKUP(A26,'Données projet'!$A$87:$I$107,6,0)*VLOOKUP('Données projet'!$B$11,Paramètres!$A$1:$I$88,7,0))</f>
        <v>0</v>
      </c>
      <c r="AW26" s="37">
        <f>IF(ISNA(VLOOKUP(A26,'Données projet'!$A$87:$I$107,7,0)),0%,VLOOKUP(A26,'Données projet'!$A$87:$I$107,7,0))</f>
        <v>0</v>
      </c>
      <c r="AX26" s="45">
        <f>EXP(-LN(2)/35)*AX25+(1-EXP(-LN(2)/35))/(LN(2)/35)*AT26*AU26*VLOOKUP('Données projet'!$B$9,Paramètres!$A$1:$I$88,3,0)*0.475*44/12</f>
        <v>0</v>
      </c>
      <c r="AY26" s="45">
        <f>EXP(-LN(2)/25)*AY25+(1-EXP(-LN(2)/25))/(LN(2)/25)*Calculateur!AT26*Calculateur!AV26*VLOOKUP('Données projet'!$B$9,Paramètres!$A$1:$I$88,3,0)*0.475*44/12</f>
        <v>0</v>
      </c>
      <c r="AZ26" s="45">
        <f>EXP(-LN(2)/2)*AZ25+(1-EXP(-LN(2)/2))/(LN(2)/2)*AT26*AW26*VLOOKUP('Données projet'!$B$9,Paramètres!$A$1:$I$88,3,0)*0.475*44/12</f>
        <v>0</v>
      </c>
      <c r="BA26" s="46">
        <f t="shared" si="5"/>
        <v>0</v>
      </c>
      <c r="BB26" s="32" t="e">
        <f>VLOOKUP(A26,'Données projet'!$A$113:$I$133,2,0)</f>
        <v>#N/A</v>
      </c>
      <c r="BC26" s="33" t="e">
        <f>VLOOKUP(A26,'Données projet'!$A$113:$I$133,9,0)</f>
        <v>#N/A</v>
      </c>
      <c r="BD26" s="33">
        <f t="array" ref="BD26">INDEX(BC:BC,MIN(IF(ISNUMBER(BC26:BC222),ROW(BC26:BC222),"")))</f>
        <v>0</v>
      </c>
      <c r="BE26" s="33">
        <f t="shared" si="28"/>
        <v>0</v>
      </c>
      <c r="BF26" s="34" t="e">
        <f>BE26*VLOOKUP('Données projet'!$B$12,Paramètres!$A$1:$I$88,3,0)*VLOOKUP('Données projet'!$B$12,Paramètres!$A$1:$I$88,5,0)</f>
        <v>#N/A</v>
      </c>
      <c r="BG26" s="34" t="e">
        <f t="shared" si="29"/>
        <v>#N/A</v>
      </c>
      <c r="BH26" s="44" t="e">
        <f t="shared" si="6"/>
        <v>#N/A</v>
      </c>
      <c r="BI26" s="36">
        <f>IF(ISNA(VLOOKUP(A26,'Données projet'!$A$113:$I$133,3,0)),0,VLOOKUP(A26,'Données projet'!$A$113:$I$133,3,0))</f>
        <v>0</v>
      </c>
      <c r="BJ26" s="36">
        <f>IF(ISNA(VLOOKUP(A26,'Données projet'!$A$113:$I$133,4,0)),0,VLOOKUP(A26,'Données projet'!$A$113:$I$133,4,0))</f>
        <v>0</v>
      </c>
      <c r="BK26" s="37">
        <f>IF(ISNA(VLOOKUP(A26,'Données projet'!$A$113:$I$133,5,0)),0%,VLOOKUP(A26,'Données projet'!$A$113:$I$133,5,0)*VLOOKUP('Données projet'!$B$12,Paramètres!$A$1:$I$88,7,0))</f>
        <v>0</v>
      </c>
      <c r="BL26" s="37">
        <f>IF(ISNA(VLOOKUP(A26,'Données projet'!$A$113:$I$133,6,0)),0%,VLOOKUP(A26,'Données projet'!$A$113:$I$133,6,0)*VLOOKUP('Données projet'!$B$12,Paramètres!$A$1:$I$88,7,0))</f>
        <v>0</v>
      </c>
      <c r="BM26" s="37">
        <f>IF(ISNA(VLOOKUP(A26,'Données projet'!$A$113:$I$133,7,0)),0%,VLOOKUP(A26,'Données projet'!$A$113:$I$133,7,0))</f>
        <v>0</v>
      </c>
      <c r="BN26" s="45">
        <f>EXP(-LN(2)/35)*BN25+(1-EXP(-LN(2)/35))/(LN(2)/35)*BJ26*BK26*VLOOKUP('Données projet'!$B$9,Paramètres!$A$1:$I$88,3,0)*0.475*44/12</f>
        <v>0</v>
      </c>
      <c r="BO26" s="45">
        <f>EXP(-LN(2)/25)*BO25+(1-EXP(-LN(2)/25))/(LN(2)/25)*Calculateur!BJ26*Calculateur!BL26*VLOOKUP('Données projet'!$B$9,Paramètres!$A$1:$I$88,3,0)*0.475*44/12</f>
        <v>0</v>
      </c>
      <c r="BP26" s="45">
        <f>EXP(-LN(2)/2)*BP25+(1-EXP(-LN(2)/2))/(LN(2)/2)*BJ26*BM26*VLOOKUP('Données projet'!$B$9,Paramètres!$A$1:$I$88,3,0)*0.475*44/12</f>
        <v>0</v>
      </c>
      <c r="BQ26" s="46">
        <f t="shared" si="7"/>
        <v>0</v>
      </c>
      <c r="BR26" s="32" t="e">
        <f>VLOOKUP(A26,'Données projet'!$A$139:$I$159,2,0)</f>
        <v>#N/A</v>
      </c>
      <c r="BS26" s="33" t="e">
        <f>VLOOKUP(A26,'Données projet'!$A$139:$I$159,9,0)</f>
        <v>#N/A</v>
      </c>
      <c r="BT26" s="33">
        <f t="array" ref="BT26">INDEX(BS:BS,MIN(IF(ISNUMBER(BS26:BS222),ROW(BS26:BS222),"")))</f>
        <v>0</v>
      </c>
      <c r="BU26" s="33">
        <f t="shared" si="41"/>
        <v>0</v>
      </c>
      <c r="BV26" s="38" t="e">
        <f>BU26*VLOOKUP('Données projet'!$B$13,Paramètres!$A$1:$I$88,3,0)*VLOOKUP('Données projet'!$B$13,Paramètres!$A$1:$I$88,5,0)</f>
        <v>#N/A</v>
      </c>
      <c r="BW26" s="34" t="e">
        <f t="shared" si="30"/>
        <v>#N/A</v>
      </c>
      <c r="BX26" s="44" t="e">
        <f t="shared" si="8"/>
        <v>#N/A</v>
      </c>
      <c r="BY26" s="36">
        <f>IF(ISNA(VLOOKUP(A26,'Données projet'!$A$139:$I$159,3,0)),0,VLOOKUP(A26,'Données projet'!$A$139:$I$159,3,0))</f>
        <v>0</v>
      </c>
      <c r="BZ26" s="36">
        <f>IF(ISNA(VLOOKUP(A26,'Données projet'!$A$139:$I$159,4,0)),0,VLOOKUP(A26,'Données projet'!$A$139:$I$159,4,0))</f>
        <v>0</v>
      </c>
      <c r="CA26" s="37">
        <f>IF(ISNA(VLOOKUP(A26,'Données projet'!$A$139:$I$159,5,0)),0%,VLOOKUP(A26,'Données projet'!$A$139:$I$159,5,0)*VLOOKUP('Données projet'!$B$13,Paramètres!$A$1:$I$88,7,0))</f>
        <v>0</v>
      </c>
      <c r="CB26" s="37">
        <f>IF(ISNA(VLOOKUP(A26,'Données projet'!$A$139:$I$159,6,0)),0%,VLOOKUP(A26,'Données projet'!$A$139:$I$159,6,0)*VLOOKUP('Données projet'!$B$13,Paramètres!$A$1:$I$88,7,0))</f>
        <v>0</v>
      </c>
      <c r="CC26" s="37">
        <f>IF(ISNA(VLOOKUP(A26,'Données projet'!$A$139:$I$159,7,0)),0%,VLOOKUP(A26,'Données projet'!$A$139:$I$159,7,0))</f>
        <v>0</v>
      </c>
      <c r="CD26" s="45">
        <f>EXP(-LN(2)/35)*CD25+(1-EXP(-LN(2)/35))/(LN(2)/35)*BZ26*CA26*VLOOKUP('Données projet'!$B$9,Paramètres!$A$1:$I$88,3,0)*0.475*44/12</f>
        <v>0</v>
      </c>
      <c r="CE26" s="45">
        <f>EXP(-LN(2)/25)*CE25+(1-EXP(-LN(2)/25))/(LN(2)/25)*Calculateur!BZ26*Calculateur!CB26*VLOOKUP('Données projet'!$B$9,Paramètres!$A$1:$I$88,3,0)*0.475*44/12</f>
        <v>0</v>
      </c>
      <c r="CF26" s="45">
        <f>EXP(-LN(2)/2)*CF25+(1-EXP(-LN(2)/2))/(LN(2)/2)*BZ26*CC26*VLOOKUP('Données projet'!$B$9,Paramètres!$A$1:$I$88,3,0)*0.475*44/12</f>
        <v>0</v>
      </c>
      <c r="CG26" s="46">
        <f t="shared" si="9"/>
        <v>0</v>
      </c>
      <c r="CH26" s="32" t="e">
        <f>VLOOKUP(A26,'Données projet'!$A$165:$I$185,2,0)</f>
        <v>#N/A</v>
      </c>
      <c r="CI26" s="33" t="e">
        <f>VLOOKUP(A26,'Données projet'!$A$165:$I$185,9,0)</f>
        <v>#N/A</v>
      </c>
      <c r="CJ26" s="33">
        <f t="array" ref="CJ26">INDEX(CI:CI,MIN(IF(ISNUMBER(CI26:CI222),ROW(CI26:CI222),"")))</f>
        <v>0</v>
      </c>
      <c r="CK26" s="33">
        <f t="shared" si="31"/>
        <v>0</v>
      </c>
      <c r="CL26" s="38" t="e">
        <f>CK26*VLOOKUP('Données projet'!$B$14,Paramètres!$A$1:$I$88,3,0)*VLOOKUP('Données projet'!$B$14,Paramètres!$A$1:$I$88,5,0)</f>
        <v>#N/A</v>
      </c>
      <c r="CM26" s="34" t="e">
        <f t="shared" si="32"/>
        <v>#N/A</v>
      </c>
      <c r="CN26" s="44" t="e">
        <f t="shared" si="10"/>
        <v>#N/A</v>
      </c>
      <c r="CO26" s="36">
        <f>IF(ISNA(VLOOKUP(A26,'Données projet'!$A$165:$I$185,3,0)),0,VLOOKUP(A26,'Données projet'!$A$165:$I$185,3,0))</f>
        <v>0</v>
      </c>
      <c r="CP26" s="36">
        <f>IF(ISNA(VLOOKUP(A26,'Données projet'!$A$165:$I$185,4,0)),0,VLOOKUP(A26,'Données projet'!$A$165:$I$185,4,0))</f>
        <v>0</v>
      </c>
      <c r="CQ26" s="37">
        <f>IF(ISNA(VLOOKUP(A26,'Données projet'!$A$165:$I$185,5,0)),0%,VLOOKUP(A26,'Données projet'!$A$165:$I$185,5,0)*VLOOKUP('Données projet'!$B$14,Paramètres!$A$1:$I$88,7,0))</f>
        <v>0</v>
      </c>
      <c r="CR26" s="37">
        <f>IF(ISNA(VLOOKUP(A26,'Données projet'!$A$165:$I$185,6,0)),0%,VLOOKUP(A26,'Données projet'!$A$165:$I$185,6,0)*VLOOKUP('Données projet'!$B$14,Paramètres!$A$1:$I$88,7,0))</f>
        <v>0</v>
      </c>
      <c r="CS26" s="37">
        <f>IF(ISNA(VLOOKUP(A26,'Données projet'!$A$165:$I$185,7,0)),0%,VLOOKUP(A26,'Données projet'!$A$165:$I$185,7,0))</f>
        <v>0</v>
      </c>
      <c r="CT26" s="45">
        <f>EXP(-LN(2)/35)*CT25+(1-EXP(-LN(2)/35))/(LN(2)/35)*CP26*CQ26*VLOOKUP('Données projet'!$B$9,Paramètres!$A$1:$I$88,3,0)*0.475*44/12</f>
        <v>0</v>
      </c>
      <c r="CU26" s="45">
        <f>EXP(-LN(2)/25)*CU25+(1-EXP(-LN(2)/25))/(LN(2)/25)*Calculateur!CP26*Calculateur!CR26*VLOOKUP('Données projet'!$B$9,Paramètres!$A$1:$I$88,3,0)*0.475*44/12</f>
        <v>0</v>
      </c>
      <c r="CV26" s="45">
        <f>EXP(-LN(2)/2)*CV25+(1-EXP(-LN(2)/2))/(LN(2)/2)*CP26*CS26*VLOOKUP('Données projet'!$B$9,Paramètres!$A$1:$I$88,3,0)*0.475*44/12</f>
        <v>0</v>
      </c>
      <c r="CW26" s="46">
        <f t="shared" si="11"/>
        <v>0</v>
      </c>
      <c r="CX26" s="32" t="e">
        <f>VLOOKUP(A26,'Données projet'!$A$191:$I$211,2,0)</f>
        <v>#N/A</v>
      </c>
      <c r="CY26" s="33" t="e">
        <f>VLOOKUP(A26,'Données projet'!$A$191:$I$211,9,0)</f>
        <v>#N/A</v>
      </c>
      <c r="CZ26" s="33">
        <f t="array" ref="CZ26">INDEX(CY:CY,MIN(IF(ISNUMBER(CY26:CY222),ROW(CY26:CY222),"")))</f>
        <v>0</v>
      </c>
      <c r="DA26" s="33">
        <f t="shared" si="33"/>
        <v>0</v>
      </c>
      <c r="DB26" s="38" t="e">
        <f>DA26*VLOOKUP('Données projet'!$B$15,Paramètres!$A$1:$I$88,3,0)*VLOOKUP('Données projet'!$B$15,Paramètres!$A$1:$I$88,5,0)</f>
        <v>#N/A</v>
      </c>
      <c r="DC26" s="34" t="e">
        <f t="shared" si="34"/>
        <v>#N/A</v>
      </c>
      <c r="DD26" s="44" t="e">
        <f t="shared" si="12"/>
        <v>#N/A</v>
      </c>
      <c r="DE26" s="36">
        <f>IF(ISNA(VLOOKUP(A26,'Données projet'!$A$191:$I$211,3,0)),0,VLOOKUP(A26,'Données projet'!$A$191:$I$211,3,0))</f>
        <v>0</v>
      </c>
      <c r="DF26" s="36">
        <f>IF(ISNA(VLOOKUP(A26,'Données projet'!$A$191:$I$211,4,0)),0,VLOOKUP(A26,'Données projet'!$A$191:$I$211,4,0))</f>
        <v>0</v>
      </c>
      <c r="DG26" s="37">
        <f>IF(ISNA(VLOOKUP(A26,'Données projet'!$A$191:$I$211,5,0)),0%,VLOOKUP(A26,'Données projet'!$A$191:$I$211,5,0)*VLOOKUP('Données projet'!$B$15,Paramètres!$A$1:$I$88,7,0))</f>
        <v>0</v>
      </c>
      <c r="DH26" s="37">
        <f>IF(ISNA(VLOOKUP(A26,'Données projet'!$A$191:$I$211,6,0)),0%,VLOOKUP(A26,'Données projet'!$A$191:$I$211,6,0)*VLOOKUP('Données projet'!$B$15,Paramètres!$A$1:$I$88,7,0))</f>
        <v>0</v>
      </c>
      <c r="DI26" s="37">
        <f>IF(ISNA(VLOOKUP(A26,'Données projet'!$A$191:$I$211,7,0)),0%,VLOOKUP(A26,'Données projet'!$A$191:$I$211,7,0))</f>
        <v>0</v>
      </c>
      <c r="DJ26" s="45">
        <f>EXP(-LN(2)/35)*DJ25+(1-EXP(-LN(2)/35))/(LN(2)/35)*DF26*DG26*VLOOKUP('Données projet'!$B$9,Paramètres!$A$1:$I$88,3,0)*0.475*44/12</f>
        <v>0</v>
      </c>
      <c r="DK26" s="45">
        <f>EXP(-LN(2)/25)*DK25+(1-EXP(-LN(2)/25))/(LN(2)/25)*Calculateur!DF26*Calculateur!DH26*VLOOKUP('Données projet'!$B$9,Paramètres!$A$1:$I$88,3,0)*0.475*44/12</f>
        <v>0</v>
      </c>
      <c r="DL26" s="45">
        <f>EXP(-LN(2)/2)*DL25+(1-EXP(-LN(2)/2))/(LN(2)/2)*DF26*DI26*VLOOKUP('Données projet'!$B$9,Paramètres!$A$1:$I$88,3,0)*0.475*44/12</f>
        <v>0</v>
      </c>
      <c r="DM26" s="46">
        <f t="shared" si="13"/>
        <v>0</v>
      </c>
      <c r="DN26" s="32" t="e">
        <f>VLOOKUP(A26,'Données projet'!$A$217:$I$237,2,0)</f>
        <v>#N/A</v>
      </c>
      <c r="DO26" s="33" t="e">
        <f>VLOOKUP(A26,'Données projet'!$A$217:$I$237,9,0)</f>
        <v>#N/A</v>
      </c>
      <c r="DP26" s="33">
        <f t="array" ref="DP26">INDEX(DO:DO,MIN(IF(ISNUMBER(DO26:DO222),ROW(DO26:DO222),"")))</f>
        <v>0</v>
      </c>
      <c r="DQ26" s="33">
        <f t="shared" si="35"/>
        <v>0</v>
      </c>
      <c r="DR26" s="38" t="e">
        <f>DQ26*VLOOKUP('Données projet'!$B$16,Paramètres!$A$1:$I$88,3,0)*VLOOKUP('Données projet'!$B$16,Paramètres!$A$1:$I$88,5,0)</f>
        <v>#N/A</v>
      </c>
      <c r="DS26" s="34" t="e">
        <f t="shared" si="36"/>
        <v>#N/A</v>
      </c>
      <c r="DT26" s="44" t="e">
        <f t="shared" si="14"/>
        <v>#N/A</v>
      </c>
      <c r="DU26" s="36">
        <f>IF(ISNA(VLOOKUP(A26,'Données projet'!$A$217:$I$237,3,0)),0,VLOOKUP(A26,'Données projet'!$A$217:$I$237,3,0))</f>
        <v>0</v>
      </c>
      <c r="DV26" s="36">
        <f>IF(ISNA(VLOOKUP(A26,'Données projet'!$A$217:$I$237,4,0)),0,VLOOKUP(A26,'Données projet'!$A$217:$I$237,4,0))</f>
        <v>0</v>
      </c>
      <c r="DW26" s="37">
        <f>IF(ISNA(VLOOKUP(A26,'Données projet'!$A$217:$I$237,5,0)),0%,VLOOKUP(A26,'Données projet'!$A$217:$I$237,5,0)*VLOOKUP('Données projet'!$B$16,Paramètres!$A$1:$I$88,7,0))</f>
        <v>0</v>
      </c>
      <c r="DX26" s="37">
        <f>IF(ISNA(VLOOKUP(A26,'Données projet'!$A$217:$I$237,6,0)),0%,VLOOKUP(A26,'Données projet'!$A$217:$I$237,6,0)*VLOOKUP('Données projet'!$B$16,Paramètres!$A$1:$I$88,7,0))</f>
        <v>0</v>
      </c>
      <c r="DY26" s="37">
        <f>IF(ISNA(VLOOKUP(A26,'Données projet'!$A$217:$I$237,7,0)),0%,VLOOKUP(A26,'Données projet'!$A$217:$I$237,7,0))</f>
        <v>0</v>
      </c>
      <c r="DZ26" s="45">
        <f>EXP(-LN(2)/35)*DZ25+(1-EXP(-LN(2)/35))/(LN(2)/35)*DV26*DW26*VLOOKUP('Données projet'!$B$9,Paramètres!$A$1:$I$88,3,0)*0.475*44/12</f>
        <v>0</v>
      </c>
      <c r="EA26" s="45">
        <f>EXP(-LN(2)/25)*EA25+(1-EXP(-LN(2)/25))/(LN(2)/25)*Calculateur!DV26*Calculateur!DX26*VLOOKUP('Données projet'!$B$9,Paramètres!$A$1:$I$88,3,0)*0.475*44/12</f>
        <v>0</v>
      </c>
      <c r="EB26" s="45">
        <f>EXP(-LN(2)/2)*EB25+(1-EXP(-LN(2)/2))/(LN(2)/2)*DV26*DY26*VLOOKUP('Données projet'!$B$9,Paramètres!$A$1:$I$88,3,0)*0.475*44/12</f>
        <v>0</v>
      </c>
      <c r="EC26" s="46">
        <f t="shared" si="15"/>
        <v>0</v>
      </c>
      <c r="ED26" s="32" t="e">
        <f>VLOOKUP(A26,'Données projet'!$A$243:$I$263,2,0)</f>
        <v>#N/A</v>
      </c>
      <c r="EE26" s="33" t="e">
        <f>VLOOKUP(A26,'Données projet'!$A$243:$I$263,9,0)</f>
        <v>#N/A</v>
      </c>
      <c r="EF26" s="33">
        <f t="array" ref="EF26">INDEX(EE:EE,MIN(IF(ISNUMBER(EE26:EE222),ROW(EE26:EE222),"")))</f>
        <v>0</v>
      </c>
      <c r="EG26" s="33">
        <f t="shared" si="37"/>
        <v>0</v>
      </c>
      <c r="EH26" s="38" t="e">
        <f>EG26*VLOOKUP('Données projet'!$B$17,Paramètres!$A$1:$I$88,3,0)*VLOOKUP('Données projet'!$B$17,Paramètres!$A$1:$I$88,5,0)</f>
        <v>#N/A</v>
      </c>
      <c r="EI26" s="34" t="e">
        <f t="shared" si="38"/>
        <v>#N/A</v>
      </c>
      <c r="EJ26" s="44" t="e">
        <f t="shared" si="16"/>
        <v>#N/A</v>
      </c>
      <c r="EK26" s="36">
        <f>IF(ISNA(VLOOKUP(A26,'Données projet'!$A$243:$I$263,3,0)),0,VLOOKUP(A26,'Données projet'!$A$243:$I$263,3,0))</f>
        <v>0</v>
      </c>
      <c r="EL26" s="36">
        <f>IF(ISNA(VLOOKUP(A26,'Données projet'!$A$243:$I$263,4,0)),0,VLOOKUP(A26,'Données projet'!$A$243:$I$263,4,0))</f>
        <v>0</v>
      </c>
      <c r="EM26" s="37">
        <f>IF(ISNA(VLOOKUP(A26,'Données projet'!$A$243:$I$263,5,0)),0%,VLOOKUP(A26,'Données projet'!$A$243:$I$263,5,0)*VLOOKUP('Données projet'!$B$17,Paramètres!$A$1:$I$88,7,0))</f>
        <v>0</v>
      </c>
      <c r="EN26" s="37">
        <f>IF(ISNA(VLOOKUP(A26,'Données projet'!$A$243:$I$263,6,0)),0%,VLOOKUP(A26,'Données projet'!$A$243:$I$263,6,0)*VLOOKUP('Données projet'!$B$17,Paramètres!$A$1:$I$88,7,0))</f>
        <v>0</v>
      </c>
      <c r="EO26" s="37">
        <f>IF(ISNA(VLOOKUP(A26,'Données projet'!$A$243:$I$263,7,0)),0%,VLOOKUP(A26,'Données projet'!$A$243:$I$263,7,0))</f>
        <v>0</v>
      </c>
      <c r="EP26" s="45">
        <f>EXP(-LN(2)/35)*EP25+(1-EXP(-LN(2)/35))/(LN(2)/35)*EL26*EM26*VLOOKUP('Données projet'!$B$9,Paramètres!$A$1:$I$88,3,0)*0.475*44/12</f>
        <v>0</v>
      </c>
      <c r="EQ26" s="45">
        <f>EXP(-LN(2)/25)*EQ25+(1-EXP(-LN(2)/25))/(LN(2)/25)*Calculateur!EL26*Calculateur!EN26*VLOOKUP('Données projet'!$B$9,Paramètres!$A$1:$I$88,3,0)*0.475*44/12</f>
        <v>0</v>
      </c>
      <c r="ER26" s="45">
        <f>EXP(-LN(2)/2)*ER25+(1-EXP(-LN(2)/2))/(LN(2)/2)*EL26*EO26*VLOOKUP('Données projet'!$B$9,Paramètres!$A$1:$I$88,3,0)*0.475*44/12</f>
        <v>0</v>
      </c>
      <c r="ES26" s="46">
        <f t="shared" si="17"/>
        <v>0</v>
      </c>
      <c r="ET26" s="32" t="e">
        <f>VLOOKUP(A26,'Données projet'!$A$269:$I$289,2,0)</f>
        <v>#N/A</v>
      </c>
      <c r="EU26" s="33" t="e">
        <f>VLOOKUP(A26,'Données projet'!$A$269:$I$289,9,0)</f>
        <v>#N/A</v>
      </c>
      <c r="EV26" s="33">
        <f t="array" ref="EV26">INDEX(EU:EU,MIN(IF(ISNUMBER(EU26:EU222),ROW(EU26:EU222),"")))</f>
        <v>0</v>
      </c>
      <c r="EW26" s="33">
        <f t="shared" si="39"/>
        <v>0</v>
      </c>
      <c r="EX26" s="38" t="e">
        <f>EW26*VLOOKUP('Données projet'!$B$18,Paramètres!$A$1:$I$88,3,0)*VLOOKUP('Données projet'!$B$18,Paramètres!$A$1:$I$88,5,0)</f>
        <v>#N/A</v>
      </c>
      <c r="EY26" s="34" t="e">
        <f t="shared" si="40"/>
        <v>#N/A</v>
      </c>
      <c r="EZ26" s="44" t="e">
        <f t="shared" si="18"/>
        <v>#N/A</v>
      </c>
      <c r="FA26" s="36">
        <f>IF(ISNA(VLOOKUP(A26,'Données projet'!$A$269:$I$289,3,0)),0,VLOOKUP(A26,'Données projet'!$A$269:$I$289,3,0))</f>
        <v>0</v>
      </c>
      <c r="FB26" s="36">
        <f>IF(ISNA(VLOOKUP(A26,'Données projet'!$A$269:$I$289,4,0)),0,VLOOKUP(A26,'Données projet'!$A$269:$I$289,4,0))</f>
        <v>0</v>
      </c>
      <c r="FC26" s="37">
        <f>IF(ISNA(VLOOKUP(A26,'Données projet'!$A$269:$I$289,5,0)),0%,VLOOKUP(A26,'Données projet'!$A$269:$I$289,5,0)*VLOOKUP('Données projet'!$B$18,Paramètres!$A$1:$I$88,7,0))</f>
        <v>0</v>
      </c>
      <c r="FD26" s="37">
        <f>IF(ISNA(VLOOKUP(A26,'Données projet'!$A$269:$I$289,6,0)),0%,VLOOKUP(A26,'Données projet'!$A$269:$I$289,6,0)*VLOOKUP('Données projet'!$B$18,Paramètres!$A$1:$I$88,7,0))</f>
        <v>0</v>
      </c>
      <c r="FE26" s="37">
        <f>IF(ISNA(VLOOKUP(A26,'Données projet'!$A$269:$I$289,7,0)),0%,VLOOKUP(A26,'Données projet'!$A$269:$I$289,7,0))</f>
        <v>0</v>
      </c>
      <c r="FF26" s="45">
        <f>EXP(-LN(2)/35)*FF25+(1-EXP(-LN(2)/35))/(LN(2)/35)*FB26*FC26*VLOOKUP('Données projet'!$B$9,Paramètres!$A$1:$I$88,3,0)*0.475*44/12</f>
        <v>0</v>
      </c>
      <c r="FG26" s="45">
        <f>EXP(-LN(2)/25)*FG25+(1-EXP(-LN(2)/25))/(LN(2)/25)*Calculateur!FB26*Calculateur!FD26*VLOOKUP('Données projet'!$B$9,Paramètres!$A$1:$I$88,3,0)*0.475*44/12</f>
        <v>0</v>
      </c>
      <c r="FH26" s="45">
        <f>EXP(-LN(2)/2)*FH25+(1-EXP(-LN(2)/2))/(LN(2)/2)*FB26*FE26*VLOOKUP('Données projet'!$B$9,Paramètres!$A$1:$I$88,3,0)*0.475*44/12</f>
        <v>0</v>
      </c>
      <c r="FI26" s="46">
        <f t="shared" si="19"/>
        <v>0</v>
      </c>
    </row>
    <row r="27" spans="1:165" x14ac:dyDescent="0.25">
      <c r="A27" s="24">
        <f t="shared" si="20"/>
        <v>24</v>
      </c>
      <c r="B27" s="25">
        <f>IF('Scénario référence'!$N$1=1,5,0)</f>
        <v>0</v>
      </c>
      <c r="C27" s="40">
        <f>IF(OR('Scénario référence'!$N$1=2,'Scénario référence'!$N$1=4),C26+1*VLOOKUP('Scénario référence'!$G$14,Paramètres!$A$1:$I$88,3,0)*VLOOKUP('Scénario référence'!$G$14,Paramètres!$A$1:$I$88,5,0),IF(OR('Scénario référence'!$N$1=3,'Scénario référence'!$N$1=5),C26+0.5*VLOOKUP('Scénario référence'!$G$14,Paramètres!$A$1:$I$88,3,0)*VLOOKUP('Scénario référence'!$G$14,Paramètres!$A$1:$I$88,5,0),0))</f>
        <v>13.103999999999997</v>
      </c>
      <c r="D27" s="26">
        <f t="shared" si="21"/>
        <v>4.4760006109979766</v>
      </c>
      <c r="E27" s="27">
        <f>IF('Scénario référence'!$N$1=1,B27*44/12,(C27+D27)*0.475*44/12)</f>
        <v>30.618501064154803</v>
      </c>
      <c r="F27" s="28" t="e">
        <f>VLOOKUP(A27,'Données projet'!$A$35:$I$55,2,0)</f>
        <v>#N/A</v>
      </c>
      <c r="G27" s="28" t="e">
        <f>VLOOKUP(A27,'Données projet'!$A$35:$I$55,9,0)</f>
        <v>#N/A</v>
      </c>
      <c r="H27" s="33">
        <f t="array" ref="H27">INDEX(G:G,MIN(IF(ISNUMBER(G27:G223),ROW(G27:G223),"")))</f>
        <v>5.6</v>
      </c>
      <c r="I27" s="28">
        <f t="shared" si="22"/>
        <v>64.40000000000002</v>
      </c>
      <c r="J27" s="41">
        <f>I27*VLOOKUP('Données projet'!$B$9,Paramètres!$A$1:$I$88,3,0)*VLOOKUP('Données projet'!$B$9,Paramètres!$A$1:$I$88,5,0)</f>
        <v>65.301600000000022</v>
      </c>
      <c r="K27" s="41">
        <f t="shared" si="23"/>
        <v>18.502003309535603</v>
      </c>
      <c r="L27" s="42">
        <f t="shared" si="0"/>
        <v>145.95794243077452</v>
      </c>
      <c r="M27" s="30">
        <f>IF(ISNA(VLOOKUP(A27,'Données projet'!$A$35:$I$55,3,0)),0,VLOOKUP(A27,'Données projet'!$A$35:$I$55,3,0))</f>
        <v>0</v>
      </c>
      <c r="N27" s="30">
        <f>IF(ISNA(VLOOKUP(A27,'Données projet'!$A$35:$I$55,4,0)),0,VLOOKUP(A27,'Données projet'!$A$35:$I$55,4,0))</f>
        <v>0</v>
      </c>
      <c r="O27" s="31">
        <f>IF(ISNA(VLOOKUP(A27,'Données projet'!$A$35:$I$55,5,0)),0%,VLOOKUP(A27,'Données projet'!$A$35:$I$55,5,0)*VLOOKUP('Données projet'!$B$9,Paramètres!$A$1:$I$88,7,0))</f>
        <v>0</v>
      </c>
      <c r="P27" s="31">
        <f>IF(ISNA(VLOOKUP(A27,'Données projet'!$A$35:$I$55,6,0)),0%,VLOOKUP(A27,'Données projet'!$A$35:$I$55,6,0)*VLOOKUP('Données projet'!$B$9,Paramètres!$A$1:$I$88,7,0))</f>
        <v>0</v>
      </c>
      <c r="Q27" s="31">
        <f>IF(ISNA(VLOOKUP(A27,'Données projet'!$A$35:$I$55,7,0)),0%,VLOOKUP(A27,'Données projet'!$A$35:$I$55,7,0))</f>
        <v>0</v>
      </c>
      <c r="R27" s="43">
        <f>EXP(-LN(2)/35)*R26+(1-EXP(-LN(2)/35))/(LN(2)/35)*N27*O27*VLOOKUP('Données projet'!$B$9,Paramètres!$A$1:$I$88,3,0)*0.475*44/12</f>
        <v>0</v>
      </c>
      <c r="S27" s="43">
        <f>EXP(-LN(2)/25)*S26+(1-EXP(-LN(2)/25))/(LN(2)/25)*Calculateur!N27*Calculateur!P27*VLOOKUP('Données projet'!$B$9,Paramètres!$A$1:$I$88,3,0)*0.475*44/12</f>
        <v>0</v>
      </c>
      <c r="T27" s="43">
        <f>EXP(-LN(2)/2)*T26+(1-EXP(-LN(2)/2))/(LN(2)/2)*N27*Q27*VLOOKUP('Données projet'!$B$9,Paramètres!$A$1:$I$88,3,0)*0.475*44/12</f>
        <v>0</v>
      </c>
      <c r="U27" s="43">
        <f t="shared" si="1"/>
        <v>0</v>
      </c>
      <c r="V27" s="32" t="e">
        <f>VLOOKUP(A27,'Données projet'!$A$61:$I$81,2,0)</f>
        <v>#N/A</v>
      </c>
      <c r="W27" s="33" t="e">
        <f>VLOOKUP(A27,'Données projet'!$A$61:$I$81,9,0)</f>
        <v>#N/A</v>
      </c>
      <c r="X27" s="33">
        <f t="array" ref="X27">INDEX(W:W,MIN(IF(ISNUMBER(W27:W223),ROW(W27:W223),"")))</f>
        <v>0</v>
      </c>
      <c r="Y27" s="33">
        <f t="shared" si="24"/>
        <v>0</v>
      </c>
      <c r="Z27" s="34" t="e">
        <f>Y27*VLOOKUP('Données projet'!$B$10,Paramètres!$A$1:$I$88,3,0)*VLOOKUP('Données projet'!$B$10,Paramètres!$A$1:$I$88,5,0)</f>
        <v>#N/A</v>
      </c>
      <c r="AA27" s="34" t="e">
        <f t="shared" si="25"/>
        <v>#N/A</v>
      </c>
      <c r="AB27" s="44" t="e">
        <f t="shared" si="2"/>
        <v>#N/A</v>
      </c>
      <c r="AC27" s="36">
        <f>IF(ISNA(VLOOKUP(A27,'Données projet'!$A$61:$I$81,3,0)),0,VLOOKUP(A27,'Données projet'!$A$61:$I$81,3,0))</f>
        <v>0</v>
      </c>
      <c r="AD27" s="36">
        <f>IF(ISNA(VLOOKUP(A27,'Données projet'!$A$61:$I$81,4,0)),0,VLOOKUP(A27,'Données projet'!$A$61:$I$81,4,0))</f>
        <v>0</v>
      </c>
      <c r="AE27" s="37">
        <f>IF(ISNA(VLOOKUP(A27,'Données projet'!$A$61:$I$81,5,0)),0%,VLOOKUP(A27,'Données projet'!$A$61:$I$81,5,0)*VLOOKUP('Données projet'!$B$10,Paramètres!$A$1:$I$88,7,0))</f>
        <v>0</v>
      </c>
      <c r="AF27" s="37">
        <f>IF(ISNA(VLOOKUP(A27,'Données projet'!$A$61:$I$81,6,0)),0%,VLOOKUP(A27,'Données projet'!$A$61:$I$81,6,0)*VLOOKUP('Données projet'!$B$10,Paramètres!$A$1:$I$88,7,0))</f>
        <v>0</v>
      </c>
      <c r="AG27" s="37">
        <f>IF(ISNA(VLOOKUP(A27,'Données projet'!$A$61:$I$81,7,0)),0%,VLOOKUP(A27,'Données projet'!$A$61:$I$81,7,0))</f>
        <v>0</v>
      </c>
      <c r="AH27" s="45">
        <f>EXP(-LN(2)/35)*AH26+(1-EXP(-LN(2)/35))/(LN(2)/35)*AD27*AE27*VLOOKUP('Données projet'!$B$9,Paramètres!$A$1:$I$88,3,0)*0.475*44/12</f>
        <v>0</v>
      </c>
      <c r="AI27" s="45">
        <f>EXP(-LN(2)/25)*AI26+(1-EXP(-LN(2)/25))/(LN(2)/25)*Calculateur!AD27*Calculateur!AF27*VLOOKUP('Données projet'!$B$9,Paramètres!$A$1:$I$88,3,0)*0.475*44/12</f>
        <v>0</v>
      </c>
      <c r="AJ27" s="45">
        <f>EXP(-LN(2)/2)*AJ26+(1-EXP(-LN(2)/2))/(LN(2)/2)*AD27*AG27*VLOOKUP('Données projet'!$B$9,Paramètres!$A$1:$I$88,3,0)*0.475*44/12</f>
        <v>0</v>
      </c>
      <c r="AK27" s="45">
        <f t="shared" si="3"/>
        <v>0</v>
      </c>
      <c r="AL27" s="32" t="e">
        <f>VLOOKUP(A27,'Données projet'!$A$87:$I$107,2,0)</f>
        <v>#N/A</v>
      </c>
      <c r="AM27" s="33" t="e">
        <f>VLOOKUP(A27,'Données projet'!$A$87:$I$107,9,0)</f>
        <v>#N/A</v>
      </c>
      <c r="AN27" s="33">
        <f t="array" ref="AN27">INDEX(AM:AM,MIN(IF(ISNUMBER(AM27:AM223),ROW(AM27:AM223),"")))</f>
        <v>0</v>
      </c>
      <c r="AO27" s="33">
        <f t="shared" si="26"/>
        <v>0</v>
      </c>
      <c r="AP27" s="34" t="e">
        <f>AO27*VLOOKUP('Données projet'!$B$11,Paramètres!$A$1:$I$88,3,0)*VLOOKUP('Données projet'!$B$11,Paramètres!$A$1:$I$88,5,0)</f>
        <v>#N/A</v>
      </c>
      <c r="AQ27" s="34" t="e">
        <f t="shared" si="27"/>
        <v>#N/A</v>
      </c>
      <c r="AR27" s="44" t="e">
        <f t="shared" si="4"/>
        <v>#N/A</v>
      </c>
      <c r="AS27" s="36">
        <f>IF(ISNA(VLOOKUP(A27,'Données projet'!$A$87:$I$107,3,0)),0,VLOOKUP(A27,'Données projet'!$A$87:$I$107,3,0))</f>
        <v>0</v>
      </c>
      <c r="AT27" s="36">
        <f>IF(ISNA(VLOOKUP(A27,'Données projet'!$A$87:$I$107,4,0)),0,VLOOKUP(A27,'Données projet'!$A$87:$I$107,4,0))</f>
        <v>0</v>
      </c>
      <c r="AU27" s="37">
        <f>IF(ISNA(VLOOKUP(A27,'Données projet'!$A$87:$I$107,5,0)),0%,VLOOKUP(A27,'Données projet'!$A$87:$I$107,5,0)*VLOOKUP('Données projet'!$B$11,Paramètres!$A$1:$I$88,7,0))</f>
        <v>0</v>
      </c>
      <c r="AV27" s="37">
        <f>IF(ISNA(VLOOKUP(A27,'Données projet'!$A$87:$I$107,6,0)),0%,VLOOKUP(A27,'Données projet'!$A$87:$I$107,6,0)*VLOOKUP('Données projet'!$B$11,Paramètres!$A$1:$I$88,7,0))</f>
        <v>0</v>
      </c>
      <c r="AW27" s="37">
        <f>IF(ISNA(VLOOKUP(A27,'Données projet'!$A$87:$I$107,7,0)),0%,VLOOKUP(A27,'Données projet'!$A$87:$I$107,7,0))</f>
        <v>0</v>
      </c>
      <c r="AX27" s="45">
        <f>EXP(-LN(2)/35)*AX26+(1-EXP(-LN(2)/35))/(LN(2)/35)*AT27*AU27*VLOOKUP('Données projet'!$B$9,Paramètres!$A$1:$I$88,3,0)*0.475*44/12</f>
        <v>0</v>
      </c>
      <c r="AY27" s="45">
        <f>EXP(-LN(2)/25)*AY26+(1-EXP(-LN(2)/25))/(LN(2)/25)*Calculateur!AT27*Calculateur!AV27*VLOOKUP('Données projet'!$B$9,Paramètres!$A$1:$I$88,3,0)*0.475*44/12</f>
        <v>0</v>
      </c>
      <c r="AZ27" s="45">
        <f>EXP(-LN(2)/2)*AZ26+(1-EXP(-LN(2)/2))/(LN(2)/2)*AT27*AW27*VLOOKUP('Données projet'!$B$9,Paramètres!$A$1:$I$88,3,0)*0.475*44/12</f>
        <v>0</v>
      </c>
      <c r="BA27" s="46">
        <f t="shared" si="5"/>
        <v>0</v>
      </c>
      <c r="BB27" s="32" t="e">
        <f>VLOOKUP(A27,'Données projet'!$A$113:$I$133,2,0)</f>
        <v>#N/A</v>
      </c>
      <c r="BC27" s="33" t="e">
        <f>VLOOKUP(A27,'Données projet'!$A$113:$I$133,9,0)</f>
        <v>#N/A</v>
      </c>
      <c r="BD27" s="33">
        <f t="array" ref="BD27">INDEX(BC:BC,MIN(IF(ISNUMBER(BC27:BC223),ROW(BC27:BC223),"")))</f>
        <v>0</v>
      </c>
      <c r="BE27" s="33">
        <f t="shared" si="28"/>
        <v>0</v>
      </c>
      <c r="BF27" s="34" t="e">
        <f>BE27*VLOOKUP('Données projet'!$B$12,Paramètres!$A$1:$I$88,3,0)*VLOOKUP('Données projet'!$B$12,Paramètres!$A$1:$I$88,5,0)</f>
        <v>#N/A</v>
      </c>
      <c r="BG27" s="34" t="e">
        <f t="shared" si="29"/>
        <v>#N/A</v>
      </c>
      <c r="BH27" s="44" t="e">
        <f t="shared" si="6"/>
        <v>#N/A</v>
      </c>
      <c r="BI27" s="36">
        <f>IF(ISNA(VLOOKUP(A27,'Données projet'!$A$113:$I$133,3,0)),0,VLOOKUP(A27,'Données projet'!$A$113:$I$133,3,0))</f>
        <v>0</v>
      </c>
      <c r="BJ27" s="36">
        <f>IF(ISNA(VLOOKUP(A27,'Données projet'!$A$113:$I$133,4,0)),0,VLOOKUP(A27,'Données projet'!$A$113:$I$133,4,0))</f>
        <v>0</v>
      </c>
      <c r="BK27" s="37">
        <f>IF(ISNA(VLOOKUP(A27,'Données projet'!$A$113:$I$133,5,0)),0%,VLOOKUP(A27,'Données projet'!$A$113:$I$133,5,0)*VLOOKUP('Données projet'!$B$12,Paramètres!$A$1:$I$88,7,0))</f>
        <v>0</v>
      </c>
      <c r="BL27" s="37">
        <f>IF(ISNA(VLOOKUP(A27,'Données projet'!$A$113:$I$133,6,0)),0%,VLOOKUP(A27,'Données projet'!$A$113:$I$133,6,0)*VLOOKUP('Données projet'!$B$12,Paramètres!$A$1:$I$88,7,0))</f>
        <v>0</v>
      </c>
      <c r="BM27" s="37">
        <f>IF(ISNA(VLOOKUP(A27,'Données projet'!$A$113:$I$133,7,0)),0%,VLOOKUP(A27,'Données projet'!$A$113:$I$133,7,0))</f>
        <v>0</v>
      </c>
      <c r="BN27" s="45">
        <f>EXP(-LN(2)/35)*BN26+(1-EXP(-LN(2)/35))/(LN(2)/35)*BJ27*BK27*VLOOKUP('Données projet'!$B$9,Paramètres!$A$1:$I$88,3,0)*0.475*44/12</f>
        <v>0</v>
      </c>
      <c r="BO27" s="45">
        <f>EXP(-LN(2)/25)*BO26+(1-EXP(-LN(2)/25))/(LN(2)/25)*Calculateur!BJ27*Calculateur!BL27*VLOOKUP('Données projet'!$B$9,Paramètres!$A$1:$I$88,3,0)*0.475*44/12</f>
        <v>0</v>
      </c>
      <c r="BP27" s="45">
        <f>EXP(-LN(2)/2)*BP26+(1-EXP(-LN(2)/2))/(LN(2)/2)*BJ27*BM27*VLOOKUP('Données projet'!$B$9,Paramètres!$A$1:$I$88,3,0)*0.475*44/12</f>
        <v>0</v>
      </c>
      <c r="BQ27" s="46">
        <f t="shared" si="7"/>
        <v>0</v>
      </c>
      <c r="BR27" s="32" t="e">
        <f>VLOOKUP(A27,'Données projet'!$A$139:$I$159,2,0)</f>
        <v>#N/A</v>
      </c>
      <c r="BS27" s="33" t="e">
        <f>VLOOKUP(A27,'Données projet'!$A$139:$I$159,9,0)</f>
        <v>#N/A</v>
      </c>
      <c r="BT27" s="33">
        <f t="array" ref="BT27">INDEX(BS:BS,MIN(IF(ISNUMBER(BS27:BS223),ROW(BS27:BS223),"")))</f>
        <v>0</v>
      </c>
      <c r="BU27" s="33">
        <f t="shared" si="41"/>
        <v>0</v>
      </c>
      <c r="BV27" s="38" t="e">
        <f>BU27*VLOOKUP('Données projet'!$B$13,Paramètres!$A$1:$I$88,3,0)*VLOOKUP('Données projet'!$B$13,Paramètres!$A$1:$I$88,5,0)</f>
        <v>#N/A</v>
      </c>
      <c r="BW27" s="34" t="e">
        <f t="shared" si="30"/>
        <v>#N/A</v>
      </c>
      <c r="BX27" s="44" t="e">
        <f t="shared" si="8"/>
        <v>#N/A</v>
      </c>
      <c r="BY27" s="36">
        <f>IF(ISNA(VLOOKUP(A27,'Données projet'!$A$139:$I$159,3,0)),0,VLOOKUP(A27,'Données projet'!$A$139:$I$159,3,0))</f>
        <v>0</v>
      </c>
      <c r="BZ27" s="36">
        <f>IF(ISNA(VLOOKUP(A27,'Données projet'!$A$139:$I$159,4,0)),0,VLOOKUP(A27,'Données projet'!$A$139:$I$159,4,0))</f>
        <v>0</v>
      </c>
      <c r="CA27" s="37">
        <f>IF(ISNA(VLOOKUP(A27,'Données projet'!$A$139:$I$159,5,0)),0%,VLOOKUP(A27,'Données projet'!$A$139:$I$159,5,0)*VLOOKUP('Données projet'!$B$13,Paramètres!$A$1:$I$88,7,0))</f>
        <v>0</v>
      </c>
      <c r="CB27" s="37">
        <f>IF(ISNA(VLOOKUP(A27,'Données projet'!$A$139:$I$159,6,0)),0%,VLOOKUP(A27,'Données projet'!$A$139:$I$159,6,0)*VLOOKUP('Données projet'!$B$13,Paramètres!$A$1:$I$88,7,0))</f>
        <v>0</v>
      </c>
      <c r="CC27" s="37">
        <f>IF(ISNA(VLOOKUP(A27,'Données projet'!$A$139:$I$159,7,0)),0%,VLOOKUP(A27,'Données projet'!$A$139:$I$159,7,0))</f>
        <v>0</v>
      </c>
      <c r="CD27" s="45">
        <f>EXP(-LN(2)/35)*CD26+(1-EXP(-LN(2)/35))/(LN(2)/35)*BZ27*CA27*VLOOKUP('Données projet'!$B$9,Paramètres!$A$1:$I$88,3,0)*0.475*44/12</f>
        <v>0</v>
      </c>
      <c r="CE27" s="45">
        <f>EXP(-LN(2)/25)*CE26+(1-EXP(-LN(2)/25))/(LN(2)/25)*Calculateur!BZ27*Calculateur!CB27*VLOOKUP('Données projet'!$B$9,Paramètres!$A$1:$I$88,3,0)*0.475*44/12</f>
        <v>0</v>
      </c>
      <c r="CF27" s="45">
        <f>EXP(-LN(2)/2)*CF26+(1-EXP(-LN(2)/2))/(LN(2)/2)*BZ27*CC27*VLOOKUP('Données projet'!$B$9,Paramètres!$A$1:$I$88,3,0)*0.475*44/12</f>
        <v>0</v>
      </c>
      <c r="CG27" s="46">
        <f t="shared" si="9"/>
        <v>0</v>
      </c>
      <c r="CH27" s="32" t="e">
        <f>VLOOKUP(A27,'Données projet'!$A$165:$I$185,2,0)</f>
        <v>#N/A</v>
      </c>
      <c r="CI27" s="33" t="e">
        <f>VLOOKUP(A27,'Données projet'!$A$165:$I$185,9,0)</f>
        <v>#N/A</v>
      </c>
      <c r="CJ27" s="33">
        <f t="array" ref="CJ27">INDEX(CI:CI,MIN(IF(ISNUMBER(CI27:CI223),ROW(CI27:CI223),"")))</f>
        <v>0</v>
      </c>
      <c r="CK27" s="33">
        <f t="shared" si="31"/>
        <v>0</v>
      </c>
      <c r="CL27" s="38" t="e">
        <f>CK27*VLOOKUP('Données projet'!$B$14,Paramètres!$A$1:$I$88,3,0)*VLOOKUP('Données projet'!$B$14,Paramètres!$A$1:$I$88,5,0)</f>
        <v>#N/A</v>
      </c>
      <c r="CM27" s="34" t="e">
        <f t="shared" si="32"/>
        <v>#N/A</v>
      </c>
      <c r="CN27" s="44" t="e">
        <f t="shared" si="10"/>
        <v>#N/A</v>
      </c>
      <c r="CO27" s="36">
        <f>IF(ISNA(VLOOKUP(A27,'Données projet'!$A$165:$I$185,3,0)),0,VLOOKUP(A27,'Données projet'!$A$165:$I$185,3,0))</f>
        <v>0</v>
      </c>
      <c r="CP27" s="36">
        <f>IF(ISNA(VLOOKUP(A27,'Données projet'!$A$165:$I$185,4,0)),0,VLOOKUP(A27,'Données projet'!$A$165:$I$185,4,0))</f>
        <v>0</v>
      </c>
      <c r="CQ27" s="37">
        <f>IF(ISNA(VLOOKUP(A27,'Données projet'!$A$165:$I$185,5,0)),0%,VLOOKUP(A27,'Données projet'!$A$165:$I$185,5,0)*VLOOKUP('Données projet'!$B$14,Paramètres!$A$1:$I$88,7,0))</f>
        <v>0</v>
      </c>
      <c r="CR27" s="37">
        <f>IF(ISNA(VLOOKUP(A27,'Données projet'!$A$165:$I$185,6,0)),0%,VLOOKUP(A27,'Données projet'!$A$165:$I$185,6,0)*VLOOKUP('Données projet'!$B$14,Paramètres!$A$1:$I$88,7,0))</f>
        <v>0</v>
      </c>
      <c r="CS27" s="37">
        <f>IF(ISNA(VLOOKUP(A27,'Données projet'!$A$165:$I$185,7,0)),0%,VLOOKUP(A27,'Données projet'!$A$165:$I$185,7,0))</f>
        <v>0</v>
      </c>
      <c r="CT27" s="45">
        <f>EXP(-LN(2)/35)*CT26+(1-EXP(-LN(2)/35))/(LN(2)/35)*CP27*CQ27*VLOOKUP('Données projet'!$B$9,Paramètres!$A$1:$I$88,3,0)*0.475*44/12</f>
        <v>0</v>
      </c>
      <c r="CU27" s="45">
        <f>EXP(-LN(2)/25)*CU26+(1-EXP(-LN(2)/25))/(LN(2)/25)*Calculateur!CP27*Calculateur!CR27*VLOOKUP('Données projet'!$B$9,Paramètres!$A$1:$I$88,3,0)*0.475*44/12</f>
        <v>0</v>
      </c>
      <c r="CV27" s="45">
        <f>EXP(-LN(2)/2)*CV26+(1-EXP(-LN(2)/2))/(LN(2)/2)*CP27*CS27*VLOOKUP('Données projet'!$B$9,Paramètres!$A$1:$I$88,3,0)*0.475*44/12</f>
        <v>0</v>
      </c>
      <c r="CW27" s="46">
        <f t="shared" si="11"/>
        <v>0</v>
      </c>
      <c r="CX27" s="32" t="e">
        <f>VLOOKUP(A27,'Données projet'!$A$191:$I$211,2,0)</f>
        <v>#N/A</v>
      </c>
      <c r="CY27" s="33" t="e">
        <f>VLOOKUP(A27,'Données projet'!$A$191:$I$211,9,0)</f>
        <v>#N/A</v>
      </c>
      <c r="CZ27" s="33">
        <f t="array" ref="CZ27">INDEX(CY:CY,MIN(IF(ISNUMBER(CY27:CY223),ROW(CY27:CY223),"")))</f>
        <v>0</v>
      </c>
      <c r="DA27" s="33">
        <f t="shared" si="33"/>
        <v>0</v>
      </c>
      <c r="DB27" s="38" t="e">
        <f>DA27*VLOOKUP('Données projet'!$B$15,Paramètres!$A$1:$I$88,3,0)*VLOOKUP('Données projet'!$B$15,Paramètres!$A$1:$I$88,5,0)</f>
        <v>#N/A</v>
      </c>
      <c r="DC27" s="34" t="e">
        <f t="shared" si="34"/>
        <v>#N/A</v>
      </c>
      <c r="DD27" s="44" t="e">
        <f t="shared" si="12"/>
        <v>#N/A</v>
      </c>
      <c r="DE27" s="36">
        <f>IF(ISNA(VLOOKUP(A27,'Données projet'!$A$191:$I$211,3,0)),0,VLOOKUP(A27,'Données projet'!$A$191:$I$211,3,0))</f>
        <v>0</v>
      </c>
      <c r="DF27" s="36">
        <f>IF(ISNA(VLOOKUP(A27,'Données projet'!$A$191:$I$211,4,0)),0,VLOOKUP(A27,'Données projet'!$A$191:$I$211,4,0))</f>
        <v>0</v>
      </c>
      <c r="DG27" s="37">
        <f>IF(ISNA(VLOOKUP(A27,'Données projet'!$A$191:$I$211,5,0)),0%,VLOOKUP(A27,'Données projet'!$A$191:$I$211,5,0)*VLOOKUP('Données projet'!$B$15,Paramètres!$A$1:$I$88,7,0))</f>
        <v>0</v>
      </c>
      <c r="DH27" s="37">
        <f>IF(ISNA(VLOOKUP(A27,'Données projet'!$A$191:$I$211,6,0)),0%,VLOOKUP(A27,'Données projet'!$A$191:$I$211,6,0)*VLOOKUP('Données projet'!$B$15,Paramètres!$A$1:$I$88,7,0))</f>
        <v>0</v>
      </c>
      <c r="DI27" s="37">
        <f>IF(ISNA(VLOOKUP(A27,'Données projet'!$A$191:$I$211,7,0)),0%,VLOOKUP(A27,'Données projet'!$A$191:$I$211,7,0))</f>
        <v>0</v>
      </c>
      <c r="DJ27" s="45">
        <f>EXP(-LN(2)/35)*DJ26+(1-EXP(-LN(2)/35))/(LN(2)/35)*DF27*DG27*VLOOKUP('Données projet'!$B$9,Paramètres!$A$1:$I$88,3,0)*0.475*44/12</f>
        <v>0</v>
      </c>
      <c r="DK27" s="45">
        <f>EXP(-LN(2)/25)*DK26+(1-EXP(-LN(2)/25))/(LN(2)/25)*Calculateur!DF27*Calculateur!DH27*VLOOKUP('Données projet'!$B$9,Paramètres!$A$1:$I$88,3,0)*0.475*44/12</f>
        <v>0</v>
      </c>
      <c r="DL27" s="45">
        <f>EXP(-LN(2)/2)*DL26+(1-EXP(-LN(2)/2))/(LN(2)/2)*DF27*DI27*VLOOKUP('Données projet'!$B$9,Paramètres!$A$1:$I$88,3,0)*0.475*44/12</f>
        <v>0</v>
      </c>
      <c r="DM27" s="46">
        <f t="shared" si="13"/>
        <v>0</v>
      </c>
      <c r="DN27" s="32" t="e">
        <f>VLOOKUP(A27,'Données projet'!$A$217:$I$237,2,0)</f>
        <v>#N/A</v>
      </c>
      <c r="DO27" s="33" t="e">
        <f>VLOOKUP(A27,'Données projet'!$A$217:$I$237,9,0)</f>
        <v>#N/A</v>
      </c>
      <c r="DP27" s="33">
        <f t="array" ref="DP27">INDEX(DO:DO,MIN(IF(ISNUMBER(DO27:DO223),ROW(DO27:DO223),"")))</f>
        <v>0</v>
      </c>
      <c r="DQ27" s="33">
        <f t="shared" si="35"/>
        <v>0</v>
      </c>
      <c r="DR27" s="38" t="e">
        <f>DQ27*VLOOKUP('Données projet'!$B$16,Paramètres!$A$1:$I$88,3,0)*VLOOKUP('Données projet'!$B$16,Paramètres!$A$1:$I$88,5,0)</f>
        <v>#N/A</v>
      </c>
      <c r="DS27" s="34" t="e">
        <f t="shared" si="36"/>
        <v>#N/A</v>
      </c>
      <c r="DT27" s="44" t="e">
        <f t="shared" si="14"/>
        <v>#N/A</v>
      </c>
      <c r="DU27" s="36">
        <f>IF(ISNA(VLOOKUP(A27,'Données projet'!$A$217:$I$237,3,0)),0,VLOOKUP(A27,'Données projet'!$A$217:$I$237,3,0))</f>
        <v>0</v>
      </c>
      <c r="DV27" s="36">
        <f>IF(ISNA(VLOOKUP(A27,'Données projet'!$A$217:$I$237,4,0)),0,VLOOKUP(A27,'Données projet'!$A$217:$I$237,4,0))</f>
        <v>0</v>
      </c>
      <c r="DW27" s="37">
        <f>IF(ISNA(VLOOKUP(A27,'Données projet'!$A$217:$I$237,5,0)),0%,VLOOKUP(A27,'Données projet'!$A$217:$I$237,5,0)*VLOOKUP('Données projet'!$B$16,Paramètres!$A$1:$I$88,7,0))</f>
        <v>0</v>
      </c>
      <c r="DX27" s="37">
        <f>IF(ISNA(VLOOKUP(A27,'Données projet'!$A$217:$I$237,6,0)),0%,VLOOKUP(A27,'Données projet'!$A$217:$I$237,6,0)*VLOOKUP('Données projet'!$B$16,Paramètres!$A$1:$I$88,7,0))</f>
        <v>0</v>
      </c>
      <c r="DY27" s="37">
        <f>IF(ISNA(VLOOKUP(A27,'Données projet'!$A$217:$I$237,7,0)),0%,VLOOKUP(A27,'Données projet'!$A$217:$I$237,7,0))</f>
        <v>0</v>
      </c>
      <c r="DZ27" s="45">
        <f>EXP(-LN(2)/35)*DZ26+(1-EXP(-LN(2)/35))/(LN(2)/35)*DV27*DW27*VLOOKUP('Données projet'!$B$9,Paramètres!$A$1:$I$88,3,0)*0.475*44/12</f>
        <v>0</v>
      </c>
      <c r="EA27" s="45">
        <f>EXP(-LN(2)/25)*EA26+(1-EXP(-LN(2)/25))/(LN(2)/25)*Calculateur!DV27*Calculateur!DX27*VLOOKUP('Données projet'!$B$9,Paramètres!$A$1:$I$88,3,0)*0.475*44/12</f>
        <v>0</v>
      </c>
      <c r="EB27" s="45">
        <f>EXP(-LN(2)/2)*EB26+(1-EXP(-LN(2)/2))/(LN(2)/2)*DV27*DY27*VLOOKUP('Données projet'!$B$9,Paramètres!$A$1:$I$88,3,0)*0.475*44/12</f>
        <v>0</v>
      </c>
      <c r="EC27" s="46">
        <f t="shared" si="15"/>
        <v>0</v>
      </c>
      <c r="ED27" s="32" t="e">
        <f>VLOOKUP(A27,'Données projet'!$A$243:$I$263,2,0)</f>
        <v>#N/A</v>
      </c>
      <c r="EE27" s="33" t="e">
        <f>VLOOKUP(A27,'Données projet'!$A$243:$I$263,9,0)</f>
        <v>#N/A</v>
      </c>
      <c r="EF27" s="33">
        <f t="array" ref="EF27">INDEX(EE:EE,MIN(IF(ISNUMBER(EE27:EE223),ROW(EE27:EE223),"")))</f>
        <v>0</v>
      </c>
      <c r="EG27" s="33">
        <f t="shared" si="37"/>
        <v>0</v>
      </c>
      <c r="EH27" s="38" t="e">
        <f>EG27*VLOOKUP('Données projet'!$B$17,Paramètres!$A$1:$I$88,3,0)*VLOOKUP('Données projet'!$B$17,Paramètres!$A$1:$I$88,5,0)</f>
        <v>#N/A</v>
      </c>
      <c r="EI27" s="34" t="e">
        <f t="shared" si="38"/>
        <v>#N/A</v>
      </c>
      <c r="EJ27" s="44" t="e">
        <f t="shared" si="16"/>
        <v>#N/A</v>
      </c>
      <c r="EK27" s="36">
        <f>IF(ISNA(VLOOKUP(A27,'Données projet'!$A$243:$I$263,3,0)),0,VLOOKUP(A27,'Données projet'!$A$243:$I$263,3,0))</f>
        <v>0</v>
      </c>
      <c r="EL27" s="36">
        <f>IF(ISNA(VLOOKUP(A27,'Données projet'!$A$243:$I$263,4,0)),0,VLOOKUP(A27,'Données projet'!$A$243:$I$263,4,0))</f>
        <v>0</v>
      </c>
      <c r="EM27" s="37">
        <f>IF(ISNA(VLOOKUP(A27,'Données projet'!$A$243:$I$263,5,0)),0%,VLOOKUP(A27,'Données projet'!$A$243:$I$263,5,0)*VLOOKUP('Données projet'!$B$17,Paramètres!$A$1:$I$88,7,0))</f>
        <v>0</v>
      </c>
      <c r="EN27" s="37">
        <f>IF(ISNA(VLOOKUP(A27,'Données projet'!$A$243:$I$263,6,0)),0%,VLOOKUP(A27,'Données projet'!$A$243:$I$263,6,0)*VLOOKUP('Données projet'!$B$17,Paramètres!$A$1:$I$88,7,0))</f>
        <v>0</v>
      </c>
      <c r="EO27" s="37">
        <f>IF(ISNA(VLOOKUP(A27,'Données projet'!$A$243:$I$263,7,0)),0%,VLOOKUP(A27,'Données projet'!$A$243:$I$263,7,0))</f>
        <v>0</v>
      </c>
      <c r="EP27" s="45">
        <f>EXP(-LN(2)/35)*EP26+(1-EXP(-LN(2)/35))/(LN(2)/35)*EL27*EM27*VLOOKUP('Données projet'!$B$9,Paramètres!$A$1:$I$88,3,0)*0.475*44/12</f>
        <v>0</v>
      </c>
      <c r="EQ27" s="45">
        <f>EXP(-LN(2)/25)*EQ26+(1-EXP(-LN(2)/25))/(LN(2)/25)*Calculateur!EL27*Calculateur!EN27*VLOOKUP('Données projet'!$B$9,Paramètres!$A$1:$I$88,3,0)*0.475*44/12</f>
        <v>0</v>
      </c>
      <c r="ER27" s="45">
        <f>EXP(-LN(2)/2)*ER26+(1-EXP(-LN(2)/2))/(LN(2)/2)*EL27*EO27*VLOOKUP('Données projet'!$B$9,Paramètres!$A$1:$I$88,3,0)*0.475*44/12</f>
        <v>0</v>
      </c>
      <c r="ES27" s="46">
        <f t="shared" si="17"/>
        <v>0</v>
      </c>
      <c r="ET27" s="32" t="e">
        <f>VLOOKUP(A27,'Données projet'!$A$269:$I$289,2,0)</f>
        <v>#N/A</v>
      </c>
      <c r="EU27" s="33" t="e">
        <f>VLOOKUP(A27,'Données projet'!$A$269:$I$289,9,0)</f>
        <v>#N/A</v>
      </c>
      <c r="EV27" s="33">
        <f t="array" ref="EV27">INDEX(EU:EU,MIN(IF(ISNUMBER(EU27:EU223),ROW(EU27:EU223),"")))</f>
        <v>0</v>
      </c>
      <c r="EW27" s="33">
        <f t="shared" si="39"/>
        <v>0</v>
      </c>
      <c r="EX27" s="38" t="e">
        <f>EW27*VLOOKUP('Données projet'!$B$18,Paramètres!$A$1:$I$88,3,0)*VLOOKUP('Données projet'!$B$18,Paramètres!$A$1:$I$88,5,0)</f>
        <v>#N/A</v>
      </c>
      <c r="EY27" s="34" t="e">
        <f t="shared" si="40"/>
        <v>#N/A</v>
      </c>
      <c r="EZ27" s="44" t="e">
        <f t="shared" si="18"/>
        <v>#N/A</v>
      </c>
      <c r="FA27" s="36">
        <f>IF(ISNA(VLOOKUP(A27,'Données projet'!$A$269:$I$289,3,0)),0,VLOOKUP(A27,'Données projet'!$A$269:$I$289,3,0))</f>
        <v>0</v>
      </c>
      <c r="FB27" s="36">
        <f>IF(ISNA(VLOOKUP(A27,'Données projet'!$A$269:$I$289,4,0)),0,VLOOKUP(A27,'Données projet'!$A$269:$I$289,4,0))</f>
        <v>0</v>
      </c>
      <c r="FC27" s="37">
        <f>IF(ISNA(VLOOKUP(A27,'Données projet'!$A$269:$I$289,5,0)),0%,VLOOKUP(A27,'Données projet'!$A$269:$I$289,5,0)*VLOOKUP('Données projet'!$B$18,Paramètres!$A$1:$I$88,7,0))</f>
        <v>0</v>
      </c>
      <c r="FD27" s="37">
        <f>IF(ISNA(VLOOKUP(A27,'Données projet'!$A$269:$I$289,6,0)),0%,VLOOKUP(A27,'Données projet'!$A$269:$I$289,6,0)*VLOOKUP('Données projet'!$B$18,Paramètres!$A$1:$I$88,7,0))</f>
        <v>0</v>
      </c>
      <c r="FE27" s="37">
        <f>IF(ISNA(VLOOKUP(A27,'Données projet'!$A$269:$I$289,7,0)),0%,VLOOKUP(A27,'Données projet'!$A$269:$I$289,7,0))</f>
        <v>0</v>
      </c>
      <c r="FF27" s="45">
        <f>EXP(-LN(2)/35)*FF26+(1-EXP(-LN(2)/35))/(LN(2)/35)*FB27*FC27*VLOOKUP('Données projet'!$B$9,Paramètres!$A$1:$I$88,3,0)*0.475*44/12</f>
        <v>0</v>
      </c>
      <c r="FG27" s="45">
        <f>EXP(-LN(2)/25)*FG26+(1-EXP(-LN(2)/25))/(LN(2)/25)*Calculateur!FB27*Calculateur!FD27*VLOOKUP('Données projet'!$B$9,Paramètres!$A$1:$I$88,3,0)*0.475*44/12</f>
        <v>0</v>
      </c>
      <c r="FH27" s="45">
        <f>EXP(-LN(2)/2)*FH26+(1-EXP(-LN(2)/2))/(LN(2)/2)*FB27*FE27*VLOOKUP('Données projet'!$B$9,Paramètres!$A$1:$I$88,3,0)*0.475*44/12</f>
        <v>0</v>
      </c>
      <c r="FI27" s="46">
        <f t="shared" si="19"/>
        <v>0</v>
      </c>
    </row>
    <row r="28" spans="1:165" x14ac:dyDescent="0.25">
      <c r="A28" s="24">
        <f t="shared" si="20"/>
        <v>25</v>
      </c>
      <c r="B28" s="25">
        <f>IF('Scénario référence'!$N$1=1,5,0)</f>
        <v>0</v>
      </c>
      <c r="C28" s="40">
        <f>IF(OR('Scénario référence'!$N$1=2,'Scénario référence'!$N$1=4),C27+1*VLOOKUP('Scénario référence'!$G$14,Paramètres!$A$1:$I$88,3,0)*VLOOKUP('Scénario référence'!$G$14,Paramètres!$A$1:$I$88,5,0),IF(OR('Scénario référence'!$N$1=3,'Scénario référence'!$N$1=5),C27+0.5*VLOOKUP('Scénario référence'!$G$14,Paramètres!$A$1:$I$88,3,0)*VLOOKUP('Scénario référence'!$G$14,Paramètres!$A$1:$I$88,5,0),0))</f>
        <v>13.649999999999997</v>
      </c>
      <c r="D28" s="26">
        <f t="shared" si="21"/>
        <v>4.6403984774572109</v>
      </c>
      <c r="E28" s="27">
        <f>IF('Scénario référence'!$N$1=1,B28*44/12,(C28+D28)*0.475*44/12)</f>
        <v>31.855777348237968</v>
      </c>
      <c r="F28" s="28">
        <f>VLOOKUP(A28,'Données projet'!$A$35:$I$55,2,0)</f>
        <v>70</v>
      </c>
      <c r="G28" s="28">
        <f>VLOOKUP(A28,'Données projet'!$A$35:$I$55,9,0)</f>
        <v>5.6</v>
      </c>
      <c r="H28" s="33">
        <f t="array" ref="H28">INDEX(G:G,MIN(IF(ISNUMBER(G28:G224),ROW(G28:G224),"")))</f>
        <v>5.6</v>
      </c>
      <c r="I28" s="28">
        <f t="shared" si="22"/>
        <v>70.000000000000014</v>
      </c>
      <c r="J28" s="41">
        <f>I28*VLOOKUP('Données projet'!$B$9,Paramètres!$A$1:$I$88,3,0)*VLOOKUP('Données projet'!$B$9,Paramètres!$A$1:$I$88,5,0)</f>
        <v>70.980000000000018</v>
      </c>
      <c r="K28" s="41">
        <f t="shared" si="23"/>
        <v>19.916628839746853</v>
      </c>
      <c r="L28" s="42">
        <f t="shared" si="0"/>
        <v>158.31162856255912</v>
      </c>
      <c r="M28" s="30">
        <f>IF(ISNA(VLOOKUP(A28,'Données projet'!$A$35:$I$55,3,0)),0,VLOOKUP(A28,'Données projet'!$A$35:$I$55,3,0))</f>
        <v>1</v>
      </c>
      <c r="N28" s="30">
        <f>IF(ISNA(VLOOKUP(A28,'Données projet'!$A$35:$I$55,4,0)),0,VLOOKUP(A28,'Données projet'!$A$35:$I$55,4,0))</f>
        <v>8</v>
      </c>
      <c r="O28" s="31">
        <f>IF(ISNA(VLOOKUP(A28,'Données projet'!$A$35:$I$55,5,0)),0%,VLOOKUP(A28,'Données projet'!$A$35:$I$55,5,0)*VLOOKUP('Données projet'!$B$9,Paramètres!$A$1:$I$88,7,0))</f>
        <v>0</v>
      </c>
      <c r="P28" s="31">
        <f>IF(ISNA(VLOOKUP(A28,'Données projet'!$A$35:$I$55,6,0)),0%,VLOOKUP(A28,'Données projet'!$A$35:$I$55,6,0)*VLOOKUP('Données projet'!$B$9,Paramètres!$A$1:$I$88,7,0))</f>
        <v>0</v>
      </c>
      <c r="Q28" s="31">
        <f>IF(ISNA(VLOOKUP(A28,'Données projet'!$A$35:$I$55,7,0)),0%,VLOOKUP(A28,'Données projet'!$A$35:$I$55,7,0))</f>
        <v>0</v>
      </c>
      <c r="R28" s="43">
        <f>EXP(-LN(2)/35)*R27+(1-EXP(-LN(2)/35))/(LN(2)/35)*N28*O28*VLOOKUP('Données projet'!$B$9,Paramètres!$A$1:$I$88,3,0)*0.475*44/12</f>
        <v>0</v>
      </c>
      <c r="S28" s="43">
        <f>EXP(-LN(2)/25)*S27+(1-EXP(-LN(2)/25))/(LN(2)/25)*Calculateur!N28*Calculateur!P28*VLOOKUP('Données projet'!$B$9,Paramètres!$A$1:$I$88,3,0)*0.475*44/12</f>
        <v>0</v>
      </c>
      <c r="T28" s="43">
        <f>EXP(-LN(2)/2)*T27+(1-EXP(-LN(2)/2))/(LN(2)/2)*N28*Q28*VLOOKUP('Données projet'!$B$9,Paramètres!$A$1:$I$88,3,0)*0.475*44/12</f>
        <v>0</v>
      </c>
      <c r="U28" s="43">
        <f t="shared" si="1"/>
        <v>0</v>
      </c>
      <c r="V28" s="32" t="e">
        <f>VLOOKUP(A28,'Données projet'!$A$61:$I$81,2,0)</f>
        <v>#N/A</v>
      </c>
      <c r="W28" s="33" t="e">
        <f>VLOOKUP(A28,'Données projet'!$A$61:$I$81,9,0)</f>
        <v>#N/A</v>
      </c>
      <c r="X28" s="33">
        <f t="array" ref="X28">INDEX(W:W,MIN(IF(ISNUMBER(W28:W224),ROW(W28:W224),"")))</f>
        <v>0</v>
      </c>
      <c r="Y28" s="33">
        <f t="shared" si="24"/>
        <v>0</v>
      </c>
      <c r="Z28" s="34" t="e">
        <f>Y28*VLOOKUP('Données projet'!$B$10,Paramètres!$A$1:$I$88,3,0)*VLOOKUP('Données projet'!$B$10,Paramètres!$A$1:$I$88,5,0)</f>
        <v>#N/A</v>
      </c>
      <c r="AA28" s="34" t="e">
        <f t="shared" si="25"/>
        <v>#N/A</v>
      </c>
      <c r="AB28" s="44" t="e">
        <f t="shared" si="2"/>
        <v>#N/A</v>
      </c>
      <c r="AC28" s="36">
        <f>IF(ISNA(VLOOKUP(A28,'Données projet'!$A$61:$I$81,3,0)),0,VLOOKUP(A28,'Données projet'!$A$61:$I$81,3,0))</f>
        <v>0</v>
      </c>
      <c r="AD28" s="36">
        <f>IF(ISNA(VLOOKUP(A28,'Données projet'!$A$61:$I$81,4,0)),0,VLOOKUP(A28,'Données projet'!$A$61:$I$81,4,0))</f>
        <v>0</v>
      </c>
      <c r="AE28" s="37">
        <f>IF(ISNA(VLOOKUP(A28,'Données projet'!$A$61:$I$81,5,0)),0%,VLOOKUP(A28,'Données projet'!$A$61:$I$81,5,0)*VLOOKUP('Données projet'!$B$10,Paramètres!$A$1:$I$88,7,0))</f>
        <v>0</v>
      </c>
      <c r="AF28" s="37">
        <f>IF(ISNA(VLOOKUP(A28,'Données projet'!$A$61:$I$81,6,0)),0%,VLOOKUP(A28,'Données projet'!$A$61:$I$81,6,0)*VLOOKUP('Données projet'!$B$10,Paramètres!$A$1:$I$88,7,0))</f>
        <v>0</v>
      </c>
      <c r="AG28" s="37">
        <f>IF(ISNA(VLOOKUP(A28,'Données projet'!$A$61:$I$81,7,0)),0%,VLOOKUP(A28,'Données projet'!$A$61:$I$81,7,0))</f>
        <v>0</v>
      </c>
      <c r="AH28" s="45">
        <f>EXP(-LN(2)/35)*AH27+(1-EXP(-LN(2)/35))/(LN(2)/35)*AD28*AE28*VLOOKUP('Données projet'!$B$9,Paramètres!$A$1:$I$88,3,0)*0.475*44/12</f>
        <v>0</v>
      </c>
      <c r="AI28" s="45">
        <f>EXP(-LN(2)/25)*AI27+(1-EXP(-LN(2)/25))/(LN(2)/25)*Calculateur!AD28*Calculateur!AF28*VLOOKUP('Données projet'!$B$9,Paramètres!$A$1:$I$88,3,0)*0.475*44/12</f>
        <v>0</v>
      </c>
      <c r="AJ28" s="45">
        <f>EXP(-LN(2)/2)*AJ27+(1-EXP(-LN(2)/2))/(LN(2)/2)*AD28*AG28*VLOOKUP('Données projet'!$B$9,Paramètres!$A$1:$I$88,3,0)*0.475*44/12</f>
        <v>0</v>
      </c>
      <c r="AK28" s="45">
        <f t="shared" si="3"/>
        <v>0</v>
      </c>
      <c r="AL28" s="32" t="e">
        <f>VLOOKUP(A28,'Données projet'!$A$87:$I$107,2,0)</f>
        <v>#N/A</v>
      </c>
      <c r="AM28" s="33" t="e">
        <f>VLOOKUP(A28,'Données projet'!$A$87:$I$107,9,0)</f>
        <v>#N/A</v>
      </c>
      <c r="AN28" s="33">
        <f t="array" ref="AN28">INDEX(AM:AM,MIN(IF(ISNUMBER(AM28:AM224),ROW(AM28:AM224),"")))</f>
        <v>0</v>
      </c>
      <c r="AO28" s="33">
        <f t="shared" si="26"/>
        <v>0</v>
      </c>
      <c r="AP28" s="34" t="e">
        <f>AO28*VLOOKUP('Données projet'!$B$11,Paramètres!$A$1:$I$88,3,0)*VLOOKUP('Données projet'!$B$11,Paramètres!$A$1:$I$88,5,0)</f>
        <v>#N/A</v>
      </c>
      <c r="AQ28" s="34" t="e">
        <f t="shared" si="27"/>
        <v>#N/A</v>
      </c>
      <c r="AR28" s="44" t="e">
        <f t="shared" si="4"/>
        <v>#N/A</v>
      </c>
      <c r="AS28" s="36">
        <f>IF(ISNA(VLOOKUP(A28,'Données projet'!$A$87:$I$107,3,0)),0,VLOOKUP(A28,'Données projet'!$A$87:$I$107,3,0))</f>
        <v>0</v>
      </c>
      <c r="AT28" s="36">
        <f>IF(ISNA(VLOOKUP(A28,'Données projet'!$A$87:$I$107,4,0)),0,VLOOKUP(A28,'Données projet'!$A$87:$I$107,4,0))</f>
        <v>0</v>
      </c>
      <c r="AU28" s="37">
        <f>IF(ISNA(VLOOKUP(A28,'Données projet'!$A$87:$I$107,5,0)),0%,VLOOKUP(A28,'Données projet'!$A$87:$I$107,5,0)*VLOOKUP('Données projet'!$B$11,Paramètres!$A$1:$I$88,7,0))</f>
        <v>0</v>
      </c>
      <c r="AV28" s="37">
        <f>IF(ISNA(VLOOKUP(A28,'Données projet'!$A$87:$I$107,6,0)),0%,VLOOKUP(A28,'Données projet'!$A$87:$I$107,6,0)*VLOOKUP('Données projet'!$B$11,Paramètres!$A$1:$I$88,7,0))</f>
        <v>0</v>
      </c>
      <c r="AW28" s="37">
        <f>IF(ISNA(VLOOKUP(A28,'Données projet'!$A$87:$I$107,7,0)),0%,VLOOKUP(A28,'Données projet'!$A$87:$I$107,7,0))</f>
        <v>0</v>
      </c>
      <c r="AX28" s="45">
        <f>EXP(-LN(2)/35)*AX27+(1-EXP(-LN(2)/35))/(LN(2)/35)*AT28*AU28*VLOOKUP('Données projet'!$B$9,Paramètres!$A$1:$I$88,3,0)*0.475*44/12</f>
        <v>0</v>
      </c>
      <c r="AY28" s="45">
        <f>EXP(-LN(2)/25)*AY27+(1-EXP(-LN(2)/25))/(LN(2)/25)*Calculateur!AT28*Calculateur!AV28*VLOOKUP('Données projet'!$B$9,Paramètres!$A$1:$I$88,3,0)*0.475*44/12</f>
        <v>0</v>
      </c>
      <c r="AZ28" s="45">
        <f>EXP(-LN(2)/2)*AZ27+(1-EXP(-LN(2)/2))/(LN(2)/2)*AT28*AW28*VLOOKUP('Données projet'!$B$9,Paramètres!$A$1:$I$88,3,0)*0.475*44/12</f>
        <v>0</v>
      </c>
      <c r="BA28" s="46">
        <f t="shared" si="5"/>
        <v>0</v>
      </c>
      <c r="BB28" s="32" t="e">
        <f>VLOOKUP(A28,'Données projet'!$A$113:$I$133,2,0)</f>
        <v>#N/A</v>
      </c>
      <c r="BC28" s="33" t="e">
        <f>VLOOKUP(A28,'Données projet'!$A$113:$I$133,9,0)</f>
        <v>#N/A</v>
      </c>
      <c r="BD28" s="33">
        <f t="array" ref="BD28">INDEX(BC:BC,MIN(IF(ISNUMBER(BC28:BC224),ROW(BC28:BC224),"")))</f>
        <v>0</v>
      </c>
      <c r="BE28" s="33">
        <f t="shared" si="28"/>
        <v>0</v>
      </c>
      <c r="BF28" s="34" t="e">
        <f>BE28*VLOOKUP('Données projet'!$B$12,Paramètres!$A$1:$I$88,3,0)*VLOOKUP('Données projet'!$B$12,Paramètres!$A$1:$I$88,5,0)</f>
        <v>#N/A</v>
      </c>
      <c r="BG28" s="34" t="e">
        <f t="shared" si="29"/>
        <v>#N/A</v>
      </c>
      <c r="BH28" s="44" t="e">
        <f t="shared" si="6"/>
        <v>#N/A</v>
      </c>
      <c r="BI28" s="36">
        <f>IF(ISNA(VLOOKUP(A28,'Données projet'!$A$113:$I$133,3,0)),0,VLOOKUP(A28,'Données projet'!$A$113:$I$133,3,0))</f>
        <v>0</v>
      </c>
      <c r="BJ28" s="36">
        <f>IF(ISNA(VLOOKUP(A28,'Données projet'!$A$113:$I$133,4,0)),0,VLOOKUP(A28,'Données projet'!$A$113:$I$133,4,0))</f>
        <v>0</v>
      </c>
      <c r="BK28" s="37">
        <f>IF(ISNA(VLOOKUP(A28,'Données projet'!$A$113:$I$133,5,0)),0%,VLOOKUP(A28,'Données projet'!$A$113:$I$133,5,0)*VLOOKUP('Données projet'!$B$12,Paramètres!$A$1:$I$88,7,0))</f>
        <v>0</v>
      </c>
      <c r="BL28" s="37">
        <f>IF(ISNA(VLOOKUP(A28,'Données projet'!$A$113:$I$133,6,0)),0%,VLOOKUP(A28,'Données projet'!$A$113:$I$133,6,0)*VLOOKUP('Données projet'!$B$12,Paramètres!$A$1:$I$88,7,0))</f>
        <v>0</v>
      </c>
      <c r="BM28" s="37">
        <f>IF(ISNA(VLOOKUP(A28,'Données projet'!$A$113:$I$133,7,0)),0%,VLOOKUP(A28,'Données projet'!$A$113:$I$133,7,0))</f>
        <v>0</v>
      </c>
      <c r="BN28" s="45">
        <f>EXP(-LN(2)/35)*BN27+(1-EXP(-LN(2)/35))/(LN(2)/35)*BJ28*BK28*VLOOKUP('Données projet'!$B$9,Paramètres!$A$1:$I$88,3,0)*0.475*44/12</f>
        <v>0</v>
      </c>
      <c r="BO28" s="45">
        <f>EXP(-LN(2)/25)*BO27+(1-EXP(-LN(2)/25))/(LN(2)/25)*Calculateur!BJ28*Calculateur!BL28*VLOOKUP('Données projet'!$B$9,Paramètres!$A$1:$I$88,3,0)*0.475*44/12</f>
        <v>0</v>
      </c>
      <c r="BP28" s="45">
        <f>EXP(-LN(2)/2)*BP27+(1-EXP(-LN(2)/2))/(LN(2)/2)*BJ28*BM28*VLOOKUP('Données projet'!$B$9,Paramètres!$A$1:$I$88,3,0)*0.475*44/12</f>
        <v>0</v>
      </c>
      <c r="BQ28" s="46">
        <f t="shared" si="7"/>
        <v>0</v>
      </c>
      <c r="BR28" s="32" t="e">
        <f>VLOOKUP(A28,'Données projet'!$A$139:$I$159,2,0)</f>
        <v>#N/A</v>
      </c>
      <c r="BS28" s="33" t="e">
        <f>VLOOKUP(A28,'Données projet'!$A$139:$I$159,9,0)</f>
        <v>#N/A</v>
      </c>
      <c r="BT28" s="33">
        <f t="array" ref="BT28">INDEX(BS:BS,MIN(IF(ISNUMBER(BS28:BS224),ROW(BS28:BS224),"")))</f>
        <v>0</v>
      </c>
      <c r="BU28" s="33">
        <f t="shared" si="41"/>
        <v>0</v>
      </c>
      <c r="BV28" s="38" t="e">
        <f>BU28*VLOOKUP('Données projet'!$B$13,Paramètres!$A$1:$I$88,3,0)*VLOOKUP('Données projet'!$B$13,Paramètres!$A$1:$I$88,5,0)</f>
        <v>#N/A</v>
      </c>
      <c r="BW28" s="34" t="e">
        <f t="shared" si="30"/>
        <v>#N/A</v>
      </c>
      <c r="BX28" s="44" t="e">
        <f t="shared" si="8"/>
        <v>#N/A</v>
      </c>
      <c r="BY28" s="36">
        <f>IF(ISNA(VLOOKUP(A28,'Données projet'!$A$139:$I$159,3,0)),0,VLOOKUP(A28,'Données projet'!$A$139:$I$159,3,0))</f>
        <v>0</v>
      </c>
      <c r="BZ28" s="36">
        <f>IF(ISNA(VLOOKUP(A28,'Données projet'!$A$139:$I$159,4,0)),0,VLOOKUP(A28,'Données projet'!$A$139:$I$159,4,0))</f>
        <v>0</v>
      </c>
      <c r="CA28" s="37">
        <f>IF(ISNA(VLOOKUP(A28,'Données projet'!$A$139:$I$159,5,0)),0%,VLOOKUP(A28,'Données projet'!$A$139:$I$159,5,0)*VLOOKUP('Données projet'!$B$13,Paramètres!$A$1:$I$88,7,0))</f>
        <v>0</v>
      </c>
      <c r="CB28" s="37">
        <f>IF(ISNA(VLOOKUP(A28,'Données projet'!$A$139:$I$159,6,0)),0%,VLOOKUP(A28,'Données projet'!$A$139:$I$159,6,0)*VLOOKUP('Données projet'!$B$13,Paramètres!$A$1:$I$88,7,0))</f>
        <v>0</v>
      </c>
      <c r="CC28" s="37">
        <f>IF(ISNA(VLOOKUP(A28,'Données projet'!$A$139:$I$159,7,0)),0%,VLOOKUP(A28,'Données projet'!$A$139:$I$159,7,0))</f>
        <v>0</v>
      </c>
      <c r="CD28" s="45">
        <f>EXP(-LN(2)/35)*CD27+(1-EXP(-LN(2)/35))/(LN(2)/35)*BZ28*CA28*VLOOKUP('Données projet'!$B$9,Paramètres!$A$1:$I$88,3,0)*0.475*44/12</f>
        <v>0</v>
      </c>
      <c r="CE28" s="45">
        <f>EXP(-LN(2)/25)*CE27+(1-EXP(-LN(2)/25))/(LN(2)/25)*Calculateur!BZ28*Calculateur!CB28*VLOOKUP('Données projet'!$B$9,Paramètres!$A$1:$I$88,3,0)*0.475*44/12</f>
        <v>0</v>
      </c>
      <c r="CF28" s="45">
        <f>EXP(-LN(2)/2)*CF27+(1-EXP(-LN(2)/2))/(LN(2)/2)*BZ28*CC28*VLOOKUP('Données projet'!$B$9,Paramètres!$A$1:$I$88,3,0)*0.475*44/12</f>
        <v>0</v>
      </c>
      <c r="CG28" s="46">
        <f t="shared" si="9"/>
        <v>0</v>
      </c>
      <c r="CH28" s="32" t="e">
        <f>VLOOKUP(A28,'Données projet'!$A$165:$I$185,2,0)</f>
        <v>#N/A</v>
      </c>
      <c r="CI28" s="33" t="e">
        <f>VLOOKUP(A28,'Données projet'!$A$165:$I$185,9,0)</f>
        <v>#N/A</v>
      </c>
      <c r="CJ28" s="33">
        <f t="array" ref="CJ28">INDEX(CI:CI,MIN(IF(ISNUMBER(CI28:CI224),ROW(CI28:CI224),"")))</f>
        <v>0</v>
      </c>
      <c r="CK28" s="33">
        <f t="shared" si="31"/>
        <v>0</v>
      </c>
      <c r="CL28" s="38" t="e">
        <f>CK28*VLOOKUP('Données projet'!$B$14,Paramètres!$A$1:$I$88,3,0)*VLOOKUP('Données projet'!$B$14,Paramètres!$A$1:$I$88,5,0)</f>
        <v>#N/A</v>
      </c>
      <c r="CM28" s="34" t="e">
        <f t="shared" si="32"/>
        <v>#N/A</v>
      </c>
      <c r="CN28" s="44" t="e">
        <f t="shared" si="10"/>
        <v>#N/A</v>
      </c>
      <c r="CO28" s="36">
        <f>IF(ISNA(VLOOKUP(A28,'Données projet'!$A$165:$I$185,3,0)),0,VLOOKUP(A28,'Données projet'!$A$165:$I$185,3,0))</f>
        <v>0</v>
      </c>
      <c r="CP28" s="36">
        <f>IF(ISNA(VLOOKUP(A28,'Données projet'!$A$165:$I$185,4,0)),0,VLOOKUP(A28,'Données projet'!$A$165:$I$185,4,0))</f>
        <v>0</v>
      </c>
      <c r="CQ28" s="37">
        <f>IF(ISNA(VLOOKUP(A28,'Données projet'!$A$165:$I$185,5,0)),0%,VLOOKUP(A28,'Données projet'!$A$165:$I$185,5,0)*VLOOKUP('Données projet'!$B$14,Paramètres!$A$1:$I$88,7,0))</f>
        <v>0</v>
      </c>
      <c r="CR28" s="37">
        <f>IF(ISNA(VLOOKUP(A28,'Données projet'!$A$165:$I$185,6,0)),0%,VLOOKUP(A28,'Données projet'!$A$165:$I$185,6,0)*VLOOKUP('Données projet'!$B$14,Paramètres!$A$1:$I$88,7,0))</f>
        <v>0</v>
      </c>
      <c r="CS28" s="37">
        <f>IF(ISNA(VLOOKUP(A28,'Données projet'!$A$165:$I$185,7,0)),0%,VLOOKUP(A28,'Données projet'!$A$165:$I$185,7,0))</f>
        <v>0</v>
      </c>
      <c r="CT28" s="45">
        <f>EXP(-LN(2)/35)*CT27+(1-EXP(-LN(2)/35))/(LN(2)/35)*CP28*CQ28*VLOOKUP('Données projet'!$B$9,Paramètres!$A$1:$I$88,3,0)*0.475*44/12</f>
        <v>0</v>
      </c>
      <c r="CU28" s="45">
        <f>EXP(-LN(2)/25)*CU27+(1-EXP(-LN(2)/25))/(LN(2)/25)*Calculateur!CP28*Calculateur!CR28*VLOOKUP('Données projet'!$B$9,Paramètres!$A$1:$I$88,3,0)*0.475*44/12</f>
        <v>0</v>
      </c>
      <c r="CV28" s="45">
        <f>EXP(-LN(2)/2)*CV27+(1-EXP(-LN(2)/2))/(LN(2)/2)*CP28*CS28*VLOOKUP('Données projet'!$B$9,Paramètres!$A$1:$I$88,3,0)*0.475*44/12</f>
        <v>0</v>
      </c>
      <c r="CW28" s="46">
        <f t="shared" si="11"/>
        <v>0</v>
      </c>
      <c r="CX28" s="32" t="e">
        <f>VLOOKUP(A28,'Données projet'!$A$191:$I$211,2,0)</f>
        <v>#N/A</v>
      </c>
      <c r="CY28" s="33" t="e">
        <f>VLOOKUP(A28,'Données projet'!$A$191:$I$211,9,0)</f>
        <v>#N/A</v>
      </c>
      <c r="CZ28" s="33">
        <f t="array" ref="CZ28">INDEX(CY:CY,MIN(IF(ISNUMBER(CY28:CY224),ROW(CY28:CY224),"")))</f>
        <v>0</v>
      </c>
      <c r="DA28" s="33">
        <f t="shared" si="33"/>
        <v>0</v>
      </c>
      <c r="DB28" s="38" t="e">
        <f>DA28*VLOOKUP('Données projet'!$B$15,Paramètres!$A$1:$I$88,3,0)*VLOOKUP('Données projet'!$B$15,Paramètres!$A$1:$I$88,5,0)</f>
        <v>#N/A</v>
      </c>
      <c r="DC28" s="34" t="e">
        <f t="shared" si="34"/>
        <v>#N/A</v>
      </c>
      <c r="DD28" s="44" t="e">
        <f t="shared" si="12"/>
        <v>#N/A</v>
      </c>
      <c r="DE28" s="36">
        <f>IF(ISNA(VLOOKUP(A28,'Données projet'!$A$191:$I$211,3,0)),0,VLOOKUP(A28,'Données projet'!$A$191:$I$211,3,0))</f>
        <v>0</v>
      </c>
      <c r="DF28" s="36">
        <f>IF(ISNA(VLOOKUP(A28,'Données projet'!$A$191:$I$211,4,0)),0,VLOOKUP(A28,'Données projet'!$A$191:$I$211,4,0))</f>
        <v>0</v>
      </c>
      <c r="DG28" s="37">
        <f>IF(ISNA(VLOOKUP(A28,'Données projet'!$A$191:$I$211,5,0)),0%,VLOOKUP(A28,'Données projet'!$A$191:$I$211,5,0)*VLOOKUP('Données projet'!$B$15,Paramètres!$A$1:$I$88,7,0))</f>
        <v>0</v>
      </c>
      <c r="DH28" s="37">
        <f>IF(ISNA(VLOOKUP(A28,'Données projet'!$A$191:$I$211,6,0)),0%,VLOOKUP(A28,'Données projet'!$A$191:$I$211,6,0)*VLOOKUP('Données projet'!$B$15,Paramètres!$A$1:$I$88,7,0))</f>
        <v>0</v>
      </c>
      <c r="DI28" s="37">
        <f>IF(ISNA(VLOOKUP(A28,'Données projet'!$A$191:$I$211,7,0)),0%,VLOOKUP(A28,'Données projet'!$A$191:$I$211,7,0))</f>
        <v>0</v>
      </c>
      <c r="DJ28" s="45">
        <f>EXP(-LN(2)/35)*DJ27+(1-EXP(-LN(2)/35))/(LN(2)/35)*DF28*DG28*VLOOKUP('Données projet'!$B$9,Paramètres!$A$1:$I$88,3,0)*0.475*44/12</f>
        <v>0</v>
      </c>
      <c r="DK28" s="45">
        <f>EXP(-LN(2)/25)*DK27+(1-EXP(-LN(2)/25))/(LN(2)/25)*Calculateur!DF28*Calculateur!DH28*VLOOKUP('Données projet'!$B$9,Paramètres!$A$1:$I$88,3,0)*0.475*44/12</f>
        <v>0</v>
      </c>
      <c r="DL28" s="45">
        <f>EXP(-LN(2)/2)*DL27+(1-EXP(-LN(2)/2))/(LN(2)/2)*DF28*DI28*VLOOKUP('Données projet'!$B$9,Paramètres!$A$1:$I$88,3,0)*0.475*44/12</f>
        <v>0</v>
      </c>
      <c r="DM28" s="46">
        <f t="shared" si="13"/>
        <v>0</v>
      </c>
      <c r="DN28" s="32" t="e">
        <f>VLOOKUP(A28,'Données projet'!$A$217:$I$237,2,0)</f>
        <v>#N/A</v>
      </c>
      <c r="DO28" s="33" t="e">
        <f>VLOOKUP(A28,'Données projet'!$A$217:$I$237,9,0)</f>
        <v>#N/A</v>
      </c>
      <c r="DP28" s="33">
        <f t="array" ref="DP28">INDEX(DO:DO,MIN(IF(ISNUMBER(DO28:DO224),ROW(DO28:DO224),"")))</f>
        <v>0</v>
      </c>
      <c r="DQ28" s="33">
        <f t="shared" si="35"/>
        <v>0</v>
      </c>
      <c r="DR28" s="38" t="e">
        <f>DQ28*VLOOKUP('Données projet'!$B$16,Paramètres!$A$1:$I$88,3,0)*VLOOKUP('Données projet'!$B$16,Paramètres!$A$1:$I$88,5,0)</f>
        <v>#N/A</v>
      </c>
      <c r="DS28" s="34" t="e">
        <f t="shared" si="36"/>
        <v>#N/A</v>
      </c>
      <c r="DT28" s="44" t="e">
        <f t="shared" si="14"/>
        <v>#N/A</v>
      </c>
      <c r="DU28" s="36">
        <f>IF(ISNA(VLOOKUP(A28,'Données projet'!$A$217:$I$237,3,0)),0,VLOOKUP(A28,'Données projet'!$A$217:$I$237,3,0))</f>
        <v>0</v>
      </c>
      <c r="DV28" s="36">
        <f>IF(ISNA(VLOOKUP(A28,'Données projet'!$A$217:$I$237,4,0)),0,VLOOKUP(A28,'Données projet'!$A$217:$I$237,4,0))</f>
        <v>0</v>
      </c>
      <c r="DW28" s="37">
        <f>IF(ISNA(VLOOKUP(A28,'Données projet'!$A$217:$I$237,5,0)),0%,VLOOKUP(A28,'Données projet'!$A$217:$I$237,5,0)*VLOOKUP('Données projet'!$B$16,Paramètres!$A$1:$I$88,7,0))</f>
        <v>0</v>
      </c>
      <c r="DX28" s="37">
        <f>IF(ISNA(VLOOKUP(A28,'Données projet'!$A$217:$I$237,6,0)),0%,VLOOKUP(A28,'Données projet'!$A$217:$I$237,6,0)*VLOOKUP('Données projet'!$B$16,Paramètres!$A$1:$I$88,7,0))</f>
        <v>0</v>
      </c>
      <c r="DY28" s="37">
        <f>IF(ISNA(VLOOKUP(A28,'Données projet'!$A$217:$I$237,7,0)),0%,VLOOKUP(A28,'Données projet'!$A$217:$I$237,7,0))</f>
        <v>0</v>
      </c>
      <c r="DZ28" s="45">
        <f>EXP(-LN(2)/35)*DZ27+(1-EXP(-LN(2)/35))/(LN(2)/35)*DV28*DW28*VLOOKUP('Données projet'!$B$9,Paramètres!$A$1:$I$88,3,0)*0.475*44/12</f>
        <v>0</v>
      </c>
      <c r="EA28" s="45">
        <f>EXP(-LN(2)/25)*EA27+(1-EXP(-LN(2)/25))/(LN(2)/25)*Calculateur!DV28*Calculateur!DX28*VLOOKUP('Données projet'!$B$9,Paramètres!$A$1:$I$88,3,0)*0.475*44/12</f>
        <v>0</v>
      </c>
      <c r="EB28" s="45">
        <f>EXP(-LN(2)/2)*EB27+(1-EXP(-LN(2)/2))/(LN(2)/2)*DV28*DY28*VLOOKUP('Données projet'!$B$9,Paramètres!$A$1:$I$88,3,0)*0.475*44/12</f>
        <v>0</v>
      </c>
      <c r="EC28" s="46">
        <f t="shared" si="15"/>
        <v>0</v>
      </c>
      <c r="ED28" s="32" t="e">
        <f>VLOOKUP(A28,'Données projet'!$A$243:$I$263,2,0)</f>
        <v>#N/A</v>
      </c>
      <c r="EE28" s="33" t="e">
        <f>VLOOKUP(A28,'Données projet'!$A$243:$I$263,9,0)</f>
        <v>#N/A</v>
      </c>
      <c r="EF28" s="33">
        <f t="array" ref="EF28">INDEX(EE:EE,MIN(IF(ISNUMBER(EE28:EE224),ROW(EE28:EE224),"")))</f>
        <v>0</v>
      </c>
      <c r="EG28" s="33">
        <f t="shared" si="37"/>
        <v>0</v>
      </c>
      <c r="EH28" s="38" t="e">
        <f>EG28*VLOOKUP('Données projet'!$B$17,Paramètres!$A$1:$I$88,3,0)*VLOOKUP('Données projet'!$B$17,Paramètres!$A$1:$I$88,5,0)</f>
        <v>#N/A</v>
      </c>
      <c r="EI28" s="34" t="e">
        <f t="shared" si="38"/>
        <v>#N/A</v>
      </c>
      <c r="EJ28" s="44" t="e">
        <f t="shared" si="16"/>
        <v>#N/A</v>
      </c>
      <c r="EK28" s="36">
        <f>IF(ISNA(VLOOKUP(A28,'Données projet'!$A$243:$I$263,3,0)),0,VLOOKUP(A28,'Données projet'!$A$243:$I$263,3,0))</f>
        <v>0</v>
      </c>
      <c r="EL28" s="36">
        <f>IF(ISNA(VLOOKUP(A28,'Données projet'!$A$243:$I$263,4,0)),0,VLOOKUP(A28,'Données projet'!$A$243:$I$263,4,0))</f>
        <v>0</v>
      </c>
      <c r="EM28" s="37">
        <f>IF(ISNA(VLOOKUP(A28,'Données projet'!$A$243:$I$263,5,0)),0%,VLOOKUP(A28,'Données projet'!$A$243:$I$263,5,0)*VLOOKUP('Données projet'!$B$17,Paramètres!$A$1:$I$88,7,0))</f>
        <v>0</v>
      </c>
      <c r="EN28" s="37">
        <f>IF(ISNA(VLOOKUP(A28,'Données projet'!$A$243:$I$263,6,0)),0%,VLOOKUP(A28,'Données projet'!$A$243:$I$263,6,0)*VLOOKUP('Données projet'!$B$17,Paramètres!$A$1:$I$88,7,0))</f>
        <v>0</v>
      </c>
      <c r="EO28" s="37">
        <f>IF(ISNA(VLOOKUP(A28,'Données projet'!$A$243:$I$263,7,0)),0%,VLOOKUP(A28,'Données projet'!$A$243:$I$263,7,0))</f>
        <v>0</v>
      </c>
      <c r="EP28" s="45">
        <f>EXP(-LN(2)/35)*EP27+(1-EXP(-LN(2)/35))/(LN(2)/35)*EL28*EM28*VLOOKUP('Données projet'!$B$9,Paramètres!$A$1:$I$88,3,0)*0.475*44/12</f>
        <v>0</v>
      </c>
      <c r="EQ28" s="45">
        <f>EXP(-LN(2)/25)*EQ27+(1-EXP(-LN(2)/25))/(LN(2)/25)*Calculateur!EL28*Calculateur!EN28*VLOOKUP('Données projet'!$B$9,Paramètres!$A$1:$I$88,3,0)*0.475*44/12</f>
        <v>0</v>
      </c>
      <c r="ER28" s="45">
        <f>EXP(-LN(2)/2)*ER27+(1-EXP(-LN(2)/2))/(LN(2)/2)*EL28*EO28*VLOOKUP('Données projet'!$B$9,Paramètres!$A$1:$I$88,3,0)*0.475*44/12</f>
        <v>0</v>
      </c>
      <c r="ES28" s="46">
        <f t="shared" si="17"/>
        <v>0</v>
      </c>
      <c r="ET28" s="32" t="e">
        <f>VLOOKUP(A28,'Données projet'!$A$269:$I$289,2,0)</f>
        <v>#N/A</v>
      </c>
      <c r="EU28" s="33" t="e">
        <f>VLOOKUP(A28,'Données projet'!$A$269:$I$289,9,0)</f>
        <v>#N/A</v>
      </c>
      <c r="EV28" s="33">
        <f t="array" ref="EV28">INDEX(EU:EU,MIN(IF(ISNUMBER(EU28:EU224),ROW(EU28:EU224),"")))</f>
        <v>0</v>
      </c>
      <c r="EW28" s="33">
        <f t="shared" si="39"/>
        <v>0</v>
      </c>
      <c r="EX28" s="38" t="e">
        <f>EW28*VLOOKUP('Données projet'!$B$18,Paramètres!$A$1:$I$88,3,0)*VLOOKUP('Données projet'!$B$18,Paramètres!$A$1:$I$88,5,0)</f>
        <v>#N/A</v>
      </c>
      <c r="EY28" s="34" t="e">
        <f t="shared" si="40"/>
        <v>#N/A</v>
      </c>
      <c r="EZ28" s="44" t="e">
        <f t="shared" si="18"/>
        <v>#N/A</v>
      </c>
      <c r="FA28" s="36">
        <f>IF(ISNA(VLOOKUP(A28,'Données projet'!$A$269:$I$289,3,0)),0,VLOOKUP(A28,'Données projet'!$A$269:$I$289,3,0))</f>
        <v>0</v>
      </c>
      <c r="FB28" s="36">
        <f>IF(ISNA(VLOOKUP(A28,'Données projet'!$A$269:$I$289,4,0)),0,VLOOKUP(A28,'Données projet'!$A$269:$I$289,4,0))</f>
        <v>0</v>
      </c>
      <c r="FC28" s="37">
        <f>IF(ISNA(VLOOKUP(A28,'Données projet'!$A$269:$I$289,5,0)),0%,VLOOKUP(A28,'Données projet'!$A$269:$I$289,5,0)*VLOOKUP('Données projet'!$B$18,Paramètres!$A$1:$I$88,7,0))</f>
        <v>0</v>
      </c>
      <c r="FD28" s="37">
        <f>IF(ISNA(VLOOKUP(A28,'Données projet'!$A$269:$I$289,6,0)),0%,VLOOKUP(A28,'Données projet'!$A$269:$I$289,6,0)*VLOOKUP('Données projet'!$B$18,Paramètres!$A$1:$I$88,7,0))</f>
        <v>0</v>
      </c>
      <c r="FE28" s="37">
        <f>IF(ISNA(VLOOKUP(A28,'Données projet'!$A$269:$I$289,7,0)),0%,VLOOKUP(A28,'Données projet'!$A$269:$I$289,7,0))</f>
        <v>0</v>
      </c>
      <c r="FF28" s="45">
        <f>EXP(-LN(2)/35)*FF27+(1-EXP(-LN(2)/35))/(LN(2)/35)*FB28*FC28*VLOOKUP('Données projet'!$B$9,Paramètres!$A$1:$I$88,3,0)*0.475*44/12</f>
        <v>0</v>
      </c>
      <c r="FG28" s="45">
        <f>EXP(-LN(2)/25)*FG27+(1-EXP(-LN(2)/25))/(LN(2)/25)*Calculateur!FB28*Calculateur!FD28*VLOOKUP('Données projet'!$B$9,Paramètres!$A$1:$I$88,3,0)*0.475*44/12</f>
        <v>0</v>
      </c>
      <c r="FH28" s="45">
        <f>EXP(-LN(2)/2)*FH27+(1-EXP(-LN(2)/2))/(LN(2)/2)*FB28*FE28*VLOOKUP('Données projet'!$B$9,Paramètres!$A$1:$I$88,3,0)*0.475*44/12</f>
        <v>0</v>
      </c>
      <c r="FI28" s="46">
        <f t="shared" si="19"/>
        <v>0</v>
      </c>
    </row>
    <row r="29" spans="1:165" x14ac:dyDescent="0.25">
      <c r="A29" s="24">
        <f t="shared" si="20"/>
        <v>26</v>
      </c>
      <c r="B29" s="25">
        <f>IF('Scénario référence'!$N$1=1,5,0)</f>
        <v>0</v>
      </c>
      <c r="C29" s="40">
        <f>IF(OR('Scénario référence'!$N$1=2,'Scénario référence'!$N$1=4),C28+1*VLOOKUP('Scénario référence'!$G$14,Paramètres!$A$1:$I$88,3,0)*VLOOKUP('Scénario référence'!$G$14,Paramètres!$A$1:$I$88,5,0),IF(OR('Scénario référence'!$N$1=3,'Scénario référence'!$N$1=5),C28+0.5*VLOOKUP('Scénario référence'!$G$14,Paramètres!$A$1:$I$88,3,0)*VLOOKUP('Scénario référence'!$G$14,Paramètres!$A$1:$I$88,5,0),0))</f>
        <v>14.195999999999996</v>
      </c>
      <c r="D29" s="26">
        <f t="shared" si="21"/>
        <v>4.8040324714872957</v>
      </c>
      <c r="E29" s="27">
        <f>IF('Scénario référence'!$N$1=1,B29*44/12,(C29+D29)*0.475*44/12)</f>
        <v>33.091723221173694</v>
      </c>
      <c r="F29" s="28" t="e">
        <f>VLOOKUP(A29,'Données projet'!$A$35:$I$55,2,0)</f>
        <v>#N/A</v>
      </c>
      <c r="G29" s="28" t="e">
        <f>VLOOKUP(A29,'Données projet'!$A$35:$I$55,9,0)</f>
        <v>#N/A</v>
      </c>
      <c r="H29" s="33">
        <f t="array" ref="H29">INDEX(G:G,MIN(IF(ISNUMBER(G29:G225),ROW(G29:G225),"")))</f>
        <v>7</v>
      </c>
      <c r="I29" s="28">
        <f t="shared" si="22"/>
        <v>69.000000000000014</v>
      </c>
      <c r="J29" s="41">
        <f>I29*VLOOKUP('Données projet'!$B$9,Paramètres!$A$1:$I$88,3,0)*VLOOKUP('Données projet'!$B$9,Paramètres!$A$1:$I$88,5,0)</f>
        <v>69.966000000000022</v>
      </c>
      <c r="K29" s="41">
        <f t="shared" si="23"/>
        <v>19.665013934342461</v>
      </c>
      <c r="L29" s="42">
        <f t="shared" si="0"/>
        <v>156.10734926897985</v>
      </c>
      <c r="M29" s="30">
        <f>IF(ISNA(VLOOKUP(A29,'Données projet'!$A$35:$I$55,3,0)),0,VLOOKUP(A29,'Données projet'!$A$35:$I$55,3,0))</f>
        <v>0</v>
      </c>
      <c r="N29" s="30">
        <f>IF(ISNA(VLOOKUP(A29,'Données projet'!$A$35:$I$55,4,0)),0,VLOOKUP(A29,'Données projet'!$A$35:$I$55,4,0))</f>
        <v>0</v>
      </c>
      <c r="O29" s="31">
        <f>IF(ISNA(VLOOKUP(A29,'Données projet'!$A$35:$I$55,5,0)),0%,VLOOKUP(A29,'Données projet'!$A$35:$I$55,5,0)*VLOOKUP('Données projet'!$B$9,Paramètres!$A$1:$I$88,7,0))</f>
        <v>0</v>
      </c>
      <c r="P29" s="31">
        <f>IF(ISNA(VLOOKUP(A29,'Données projet'!$A$35:$I$55,6,0)),0%,VLOOKUP(A29,'Données projet'!$A$35:$I$55,6,0)*VLOOKUP('Données projet'!$B$9,Paramètres!$A$1:$I$88,7,0))</f>
        <v>0</v>
      </c>
      <c r="Q29" s="31">
        <f>IF(ISNA(VLOOKUP(A29,'Données projet'!$A$35:$I$55,7,0)),0%,VLOOKUP(A29,'Données projet'!$A$35:$I$55,7,0))</f>
        <v>0</v>
      </c>
      <c r="R29" s="43">
        <f>EXP(-LN(2)/35)*R28+(1-EXP(-LN(2)/35))/(LN(2)/35)*N29*O29*VLOOKUP('Données projet'!$B$9,Paramètres!$A$1:$I$88,3,0)*0.475*44/12</f>
        <v>0</v>
      </c>
      <c r="S29" s="43">
        <f>EXP(-LN(2)/25)*S28+(1-EXP(-LN(2)/25))/(LN(2)/25)*Calculateur!N29*Calculateur!P29*VLOOKUP('Données projet'!$B$9,Paramètres!$A$1:$I$88,3,0)*0.475*44/12</f>
        <v>0</v>
      </c>
      <c r="T29" s="43">
        <f>EXP(-LN(2)/2)*T28+(1-EXP(-LN(2)/2))/(LN(2)/2)*N29*Q29*VLOOKUP('Données projet'!$B$9,Paramètres!$A$1:$I$88,3,0)*0.475*44/12</f>
        <v>0</v>
      </c>
      <c r="U29" s="43">
        <f t="shared" si="1"/>
        <v>0</v>
      </c>
      <c r="V29" s="32" t="e">
        <f>VLOOKUP(A29,'Données projet'!$A$61:$I$81,2,0)</f>
        <v>#N/A</v>
      </c>
      <c r="W29" s="33" t="e">
        <f>VLOOKUP(A29,'Données projet'!$A$61:$I$81,9,0)</f>
        <v>#N/A</v>
      </c>
      <c r="X29" s="33">
        <f t="array" ref="X29">INDEX(W:W,MIN(IF(ISNUMBER(W29:W225),ROW(W29:W225),"")))</f>
        <v>0</v>
      </c>
      <c r="Y29" s="33">
        <f t="shared" si="24"/>
        <v>0</v>
      </c>
      <c r="Z29" s="34" t="e">
        <f>Y29*VLOOKUP('Données projet'!$B$10,Paramètres!$A$1:$I$88,3,0)*VLOOKUP('Données projet'!$B$10,Paramètres!$A$1:$I$88,5,0)</f>
        <v>#N/A</v>
      </c>
      <c r="AA29" s="34" t="e">
        <f t="shared" si="25"/>
        <v>#N/A</v>
      </c>
      <c r="AB29" s="44" t="e">
        <f t="shared" si="2"/>
        <v>#N/A</v>
      </c>
      <c r="AC29" s="36">
        <f>IF(ISNA(VLOOKUP(A29,'Données projet'!$A$61:$I$81,3,0)),0,VLOOKUP(A29,'Données projet'!$A$61:$I$81,3,0))</f>
        <v>0</v>
      </c>
      <c r="AD29" s="36">
        <f>IF(ISNA(VLOOKUP(A29,'Données projet'!$A$61:$I$81,4,0)),0,VLOOKUP(A29,'Données projet'!$A$61:$I$81,4,0))</f>
        <v>0</v>
      </c>
      <c r="AE29" s="37">
        <f>IF(ISNA(VLOOKUP(A29,'Données projet'!$A$61:$I$81,5,0)),0%,VLOOKUP(A29,'Données projet'!$A$61:$I$81,5,0)*VLOOKUP('Données projet'!$B$10,Paramètres!$A$1:$I$88,7,0))</f>
        <v>0</v>
      </c>
      <c r="AF29" s="37">
        <f>IF(ISNA(VLOOKUP(A29,'Données projet'!$A$61:$I$81,6,0)),0%,VLOOKUP(A29,'Données projet'!$A$61:$I$81,6,0)*VLOOKUP('Données projet'!$B$10,Paramètres!$A$1:$I$88,7,0))</f>
        <v>0</v>
      </c>
      <c r="AG29" s="37">
        <f>IF(ISNA(VLOOKUP(A29,'Données projet'!$A$61:$I$81,7,0)),0%,VLOOKUP(A29,'Données projet'!$A$61:$I$81,7,0))</f>
        <v>0</v>
      </c>
      <c r="AH29" s="45">
        <f>EXP(-LN(2)/35)*AH28+(1-EXP(-LN(2)/35))/(LN(2)/35)*AD29*AE29*VLOOKUP('Données projet'!$B$9,Paramètres!$A$1:$I$88,3,0)*0.475*44/12</f>
        <v>0</v>
      </c>
      <c r="AI29" s="45">
        <f>EXP(-LN(2)/25)*AI28+(1-EXP(-LN(2)/25))/(LN(2)/25)*Calculateur!AD29*Calculateur!AF29*VLOOKUP('Données projet'!$B$9,Paramètres!$A$1:$I$88,3,0)*0.475*44/12</f>
        <v>0</v>
      </c>
      <c r="AJ29" s="45">
        <f>EXP(-LN(2)/2)*AJ28+(1-EXP(-LN(2)/2))/(LN(2)/2)*AD29*AG29*VLOOKUP('Données projet'!$B$9,Paramètres!$A$1:$I$88,3,0)*0.475*44/12</f>
        <v>0</v>
      </c>
      <c r="AK29" s="45">
        <f t="shared" si="3"/>
        <v>0</v>
      </c>
      <c r="AL29" s="32" t="e">
        <f>VLOOKUP(A29,'Données projet'!$A$87:$I$107,2,0)</f>
        <v>#N/A</v>
      </c>
      <c r="AM29" s="33" t="e">
        <f>VLOOKUP(A29,'Données projet'!$A$87:$I$107,9,0)</f>
        <v>#N/A</v>
      </c>
      <c r="AN29" s="33">
        <f t="array" ref="AN29">INDEX(AM:AM,MIN(IF(ISNUMBER(AM29:AM225),ROW(AM29:AM225),"")))</f>
        <v>0</v>
      </c>
      <c r="AO29" s="33">
        <f t="shared" si="26"/>
        <v>0</v>
      </c>
      <c r="AP29" s="34" t="e">
        <f>AO29*VLOOKUP('Données projet'!$B$11,Paramètres!$A$1:$I$88,3,0)*VLOOKUP('Données projet'!$B$11,Paramètres!$A$1:$I$88,5,0)</f>
        <v>#N/A</v>
      </c>
      <c r="AQ29" s="34" t="e">
        <f t="shared" si="27"/>
        <v>#N/A</v>
      </c>
      <c r="AR29" s="44" t="e">
        <f t="shared" si="4"/>
        <v>#N/A</v>
      </c>
      <c r="AS29" s="36">
        <f>IF(ISNA(VLOOKUP(A29,'Données projet'!$A$87:$I$107,3,0)),0,VLOOKUP(A29,'Données projet'!$A$87:$I$107,3,0))</f>
        <v>0</v>
      </c>
      <c r="AT29" s="36">
        <f>IF(ISNA(VLOOKUP(A29,'Données projet'!$A$87:$I$107,4,0)),0,VLOOKUP(A29,'Données projet'!$A$87:$I$107,4,0))</f>
        <v>0</v>
      </c>
      <c r="AU29" s="37">
        <f>IF(ISNA(VLOOKUP(A29,'Données projet'!$A$87:$I$107,5,0)),0%,VLOOKUP(A29,'Données projet'!$A$87:$I$107,5,0)*VLOOKUP('Données projet'!$B$11,Paramètres!$A$1:$I$88,7,0))</f>
        <v>0</v>
      </c>
      <c r="AV29" s="37">
        <f>IF(ISNA(VLOOKUP(A29,'Données projet'!$A$87:$I$107,6,0)),0%,VLOOKUP(A29,'Données projet'!$A$87:$I$107,6,0)*VLOOKUP('Données projet'!$B$11,Paramètres!$A$1:$I$88,7,0))</f>
        <v>0</v>
      </c>
      <c r="AW29" s="37">
        <f>IF(ISNA(VLOOKUP(A29,'Données projet'!$A$87:$I$107,7,0)),0%,VLOOKUP(A29,'Données projet'!$A$87:$I$107,7,0))</f>
        <v>0</v>
      </c>
      <c r="AX29" s="45">
        <f>EXP(-LN(2)/35)*AX28+(1-EXP(-LN(2)/35))/(LN(2)/35)*AT29*AU29*VLOOKUP('Données projet'!$B$9,Paramètres!$A$1:$I$88,3,0)*0.475*44/12</f>
        <v>0</v>
      </c>
      <c r="AY29" s="45">
        <f>EXP(-LN(2)/25)*AY28+(1-EXP(-LN(2)/25))/(LN(2)/25)*Calculateur!AT29*Calculateur!AV29*VLOOKUP('Données projet'!$B$9,Paramètres!$A$1:$I$88,3,0)*0.475*44/12</f>
        <v>0</v>
      </c>
      <c r="AZ29" s="45">
        <f>EXP(-LN(2)/2)*AZ28+(1-EXP(-LN(2)/2))/(LN(2)/2)*AT29*AW29*VLOOKUP('Données projet'!$B$9,Paramètres!$A$1:$I$88,3,0)*0.475*44/12</f>
        <v>0</v>
      </c>
      <c r="BA29" s="46">
        <f t="shared" si="5"/>
        <v>0</v>
      </c>
      <c r="BB29" s="32" t="e">
        <f>VLOOKUP(A29,'Données projet'!$A$113:$I$133,2,0)</f>
        <v>#N/A</v>
      </c>
      <c r="BC29" s="33" t="e">
        <f>VLOOKUP(A29,'Données projet'!$A$113:$I$133,9,0)</f>
        <v>#N/A</v>
      </c>
      <c r="BD29" s="33">
        <f t="array" ref="BD29">INDEX(BC:BC,MIN(IF(ISNUMBER(BC29:BC225),ROW(BC29:BC225),"")))</f>
        <v>0</v>
      </c>
      <c r="BE29" s="33">
        <f t="shared" si="28"/>
        <v>0</v>
      </c>
      <c r="BF29" s="34" t="e">
        <f>BE29*VLOOKUP('Données projet'!$B$12,Paramètres!$A$1:$I$88,3,0)*VLOOKUP('Données projet'!$B$12,Paramètres!$A$1:$I$88,5,0)</f>
        <v>#N/A</v>
      </c>
      <c r="BG29" s="34" t="e">
        <f t="shared" si="29"/>
        <v>#N/A</v>
      </c>
      <c r="BH29" s="44" t="e">
        <f t="shared" si="6"/>
        <v>#N/A</v>
      </c>
      <c r="BI29" s="36">
        <f>IF(ISNA(VLOOKUP(A29,'Données projet'!$A$113:$I$133,3,0)),0,VLOOKUP(A29,'Données projet'!$A$113:$I$133,3,0))</f>
        <v>0</v>
      </c>
      <c r="BJ29" s="36">
        <f>IF(ISNA(VLOOKUP(A29,'Données projet'!$A$113:$I$133,4,0)),0,VLOOKUP(A29,'Données projet'!$A$113:$I$133,4,0))</f>
        <v>0</v>
      </c>
      <c r="BK29" s="37">
        <f>IF(ISNA(VLOOKUP(A29,'Données projet'!$A$113:$I$133,5,0)),0%,VLOOKUP(A29,'Données projet'!$A$113:$I$133,5,0)*VLOOKUP('Données projet'!$B$12,Paramètres!$A$1:$I$88,7,0))</f>
        <v>0</v>
      </c>
      <c r="BL29" s="37">
        <f>IF(ISNA(VLOOKUP(A29,'Données projet'!$A$113:$I$133,6,0)),0%,VLOOKUP(A29,'Données projet'!$A$113:$I$133,6,0)*VLOOKUP('Données projet'!$B$12,Paramètres!$A$1:$I$88,7,0))</f>
        <v>0</v>
      </c>
      <c r="BM29" s="37">
        <f>IF(ISNA(VLOOKUP(A29,'Données projet'!$A$113:$I$133,7,0)),0%,VLOOKUP(A29,'Données projet'!$A$113:$I$133,7,0))</f>
        <v>0</v>
      </c>
      <c r="BN29" s="45">
        <f>EXP(-LN(2)/35)*BN28+(1-EXP(-LN(2)/35))/(LN(2)/35)*BJ29*BK29*VLOOKUP('Données projet'!$B$9,Paramètres!$A$1:$I$88,3,0)*0.475*44/12</f>
        <v>0</v>
      </c>
      <c r="BO29" s="45">
        <f>EXP(-LN(2)/25)*BO28+(1-EXP(-LN(2)/25))/(LN(2)/25)*Calculateur!BJ29*Calculateur!BL29*VLOOKUP('Données projet'!$B$9,Paramètres!$A$1:$I$88,3,0)*0.475*44/12</f>
        <v>0</v>
      </c>
      <c r="BP29" s="45">
        <f>EXP(-LN(2)/2)*BP28+(1-EXP(-LN(2)/2))/(LN(2)/2)*BJ29*BM29*VLOOKUP('Données projet'!$B$9,Paramètres!$A$1:$I$88,3,0)*0.475*44/12</f>
        <v>0</v>
      </c>
      <c r="BQ29" s="46">
        <f t="shared" si="7"/>
        <v>0</v>
      </c>
      <c r="BR29" s="32" t="e">
        <f>VLOOKUP(A29,'Données projet'!$A$139:$I$159,2,0)</f>
        <v>#N/A</v>
      </c>
      <c r="BS29" s="33" t="e">
        <f>VLOOKUP(A29,'Données projet'!$A$139:$I$159,9,0)</f>
        <v>#N/A</v>
      </c>
      <c r="BT29" s="33">
        <f t="array" ref="BT29">INDEX(BS:BS,MIN(IF(ISNUMBER(BS29:BS225),ROW(BS29:BS225),"")))</f>
        <v>0</v>
      </c>
      <c r="BU29" s="33">
        <f t="shared" si="41"/>
        <v>0</v>
      </c>
      <c r="BV29" s="38" t="e">
        <f>BU29*VLOOKUP('Données projet'!$B$13,Paramètres!$A$1:$I$88,3,0)*VLOOKUP('Données projet'!$B$13,Paramètres!$A$1:$I$88,5,0)</f>
        <v>#N/A</v>
      </c>
      <c r="BW29" s="34" t="e">
        <f t="shared" si="30"/>
        <v>#N/A</v>
      </c>
      <c r="BX29" s="44" t="e">
        <f t="shared" si="8"/>
        <v>#N/A</v>
      </c>
      <c r="BY29" s="36">
        <f>IF(ISNA(VLOOKUP(A29,'Données projet'!$A$139:$I$159,3,0)),0,VLOOKUP(A29,'Données projet'!$A$139:$I$159,3,0))</f>
        <v>0</v>
      </c>
      <c r="BZ29" s="36">
        <f>IF(ISNA(VLOOKUP(A29,'Données projet'!$A$139:$I$159,4,0)),0,VLOOKUP(A29,'Données projet'!$A$139:$I$159,4,0))</f>
        <v>0</v>
      </c>
      <c r="CA29" s="37">
        <f>IF(ISNA(VLOOKUP(A29,'Données projet'!$A$139:$I$159,5,0)),0%,VLOOKUP(A29,'Données projet'!$A$139:$I$159,5,0)*VLOOKUP('Données projet'!$B$13,Paramètres!$A$1:$I$88,7,0))</f>
        <v>0</v>
      </c>
      <c r="CB29" s="37">
        <f>IF(ISNA(VLOOKUP(A29,'Données projet'!$A$139:$I$159,6,0)),0%,VLOOKUP(A29,'Données projet'!$A$139:$I$159,6,0)*VLOOKUP('Données projet'!$B$13,Paramètres!$A$1:$I$88,7,0))</f>
        <v>0</v>
      </c>
      <c r="CC29" s="37">
        <f>IF(ISNA(VLOOKUP(A29,'Données projet'!$A$139:$I$159,7,0)),0%,VLOOKUP(A29,'Données projet'!$A$139:$I$159,7,0))</f>
        <v>0</v>
      </c>
      <c r="CD29" s="45">
        <f>EXP(-LN(2)/35)*CD28+(1-EXP(-LN(2)/35))/(LN(2)/35)*BZ29*CA29*VLOOKUP('Données projet'!$B$9,Paramètres!$A$1:$I$88,3,0)*0.475*44/12</f>
        <v>0</v>
      </c>
      <c r="CE29" s="45">
        <f>EXP(-LN(2)/25)*CE28+(1-EXP(-LN(2)/25))/(LN(2)/25)*Calculateur!BZ29*Calculateur!CB29*VLOOKUP('Données projet'!$B$9,Paramètres!$A$1:$I$88,3,0)*0.475*44/12</f>
        <v>0</v>
      </c>
      <c r="CF29" s="45">
        <f>EXP(-LN(2)/2)*CF28+(1-EXP(-LN(2)/2))/(LN(2)/2)*BZ29*CC29*VLOOKUP('Données projet'!$B$9,Paramètres!$A$1:$I$88,3,0)*0.475*44/12</f>
        <v>0</v>
      </c>
      <c r="CG29" s="46">
        <f t="shared" si="9"/>
        <v>0</v>
      </c>
      <c r="CH29" s="32" t="e">
        <f>VLOOKUP(A29,'Données projet'!$A$165:$I$185,2,0)</f>
        <v>#N/A</v>
      </c>
      <c r="CI29" s="33" t="e">
        <f>VLOOKUP(A29,'Données projet'!$A$165:$I$185,9,0)</f>
        <v>#N/A</v>
      </c>
      <c r="CJ29" s="33">
        <f t="array" ref="CJ29">INDEX(CI:CI,MIN(IF(ISNUMBER(CI29:CI225),ROW(CI29:CI225),"")))</f>
        <v>0</v>
      </c>
      <c r="CK29" s="33">
        <f t="shared" si="31"/>
        <v>0</v>
      </c>
      <c r="CL29" s="38" t="e">
        <f>CK29*VLOOKUP('Données projet'!$B$14,Paramètres!$A$1:$I$88,3,0)*VLOOKUP('Données projet'!$B$14,Paramètres!$A$1:$I$88,5,0)</f>
        <v>#N/A</v>
      </c>
      <c r="CM29" s="34" t="e">
        <f t="shared" si="32"/>
        <v>#N/A</v>
      </c>
      <c r="CN29" s="44" t="e">
        <f t="shared" si="10"/>
        <v>#N/A</v>
      </c>
      <c r="CO29" s="36">
        <f>IF(ISNA(VLOOKUP(A29,'Données projet'!$A$165:$I$185,3,0)),0,VLOOKUP(A29,'Données projet'!$A$165:$I$185,3,0))</f>
        <v>0</v>
      </c>
      <c r="CP29" s="36">
        <f>IF(ISNA(VLOOKUP(A29,'Données projet'!$A$165:$I$185,4,0)),0,VLOOKUP(A29,'Données projet'!$A$165:$I$185,4,0))</f>
        <v>0</v>
      </c>
      <c r="CQ29" s="37">
        <f>IF(ISNA(VLOOKUP(A29,'Données projet'!$A$165:$I$185,5,0)),0%,VLOOKUP(A29,'Données projet'!$A$165:$I$185,5,0)*VLOOKUP('Données projet'!$B$14,Paramètres!$A$1:$I$88,7,0))</f>
        <v>0</v>
      </c>
      <c r="CR29" s="37">
        <f>IF(ISNA(VLOOKUP(A29,'Données projet'!$A$165:$I$185,6,0)),0%,VLOOKUP(A29,'Données projet'!$A$165:$I$185,6,0)*VLOOKUP('Données projet'!$B$14,Paramètres!$A$1:$I$88,7,0))</f>
        <v>0</v>
      </c>
      <c r="CS29" s="37">
        <f>IF(ISNA(VLOOKUP(A29,'Données projet'!$A$165:$I$185,7,0)),0%,VLOOKUP(A29,'Données projet'!$A$165:$I$185,7,0))</f>
        <v>0</v>
      </c>
      <c r="CT29" s="45">
        <f>EXP(-LN(2)/35)*CT28+(1-EXP(-LN(2)/35))/(LN(2)/35)*CP29*CQ29*VLOOKUP('Données projet'!$B$9,Paramètres!$A$1:$I$88,3,0)*0.475*44/12</f>
        <v>0</v>
      </c>
      <c r="CU29" s="45">
        <f>EXP(-LN(2)/25)*CU28+(1-EXP(-LN(2)/25))/(LN(2)/25)*Calculateur!CP29*Calculateur!CR29*VLOOKUP('Données projet'!$B$9,Paramètres!$A$1:$I$88,3,0)*0.475*44/12</f>
        <v>0</v>
      </c>
      <c r="CV29" s="45">
        <f>EXP(-LN(2)/2)*CV28+(1-EXP(-LN(2)/2))/(LN(2)/2)*CP29*CS29*VLOOKUP('Données projet'!$B$9,Paramètres!$A$1:$I$88,3,0)*0.475*44/12</f>
        <v>0</v>
      </c>
      <c r="CW29" s="46">
        <f t="shared" si="11"/>
        <v>0</v>
      </c>
      <c r="CX29" s="32" t="e">
        <f>VLOOKUP(A29,'Données projet'!$A$191:$I$211,2,0)</f>
        <v>#N/A</v>
      </c>
      <c r="CY29" s="33" t="e">
        <f>VLOOKUP(A29,'Données projet'!$A$191:$I$211,9,0)</f>
        <v>#N/A</v>
      </c>
      <c r="CZ29" s="33">
        <f t="array" ref="CZ29">INDEX(CY:CY,MIN(IF(ISNUMBER(CY29:CY225),ROW(CY29:CY225),"")))</f>
        <v>0</v>
      </c>
      <c r="DA29" s="33">
        <f t="shared" si="33"/>
        <v>0</v>
      </c>
      <c r="DB29" s="38" t="e">
        <f>DA29*VLOOKUP('Données projet'!$B$15,Paramètres!$A$1:$I$88,3,0)*VLOOKUP('Données projet'!$B$15,Paramètres!$A$1:$I$88,5,0)</f>
        <v>#N/A</v>
      </c>
      <c r="DC29" s="34" t="e">
        <f t="shared" si="34"/>
        <v>#N/A</v>
      </c>
      <c r="DD29" s="44" t="e">
        <f t="shared" si="12"/>
        <v>#N/A</v>
      </c>
      <c r="DE29" s="36">
        <f>IF(ISNA(VLOOKUP(A29,'Données projet'!$A$191:$I$211,3,0)),0,VLOOKUP(A29,'Données projet'!$A$191:$I$211,3,0))</f>
        <v>0</v>
      </c>
      <c r="DF29" s="36">
        <f>IF(ISNA(VLOOKUP(A29,'Données projet'!$A$191:$I$211,4,0)),0,VLOOKUP(A29,'Données projet'!$A$191:$I$211,4,0))</f>
        <v>0</v>
      </c>
      <c r="DG29" s="37">
        <f>IF(ISNA(VLOOKUP(A29,'Données projet'!$A$191:$I$211,5,0)),0%,VLOOKUP(A29,'Données projet'!$A$191:$I$211,5,0)*VLOOKUP('Données projet'!$B$15,Paramètres!$A$1:$I$88,7,0))</f>
        <v>0</v>
      </c>
      <c r="DH29" s="37">
        <f>IF(ISNA(VLOOKUP(A29,'Données projet'!$A$191:$I$211,6,0)),0%,VLOOKUP(A29,'Données projet'!$A$191:$I$211,6,0)*VLOOKUP('Données projet'!$B$15,Paramètres!$A$1:$I$88,7,0))</f>
        <v>0</v>
      </c>
      <c r="DI29" s="37">
        <f>IF(ISNA(VLOOKUP(A29,'Données projet'!$A$191:$I$211,7,0)),0%,VLOOKUP(A29,'Données projet'!$A$191:$I$211,7,0))</f>
        <v>0</v>
      </c>
      <c r="DJ29" s="45">
        <f>EXP(-LN(2)/35)*DJ28+(1-EXP(-LN(2)/35))/(LN(2)/35)*DF29*DG29*VLOOKUP('Données projet'!$B$9,Paramètres!$A$1:$I$88,3,0)*0.475*44/12</f>
        <v>0</v>
      </c>
      <c r="DK29" s="45">
        <f>EXP(-LN(2)/25)*DK28+(1-EXP(-LN(2)/25))/(LN(2)/25)*Calculateur!DF29*Calculateur!DH29*VLOOKUP('Données projet'!$B$9,Paramètres!$A$1:$I$88,3,0)*0.475*44/12</f>
        <v>0</v>
      </c>
      <c r="DL29" s="45">
        <f>EXP(-LN(2)/2)*DL28+(1-EXP(-LN(2)/2))/(LN(2)/2)*DF29*DI29*VLOOKUP('Données projet'!$B$9,Paramètres!$A$1:$I$88,3,0)*0.475*44/12</f>
        <v>0</v>
      </c>
      <c r="DM29" s="46">
        <f t="shared" si="13"/>
        <v>0</v>
      </c>
      <c r="DN29" s="32" t="e">
        <f>VLOOKUP(A29,'Données projet'!$A$217:$I$237,2,0)</f>
        <v>#N/A</v>
      </c>
      <c r="DO29" s="33" t="e">
        <f>VLOOKUP(A29,'Données projet'!$A$217:$I$237,9,0)</f>
        <v>#N/A</v>
      </c>
      <c r="DP29" s="33">
        <f t="array" ref="DP29">INDEX(DO:DO,MIN(IF(ISNUMBER(DO29:DO225),ROW(DO29:DO225),"")))</f>
        <v>0</v>
      </c>
      <c r="DQ29" s="33">
        <f t="shared" si="35"/>
        <v>0</v>
      </c>
      <c r="DR29" s="38" t="e">
        <f>DQ29*VLOOKUP('Données projet'!$B$16,Paramètres!$A$1:$I$88,3,0)*VLOOKUP('Données projet'!$B$16,Paramètres!$A$1:$I$88,5,0)</f>
        <v>#N/A</v>
      </c>
      <c r="DS29" s="34" t="e">
        <f t="shared" si="36"/>
        <v>#N/A</v>
      </c>
      <c r="DT29" s="44" t="e">
        <f t="shared" si="14"/>
        <v>#N/A</v>
      </c>
      <c r="DU29" s="36">
        <f>IF(ISNA(VLOOKUP(A29,'Données projet'!$A$217:$I$237,3,0)),0,VLOOKUP(A29,'Données projet'!$A$217:$I$237,3,0))</f>
        <v>0</v>
      </c>
      <c r="DV29" s="36">
        <f>IF(ISNA(VLOOKUP(A29,'Données projet'!$A$217:$I$237,4,0)),0,VLOOKUP(A29,'Données projet'!$A$217:$I$237,4,0))</f>
        <v>0</v>
      </c>
      <c r="DW29" s="37">
        <f>IF(ISNA(VLOOKUP(A29,'Données projet'!$A$217:$I$237,5,0)),0%,VLOOKUP(A29,'Données projet'!$A$217:$I$237,5,0)*VLOOKUP('Données projet'!$B$16,Paramètres!$A$1:$I$88,7,0))</f>
        <v>0</v>
      </c>
      <c r="DX29" s="37">
        <f>IF(ISNA(VLOOKUP(A29,'Données projet'!$A$217:$I$237,6,0)),0%,VLOOKUP(A29,'Données projet'!$A$217:$I$237,6,0)*VLOOKUP('Données projet'!$B$16,Paramètres!$A$1:$I$88,7,0))</f>
        <v>0</v>
      </c>
      <c r="DY29" s="37">
        <f>IF(ISNA(VLOOKUP(A29,'Données projet'!$A$217:$I$237,7,0)),0%,VLOOKUP(A29,'Données projet'!$A$217:$I$237,7,0))</f>
        <v>0</v>
      </c>
      <c r="DZ29" s="45">
        <f>EXP(-LN(2)/35)*DZ28+(1-EXP(-LN(2)/35))/(LN(2)/35)*DV29*DW29*VLOOKUP('Données projet'!$B$9,Paramètres!$A$1:$I$88,3,0)*0.475*44/12</f>
        <v>0</v>
      </c>
      <c r="EA29" s="45">
        <f>EXP(-LN(2)/25)*EA28+(1-EXP(-LN(2)/25))/(LN(2)/25)*Calculateur!DV29*Calculateur!DX29*VLOOKUP('Données projet'!$B$9,Paramètres!$A$1:$I$88,3,0)*0.475*44/12</f>
        <v>0</v>
      </c>
      <c r="EB29" s="45">
        <f>EXP(-LN(2)/2)*EB28+(1-EXP(-LN(2)/2))/(LN(2)/2)*DV29*DY29*VLOOKUP('Données projet'!$B$9,Paramètres!$A$1:$I$88,3,0)*0.475*44/12</f>
        <v>0</v>
      </c>
      <c r="EC29" s="46">
        <f t="shared" si="15"/>
        <v>0</v>
      </c>
      <c r="ED29" s="32" t="e">
        <f>VLOOKUP(A29,'Données projet'!$A$243:$I$263,2,0)</f>
        <v>#N/A</v>
      </c>
      <c r="EE29" s="33" t="e">
        <f>VLOOKUP(A29,'Données projet'!$A$243:$I$263,9,0)</f>
        <v>#N/A</v>
      </c>
      <c r="EF29" s="33">
        <f t="array" ref="EF29">INDEX(EE:EE,MIN(IF(ISNUMBER(EE29:EE225),ROW(EE29:EE225),"")))</f>
        <v>0</v>
      </c>
      <c r="EG29" s="33">
        <f t="shared" si="37"/>
        <v>0</v>
      </c>
      <c r="EH29" s="38" t="e">
        <f>EG29*VLOOKUP('Données projet'!$B$17,Paramètres!$A$1:$I$88,3,0)*VLOOKUP('Données projet'!$B$17,Paramètres!$A$1:$I$88,5,0)</f>
        <v>#N/A</v>
      </c>
      <c r="EI29" s="34" t="e">
        <f t="shared" si="38"/>
        <v>#N/A</v>
      </c>
      <c r="EJ29" s="44" t="e">
        <f t="shared" si="16"/>
        <v>#N/A</v>
      </c>
      <c r="EK29" s="36">
        <f>IF(ISNA(VLOOKUP(A29,'Données projet'!$A$243:$I$263,3,0)),0,VLOOKUP(A29,'Données projet'!$A$243:$I$263,3,0))</f>
        <v>0</v>
      </c>
      <c r="EL29" s="36">
        <f>IF(ISNA(VLOOKUP(A29,'Données projet'!$A$243:$I$263,4,0)),0,VLOOKUP(A29,'Données projet'!$A$243:$I$263,4,0))</f>
        <v>0</v>
      </c>
      <c r="EM29" s="37">
        <f>IF(ISNA(VLOOKUP(A29,'Données projet'!$A$243:$I$263,5,0)),0%,VLOOKUP(A29,'Données projet'!$A$243:$I$263,5,0)*VLOOKUP('Données projet'!$B$17,Paramètres!$A$1:$I$88,7,0))</f>
        <v>0</v>
      </c>
      <c r="EN29" s="37">
        <f>IF(ISNA(VLOOKUP(A29,'Données projet'!$A$243:$I$263,6,0)),0%,VLOOKUP(A29,'Données projet'!$A$243:$I$263,6,0)*VLOOKUP('Données projet'!$B$17,Paramètres!$A$1:$I$88,7,0))</f>
        <v>0</v>
      </c>
      <c r="EO29" s="37">
        <f>IF(ISNA(VLOOKUP(A29,'Données projet'!$A$243:$I$263,7,0)),0%,VLOOKUP(A29,'Données projet'!$A$243:$I$263,7,0))</f>
        <v>0</v>
      </c>
      <c r="EP29" s="45">
        <f>EXP(-LN(2)/35)*EP28+(1-EXP(-LN(2)/35))/(LN(2)/35)*EL29*EM29*VLOOKUP('Données projet'!$B$9,Paramètres!$A$1:$I$88,3,0)*0.475*44/12</f>
        <v>0</v>
      </c>
      <c r="EQ29" s="45">
        <f>EXP(-LN(2)/25)*EQ28+(1-EXP(-LN(2)/25))/(LN(2)/25)*Calculateur!EL29*Calculateur!EN29*VLOOKUP('Données projet'!$B$9,Paramètres!$A$1:$I$88,3,0)*0.475*44/12</f>
        <v>0</v>
      </c>
      <c r="ER29" s="45">
        <f>EXP(-LN(2)/2)*ER28+(1-EXP(-LN(2)/2))/(LN(2)/2)*EL29*EO29*VLOOKUP('Données projet'!$B$9,Paramètres!$A$1:$I$88,3,0)*0.475*44/12</f>
        <v>0</v>
      </c>
      <c r="ES29" s="46">
        <f t="shared" si="17"/>
        <v>0</v>
      </c>
      <c r="ET29" s="32" t="e">
        <f>VLOOKUP(A29,'Données projet'!$A$269:$I$289,2,0)</f>
        <v>#N/A</v>
      </c>
      <c r="EU29" s="33" t="e">
        <f>VLOOKUP(A29,'Données projet'!$A$269:$I$289,9,0)</f>
        <v>#N/A</v>
      </c>
      <c r="EV29" s="33">
        <f t="array" ref="EV29">INDEX(EU:EU,MIN(IF(ISNUMBER(EU29:EU225),ROW(EU29:EU225),"")))</f>
        <v>0</v>
      </c>
      <c r="EW29" s="33">
        <f t="shared" si="39"/>
        <v>0</v>
      </c>
      <c r="EX29" s="38" t="e">
        <f>EW29*VLOOKUP('Données projet'!$B$18,Paramètres!$A$1:$I$88,3,0)*VLOOKUP('Données projet'!$B$18,Paramètres!$A$1:$I$88,5,0)</f>
        <v>#N/A</v>
      </c>
      <c r="EY29" s="34" t="e">
        <f t="shared" si="40"/>
        <v>#N/A</v>
      </c>
      <c r="EZ29" s="44" t="e">
        <f t="shared" si="18"/>
        <v>#N/A</v>
      </c>
      <c r="FA29" s="36">
        <f>IF(ISNA(VLOOKUP(A29,'Données projet'!$A$269:$I$289,3,0)),0,VLOOKUP(A29,'Données projet'!$A$269:$I$289,3,0))</f>
        <v>0</v>
      </c>
      <c r="FB29" s="36">
        <f>IF(ISNA(VLOOKUP(A29,'Données projet'!$A$269:$I$289,4,0)),0,VLOOKUP(A29,'Données projet'!$A$269:$I$289,4,0))</f>
        <v>0</v>
      </c>
      <c r="FC29" s="37">
        <f>IF(ISNA(VLOOKUP(A29,'Données projet'!$A$269:$I$289,5,0)),0%,VLOOKUP(A29,'Données projet'!$A$269:$I$289,5,0)*VLOOKUP('Données projet'!$B$18,Paramètres!$A$1:$I$88,7,0))</f>
        <v>0</v>
      </c>
      <c r="FD29" s="37">
        <f>IF(ISNA(VLOOKUP(A29,'Données projet'!$A$269:$I$289,6,0)),0%,VLOOKUP(A29,'Données projet'!$A$269:$I$289,6,0)*VLOOKUP('Données projet'!$B$18,Paramètres!$A$1:$I$88,7,0))</f>
        <v>0</v>
      </c>
      <c r="FE29" s="37">
        <f>IF(ISNA(VLOOKUP(A29,'Données projet'!$A$269:$I$289,7,0)),0%,VLOOKUP(A29,'Données projet'!$A$269:$I$289,7,0))</f>
        <v>0</v>
      </c>
      <c r="FF29" s="45">
        <f>EXP(-LN(2)/35)*FF28+(1-EXP(-LN(2)/35))/(LN(2)/35)*FB29*FC29*VLOOKUP('Données projet'!$B$9,Paramètres!$A$1:$I$88,3,0)*0.475*44/12</f>
        <v>0</v>
      </c>
      <c r="FG29" s="45">
        <f>EXP(-LN(2)/25)*FG28+(1-EXP(-LN(2)/25))/(LN(2)/25)*Calculateur!FB29*Calculateur!FD29*VLOOKUP('Données projet'!$B$9,Paramètres!$A$1:$I$88,3,0)*0.475*44/12</f>
        <v>0</v>
      </c>
      <c r="FH29" s="45">
        <f>EXP(-LN(2)/2)*FH28+(1-EXP(-LN(2)/2))/(LN(2)/2)*FB29*FE29*VLOOKUP('Données projet'!$B$9,Paramètres!$A$1:$I$88,3,0)*0.475*44/12</f>
        <v>0</v>
      </c>
      <c r="FI29" s="46">
        <f t="shared" si="19"/>
        <v>0</v>
      </c>
    </row>
    <row r="30" spans="1:165" x14ac:dyDescent="0.25">
      <c r="A30" s="24">
        <f t="shared" si="20"/>
        <v>27</v>
      </c>
      <c r="B30" s="25">
        <f>IF('Scénario référence'!$N$1=1,5,0)</f>
        <v>0</v>
      </c>
      <c r="C30" s="40">
        <f>IF(OR('Scénario référence'!$N$1=2,'Scénario référence'!$N$1=4),C29+1*VLOOKUP('Scénario référence'!$G$14,Paramètres!$A$1:$I$88,3,0)*VLOOKUP('Scénario référence'!$G$14,Paramètres!$A$1:$I$88,5,0),IF(OR('Scénario référence'!$N$1=3,'Scénario référence'!$N$1=5),C29+0.5*VLOOKUP('Scénario référence'!$G$14,Paramètres!$A$1:$I$88,3,0)*VLOOKUP('Scénario référence'!$G$14,Paramètres!$A$1:$I$88,5,0),0))</f>
        <v>14.741999999999996</v>
      </c>
      <c r="D30" s="26">
        <f t="shared" si="21"/>
        <v>4.9669353357224146</v>
      </c>
      <c r="E30" s="27">
        <f>IF('Scénario référence'!$N$1=1,B30*44/12,(C30+D30)*0.475*44/12)</f>
        <v>34.326395709716529</v>
      </c>
      <c r="F30" s="28" t="e">
        <f>VLOOKUP(A30,'Données projet'!$A$35:$I$55,2,0)</f>
        <v>#N/A</v>
      </c>
      <c r="G30" s="28" t="e">
        <f>VLOOKUP(A30,'Données projet'!$A$35:$I$55,9,0)</f>
        <v>#N/A</v>
      </c>
      <c r="H30" s="33">
        <f t="array" ref="H30">INDEX(G:G,MIN(IF(ISNUMBER(G30:G226),ROW(G30:G226),"")))</f>
        <v>7</v>
      </c>
      <c r="I30" s="28">
        <f t="shared" si="22"/>
        <v>76.000000000000014</v>
      </c>
      <c r="J30" s="41">
        <f>I30*VLOOKUP('Données projet'!$B$9,Paramètres!$A$1:$I$88,3,0)*VLOOKUP('Données projet'!$B$9,Paramètres!$A$1:$I$88,5,0)</f>
        <v>77.064000000000021</v>
      </c>
      <c r="K30" s="41">
        <f t="shared" si="23"/>
        <v>21.417762186678083</v>
      </c>
      <c r="L30" s="42">
        <f t="shared" si="0"/>
        <v>171.52240247513103</v>
      </c>
      <c r="M30" s="30">
        <f>IF(ISNA(VLOOKUP(A30,'Données projet'!$A$35:$I$55,3,0)),0,VLOOKUP(A30,'Données projet'!$A$35:$I$55,3,0))</f>
        <v>0</v>
      </c>
      <c r="N30" s="30">
        <f>IF(ISNA(VLOOKUP(A30,'Données projet'!$A$35:$I$55,4,0)),0,VLOOKUP(A30,'Données projet'!$A$35:$I$55,4,0))</f>
        <v>0</v>
      </c>
      <c r="O30" s="31">
        <f>IF(ISNA(VLOOKUP(A30,'Données projet'!$A$35:$I$55,5,0)),0%,VLOOKUP(A30,'Données projet'!$A$35:$I$55,5,0)*VLOOKUP('Données projet'!$B$9,Paramètres!$A$1:$I$88,7,0))</f>
        <v>0</v>
      </c>
      <c r="P30" s="31">
        <f>IF(ISNA(VLOOKUP(A30,'Données projet'!$A$35:$I$55,6,0)),0%,VLOOKUP(A30,'Données projet'!$A$35:$I$55,6,0)*VLOOKUP('Données projet'!$B$9,Paramètres!$A$1:$I$88,7,0))</f>
        <v>0</v>
      </c>
      <c r="Q30" s="31">
        <f>IF(ISNA(VLOOKUP(A30,'Données projet'!$A$35:$I$55,7,0)),0%,VLOOKUP(A30,'Données projet'!$A$35:$I$55,7,0))</f>
        <v>0</v>
      </c>
      <c r="R30" s="43">
        <f>EXP(-LN(2)/35)*R29+(1-EXP(-LN(2)/35))/(LN(2)/35)*N30*O30*VLOOKUP('Données projet'!$B$9,Paramètres!$A$1:$I$88,3,0)*0.475*44/12</f>
        <v>0</v>
      </c>
      <c r="S30" s="43">
        <f>EXP(-LN(2)/25)*S29+(1-EXP(-LN(2)/25))/(LN(2)/25)*Calculateur!N30*Calculateur!P30*VLOOKUP('Données projet'!$B$9,Paramètres!$A$1:$I$88,3,0)*0.475*44/12</f>
        <v>0</v>
      </c>
      <c r="T30" s="43">
        <f>EXP(-LN(2)/2)*T29+(1-EXP(-LN(2)/2))/(LN(2)/2)*N30*Q30*VLOOKUP('Données projet'!$B$9,Paramètres!$A$1:$I$88,3,0)*0.475*44/12</f>
        <v>0</v>
      </c>
      <c r="U30" s="43">
        <f t="shared" si="1"/>
        <v>0</v>
      </c>
      <c r="V30" s="32" t="e">
        <f>VLOOKUP(A30,'Données projet'!$A$61:$I$81,2,0)</f>
        <v>#N/A</v>
      </c>
      <c r="W30" s="33" t="e">
        <f>VLOOKUP(A30,'Données projet'!$A$61:$I$81,9,0)</f>
        <v>#N/A</v>
      </c>
      <c r="X30" s="33">
        <f t="array" ref="X30">INDEX(W:W,MIN(IF(ISNUMBER(W30:W226),ROW(W30:W226),"")))</f>
        <v>0</v>
      </c>
      <c r="Y30" s="33">
        <f t="shared" si="24"/>
        <v>0</v>
      </c>
      <c r="Z30" s="34" t="e">
        <f>Y30*VLOOKUP('Données projet'!$B$10,Paramètres!$A$1:$I$88,3,0)*VLOOKUP('Données projet'!$B$10,Paramètres!$A$1:$I$88,5,0)</f>
        <v>#N/A</v>
      </c>
      <c r="AA30" s="34" t="e">
        <f t="shared" si="25"/>
        <v>#N/A</v>
      </c>
      <c r="AB30" s="44" t="e">
        <f t="shared" si="2"/>
        <v>#N/A</v>
      </c>
      <c r="AC30" s="36">
        <f>IF(ISNA(VLOOKUP(A30,'Données projet'!$A$61:$I$81,3,0)),0,VLOOKUP(A30,'Données projet'!$A$61:$I$81,3,0))</f>
        <v>0</v>
      </c>
      <c r="AD30" s="36">
        <f>IF(ISNA(VLOOKUP(A30,'Données projet'!$A$61:$I$81,4,0)),0,VLOOKUP(A30,'Données projet'!$A$61:$I$81,4,0))</f>
        <v>0</v>
      </c>
      <c r="AE30" s="37">
        <f>IF(ISNA(VLOOKUP(A30,'Données projet'!$A$61:$I$81,5,0)),0%,VLOOKUP(A30,'Données projet'!$A$61:$I$81,5,0)*VLOOKUP('Données projet'!$B$10,Paramètres!$A$1:$I$88,7,0))</f>
        <v>0</v>
      </c>
      <c r="AF30" s="37">
        <f>IF(ISNA(VLOOKUP(A30,'Données projet'!$A$61:$I$81,6,0)),0%,VLOOKUP(A30,'Données projet'!$A$61:$I$81,6,0)*VLOOKUP('Données projet'!$B$10,Paramètres!$A$1:$I$88,7,0))</f>
        <v>0</v>
      </c>
      <c r="AG30" s="37">
        <f>IF(ISNA(VLOOKUP(A30,'Données projet'!$A$61:$I$81,7,0)),0%,VLOOKUP(A30,'Données projet'!$A$61:$I$81,7,0))</f>
        <v>0</v>
      </c>
      <c r="AH30" s="45">
        <f>EXP(-LN(2)/35)*AH29+(1-EXP(-LN(2)/35))/(LN(2)/35)*AD30*AE30*VLOOKUP('Données projet'!$B$9,Paramètres!$A$1:$I$88,3,0)*0.475*44/12</f>
        <v>0</v>
      </c>
      <c r="AI30" s="45">
        <f>EXP(-LN(2)/25)*AI29+(1-EXP(-LN(2)/25))/(LN(2)/25)*Calculateur!AD30*Calculateur!AF30*VLOOKUP('Données projet'!$B$9,Paramètres!$A$1:$I$88,3,0)*0.475*44/12</f>
        <v>0</v>
      </c>
      <c r="AJ30" s="45">
        <f>EXP(-LN(2)/2)*AJ29+(1-EXP(-LN(2)/2))/(LN(2)/2)*AD30*AG30*VLOOKUP('Données projet'!$B$9,Paramètres!$A$1:$I$88,3,0)*0.475*44/12</f>
        <v>0</v>
      </c>
      <c r="AK30" s="45">
        <f t="shared" si="3"/>
        <v>0</v>
      </c>
      <c r="AL30" s="32" t="e">
        <f>VLOOKUP(A30,'Données projet'!$A$87:$I$107,2,0)</f>
        <v>#N/A</v>
      </c>
      <c r="AM30" s="33" t="e">
        <f>VLOOKUP(A30,'Données projet'!$A$87:$I$107,9,0)</f>
        <v>#N/A</v>
      </c>
      <c r="AN30" s="33">
        <f t="array" ref="AN30">INDEX(AM:AM,MIN(IF(ISNUMBER(AM30:AM226),ROW(AM30:AM226),"")))</f>
        <v>0</v>
      </c>
      <c r="AO30" s="33">
        <f t="shared" si="26"/>
        <v>0</v>
      </c>
      <c r="AP30" s="34" t="e">
        <f>AO30*VLOOKUP('Données projet'!$B$11,Paramètres!$A$1:$I$88,3,0)*VLOOKUP('Données projet'!$B$11,Paramètres!$A$1:$I$88,5,0)</f>
        <v>#N/A</v>
      </c>
      <c r="AQ30" s="34" t="e">
        <f t="shared" si="27"/>
        <v>#N/A</v>
      </c>
      <c r="AR30" s="44" t="e">
        <f t="shared" si="4"/>
        <v>#N/A</v>
      </c>
      <c r="AS30" s="36">
        <f>IF(ISNA(VLOOKUP(A30,'Données projet'!$A$87:$I$107,3,0)),0,VLOOKUP(A30,'Données projet'!$A$87:$I$107,3,0))</f>
        <v>0</v>
      </c>
      <c r="AT30" s="36">
        <f>IF(ISNA(VLOOKUP(A30,'Données projet'!$A$87:$I$107,4,0)),0,VLOOKUP(A30,'Données projet'!$A$87:$I$107,4,0))</f>
        <v>0</v>
      </c>
      <c r="AU30" s="37">
        <f>IF(ISNA(VLOOKUP(A30,'Données projet'!$A$87:$I$107,5,0)),0%,VLOOKUP(A30,'Données projet'!$A$87:$I$107,5,0)*VLOOKUP('Données projet'!$B$11,Paramètres!$A$1:$I$88,7,0))</f>
        <v>0</v>
      </c>
      <c r="AV30" s="37">
        <f>IF(ISNA(VLOOKUP(A30,'Données projet'!$A$87:$I$107,6,0)),0%,VLOOKUP(A30,'Données projet'!$A$87:$I$107,6,0)*VLOOKUP('Données projet'!$B$11,Paramètres!$A$1:$I$88,7,0))</f>
        <v>0</v>
      </c>
      <c r="AW30" s="37">
        <f>IF(ISNA(VLOOKUP(A30,'Données projet'!$A$87:$I$107,7,0)),0%,VLOOKUP(A30,'Données projet'!$A$87:$I$107,7,0))</f>
        <v>0</v>
      </c>
      <c r="AX30" s="45">
        <f>EXP(-LN(2)/35)*AX29+(1-EXP(-LN(2)/35))/(LN(2)/35)*AT30*AU30*VLOOKUP('Données projet'!$B$9,Paramètres!$A$1:$I$88,3,0)*0.475*44/12</f>
        <v>0</v>
      </c>
      <c r="AY30" s="45">
        <f>EXP(-LN(2)/25)*AY29+(1-EXP(-LN(2)/25))/(LN(2)/25)*Calculateur!AT30*Calculateur!AV30*VLOOKUP('Données projet'!$B$9,Paramètres!$A$1:$I$88,3,0)*0.475*44/12</f>
        <v>0</v>
      </c>
      <c r="AZ30" s="45">
        <f>EXP(-LN(2)/2)*AZ29+(1-EXP(-LN(2)/2))/(LN(2)/2)*AT30*AW30*VLOOKUP('Données projet'!$B$9,Paramètres!$A$1:$I$88,3,0)*0.475*44/12</f>
        <v>0</v>
      </c>
      <c r="BA30" s="46">
        <f t="shared" si="5"/>
        <v>0</v>
      </c>
      <c r="BB30" s="32" t="e">
        <f>VLOOKUP(A30,'Données projet'!$A$113:$I$133,2,0)</f>
        <v>#N/A</v>
      </c>
      <c r="BC30" s="33" t="e">
        <f>VLOOKUP(A30,'Données projet'!$A$113:$I$133,9,0)</f>
        <v>#N/A</v>
      </c>
      <c r="BD30" s="33">
        <f t="array" ref="BD30">INDEX(BC:BC,MIN(IF(ISNUMBER(BC30:BC226),ROW(BC30:BC226),"")))</f>
        <v>0</v>
      </c>
      <c r="BE30" s="33">
        <f t="shared" si="28"/>
        <v>0</v>
      </c>
      <c r="BF30" s="34" t="e">
        <f>BE30*VLOOKUP('Données projet'!$B$12,Paramètres!$A$1:$I$88,3,0)*VLOOKUP('Données projet'!$B$12,Paramètres!$A$1:$I$88,5,0)</f>
        <v>#N/A</v>
      </c>
      <c r="BG30" s="34" t="e">
        <f t="shared" si="29"/>
        <v>#N/A</v>
      </c>
      <c r="BH30" s="44" t="e">
        <f t="shared" si="6"/>
        <v>#N/A</v>
      </c>
      <c r="BI30" s="36">
        <f>IF(ISNA(VLOOKUP(A30,'Données projet'!$A$113:$I$133,3,0)),0,VLOOKUP(A30,'Données projet'!$A$113:$I$133,3,0))</f>
        <v>0</v>
      </c>
      <c r="BJ30" s="36">
        <f>IF(ISNA(VLOOKUP(A30,'Données projet'!$A$113:$I$133,4,0)),0,VLOOKUP(A30,'Données projet'!$A$113:$I$133,4,0))</f>
        <v>0</v>
      </c>
      <c r="BK30" s="37">
        <f>IF(ISNA(VLOOKUP(A30,'Données projet'!$A$113:$I$133,5,0)),0%,VLOOKUP(A30,'Données projet'!$A$113:$I$133,5,0)*VLOOKUP('Données projet'!$B$12,Paramètres!$A$1:$I$88,7,0))</f>
        <v>0</v>
      </c>
      <c r="BL30" s="37">
        <f>IF(ISNA(VLOOKUP(A30,'Données projet'!$A$113:$I$133,6,0)),0%,VLOOKUP(A30,'Données projet'!$A$113:$I$133,6,0)*VLOOKUP('Données projet'!$B$12,Paramètres!$A$1:$I$88,7,0))</f>
        <v>0</v>
      </c>
      <c r="BM30" s="37">
        <f>IF(ISNA(VLOOKUP(A30,'Données projet'!$A$113:$I$133,7,0)),0%,VLOOKUP(A30,'Données projet'!$A$113:$I$133,7,0))</f>
        <v>0</v>
      </c>
      <c r="BN30" s="45">
        <f>EXP(-LN(2)/35)*BN29+(1-EXP(-LN(2)/35))/(LN(2)/35)*BJ30*BK30*VLOOKUP('Données projet'!$B$9,Paramètres!$A$1:$I$88,3,0)*0.475*44/12</f>
        <v>0</v>
      </c>
      <c r="BO30" s="45">
        <f>EXP(-LN(2)/25)*BO29+(1-EXP(-LN(2)/25))/(LN(2)/25)*Calculateur!BJ30*Calculateur!BL30*VLOOKUP('Données projet'!$B$9,Paramètres!$A$1:$I$88,3,0)*0.475*44/12</f>
        <v>0</v>
      </c>
      <c r="BP30" s="45">
        <f>EXP(-LN(2)/2)*BP29+(1-EXP(-LN(2)/2))/(LN(2)/2)*BJ30*BM30*VLOOKUP('Données projet'!$B$9,Paramètres!$A$1:$I$88,3,0)*0.475*44/12</f>
        <v>0</v>
      </c>
      <c r="BQ30" s="46">
        <f t="shared" si="7"/>
        <v>0</v>
      </c>
      <c r="BR30" s="32" t="e">
        <f>VLOOKUP(A30,'Données projet'!$A$139:$I$159,2,0)</f>
        <v>#N/A</v>
      </c>
      <c r="BS30" s="33" t="e">
        <f>VLOOKUP(A30,'Données projet'!$A$139:$I$159,9,0)</f>
        <v>#N/A</v>
      </c>
      <c r="BT30" s="33">
        <f t="array" ref="BT30">INDEX(BS:BS,MIN(IF(ISNUMBER(BS30:BS226),ROW(BS30:BS226),"")))</f>
        <v>0</v>
      </c>
      <c r="BU30" s="33">
        <f t="shared" si="41"/>
        <v>0</v>
      </c>
      <c r="BV30" s="38" t="e">
        <f>BU30*VLOOKUP('Données projet'!$B$13,Paramètres!$A$1:$I$88,3,0)*VLOOKUP('Données projet'!$B$13,Paramètres!$A$1:$I$88,5,0)</f>
        <v>#N/A</v>
      </c>
      <c r="BW30" s="34" t="e">
        <f t="shared" si="30"/>
        <v>#N/A</v>
      </c>
      <c r="BX30" s="44" t="e">
        <f t="shared" si="8"/>
        <v>#N/A</v>
      </c>
      <c r="BY30" s="36">
        <f>IF(ISNA(VLOOKUP(A30,'Données projet'!$A$139:$I$159,3,0)),0,VLOOKUP(A30,'Données projet'!$A$139:$I$159,3,0))</f>
        <v>0</v>
      </c>
      <c r="BZ30" s="36">
        <f>IF(ISNA(VLOOKUP(A30,'Données projet'!$A$139:$I$159,4,0)),0,VLOOKUP(A30,'Données projet'!$A$139:$I$159,4,0))</f>
        <v>0</v>
      </c>
      <c r="CA30" s="37">
        <f>IF(ISNA(VLOOKUP(A30,'Données projet'!$A$139:$I$159,5,0)),0%,VLOOKUP(A30,'Données projet'!$A$139:$I$159,5,0)*VLOOKUP('Données projet'!$B$13,Paramètres!$A$1:$I$88,7,0))</f>
        <v>0</v>
      </c>
      <c r="CB30" s="37">
        <f>IF(ISNA(VLOOKUP(A30,'Données projet'!$A$139:$I$159,6,0)),0%,VLOOKUP(A30,'Données projet'!$A$139:$I$159,6,0)*VLOOKUP('Données projet'!$B$13,Paramètres!$A$1:$I$88,7,0))</f>
        <v>0</v>
      </c>
      <c r="CC30" s="37">
        <f>IF(ISNA(VLOOKUP(A30,'Données projet'!$A$139:$I$159,7,0)),0%,VLOOKUP(A30,'Données projet'!$A$139:$I$159,7,0))</f>
        <v>0</v>
      </c>
      <c r="CD30" s="45">
        <f>EXP(-LN(2)/35)*CD29+(1-EXP(-LN(2)/35))/(LN(2)/35)*BZ30*CA30*VLOOKUP('Données projet'!$B$9,Paramètres!$A$1:$I$88,3,0)*0.475*44/12</f>
        <v>0</v>
      </c>
      <c r="CE30" s="45">
        <f>EXP(-LN(2)/25)*CE29+(1-EXP(-LN(2)/25))/(LN(2)/25)*Calculateur!BZ30*Calculateur!CB30*VLOOKUP('Données projet'!$B$9,Paramètres!$A$1:$I$88,3,0)*0.475*44/12</f>
        <v>0</v>
      </c>
      <c r="CF30" s="45">
        <f>EXP(-LN(2)/2)*CF29+(1-EXP(-LN(2)/2))/(LN(2)/2)*BZ30*CC30*VLOOKUP('Données projet'!$B$9,Paramètres!$A$1:$I$88,3,0)*0.475*44/12</f>
        <v>0</v>
      </c>
      <c r="CG30" s="46">
        <f t="shared" si="9"/>
        <v>0</v>
      </c>
      <c r="CH30" s="32" t="e">
        <f>VLOOKUP(A30,'Données projet'!$A$165:$I$185,2,0)</f>
        <v>#N/A</v>
      </c>
      <c r="CI30" s="33" t="e">
        <f>VLOOKUP(A30,'Données projet'!$A$165:$I$185,9,0)</f>
        <v>#N/A</v>
      </c>
      <c r="CJ30" s="33">
        <f t="array" ref="CJ30">INDEX(CI:CI,MIN(IF(ISNUMBER(CI30:CI226),ROW(CI30:CI226),"")))</f>
        <v>0</v>
      </c>
      <c r="CK30" s="33">
        <f t="shared" si="31"/>
        <v>0</v>
      </c>
      <c r="CL30" s="38" t="e">
        <f>CK30*VLOOKUP('Données projet'!$B$14,Paramètres!$A$1:$I$88,3,0)*VLOOKUP('Données projet'!$B$14,Paramètres!$A$1:$I$88,5,0)</f>
        <v>#N/A</v>
      </c>
      <c r="CM30" s="34" t="e">
        <f t="shared" si="32"/>
        <v>#N/A</v>
      </c>
      <c r="CN30" s="44" t="e">
        <f t="shared" si="10"/>
        <v>#N/A</v>
      </c>
      <c r="CO30" s="36">
        <f>IF(ISNA(VLOOKUP(A30,'Données projet'!$A$165:$I$185,3,0)),0,VLOOKUP(A30,'Données projet'!$A$165:$I$185,3,0))</f>
        <v>0</v>
      </c>
      <c r="CP30" s="36">
        <f>IF(ISNA(VLOOKUP(A30,'Données projet'!$A$165:$I$185,4,0)),0,VLOOKUP(A30,'Données projet'!$A$165:$I$185,4,0))</f>
        <v>0</v>
      </c>
      <c r="CQ30" s="37">
        <f>IF(ISNA(VLOOKUP(A30,'Données projet'!$A$165:$I$185,5,0)),0%,VLOOKUP(A30,'Données projet'!$A$165:$I$185,5,0)*VLOOKUP('Données projet'!$B$14,Paramètres!$A$1:$I$88,7,0))</f>
        <v>0</v>
      </c>
      <c r="CR30" s="37">
        <f>IF(ISNA(VLOOKUP(A30,'Données projet'!$A$165:$I$185,6,0)),0%,VLOOKUP(A30,'Données projet'!$A$165:$I$185,6,0)*VLOOKUP('Données projet'!$B$14,Paramètres!$A$1:$I$88,7,0))</f>
        <v>0</v>
      </c>
      <c r="CS30" s="37">
        <f>IF(ISNA(VLOOKUP(A30,'Données projet'!$A$165:$I$185,7,0)),0%,VLOOKUP(A30,'Données projet'!$A$165:$I$185,7,0))</f>
        <v>0</v>
      </c>
      <c r="CT30" s="45">
        <f>EXP(-LN(2)/35)*CT29+(1-EXP(-LN(2)/35))/(LN(2)/35)*CP30*CQ30*VLOOKUP('Données projet'!$B$9,Paramètres!$A$1:$I$88,3,0)*0.475*44/12</f>
        <v>0</v>
      </c>
      <c r="CU30" s="45">
        <f>EXP(-LN(2)/25)*CU29+(1-EXP(-LN(2)/25))/(LN(2)/25)*Calculateur!CP30*Calculateur!CR30*VLOOKUP('Données projet'!$B$9,Paramètres!$A$1:$I$88,3,0)*0.475*44/12</f>
        <v>0</v>
      </c>
      <c r="CV30" s="45">
        <f>EXP(-LN(2)/2)*CV29+(1-EXP(-LN(2)/2))/(LN(2)/2)*CP30*CS30*VLOOKUP('Données projet'!$B$9,Paramètres!$A$1:$I$88,3,0)*0.475*44/12</f>
        <v>0</v>
      </c>
      <c r="CW30" s="46">
        <f t="shared" si="11"/>
        <v>0</v>
      </c>
      <c r="CX30" s="32" t="e">
        <f>VLOOKUP(A30,'Données projet'!$A$191:$I$211,2,0)</f>
        <v>#N/A</v>
      </c>
      <c r="CY30" s="33" t="e">
        <f>VLOOKUP(A30,'Données projet'!$A$191:$I$211,9,0)</f>
        <v>#N/A</v>
      </c>
      <c r="CZ30" s="33">
        <f t="array" ref="CZ30">INDEX(CY:CY,MIN(IF(ISNUMBER(CY30:CY226),ROW(CY30:CY226),"")))</f>
        <v>0</v>
      </c>
      <c r="DA30" s="33">
        <f t="shared" si="33"/>
        <v>0</v>
      </c>
      <c r="DB30" s="38" t="e">
        <f>DA30*VLOOKUP('Données projet'!$B$15,Paramètres!$A$1:$I$88,3,0)*VLOOKUP('Données projet'!$B$15,Paramètres!$A$1:$I$88,5,0)</f>
        <v>#N/A</v>
      </c>
      <c r="DC30" s="34" t="e">
        <f t="shared" si="34"/>
        <v>#N/A</v>
      </c>
      <c r="DD30" s="44" t="e">
        <f t="shared" si="12"/>
        <v>#N/A</v>
      </c>
      <c r="DE30" s="36">
        <f>IF(ISNA(VLOOKUP(A30,'Données projet'!$A$191:$I$211,3,0)),0,VLOOKUP(A30,'Données projet'!$A$191:$I$211,3,0))</f>
        <v>0</v>
      </c>
      <c r="DF30" s="36">
        <f>IF(ISNA(VLOOKUP(A30,'Données projet'!$A$191:$I$211,4,0)),0,VLOOKUP(A30,'Données projet'!$A$191:$I$211,4,0))</f>
        <v>0</v>
      </c>
      <c r="DG30" s="37">
        <f>IF(ISNA(VLOOKUP(A30,'Données projet'!$A$191:$I$211,5,0)),0%,VLOOKUP(A30,'Données projet'!$A$191:$I$211,5,0)*VLOOKUP('Données projet'!$B$15,Paramètres!$A$1:$I$88,7,0))</f>
        <v>0</v>
      </c>
      <c r="DH30" s="37">
        <f>IF(ISNA(VLOOKUP(A30,'Données projet'!$A$191:$I$211,6,0)),0%,VLOOKUP(A30,'Données projet'!$A$191:$I$211,6,0)*VLOOKUP('Données projet'!$B$15,Paramètres!$A$1:$I$88,7,0))</f>
        <v>0</v>
      </c>
      <c r="DI30" s="37">
        <f>IF(ISNA(VLOOKUP(A30,'Données projet'!$A$191:$I$211,7,0)),0%,VLOOKUP(A30,'Données projet'!$A$191:$I$211,7,0))</f>
        <v>0</v>
      </c>
      <c r="DJ30" s="45">
        <f>EXP(-LN(2)/35)*DJ29+(1-EXP(-LN(2)/35))/(LN(2)/35)*DF30*DG30*VLOOKUP('Données projet'!$B$9,Paramètres!$A$1:$I$88,3,0)*0.475*44/12</f>
        <v>0</v>
      </c>
      <c r="DK30" s="45">
        <f>EXP(-LN(2)/25)*DK29+(1-EXP(-LN(2)/25))/(LN(2)/25)*Calculateur!DF30*Calculateur!DH30*VLOOKUP('Données projet'!$B$9,Paramètres!$A$1:$I$88,3,0)*0.475*44/12</f>
        <v>0</v>
      </c>
      <c r="DL30" s="45">
        <f>EXP(-LN(2)/2)*DL29+(1-EXP(-LN(2)/2))/(LN(2)/2)*DF30*DI30*VLOOKUP('Données projet'!$B$9,Paramètres!$A$1:$I$88,3,0)*0.475*44/12</f>
        <v>0</v>
      </c>
      <c r="DM30" s="46">
        <f t="shared" si="13"/>
        <v>0</v>
      </c>
      <c r="DN30" s="32" t="e">
        <f>VLOOKUP(A30,'Données projet'!$A$217:$I$237,2,0)</f>
        <v>#N/A</v>
      </c>
      <c r="DO30" s="33" t="e">
        <f>VLOOKUP(A30,'Données projet'!$A$217:$I$237,9,0)</f>
        <v>#N/A</v>
      </c>
      <c r="DP30" s="33">
        <f t="array" ref="DP30">INDEX(DO:DO,MIN(IF(ISNUMBER(DO30:DO226),ROW(DO30:DO226),"")))</f>
        <v>0</v>
      </c>
      <c r="DQ30" s="33">
        <f t="shared" si="35"/>
        <v>0</v>
      </c>
      <c r="DR30" s="38" t="e">
        <f>DQ30*VLOOKUP('Données projet'!$B$16,Paramètres!$A$1:$I$88,3,0)*VLOOKUP('Données projet'!$B$16,Paramètres!$A$1:$I$88,5,0)</f>
        <v>#N/A</v>
      </c>
      <c r="DS30" s="34" t="e">
        <f t="shared" si="36"/>
        <v>#N/A</v>
      </c>
      <c r="DT30" s="44" t="e">
        <f t="shared" si="14"/>
        <v>#N/A</v>
      </c>
      <c r="DU30" s="36">
        <f>IF(ISNA(VLOOKUP(A30,'Données projet'!$A$217:$I$237,3,0)),0,VLOOKUP(A30,'Données projet'!$A$217:$I$237,3,0))</f>
        <v>0</v>
      </c>
      <c r="DV30" s="36">
        <f>IF(ISNA(VLOOKUP(A30,'Données projet'!$A$217:$I$237,4,0)),0,VLOOKUP(A30,'Données projet'!$A$217:$I$237,4,0))</f>
        <v>0</v>
      </c>
      <c r="DW30" s="37">
        <f>IF(ISNA(VLOOKUP(A30,'Données projet'!$A$217:$I$237,5,0)),0%,VLOOKUP(A30,'Données projet'!$A$217:$I$237,5,0)*VLOOKUP('Données projet'!$B$16,Paramètres!$A$1:$I$88,7,0))</f>
        <v>0</v>
      </c>
      <c r="DX30" s="37">
        <f>IF(ISNA(VLOOKUP(A30,'Données projet'!$A$217:$I$237,6,0)),0%,VLOOKUP(A30,'Données projet'!$A$217:$I$237,6,0)*VLOOKUP('Données projet'!$B$16,Paramètres!$A$1:$I$88,7,0))</f>
        <v>0</v>
      </c>
      <c r="DY30" s="37">
        <f>IF(ISNA(VLOOKUP(A30,'Données projet'!$A$217:$I$237,7,0)),0%,VLOOKUP(A30,'Données projet'!$A$217:$I$237,7,0))</f>
        <v>0</v>
      </c>
      <c r="DZ30" s="45">
        <f>EXP(-LN(2)/35)*DZ29+(1-EXP(-LN(2)/35))/(LN(2)/35)*DV30*DW30*VLOOKUP('Données projet'!$B$9,Paramètres!$A$1:$I$88,3,0)*0.475*44/12</f>
        <v>0</v>
      </c>
      <c r="EA30" s="45">
        <f>EXP(-LN(2)/25)*EA29+(1-EXP(-LN(2)/25))/(LN(2)/25)*Calculateur!DV30*Calculateur!DX30*VLOOKUP('Données projet'!$B$9,Paramètres!$A$1:$I$88,3,0)*0.475*44/12</f>
        <v>0</v>
      </c>
      <c r="EB30" s="45">
        <f>EXP(-LN(2)/2)*EB29+(1-EXP(-LN(2)/2))/(LN(2)/2)*DV30*DY30*VLOOKUP('Données projet'!$B$9,Paramètres!$A$1:$I$88,3,0)*0.475*44/12</f>
        <v>0</v>
      </c>
      <c r="EC30" s="46">
        <f t="shared" si="15"/>
        <v>0</v>
      </c>
      <c r="ED30" s="32" t="e">
        <f>VLOOKUP(A30,'Données projet'!$A$243:$I$263,2,0)</f>
        <v>#N/A</v>
      </c>
      <c r="EE30" s="33" t="e">
        <f>VLOOKUP(A30,'Données projet'!$A$243:$I$263,9,0)</f>
        <v>#N/A</v>
      </c>
      <c r="EF30" s="33">
        <f t="array" ref="EF30">INDEX(EE:EE,MIN(IF(ISNUMBER(EE30:EE226),ROW(EE30:EE226),"")))</f>
        <v>0</v>
      </c>
      <c r="EG30" s="33">
        <f t="shared" si="37"/>
        <v>0</v>
      </c>
      <c r="EH30" s="38" t="e">
        <f>EG30*VLOOKUP('Données projet'!$B$17,Paramètres!$A$1:$I$88,3,0)*VLOOKUP('Données projet'!$B$17,Paramètres!$A$1:$I$88,5,0)</f>
        <v>#N/A</v>
      </c>
      <c r="EI30" s="34" t="e">
        <f t="shared" si="38"/>
        <v>#N/A</v>
      </c>
      <c r="EJ30" s="44" t="e">
        <f t="shared" si="16"/>
        <v>#N/A</v>
      </c>
      <c r="EK30" s="36">
        <f>IF(ISNA(VLOOKUP(A30,'Données projet'!$A$243:$I$263,3,0)),0,VLOOKUP(A30,'Données projet'!$A$243:$I$263,3,0))</f>
        <v>0</v>
      </c>
      <c r="EL30" s="36">
        <f>IF(ISNA(VLOOKUP(A30,'Données projet'!$A$243:$I$263,4,0)),0,VLOOKUP(A30,'Données projet'!$A$243:$I$263,4,0))</f>
        <v>0</v>
      </c>
      <c r="EM30" s="37">
        <f>IF(ISNA(VLOOKUP(A30,'Données projet'!$A$243:$I$263,5,0)),0%,VLOOKUP(A30,'Données projet'!$A$243:$I$263,5,0)*VLOOKUP('Données projet'!$B$17,Paramètres!$A$1:$I$88,7,0))</f>
        <v>0</v>
      </c>
      <c r="EN30" s="37">
        <f>IF(ISNA(VLOOKUP(A30,'Données projet'!$A$243:$I$263,6,0)),0%,VLOOKUP(A30,'Données projet'!$A$243:$I$263,6,0)*VLOOKUP('Données projet'!$B$17,Paramètres!$A$1:$I$88,7,0))</f>
        <v>0</v>
      </c>
      <c r="EO30" s="37">
        <f>IF(ISNA(VLOOKUP(A30,'Données projet'!$A$243:$I$263,7,0)),0%,VLOOKUP(A30,'Données projet'!$A$243:$I$263,7,0))</f>
        <v>0</v>
      </c>
      <c r="EP30" s="45">
        <f>EXP(-LN(2)/35)*EP29+(1-EXP(-LN(2)/35))/(LN(2)/35)*EL30*EM30*VLOOKUP('Données projet'!$B$9,Paramètres!$A$1:$I$88,3,0)*0.475*44/12</f>
        <v>0</v>
      </c>
      <c r="EQ30" s="45">
        <f>EXP(-LN(2)/25)*EQ29+(1-EXP(-LN(2)/25))/(LN(2)/25)*Calculateur!EL30*Calculateur!EN30*VLOOKUP('Données projet'!$B$9,Paramètres!$A$1:$I$88,3,0)*0.475*44/12</f>
        <v>0</v>
      </c>
      <c r="ER30" s="45">
        <f>EXP(-LN(2)/2)*ER29+(1-EXP(-LN(2)/2))/(LN(2)/2)*EL30*EO30*VLOOKUP('Données projet'!$B$9,Paramètres!$A$1:$I$88,3,0)*0.475*44/12</f>
        <v>0</v>
      </c>
      <c r="ES30" s="46">
        <f t="shared" si="17"/>
        <v>0</v>
      </c>
      <c r="ET30" s="32" t="e">
        <f>VLOOKUP(A30,'Données projet'!$A$269:$I$289,2,0)</f>
        <v>#N/A</v>
      </c>
      <c r="EU30" s="33" t="e">
        <f>VLOOKUP(A30,'Données projet'!$A$269:$I$289,9,0)</f>
        <v>#N/A</v>
      </c>
      <c r="EV30" s="33">
        <f t="array" ref="EV30">INDEX(EU:EU,MIN(IF(ISNUMBER(EU30:EU226),ROW(EU30:EU226),"")))</f>
        <v>0</v>
      </c>
      <c r="EW30" s="33">
        <f t="shared" si="39"/>
        <v>0</v>
      </c>
      <c r="EX30" s="38" t="e">
        <f>EW30*VLOOKUP('Données projet'!$B$18,Paramètres!$A$1:$I$88,3,0)*VLOOKUP('Données projet'!$B$18,Paramètres!$A$1:$I$88,5,0)</f>
        <v>#N/A</v>
      </c>
      <c r="EY30" s="34" t="e">
        <f t="shared" si="40"/>
        <v>#N/A</v>
      </c>
      <c r="EZ30" s="44" t="e">
        <f t="shared" si="18"/>
        <v>#N/A</v>
      </c>
      <c r="FA30" s="36">
        <f>IF(ISNA(VLOOKUP(A30,'Données projet'!$A$269:$I$289,3,0)),0,VLOOKUP(A30,'Données projet'!$A$269:$I$289,3,0))</f>
        <v>0</v>
      </c>
      <c r="FB30" s="36">
        <f>IF(ISNA(VLOOKUP(A30,'Données projet'!$A$269:$I$289,4,0)),0,VLOOKUP(A30,'Données projet'!$A$269:$I$289,4,0))</f>
        <v>0</v>
      </c>
      <c r="FC30" s="37">
        <f>IF(ISNA(VLOOKUP(A30,'Données projet'!$A$269:$I$289,5,0)),0%,VLOOKUP(A30,'Données projet'!$A$269:$I$289,5,0)*VLOOKUP('Données projet'!$B$18,Paramètres!$A$1:$I$88,7,0))</f>
        <v>0</v>
      </c>
      <c r="FD30" s="37">
        <f>IF(ISNA(VLOOKUP(A30,'Données projet'!$A$269:$I$289,6,0)),0%,VLOOKUP(A30,'Données projet'!$A$269:$I$289,6,0)*VLOOKUP('Données projet'!$B$18,Paramètres!$A$1:$I$88,7,0))</f>
        <v>0</v>
      </c>
      <c r="FE30" s="37">
        <f>IF(ISNA(VLOOKUP(A30,'Données projet'!$A$269:$I$289,7,0)),0%,VLOOKUP(A30,'Données projet'!$A$269:$I$289,7,0))</f>
        <v>0</v>
      </c>
      <c r="FF30" s="45">
        <f>EXP(-LN(2)/35)*FF29+(1-EXP(-LN(2)/35))/(LN(2)/35)*FB30*FC30*VLOOKUP('Données projet'!$B$9,Paramètres!$A$1:$I$88,3,0)*0.475*44/12</f>
        <v>0</v>
      </c>
      <c r="FG30" s="45">
        <f>EXP(-LN(2)/25)*FG29+(1-EXP(-LN(2)/25))/(LN(2)/25)*Calculateur!FB30*Calculateur!FD30*VLOOKUP('Données projet'!$B$9,Paramètres!$A$1:$I$88,3,0)*0.475*44/12</f>
        <v>0</v>
      </c>
      <c r="FH30" s="45">
        <f>EXP(-LN(2)/2)*FH29+(1-EXP(-LN(2)/2))/(LN(2)/2)*FB30*FE30*VLOOKUP('Données projet'!$B$9,Paramètres!$A$1:$I$88,3,0)*0.475*44/12</f>
        <v>0</v>
      </c>
      <c r="FI30" s="46">
        <f t="shared" si="19"/>
        <v>0</v>
      </c>
    </row>
    <row r="31" spans="1:165" x14ac:dyDescent="0.25">
      <c r="A31" s="24">
        <f t="shared" si="20"/>
        <v>28</v>
      </c>
      <c r="B31" s="25">
        <f>IF('Scénario référence'!$N$1=1,5,0)</f>
        <v>0</v>
      </c>
      <c r="C31" s="40">
        <f>IF(OR('Scénario référence'!$N$1=2,'Scénario référence'!$N$1=4),C30+1*VLOOKUP('Scénario référence'!$G$14,Paramètres!$A$1:$I$88,3,0)*VLOOKUP('Scénario référence'!$G$14,Paramètres!$A$1:$I$88,5,0),IF(OR('Scénario référence'!$N$1=3,'Scénario référence'!$N$1=5),C30+0.5*VLOOKUP('Scénario référence'!$G$14,Paramètres!$A$1:$I$88,3,0)*VLOOKUP('Scénario référence'!$G$14,Paramètres!$A$1:$I$88,5,0),0))</f>
        <v>15.287999999999995</v>
      </c>
      <c r="D31" s="26">
        <f t="shared" si="21"/>
        <v>5.1291372499950274</v>
      </c>
      <c r="E31" s="27">
        <f>IF('Scénario référence'!$N$1=1,B31*44/12,(C31+D31)*0.475*44/12)</f>
        <v>35.559847377074661</v>
      </c>
      <c r="F31" s="28" t="e">
        <f>VLOOKUP(A31,'Données projet'!$A$35:$I$55,2,0)</f>
        <v>#N/A</v>
      </c>
      <c r="G31" s="28" t="e">
        <f>VLOOKUP(A31,'Données projet'!$A$35:$I$55,9,0)</f>
        <v>#N/A</v>
      </c>
      <c r="H31" s="33">
        <f t="array" ref="H31">INDEX(G:G,MIN(IF(ISNUMBER(G31:G227),ROW(G31:G227),"")))</f>
        <v>7</v>
      </c>
      <c r="I31" s="28">
        <f t="shared" si="22"/>
        <v>83.000000000000014</v>
      </c>
      <c r="J31" s="41">
        <f>I31*VLOOKUP('Données projet'!$B$9,Paramètres!$A$1:$I$88,3,0)*VLOOKUP('Données projet'!$B$9,Paramètres!$A$1:$I$88,5,0)</f>
        <v>84.16200000000002</v>
      </c>
      <c r="K31" s="41">
        <f t="shared" si="23"/>
        <v>23.151791590506594</v>
      </c>
      <c r="L31" s="42">
        <f t="shared" si="0"/>
        <v>186.90485368679902</v>
      </c>
      <c r="M31" s="30">
        <f>IF(ISNA(VLOOKUP(A31,'Données projet'!$A$35:$I$55,3,0)),0,VLOOKUP(A31,'Données projet'!$A$35:$I$55,3,0))</f>
        <v>0</v>
      </c>
      <c r="N31" s="30">
        <f>IF(ISNA(VLOOKUP(A31,'Données projet'!$A$35:$I$55,4,0)),0,VLOOKUP(A31,'Données projet'!$A$35:$I$55,4,0))</f>
        <v>0</v>
      </c>
      <c r="O31" s="31">
        <f>IF(ISNA(VLOOKUP(A31,'Données projet'!$A$35:$I$55,5,0)),0%,VLOOKUP(A31,'Données projet'!$A$35:$I$55,5,0)*VLOOKUP('Données projet'!$B$9,Paramètres!$A$1:$I$88,7,0))</f>
        <v>0</v>
      </c>
      <c r="P31" s="31">
        <f>IF(ISNA(VLOOKUP(A31,'Données projet'!$A$35:$I$55,6,0)),0%,VLOOKUP(A31,'Données projet'!$A$35:$I$55,6,0)*VLOOKUP('Données projet'!$B$9,Paramètres!$A$1:$I$88,7,0))</f>
        <v>0</v>
      </c>
      <c r="Q31" s="31">
        <f>IF(ISNA(VLOOKUP(A31,'Données projet'!$A$35:$I$55,7,0)),0%,VLOOKUP(A31,'Données projet'!$A$35:$I$55,7,0))</f>
        <v>0</v>
      </c>
      <c r="R31" s="43">
        <f>EXP(-LN(2)/35)*R30+(1-EXP(-LN(2)/35))/(LN(2)/35)*N31*O31*VLOOKUP('Données projet'!$B$9,Paramètres!$A$1:$I$88,3,0)*0.475*44/12</f>
        <v>0</v>
      </c>
      <c r="S31" s="43">
        <f>EXP(-LN(2)/25)*S30+(1-EXP(-LN(2)/25))/(LN(2)/25)*Calculateur!N31*Calculateur!P31*VLOOKUP('Données projet'!$B$9,Paramètres!$A$1:$I$88,3,0)*0.475*44/12</f>
        <v>0</v>
      </c>
      <c r="T31" s="43">
        <f>EXP(-LN(2)/2)*T30+(1-EXP(-LN(2)/2))/(LN(2)/2)*N31*Q31*VLOOKUP('Données projet'!$B$9,Paramètres!$A$1:$I$88,3,0)*0.475*44/12</f>
        <v>0</v>
      </c>
      <c r="U31" s="43">
        <f t="shared" si="1"/>
        <v>0</v>
      </c>
      <c r="V31" s="32" t="e">
        <f>VLOOKUP(A31,'Données projet'!$A$61:$I$81,2,0)</f>
        <v>#N/A</v>
      </c>
      <c r="W31" s="33" t="e">
        <f>VLOOKUP(A31,'Données projet'!$A$61:$I$81,9,0)</f>
        <v>#N/A</v>
      </c>
      <c r="X31" s="33">
        <f t="array" ref="X31">INDEX(W:W,MIN(IF(ISNUMBER(W31:W227),ROW(W31:W227),"")))</f>
        <v>0</v>
      </c>
      <c r="Y31" s="33">
        <f t="shared" si="24"/>
        <v>0</v>
      </c>
      <c r="Z31" s="34" t="e">
        <f>Y31*VLOOKUP('Données projet'!$B$10,Paramètres!$A$1:$I$88,3,0)*VLOOKUP('Données projet'!$B$10,Paramètres!$A$1:$I$88,5,0)</f>
        <v>#N/A</v>
      </c>
      <c r="AA31" s="34" t="e">
        <f t="shared" si="25"/>
        <v>#N/A</v>
      </c>
      <c r="AB31" s="44" t="e">
        <f t="shared" si="2"/>
        <v>#N/A</v>
      </c>
      <c r="AC31" s="36">
        <f>IF(ISNA(VLOOKUP(A31,'Données projet'!$A$61:$I$81,3,0)),0,VLOOKUP(A31,'Données projet'!$A$61:$I$81,3,0))</f>
        <v>0</v>
      </c>
      <c r="AD31" s="36">
        <f>IF(ISNA(VLOOKUP(A31,'Données projet'!$A$61:$I$81,4,0)),0,VLOOKUP(A31,'Données projet'!$A$61:$I$81,4,0))</f>
        <v>0</v>
      </c>
      <c r="AE31" s="37">
        <f>IF(ISNA(VLOOKUP(A31,'Données projet'!$A$61:$I$81,5,0)),0%,VLOOKUP(A31,'Données projet'!$A$61:$I$81,5,0)*VLOOKUP('Données projet'!$B$10,Paramètres!$A$1:$I$88,7,0))</f>
        <v>0</v>
      </c>
      <c r="AF31" s="37">
        <f>IF(ISNA(VLOOKUP(A31,'Données projet'!$A$61:$I$81,6,0)),0%,VLOOKUP(A31,'Données projet'!$A$61:$I$81,6,0)*VLOOKUP('Données projet'!$B$10,Paramètres!$A$1:$I$88,7,0))</f>
        <v>0</v>
      </c>
      <c r="AG31" s="37">
        <f>IF(ISNA(VLOOKUP(A31,'Données projet'!$A$61:$I$81,7,0)),0%,VLOOKUP(A31,'Données projet'!$A$61:$I$81,7,0))</f>
        <v>0</v>
      </c>
      <c r="AH31" s="45">
        <f>EXP(-LN(2)/35)*AH30+(1-EXP(-LN(2)/35))/(LN(2)/35)*AD31*AE31*VLOOKUP('Données projet'!$B$9,Paramètres!$A$1:$I$88,3,0)*0.475*44/12</f>
        <v>0</v>
      </c>
      <c r="AI31" s="45">
        <f>EXP(-LN(2)/25)*AI30+(1-EXP(-LN(2)/25))/(LN(2)/25)*Calculateur!AD31*Calculateur!AF31*VLOOKUP('Données projet'!$B$9,Paramètres!$A$1:$I$88,3,0)*0.475*44/12</f>
        <v>0</v>
      </c>
      <c r="AJ31" s="45">
        <f>EXP(-LN(2)/2)*AJ30+(1-EXP(-LN(2)/2))/(LN(2)/2)*AD31*AG31*VLOOKUP('Données projet'!$B$9,Paramètres!$A$1:$I$88,3,0)*0.475*44/12</f>
        <v>0</v>
      </c>
      <c r="AK31" s="45">
        <f t="shared" si="3"/>
        <v>0</v>
      </c>
      <c r="AL31" s="32" t="e">
        <f>VLOOKUP(A31,'Données projet'!$A$87:$I$107,2,0)</f>
        <v>#N/A</v>
      </c>
      <c r="AM31" s="33" t="e">
        <f>VLOOKUP(A31,'Données projet'!$A$87:$I$107,9,0)</f>
        <v>#N/A</v>
      </c>
      <c r="AN31" s="33">
        <f t="array" ref="AN31">INDEX(AM:AM,MIN(IF(ISNUMBER(AM31:AM227),ROW(AM31:AM227),"")))</f>
        <v>0</v>
      </c>
      <c r="AO31" s="33">
        <f t="shared" si="26"/>
        <v>0</v>
      </c>
      <c r="AP31" s="34" t="e">
        <f>AO31*VLOOKUP('Données projet'!$B$11,Paramètres!$A$1:$I$88,3,0)*VLOOKUP('Données projet'!$B$11,Paramètres!$A$1:$I$88,5,0)</f>
        <v>#N/A</v>
      </c>
      <c r="AQ31" s="34" t="e">
        <f t="shared" si="27"/>
        <v>#N/A</v>
      </c>
      <c r="AR31" s="44" t="e">
        <f t="shared" si="4"/>
        <v>#N/A</v>
      </c>
      <c r="AS31" s="36">
        <f>IF(ISNA(VLOOKUP(A31,'Données projet'!$A$87:$I$107,3,0)),0,VLOOKUP(A31,'Données projet'!$A$87:$I$107,3,0))</f>
        <v>0</v>
      </c>
      <c r="AT31" s="36">
        <f>IF(ISNA(VLOOKUP(A31,'Données projet'!$A$87:$I$107,4,0)),0,VLOOKUP(A31,'Données projet'!$A$87:$I$107,4,0))</f>
        <v>0</v>
      </c>
      <c r="AU31" s="37">
        <f>IF(ISNA(VLOOKUP(A31,'Données projet'!$A$87:$I$107,5,0)),0%,VLOOKUP(A31,'Données projet'!$A$87:$I$107,5,0)*VLOOKUP('Données projet'!$B$11,Paramètres!$A$1:$I$88,7,0))</f>
        <v>0</v>
      </c>
      <c r="AV31" s="37">
        <f>IF(ISNA(VLOOKUP(A31,'Données projet'!$A$87:$I$107,6,0)),0%,VLOOKUP(A31,'Données projet'!$A$87:$I$107,6,0)*VLOOKUP('Données projet'!$B$11,Paramètres!$A$1:$I$88,7,0))</f>
        <v>0</v>
      </c>
      <c r="AW31" s="37">
        <f>IF(ISNA(VLOOKUP(A31,'Données projet'!$A$87:$I$107,7,0)),0%,VLOOKUP(A31,'Données projet'!$A$87:$I$107,7,0))</f>
        <v>0</v>
      </c>
      <c r="AX31" s="45">
        <f>EXP(-LN(2)/35)*AX30+(1-EXP(-LN(2)/35))/(LN(2)/35)*AT31*AU31*VLOOKUP('Données projet'!$B$9,Paramètres!$A$1:$I$88,3,0)*0.475*44/12</f>
        <v>0</v>
      </c>
      <c r="AY31" s="45">
        <f>EXP(-LN(2)/25)*AY30+(1-EXP(-LN(2)/25))/(LN(2)/25)*Calculateur!AT31*Calculateur!AV31*VLOOKUP('Données projet'!$B$9,Paramètres!$A$1:$I$88,3,0)*0.475*44/12</f>
        <v>0</v>
      </c>
      <c r="AZ31" s="45">
        <f>EXP(-LN(2)/2)*AZ30+(1-EXP(-LN(2)/2))/(LN(2)/2)*AT31*AW31*VLOOKUP('Données projet'!$B$9,Paramètres!$A$1:$I$88,3,0)*0.475*44/12</f>
        <v>0</v>
      </c>
      <c r="BA31" s="46">
        <f t="shared" si="5"/>
        <v>0</v>
      </c>
      <c r="BB31" s="32" t="e">
        <f>VLOOKUP(A31,'Données projet'!$A$113:$I$133,2,0)</f>
        <v>#N/A</v>
      </c>
      <c r="BC31" s="33" t="e">
        <f>VLOOKUP(A31,'Données projet'!$A$113:$I$133,9,0)</f>
        <v>#N/A</v>
      </c>
      <c r="BD31" s="33">
        <f t="array" ref="BD31">INDEX(BC:BC,MIN(IF(ISNUMBER(BC31:BC227),ROW(BC31:BC227),"")))</f>
        <v>0</v>
      </c>
      <c r="BE31" s="33">
        <f t="shared" si="28"/>
        <v>0</v>
      </c>
      <c r="BF31" s="34" t="e">
        <f>BE31*VLOOKUP('Données projet'!$B$12,Paramètres!$A$1:$I$88,3,0)*VLOOKUP('Données projet'!$B$12,Paramètres!$A$1:$I$88,5,0)</f>
        <v>#N/A</v>
      </c>
      <c r="BG31" s="34" t="e">
        <f t="shared" si="29"/>
        <v>#N/A</v>
      </c>
      <c r="BH31" s="44" t="e">
        <f t="shared" si="6"/>
        <v>#N/A</v>
      </c>
      <c r="BI31" s="36">
        <f>IF(ISNA(VLOOKUP(A31,'Données projet'!$A$113:$I$133,3,0)),0,VLOOKUP(A31,'Données projet'!$A$113:$I$133,3,0))</f>
        <v>0</v>
      </c>
      <c r="BJ31" s="36">
        <f>IF(ISNA(VLOOKUP(A31,'Données projet'!$A$113:$I$133,4,0)),0,VLOOKUP(A31,'Données projet'!$A$113:$I$133,4,0))</f>
        <v>0</v>
      </c>
      <c r="BK31" s="37">
        <f>IF(ISNA(VLOOKUP(A31,'Données projet'!$A$113:$I$133,5,0)),0%,VLOOKUP(A31,'Données projet'!$A$113:$I$133,5,0)*VLOOKUP('Données projet'!$B$12,Paramètres!$A$1:$I$88,7,0))</f>
        <v>0</v>
      </c>
      <c r="BL31" s="37">
        <f>IF(ISNA(VLOOKUP(A31,'Données projet'!$A$113:$I$133,6,0)),0%,VLOOKUP(A31,'Données projet'!$A$113:$I$133,6,0)*VLOOKUP('Données projet'!$B$12,Paramètres!$A$1:$I$88,7,0))</f>
        <v>0</v>
      </c>
      <c r="BM31" s="37">
        <f>IF(ISNA(VLOOKUP(A31,'Données projet'!$A$113:$I$133,7,0)),0%,VLOOKUP(A31,'Données projet'!$A$113:$I$133,7,0))</f>
        <v>0</v>
      </c>
      <c r="BN31" s="45">
        <f>EXP(-LN(2)/35)*BN30+(1-EXP(-LN(2)/35))/(LN(2)/35)*BJ31*BK31*VLOOKUP('Données projet'!$B$9,Paramètres!$A$1:$I$88,3,0)*0.475*44/12</f>
        <v>0</v>
      </c>
      <c r="BO31" s="45">
        <f>EXP(-LN(2)/25)*BO30+(1-EXP(-LN(2)/25))/(LN(2)/25)*Calculateur!BJ31*Calculateur!BL31*VLOOKUP('Données projet'!$B$9,Paramètres!$A$1:$I$88,3,0)*0.475*44/12</f>
        <v>0</v>
      </c>
      <c r="BP31" s="45">
        <f>EXP(-LN(2)/2)*BP30+(1-EXP(-LN(2)/2))/(LN(2)/2)*BJ31*BM31*VLOOKUP('Données projet'!$B$9,Paramètres!$A$1:$I$88,3,0)*0.475*44/12</f>
        <v>0</v>
      </c>
      <c r="BQ31" s="46">
        <f t="shared" si="7"/>
        <v>0</v>
      </c>
      <c r="BR31" s="32" t="e">
        <f>VLOOKUP(A31,'Données projet'!$A$139:$I$159,2,0)</f>
        <v>#N/A</v>
      </c>
      <c r="BS31" s="33" t="e">
        <f>VLOOKUP(A31,'Données projet'!$A$139:$I$159,9,0)</f>
        <v>#N/A</v>
      </c>
      <c r="BT31" s="33">
        <f t="array" ref="BT31">INDEX(BS:BS,MIN(IF(ISNUMBER(BS31:BS227),ROW(BS31:BS227),"")))</f>
        <v>0</v>
      </c>
      <c r="BU31" s="33">
        <f t="shared" si="41"/>
        <v>0</v>
      </c>
      <c r="BV31" s="38" t="e">
        <f>BU31*VLOOKUP('Données projet'!$B$13,Paramètres!$A$1:$I$88,3,0)*VLOOKUP('Données projet'!$B$13,Paramètres!$A$1:$I$88,5,0)</f>
        <v>#N/A</v>
      </c>
      <c r="BW31" s="34" t="e">
        <f t="shared" si="30"/>
        <v>#N/A</v>
      </c>
      <c r="BX31" s="44" t="e">
        <f t="shared" si="8"/>
        <v>#N/A</v>
      </c>
      <c r="BY31" s="36">
        <f>IF(ISNA(VLOOKUP(A31,'Données projet'!$A$139:$I$159,3,0)),0,VLOOKUP(A31,'Données projet'!$A$139:$I$159,3,0))</f>
        <v>0</v>
      </c>
      <c r="BZ31" s="36">
        <f>IF(ISNA(VLOOKUP(A31,'Données projet'!$A$139:$I$159,4,0)),0,VLOOKUP(A31,'Données projet'!$A$139:$I$159,4,0))</f>
        <v>0</v>
      </c>
      <c r="CA31" s="37">
        <f>IF(ISNA(VLOOKUP(A31,'Données projet'!$A$139:$I$159,5,0)),0%,VLOOKUP(A31,'Données projet'!$A$139:$I$159,5,0)*VLOOKUP('Données projet'!$B$13,Paramètres!$A$1:$I$88,7,0))</f>
        <v>0</v>
      </c>
      <c r="CB31" s="37">
        <f>IF(ISNA(VLOOKUP(A31,'Données projet'!$A$139:$I$159,6,0)),0%,VLOOKUP(A31,'Données projet'!$A$139:$I$159,6,0)*VLOOKUP('Données projet'!$B$13,Paramètres!$A$1:$I$88,7,0))</f>
        <v>0</v>
      </c>
      <c r="CC31" s="37">
        <f>IF(ISNA(VLOOKUP(A31,'Données projet'!$A$139:$I$159,7,0)),0%,VLOOKUP(A31,'Données projet'!$A$139:$I$159,7,0))</f>
        <v>0</v>
      </c>
      <c r="CD31" s="45">
        <f>EXP(-LN(2)/35)*CD30+(1-EXP(-LN(2)/35))/(LN(2)/35)*BZ31*CA31*VLOOKUP('Données projet'!$B$9,Paramètres!$A$1:$I$88,3,0)*0.475*44/12</f>
        <v>0</v>
      </c>
      <c r="CE31" s="45">
        <f>EXP(-LN(2)/25)*CE30+(1-EXP(-LN(2)/25))/(LN(2)/25)*Calculateur!BZ31*Calculateur!CB31*VLOOKUP('Données projet'!$B$9,Paramètres!$A$1:$I$88,3,0)*0.475*44/12</f>
        <v>0</v>
      </c>
      <c r="CF31" s="45">
        <f>EXP(-LN(2)/2)*CF30+(1-EXP(-LN(2)/2))/(LN(2)/2)*BZ31*CC31*VLOOKUP('Données projet'!$B$9,Paramètres!$A$1:$I$88,3,0)*0.475*44/12</f>
        <v>0</v>
      </c>
      <c r="CG31" s="46">
        <f t="shared" si="9"/>
        <v>0</v>
      </c>
      <c r="CH31" s="32" t="e">
        <f>VLOOKUP(A31,'Données projet'!$A$165:$I$185,2,0)</f>
        <v>#N/A</v>
      </c>
      <c r="CI31" s="33" t="e">
        <f>VLOOKUP(A31,'Données projet'!$A$165:$I$185,9,0)</f>
        <v>#N/A</v>
      </c>
      <c r="CJ31" s="33">
        <f t="array" ref="CJ31">INDEX(CI:CI,MIN(IF(ISNUMBER(CI31:CI227),ROW(CI31:CI227),"")))</f>
        <v>0</v>
      </c>
      <c r="CK31" s="33">
        <f t="shared" si="31"/>
        <v>0</v>
      </c>
      <c r="CL31" s="38" t="e">
        <f>CK31*VLOOKUP('Données projet'!$B$14,Paramètres!$A$1:$I$88,3,0)*VLOOKUP('Données projet'!$B$14,Paramètres!$A$1:$I$88,5,0)</f>
        <v>#N/A</v>
      </c>
      <c r="CM31" s="34" t="e">
        <f t="shared" si="32"/>
        <v>#N/A</v>
      </c>
      <c r="CN31" s="44" t="e">
        <f t="shared" si="10"/>
        <v>#N/A</v>
      </c>
      <c r="CO31" s="36">
        <f>IF(ISNA(VLOOKUP(A31,'Données projet'!$A$165:$I$185,3,0)),0,VLOOKUP(A31,'Données projet'!$A$165:$I$185,3,0))</f>
        <v>0</v>
      </c>
      <c r="CP31" s="36">
        <f>IF(ISNA(VLOOKUP(A31,'Données projet'!$A$165:$I$185,4,0)),0,VLOOKUP(A31,'Données projet'!$A$165:$I$185,4,0))</f>
        <v>0</v>
      </c>
      <c r="CQ31" s="37">
        <f>IF(ISNA(VLOOKUP(A31,'Données projet'!$A$165:$I$185,5,0)),0%,VLOOKUP(A31,'Données projet'!$A$165:$I$185,5,0)*VLOOKUP('Données projet'!$B$14,Paramètres!$A$1:$I$88,7,0))</f>
        <v>0</v>
      </c>
      <c r="CR31" s="37">
        <f>IF(ISNA(VLOOKUP(A31,'Données projet'!$A$165:$I$185,6,0)),0%,VLOOKUP(A31,'Données projet'!$A$165:$I$185,6,0)*VLOOKUP('Données projet'!$B$14,Paramètres!$A$1:$I$88,7,0))</f>
        <v>0</v>
      </c>
      <c r="CS31" s="37">
        <f>IF(ISNA(VLOOKUP(A31,'Données projet'!$A$165:$I$185,7,0)),0%,VLOOKUP(A31,'Données projet'!$A$165:$I$185,7,0))</f>
        <v>0</v>
      </c>
      <c r="CT31" s="45">
        <f>EXP(-LN(2)/35)*CT30+(1-EXP(-LN(2)/35))/(LN(2)/35)*CP31*CQ31*VLOOKUP('Données projet'!$B$9,Paramètres!$A$1:$I$88,3,0)*0.475*44/12</f>
        <v>0</v>
      </c>
      <c r="CU31" s="45">
        <f>EXP(-LN(2)/25)*CU30+(1-EXP(-LN(2)/25))/(LN(2)/25)*Calculateur!CP31*Calculateur!CR31*VLOOKUP('Données projet'!$B$9,Paramètres!$A$1:$I$88,3,0)*0.475*44/12</f>
        <v>0</v>
      </c>
      <c r="CV31" s="45">
        <f>EXP(-LN(2)/2)*CV30+(1-EXP(-LN(2)/2))/(LN(2)/2)*CP31*CS31*VLOOKUP('Données projet'!$B$9,Paramètres!$A$1:$I$88,3,0)*0.475*44/12</f>
        <v>0</v>
      </c>
      <c r="CW31" s="46">
        <f t="shared" si="11"/>
        <v>0</v>
      </c>
      <c r="CX31" s="32" t="e">
        <f>VLOOKUP(A31,'Données projet'!$A$191:$I$211,2,0)</f>
        <v>#N/A</v>
      </c>
      <c r="CY31" s="33" t="e">
        <f>VLOOKUP(A31,'Données projet'!$A$191:$I$211,9,0)</f>
        <v>#N/A</v>
      </c>
      <c r="CZ31" s="33">
        <f t="array" ref="CZ31">INDEX(CY:CY,MIN(IF(ISNUMBER(CY31:CY227),ROW(CY31:CY227),"")))</f>
        <v>0</v>
      </c>
      <c r="DA31" s="33">
        <f t="shared" si="33"/>
        <v>0</v>
      </c>
      <c r="DB31" s="38" t="e">
        <f>DA31*VLOOKUP('Données projet'!$B$15,Paramètres!$A$1:$I$88,3,0)*VLOOKUP('Données projet'!$B$15,Paramètres!$A$1:$I$88,5,0)</f>
        <v>#N/A</v>
      </c>
      <c r="DC31" s="34" t="e">
        <f t="shared" si="34"/>
        <v>#N/A</v>
      </c>
      <c r="DD31" s="44" t="e">
        <f t="shared" si="12"/>
        <v>#N/A</v>
      </c>
      <c r="DE31" s="36">
        <f>IF(ISNA(VLOOKUP(A31,'Données projet'!$A$191:$I$211,3,0)),0,VLOOKUP(A31,'Données projet'!$A$191:$I$211,3,0))</f>
        <v>0</v>
      </c>
      <c r="DF31" s="36">
        <f>IF(ISNA(VLOOKUP(A31,'Données projet'!$A$191:$I$211,4,0)),0,VLOOKUP(A31,'Données projet'!$A$191:$I$211,4,0))</f>
        <v>0</v>
      </c>
      <c r="DG31" s="37">
        <f>IF(ISNA(VLOOKUP(A31,'Données projet'!$A$191:$I$211,5,0)),0%,VLOOKUP(A31,'Données projet'!$A$191:$I$211,5,0)*VLOOKUP('Données projet'!$B$15,Paramètres!$A$1:$I$88,7,0))</f>
        <v>0</v>
      </c>
      <c r="DH31" s="37">
        <f>IF(ISNA(VLOOKUP(A31,'Données projet'!$A$191:$I$211,6,0)),0%,VLOOKUP(A31,'Données projet'!$A$191:$I$211,6,0)*VLOOKUP('Données projet'!$B$15,Paramètres!$A$1:$I$88,7,0))</f>
        <v>0</v>
      </c>
      <c r="DI31" s="37">
        <f>IF(ISNA(VLOOKUP(A31,'Données projet'!$A$191:$I$211,7,0)),0%,VLOOKUP(A31,'Données projet'!$A$191:$I$211,7,0))</f>
        <v>0</v>
      </c>
      <c r="DJ31" s="45">
        <f>EXP(-LN(2)/35)*DJ30+(1-EXP(-LN(2)/35))/(LN(2)/35)*DF31*DG31*VLOOKUP('Données projet'!$B$9,Paramètres!$A$1:$I$88,3,0)*0.475*44/12</f>
        <v>0</v>
      </c>
      <c r="DK31" s="45">
        <f>EXP(-LN(2)/25)*DK30+(1-EXP(-LN(2)/25))/(LN(2)/25)*Calculateur!DF31*Calculateur!DH31*VLOOKUP('Données projet'!$B$9,Paramètres!$A$1:$I$88,3,0)*0.475*44/12</f>
        <v>0</v>
      </c>
      <c r="DL31" s="45">
        <f>EXP(-LN(2)/2)*DL30+(1-EXP(-LN(2)/2))/(LN(2)/2)*DF31*DI31*VLOOKUP('Données projet'!$B$9,Paramètres!$A$1:$I$88,3,0)*0.475*44/12</f>
        <v>0</v>
      </c>
      <c r="DM31" s="46">
        <f t="shared" si="13"/>
        <v>0</v>
      </c>
      <c r="DN31" s="32" t="e">
        <f>VLOOKUP(A31,'Données projet'!$A$217:$I$237,2,0)</f>
        <v>#N/A</v>
      </c>
      <c r="DO31" s="33" t="e">
        <f>VLOOKUP(A31,'Données projet'!$A$217:$I$237,9,0)</f>
        <v>#N/A</v>
      </c>
      <c r="DP31" s="33">
        <f t="array" ref="DP31">INDEX(DO:DO,MIN(IF(ISNUMBER(DO31:DO227),ROW(DO31:DO227),"")))</f>
        <v>0</v>
      </c>
      <c r="DQ31" s="33">
        <f t="shared" si="35"/>
        <v>0</v>
      </c>
      <c r="DR31" s="38" t="e">
        <f>DQ31*VLOOKUP('Données projet'!$B$16,Paramètres!$A$1:$I$88,3,0)*VLOOKUP('Données projet'!$B$16,Paramètres!$A$1:$I$88,5,0)</f>
        <v>#N/A</v>
      </c>
      <c r="DS31" s="34" t="e">
        <f t="shared" si="36"/>
        <v>#N/A</v>
      </c>
      <c r="DT31" s="44" t="e">
        <f t="shared" si="14"/>
        <v>#N/A</v>
      </c>
      <c r="DU31" s="36">
        <f>IF(ISNA(VLOOKUP(A31,'Données projet'!$A$217:$I$237,3,0)),0,VLOOKUP(A31,'Données projet'!$A$217:$I$237,3,0))</f>
        <v>0</v>
      </c>
      <c r="DV31" s="36">
        <f>IF(ISNA(VLOOKUP(A31,'Données projet'!$A$217:$I$237,4,0)),0,VLOOKUP(A31,'Données projet'!$A$217:$I$237,4,0))</f>
        <v>0</v>
      </c>
      <c r="DW31" s="37">
        <f>IF(ISNA(VLOOKUP(A31,'Données projet'!$A$217:$I$237,5,0)),0%,VLOOKUP(A31,'Données projet'!$A$217:$I$237,5,0)*VLOOKUP('Données projet'!$B$16,Paramètres!$A$1:$I$88,7,0))</f>
        <v>0</v>
      </c>
      <c r="DX31" s="37">
        <f>IF(ISNA(VLOOKUP(A31,'Données projet'!$A$217:$I$237,6,0)),0%,VLOOKUP(A31,'Données projet'!$A$217:$I$237,6,0)*VLOOKUP('Données projet'!$B$16,Paramètres!$A$1:$I$88,7,0))</f>
        <v>0</v>
      </c>
      <c r="DY31" s="37">
        <f>IF(ISNA(VLOOKUP(A31,'Données projet'!$A$217:$I$237,7,0)),0%,VLOOKUP(A31,'Données projet'!$A$217:$I$237,7,0))</f>
        <v>0</v>
      </c>
      <c r="DZ31" s="45">
        <f>EXP(-LN(2)/35)*DZ30+(1-EXP(-LN(2)/35))/(LN(2)/35)*DV31*DW31*VLOOKUP('Données projet'!$B$9,Paramètres!$A$1:$I$88,3,0)*0.475*44/12</f>
        <v>0</v>
      </c>
      <c r="EA31" s="45">
        <f>EXP(-LN(2)/25)*EA30+(1-EXP(-LN(2)/25))/(LN(2)/25)*Calculateur!DV31*Calculateur!DX31*VLOOKUP('Données projet'!$B$9,Paramètres!$A$1:$I$88,3,0)*0.475*44/12</f>
        <v>0</v>
      </c>
      <c r="EB31" s="45">
        <f>EXP(-LN(2)/2)*EB30+(1-EXP(-LN(2)/2))/(LN(2)/2)*DV31*DY31*VLOOKUP('Données projet'!$B$9,Paramètres!$A$1:$I$88,3,0)*0.475*44/12</f>
        <v>0</v>
      </c>
      <c r="EC31" s="46">
        <f t="shared" si="15"/>
        <v>0</v>
      </c>
      <c r="ED31" s="32" t="e">
        <f>VLOOKUP(A31,'Données projet'!$A$243:$I$263,2,0)</f>
        <v>#N/A</v>
      </c>
      <c r="EE31" s="33" t="e">
        <f>VLOOKUP(A31,'Données projet'!$A$243:$I$263,9,0)</f>
        <v>#N/A</v>
      </c>
      <c r="EF31" s="33">
        <f t="array" ref="EF31">INDEX(EE:EE,MIN(IF(ISNUMBER(EE31:EE227),ROW(EE31:EE227),"")))</f>
        <v>0</v>
      </c>
      <c r="EG31" s="33">
        <f t="shared" si="37"/>
        <v>0</v>
      </c>
      <c r="EH31" s="38" t="e">
        <f>EG31*VLOOKUP('Données projet'!$B$17,Paramètres!$A$1:$I$88,3,0)*VLOOKUP('Données projet'!$B$17,Paramètres!$A$1:$I$88,5,0)</f>
        <v>#N/A</v>
      </c>
      <c r="EI31" s="34" t="e">
        <f t="shared" si="38"/>
        <v>#N/A</v>
      </c>
      <c r="EJ31" s="44" t="e">
        <f t="shared" si="16"/>
        <v>#N/A</v>
      </c>
      <c r="EK31" s="36">
        <f>IF(ISNA(VLOOKUP(A31,'Données projet'!$A$243:$I$263,3,0)),0,VLOOKUP(A31,'Données projet'!$A$243:$I$263,3,0))</f>
        <v>0</v>
      </c>
      <c r="EL31" s="36">
        <f>IF(ISNA(VLOOKUP(A31,'Données projet'!$A$243:$I$263,4,0)),0,VLOOKUP(A31,'Données projet'!$A$243:$I$263,4,0))</f>
        <v>0</v>
      </c>
      <c r="EM31" s="37">
        <f>IF(ISNA(VLOOKUP(A31,'Données projet'!$A$243:$I$263,5,0)),0%,VLOOKUP(A31,'Données projet'!$A$243:$I$263,5,0)*VLOOKUP('Données projet'!$B$17,Paramètres!$A$1:$I$88,7,0))</f>
        <v>0</v>
      </c>
      <c r="EN31" s="37">
        <f>IF(ISNA(VLOOKUP(A31,'Données projet'!$A$243:$I$263,6,0)),0%,VLOOKUP(A31,'Données projet'!$A$243:$I$263,6,0)*VLOOKUP('Données projet'!$B$17,Paramètres!$A$1:$I$88,7,0))</f>
        <v>0</v>
      </c>
      <c r="EO31" s="37">
        <f>IF(ISNA(VLOOKUP(A31,'Données projet'!$A$243:$I$263,7,0)),0%,VLOOKUP(A31,'Données projet'!$A$243:$I$263,7,0))</f>
        <v>0</v>
      </c>
      <c r="EP31" s="45">
        <f>EXP(-LN(2)/35)*EP30+(1-EXP(-LN(2)/35))/(LN(2)/35)*EL31*EM31*VLOOKUP('Données projet'!$B$9,Paramètres!$A$1:$I$88,3,0)*0.475*44/12</f>
        <v>0</v>
      </c>
      <c r="EQ31" s="45">
        <f>EXP(-LN(2)/25)*EQ30+(1-EXP(-LN(2)/25))/(LN(2)/25)*Calculateur!EL31*Calculateur!EN31*VLOOKUP('Données projet'!$B$9,Paramètres!$A$1:$I$88,3,0)*0.475*44/12</f>
        <v>0</v>
      </c>
      <c r="ER31" s="45">
        <f>EXP(-LN(2)/2)*ER30+(1-EXP(-LN(2)/2))/(LN(2)/2)*EL31*EO31*VLOOKUP('Données projet'!$B$9,Paramètres!$A$1:$I$88,3,0)*0.475*44/12</f>
        <v>0</v>
      </c>
      <c r="ES31" s="46">
        <f t="shared" si="17"/>
        <v>0</v>
      </c>
      <c r="ET31" s="32" t="e">
        <f>VLOOKUP(A31,'Données projet'!$A$269:$I$289,2,0)</f>
        <v>#N/A</v>
      </c>
      <c r="EU31" s="33" t="e">
        <f>VLOOKUP(A31,'Données projet'!$A$269:$I$289,9,0)</f>
        <v>#N/A</v>
      </c>
      <c r="EV31" s="33">
        <f t="array" ref="EV31">INDEX(EU:EU,MIN(IF(ISNUMBER(EU31:EU227),ROW(EU31:EU227),"")))</f>
        <v>0</v>
      </c>
      <c r="EW31" s="33">
        <f t="shared" si="39"/>
        <v>0</v>
      </c>
      <c r="EX31" s="38" t="e">
        <f>EW31*VLOOKUP('Données projet'!$B$18,Paramètres!$A$1:$I$88,3,0)*VLOOKUP('Données projet'!$B$18,Paramètres!$A$1:$I$88,5,0)</f>
        <v>#N/A</v>
      </c>
      <c r="EY31" s="34" t="e">
        <f t="shared" si="40"/>
        <v>#N/A</v>
      </c>
      <c r="EZ31" s="44" t="e">
        <f t="shared" si="18"/>
        <v>#N/A</v>
      </c>
      <c r="FA31" s="36">
        <f>IF(ISNA(VLOOKUP(A31,'Données projet'!$A$269:$I$289,3,0)),0,VLOOKUP(A31,'Données projet'!$A$269:$I$289,3,0))</f>
        <v>0</v>
      </c>
      <c r="FB31" s="36">
        <f>IF(ISNA(VLOOKUP(A31,'Données projet'!$A$269:$I$289,4,0)),0,VLOOKUP(A31,'Données projet'!$A$269:$I$289,4,0))</f>
        <v>0</v>
      </c>
      <c r="FC31" s="37">
        <f>IF(ISNA(VLOOKUP(A31,'Données projet'!$A$269:$I$289,5,0)),0%,VLOOKUP(A31,'Données projet'!$A$269:$I$289,5,0)*VLOOKUP('Données projet'!$B$18,Paramètres!$A$1:$I$88,7,0))</f>
        <v>0</v>
      </c>
      <c r="FD31" s="37">
        <f>IF(ISNA(VLOOKUP(A31,'Données projet'!$A$269:$I$289,6,0)),0%,VLOOKUP(A31,'Données projet'!$A$269:$I$289,6,0)*VLOOKUP('Données projet'!$B$18,Paramètres!$A$1:$I$88,7,0))</f>
        <v>0</v>
      </c>
      <c r="FE31" s="37">
        <f>IF(ISNA(VLOOKUP(A31,'Données projet'!$A$269:$I$289,7,0)),0%,VLOOKUP(A31,'Données projet'!$A$269:$I$289,7,0))</f>
        <v>0</v>
      </c>
      <c r="FF31" s="45">
        <f>EXP(-LN(2)/35)*FF30+(1-EXP(-LN(2)/35))/(LN(2)/35)*FB31*FC31*VLOOKUP('Données projet'!$B$9,Paramètres!$A$1:$I$88,3,0)*0.475*44/12</f>
        <v>0</v>
      </c>
      <c r="FG31" s="45">
        <f>EXP(-LN(2)/25)*FG30+(1-EXP(-LN(2)/25))/(LN(2)/25)*Calculateur!FB31*Calculateur!FD31*VLOOKUP('Données projet'!$B$9,Paramètres!$A$1:$I$88,3,0)*0.475*44/12</f>
        <v>0</v>
      </c>
      <c r="FH31" s="45">
        <f>EXP(-LN(2)/2)*FH30+(1-EXP(-LN(2)/2))/(LN(2)/2)*FB31*FE31*VLOOKUP('Données projet'!$B$9,Paramètres!$A$1:$I$88,3,0)*0.475*44/12</f>
        <v>0</v>
      </c>
      <c r="FI31" s="46">
        <f t="shared" si="19"/>
        <v>0</v>
      </c>
    </row>
    <row r="32" spans="1:165" x14ac:dyDescent="0.25">
      <c r="A32" s="24">
        <f t="shared" si="20"/>
        <v>29</v>
      </c>
      <c r="B32" s="25">
        <f>IF('Scénario référence'!$N$1=1,5,0)</f>
        <v>0</v>
      </c>
      <c r="C32" s="40">
        <f>IF(OR('Scénario référence'!$N$1=2,'Scénario référence'!$N$1=4),C31+1*VLOOKUP('Scénario référence'!$G$14,Paramètres!$A$1:$I$88,3,0)*VLOOKUP('Scénario référence'!$G$14,Paramètres!$A$1:$I$88,5,0),IF(OR('Scénario référence'!$N$1=3,'Scénario référence'!$N$1=5),C31+0.5*VLOOKUP('Scénario référence'!$G$14,Paramètres!$A$1:$I$88,3,0)*VLOOKUP('Scénario référence'!$G$14,Paramètres!$A$1:$I$88,5,0),0))</f>
        <v>15.833999999999994</v>
      </c>
      <c r="D32" s="26">
        <f t="shared" si="21"/>
        <v>5.2906661162322051</v>
      </c>
      <c r="E32" s="27">
        <f>IF('Scénario référence'!$N$1=1,B32*44/12,(C32+D32)*0.475*44/12)</f>
        <v>36.792126819104418</v>
      </c>
      <c r="F32" s="28" t="e">
        <f>VLOOKUP(A32,'Données projet'!$A$35:$I$55,2,0)</f>
        <v>#N/A</v>
      </c>
      <c r="G32" s="28" t="e">
        <f>VLOOKUP(A32,'Données projet'!$A$35:$I$55,9,0)</f>
        <v>#N/A</v>
      </c>
      <c r="H32" s="33">
        <f t="array" ref="H32">INDEX(G:G,MIN(IF(ISNUMBER(G32:G228),ROW(G32:G228),"")))</f>
        <v>7</v>
      </c>
      <c r="I32" s="28">
        <f t="shared" si="22"/>
        <v>90.000000000000014</v>
      </c>
      <c r="J32" s="41">
        <f>I32*VLOOKUP('Données projet'!$B$9,Paramètres!$A$1:$I$88,3,0)*VLOOKUP('Données projet'!$B$9,Paramètres!$A$1:$I$88,5,0)</f>
        <v>91.260000000000019</v>
      </c>
      <c r="K32" s="41">
        <f t="shared" si="23"/>
        <v>24.868860330902802</v>
      </c>
      <c r="L32" s="42">
        <f t="shared" si="0"/>
        <v>202.25776507632239</v>
      </c>
      <c r="M32" s="30">
        <f>IF(ISNA(VLOOKUP(A32,'Données projet'!$A$35:$I$55,3,0)),0,VLOOKUP(A32,'Données projet'!$A$35:$I$55,3,0))</f>
        <v>0</v>
      </c>
      <c r="N32" s="30">
        <f>IF(ISNA(VLOOKUP(A32,'Données projet'!$A$35:$I$55,4,0)),0,VLOOKUP(A32,'Données projet'!$A$35:$I$55,4,0))</f>
        <v>0</v>
      </c>
      <c r="O32" s="31">
        <f>IF(ISNA(VLOOKUP(A32,'Données projet'!$A$35:$I$55,5,0)),0%,VLOOKUP(A32,'Données projet'!$A$35:$I$55,5,0)*VLOOKUP('Données projet'!$B$9,Paramètres!$A$1:$I$88,7,0))</f>
        <v>0</v>
      </c>
      <c r="P32" s="31">
        <f>IF(ISNA(VLOOKUP(A32,'Données projet'!$A$35:$I$55,6,0)),0%,VLOOKUP(A32,'Données projet'!$A$35:$I$55,6,0)*VLOOKUP('Données projet'!$B$9,Paramètres!$A$1:$I$88,7,0))</f>
        <v>0</v>
      </c>
      <c r="Q32" s="31">
        <f>IF(ISNA(VLOOKUP(A32,'Données projet'!$A$35:$I$55,7,0)),0%,VLOOKUP(A32,'Données projet'!$A$35:$I$55,7,0))</f>
        <v>0</v>
      </c>
      <c r="R32" s="43">
        <f>EXP(-LN(2)/35)*R31+(1-EXP(-LN(2)/35))/(LN(2)/35)*N32*O32*VLOOKUP('Données projet'!$B$9,Paramètres!$A$1:$I$88,3,0)*0.475*44/12</f>
        <v>0</v>
      </c>
      <c r="S32" s="43">
        <f>EXP(-LN(2)/25)*S31+(1-EXP(-LN(2)/25))/(LN(2)/25)*Calculateur!N32*Calculateur!P32*VLOOKUP('Données projet'!$B$9,Paramètres!$A$1:$I$88,3,0)*0.475*44/12</f>
        <v>0</v>
      </c>
      <c r="T32" s="43">
        <f>EXP(-LN(2)/2)*T31+(1-EXP(-LN(2)/2))/(LN(2)/2)*N32*Q32*VLOOKUP('Données projet'!$B$9,Paramètres!$A$1:$I$88,3,0)*0.475*44/12</f>
        <v>0</v>
      </c>
      <c r="U32" s="43">
        <f t="shared" si="1"/>
        <v>0</v>
      </c>
      <c r="V32" s="32" t="e">
        <f>VLOOKUP(A32,'Données projet'!$A$61:$I$81,2,0)</f>
        <v>#N/A</v>
      </c>
      <c r="W32" s="33" t="e">
        <f>VLOOKUP(A32,'Données projet'!$A$61:$I$81,9,0)</f>
        <v>#N/A</v>
      </c>
      <c r="X32" s="33">
        <f t="array" ref="X32">INDEX(W:W,MIN(IF(ISNUMBER(W32:W228),ROW(W32:W228),"")))</f>
        <v>0</v>
      </c>
      <c r="Y32" s="33">
        <f t="shared" si="24"/>
        <v>0</v>
      </c>
      <c r="Z32" s="34" t="e">
        <f>Y32*VLOOKUP('Données projet'!$B$10,Paramètres!$A$1:$I$88,3,0)*VLOOKUP('Données projet'!$B$10,Paramètres!$A$1:$I$88,5,0)</f>
        <v>#N/A</v>
      </c>
      <c r="AA32" s="34" t="e">
        <f t="shared" si="25"/>
        <v>#N/A</v>
      </c>
      <c r="AB32" s="44" t="e">
        <f t="shared" si="2"/>
        <v>#N/A</v>
      </c>
      <c r="AC32" s="36">
        <f>IF(ISNA(VLOOKUP(A32,'Données projet'!$A$61:$I$81,3,0)),0,VLOOKUP(A32,'Données projet'!$A$61:$I$81,3,0))</f>
        <v>0</v>
      </c>
      <c r="AD32" s="36">
        <f>IF(ISNA(VLOOKUP(A32,'Données projet'!$A$61:$I$81,4,0)),0,VLOOKUP(A32,'Données projet'!$A$61:$I$81,4,0))</f>
        <v>0</v>
      </c>
      <c r="AE32" s="37">
        <f>IF(ISNA(VLOOKUP(A32,'Données projet'!$A$61:$I$81,5,0)),0%,VLOOKUP(A32,'Données projet'!$A$61:$I$81,5,0)*VLOOKUP('Données projet'!$B$10,Paramètres!$A$1:$I$88,7,0))</f>
        <v>0</v>
      </c>
      <c r="AF32" s="37">
        <f>IF(ISNA(VLOOKUP(A32,'Données projet'!$A$61:$I$81,6,0)),0%,VLOOKUP(A32,'Données projet'!$A$61:$I$81,6,0)*VLOOKUP('Données projet'!$B$10,Paramètres!$A$1:$I$88,7,0))</f>
        <v>0</v>
      </c>
      <c r="AG32" s="37">
        <f>IF(ISNA(VLOOKUP(A32,'Données projet'!$A$61:$I$81,7,0)),0%,VLOOKUP(A32,'Données projet'!$A$61:$I$81,7,0))</f>
        <v>0</v>
      </c>
      <c r="AH32" s="45">
        <f>EXP(-LN(2)/35)*AH31+(1-EXP(-LN(2)/35))/(LN(2)/35)*AD32*AE32*VLOOKUP('Données projet'!$B$9,Paramètres!$A$1:$I$88,3,0)*0.475*44/12</f>
        <v>0</v>
      </c>
      <c r="AI32" s="45">
        <f>EXP(-LN(2)/25)*AI31+(1-EXP(-LN(2)/25))/(LN(2)/25)*Calculateur!AD32*Calculateur!AF32*VLOOKUP('Données projet'!$B$9,Paramètres!$A$1:$I$88,3,0)*0.475*44/12</f>
        <v>0</v>
      </c>
      <c r="AJ32" s="45">
        <f>EXP(-LN(2)/2)*AJ31+(1-EXP(-LN(2)/2))/(LN(2)/2)*AD32*AG32*VLOOKUP('Données projet'!$B$9,Paramètres!$A$1:$I$88,3,0)*0.475*44/12</f>
        <v>0</v>
      </c>
      <c r="AK32" s="45">
        <f t="shared" si="3"/>
        <v>0</v>
      </c>
      <c r="AL32" s="32" t="e">
        <f>VLOOKUP(A32,'Données projet'!$A$87:$I$107,2,0)</f>
        <v>#N/A</v>
      </c>
      <c r="AM32" s="33" t="e">
        <f>VLOOKUP(A32,'Données projet'!$A$87:$I$107,9,0)</f>
        <v>#N/A</v>
      </c>
      <c r="AN32" s="33">
        <f t="array" ref="AN32">INDEX(AM:AM,MIN(IF(ISNUMBER(AM32:AM228),ROW(AM32:AM228),"")))</f>
        <v>0</v>
      </c>
      <c r="AO32" s="33">
        <f t="shared" si="26"/>
        <v>0</v>
      </c>
      <c r="AP32" s="34" t="e">
        <f>AO32*VLOOKUP('Données projet'!$B$11,Paramètres!$A$1:$I$88,3,0)*VLOOKUP('Données projet'!$B$11,Paramètres!$A$1:$I$88,5,0)</f>
        <v>#N/A</v>
      </c>
      <c r="AQ32" s="34" t="e">
        <f t="shared" si="27"/>
        <v>#N/A</v>
      </c>
      <c r="AR32" s="44" t="e">
        <f t="shared" si="4"/>
        <v>#N/A</v>
      </c>
      <c r="AS32" s="36">
        <f>IF(ISNA(VLOOKUP(A32,'Données projet'!$A$87:$I$107,3,0)),0,VLOOKUP(A32,'Données projet'!$A$87:$I$107,3,0))</f>
        <v>0</v>
      </c>
      <c r="AT32" s="36">
        <f>IF(ISNA(VLOOKUP(A32,'Données projet'!$A$87:$I$107,4,0)),0,VLOOKUP(A32,'Données projet'!$A$87:$I$107,4,0))</f>
        <v>0</v>
      </c>
      <c r="AU32" s="37">
        <f>IF(ISNA(VLOOKUP(A32,'Données projet'!$A$87:$I$107,5,0)),0%,VLOOKUP(A32,'Données projet'!$A$87:$I$107,5,0)*VLOOKUP('Données projet'!$B$11,Paramètres!$A$1:$I$88,7,0))</f>
        <v>0</v>
      </c>
      <c r="AV32" s="37">
        <f>IF(ISNA(VLOOKUP(A32,'Données projet'!$A$87:$I$107,6,0)),0%,VLOOKUP(A32,'Données projet'!$A$87:$I$107,6,0)*VLOOKUP('Données projet'!$B$11,Paramètres!$A$1:$I$88,7,0))</f>
        <v>0</v>
      </c>
      <c r="AW32" s="37">
        <f>IF(ISNA(VLOOKUP(A32,'Données projet'!$A$87:$I$107,7,0)),0%,VLOOKUP(A32,'Données projet'!$A$87:$I$107,7,0))</f>
        <v>0</v>
      </c>
      <c r="AX32" s="45">
        <f>EXP(-LN(2)/35)*AX31+(1-EXP(-LN(2)/35))/(LN(2)/35)*AT32*AU32*VLOOKUP('Données projet'!$B$9,Paramètres!$A$1:$I$88,3,0)*0.475*44/12</f>
        <v>0</v>
      </c>
      <c r="AY32" s="45">
        <f>EXP(-LN(2)/25)*AY31+(1-EXP(-LN(2)/25))/(LN(2)/25)*Calculateur!AT32*Calculateur!AV32*VLOOKUP('Données projet'!$B$9,Paramètres!$A$1:$I$88,3,0)*0.475*44/12</f>
        <v>0</v>
      </c>
      <c r="AZ32" s="45">
        <f>EXP(-LN(2)/2)*AZ31+(1-EXP(-LN(2)/2))/(LN(2)/2)*AT32*AW32*VLOOKUP('Données projet'!$B$9,Paramètres!$A$1:$I$88,3,0)*0.475*44/12</f>
        <v>0</v>
      </c>
      <c r="BA32" s="46">
        <f t="shared" si="5"/>
        <v>0</v>
      </c>
      <c r="BB32" s="32" t="e">
        <f>VLOOKUP(A32,'Données projet'!$A$113:$I$133,2,0)</f>
        <v>#N/A</v>
      </c>
      <c r="BC32" s="33" t="e">
        <f>VLOOKUP(A32,'Données projet'!$A$113:$I$133,9,0)</f>
        <v>#N/A</v>
      </c>
      <c r="BD32" s="33">
        <f t="array" ref="BD32">INDEX(BC:BC,MIN(IF(ISNUMBER(BC32:BC228),ROW(BC32:BC228),"")))</f>
        <v>0</v>
      </c>
      <c r="BE32" s="33">
        <f t="shared" si="28"/>
        <v>0</v>
      </c>
      <c r="BF32" s="34" t="e">
        <f>BE32*VLOOKUP('Données projet'!$B$12,Paramètres!$A$1:$I$88,3,0)*VLOOKUP('Données projet'!$B$12,Paramètres!$A$1:$I$88,5,0)</f>
        <v>#N/A</v>
      </c>
      <c r="BG32" s="34" t="e">
        <f t="shared" si="29"/>
        <v>#N/A</v>
      </c>
      <c r="BH32" s="44" t="e">
        <f t="shared" si="6"/>
        <v>#N/A</v>
      </c>
      <c r="BI32" s="36">
        <f>IF(ISNA(VLOOKUP(A32,'Données projet'!$A$113:$I$133,3,0)),0,VLOOKUP(A32,'Données projet'!$A$113:$I$133,3,0))</f>
        <v>0</v>
      </c>
      <c r="BJ32" s="36">
        <f>IF(ISNA(VLOOKUP(A32,'Données projet'!$A$113:$I$133,4,0)),0,VLOOKUP(A32,'Données projet'!$A$113:$I$133,4,0))</f>
        <v>0</v>
      </c>
      <c r="BK32" s="37">
        <f>IF(ISNA(VLOOKUP(A32,'Données projet'!$A$113:$I$133,5,0)),0%,VLOOKUP(A32,'Données projet'!$A$113:$I$133,5,0)*VLOOKUP('Données projet'!$B$12,Paramètres!$A$1:$I$88,7,0))</f>
        <v>0</v>
      </c>
      <c r="BL32" s="37">
        <f>IF(ISNA(VLOOKUP(A32,'Données projet'!$A$113:$I$133,6,0)),0%,VLOOKUP(A32,'Données projet'!$A$113:$I$133,6,0)*VLOOKUP('Données projet'!$B$12,Paramètres!$A$1:$I$88,7,0))</f>
        <v>0</v>
      </c>
      <c r="BM32" s="37">
        <f>IF(ISNA(VLOOKUP(A32,'Données projet'!$A$113:$I$133,7,0)),0%,VLOOKUP(A32,'Données projet'!$A$113:$I$133,7,0))</f>
        <v>0</v>
      </c>
      <c r="BN32" s="45">
        <f>EXP(-LN(2)/35)*BN31+(1-EXP(-LN(2)/35))/(LN(2)/35)*BJ32*BK32*VLOOKUP('Données projet'!$B$9,Paramètres!$A$1:$I$88,3,0)*0.475*44/12</f>
        <v>0</v>
      </c>
      <c r="BO32" s="45">
        <f>EXP(-LN(2)/25)*BO31+(1-EXP(-LN(2)/25))/(LN(2)/25)*Calculateur!BJ32*Calculateur!BL32*VLOOKUP('Données projet'!$B$9,Paramètres!$A$1:$I$88,3,0)*0.475*44/12</f>
        <v>0</v>
      </c>
      <c r="BP32" s="45">
        <f>EXP(-LN(2)/2)*BP31+(1-EXP(-LN(2)/2))/(LN(2)/2)*BJ32*BM32*VLOOKUP('Données projet'!$B$9,Paramètres!$A$1:$I$88,3,0)*0.475*44/12</f>
        <v>0</v>
      </c>
      <c r="BQ32" s="46">
        <f t="shared" si="7"/>
        <v>0</v>
      </c>
      <c r="BR32" s="32" t="e">
        <f>VLOOKUP(A32,'Données projet'!$A$139:$I$159,2,0)</f>
        <v>#N/A</v>
      </c>
      <c r="BS32" s="33" t="e">
        <f>VLOOKUP(A32,'Données projet'!$A$139:$I$159,9,0)</f>
        <v>#N/A</v>
      </c>
      <c r="BT32" s="33">
        <f t="array" ref="BT32">INDEX(BS:BS,MIN(IF(ISNUMBER(BS32:BS228),ROW(BS32:BS228),"")))</f>
        <v>0</v>
      </c>
      <c r="BU32" s="33">
        <f t="shared" si="41"/>
        <v>0</v>
      </c>
      <c r="BV32" s="38" t="e">
        <f>BU32*VLOOKUP('Données projet'!$B$13,Paramètres!$A$1:$I$88,3,0)*VLOOKUP('Données projet'!$B$13,Paramètres!$A$1:$I$88,5,0)</f>
        <v>#N/A</v>
      </c>
      <c r="BW32" s="34" t="e">
        <f t="shared" si="30"/>
        <v>#N/A</v>
      </c>
      <c r="BX32" s="44" t="e">
        <f t="shared" si="8"/>
        <v>#N/A</v>
      </c>
      <c r="BY32" s="36">
        <f>IF(ISNA(VLOOKUP(A32,'Données projet'!$A$139:$I$159,3,0)),0,VLOOKUP(A32,'Données projet'!$A$139:$I$159,3,0))</f>
        <v>0</v>
      </c>
      <c r="BZ32" s="36">
        <f>IF(ISNA(VLOOKUP(A32,'Données projet'!$A$139:$I$159,4,0)),0,VLOOKUP(A32,'Données projet'!$A$139:$I$159,4,0))</f>
        <v>0</v>
      </c>
      <c r="CA32" s="37">
        <f>IF(ISNA(VLOOKUP(A32,'Données projet'!$A$139:$I$159,5,0)),0%,VLOOKUP(A32,'Données projet'!$A$139:$I$159,5,0)*VLOOKUP('Données projet'!$B$13,Paramètres!$A$1:$I$88,7,0))</f>
        <v>0</v>
      </c>
      <c r="CB32" s="37">
        <f>IF(ISNA(VLOOKUP(A32,'Données projet'!$A$139:$I$159,6,0)),0%,VLOOKUP(A32,'Données projet'!$A$139:$I$159,6,0)*VLOOKUP('Données projet'!$B$13,Paramètres!$A$1:$I$88,7,0))</f>
        <v>0</v>
      </c>
      <c r="CC32" s="37">
        <f>IF(ISNA(VLOOKUP(A32,'Données projet'!$A$139:$I$159,7,0)),0%,VLOOKUP(A32,'Données projet'!$A$139:$I$159,7,0))</f>
        <v>0</v>
      </c>
      <c r="CD32" s="45">
        <f>EXP(-LN(2)/35)*CD31+(1-EXP(-LN(2)/35))/(LN(2)/35)*BZ32*CA32*VLOOKUP('Données projet'!$B$9,Paramètres!$A$1:$I$88,3,0)*0.475*44/12</f>
        <v>0</v>
      </c>
      <c r="CE32" s="45">
        <f>EXP(-LN(2)/25)*CE31+(1-EXP(-LN(2)/25))/(LN(2)/25)*Calculateur!BZ32*Calculateur!CB32*VLOOKUP('Données projet'!$B$9,Paramètres!$A$1:$I$88,3,0)*0.475*44/12</f>
        <v>0</v>
      </c>
      <c r="CF32" s="45">
        <f>EXP(-LN(2)/2)*CF31+(1-EXP(-LN(2)/2))/(LN(2)/2)*BZ32*CC32*VLOOKUP('Données projet'!$B$9,Paramètres!$A$1:$I$88,3,0)*0.475*44/12</f>
        <v>0</v>
      </c>
      <c r="CG32" s="46">
        <f t="shared" si="9"/>
        <v>0</v>
      </c>
      <c r="CH32" s="32" t="e">
        <f>VLOOKUP(A32,'Données projet'!$A$165:$I$185,2,0)</f>
        <v>#N/A</v>
      </c>
      <c r="CI32" s="33" t="e">
        <f>VLOOKUP(A32,'Données projet'!$A$165:$I$185,9,0)</f>
        <v>#N/A</v>
      </c>
      <c r="CJ32" s="33">
        <f t="array" ref="CJ32">INDEX(CI:CI,MIN(IF(ISNUMBER(CI32:CI228),ROW(CI32:CI228),"")))</f>
        <v>0</v>
      </c>
      <c r="CK32" s="33">
        <f t="shared" si="31"/>
        <v>0</v>
      </c>
      <c r="CL32" s="38" t="e">
        <f>CK32*VLOOKUP('Données projet'!$B$14,Paramètres!$A$1:$I$88,3,0)*VLOOKUP('Données projet'!$B$14,Paramètres!$A$1:$I$88,5,0)</f>
        <v>#N/A</v>
      </c>
      <c r="CM32" s="34" t="e">
        <f t="shared" si="32"/>
        <v>#N/A</v>
      </c>
      <c r="CN32" s="44" t="e">
        <f t="shared" si="10"/>
        <v>#N/A</v>
      </c>
      <c r="CO32" s="36">
        <f>IF(ISNA(VLOOKUP(A32,'Données projet'!$A$165:$I$185,3,0)),0,VLOOKUP(A32,'Données projet'!$A$165:$I$185,3,0))</f>
        <v>0</v>
      </c>
      <c r="CP32" s="36">
        <f>IF(ISNA(VLOOKUP(A32,'Données projet'!$A$165:$I$185,4,0)),0,VLOOKUP(A32,'Données projet'!$A$165:$I$185,4,0))</f>
        <v>0</v>
      </c>
      <c r="CQ32" s="37">
        <f>IF(ISNA(VLOOKUP(A32,'Données projet'!$A$165:$I$185,5,0)),0%,VLOOKUP(A32,'Données projet'!$A$165:$I$185,5,0)*VLOOKUP('Données projet'!$B$14,Paramètres!$A$1:$I$88,7,0))</f>
        <v>0</v>
      </c>
      <c r="CR32" s="37">
        <f>IF(ISNA(VLOOKUP(A32,'Données projet'!$A$165:$I$185,6,0)),0%,VLOOKUP(A32,'Données projet'!$A$165:$I$185,6,0)*VLOOKUP('Données projet'!$B$14,Paramètres!$A$1:$I$88,7,0))</f>
        <v>0</v>
      </c>
      <c r="CS32" s="37">
        <f>IF(ISNA(VLOOKUP(A32,'Données projet'!$A$165:$I$185,7,0)),0%,VLOOKUP(A32,'Données projet'!$A$165:$I$185,7,0))</f>
        <v>0</v>
      </c>
      <c r="CT32" s="45">
        <f>EXP(-LN(2)/35)*CT31+(1-EXP(-LN(2)/35))/(LN(2)/35)*CP32*CQ32*VLOOKUP('Données projet'!$B$9,Paramètres!$A$1:$I$88,3,0)*0.475*44/12</f>
        <v>0</v>
      </c>
      <c r="CU32" s="45">
        <f>EXP(-LN(2)/25)*CU31+(1-EXP(-LN(2)/25))/(LN(2)/25)*Calculateur!CP32*Calculateur!CR32*VLOOKUP('Données projet'!$B$9,Paramètres!$A$1:$I$88,3,0)*0.475*44/12</f>
        <v>0</v>
      </c>
      <c r="CV32" s="45">
        <f>EXP(-LN(2)/2)*CV31+(1-EXP(-LN(2)/2))/(LN(2)/2)*CP32*CS32*VLOOKUP('Données projet'!$B$9,Paramètres!$A$1:$I$88,3,0)*0.475*44/12</f>
        <v>0</v>
      </c>
      <c r="CW32" s="46">
        <f t="shared" si="11"/>
        <v>0</v>
      </c>
      <c r="CX32" s="32" t="e">
        <f>VLOOKUP(A32,'Données projet'!$A$191:$I$211,2,0)</f>
        <v>#N/A</v>
      </c>
      <c r="CY32" s="33" t="e">
        <f>VLOOKUP(A32,'Données projet'!$A$191:$I$211,9,0)</f>
        <v>#N/A</v>
      </c>
      <c r="CZ32" s="33">
        <f t="array" ref="CZ32">INDEX(CY:CY,MIN(IF(ISNUMBER(CY32:CY228),ROW(CY32:CY228),"")))</f>
        <v>0</v>
      </c>
      <c r="DA32" s="33">
        <f t="shared" si="33"/>
        <v>0</v>
      </c>
      <c r="DB32" s="38" t="e">
        <f>DA32*VLOOKUP('Données projet'!$B$15,Paramètres!$A$1:$I$88,3,0)*VLOOKUP('Données projet'!$B$15,Paramètres!$A$1:$I$88,5,0)</f>
        <v>#N/A</v>
      </c>
      <c r="DC32" s="34" t="e">
        <f t="shared" si="34"/>
        <v>#N/A</v>
      </c>
      <c r="DD32" s="44" t="e">
        <f t="shared" si="12"/>
        <v>#N/A</v>
      </c>
      <c r="DE32" s="36">
        <f>IF(ISNA(VLOOKUP(A32,'Données projet'!$A$191:$I$211,3,0)),0,VLOOKUP(A32,'Données projet'!$A$191:$I$211,3,0))</f>
        <v>0</v>
      </c>
      <c r="DF32" s="36">
        <f>IF(ISNA(VLOOKUP(A32,'Données projet'!$A$191:$I$211,4,0)),0,VLOOKUP(A32,'Données projet'!$A$191:$I$211,4,0))</f>
        <v>0</v>
      </c>
      <c r="DG32" s="37">
        <f>IF(ISNA(VLOOKUP(A32,'Données projet'!$A$191:$I$211,5,0)),0%,VLOOKUP(A32,'Données projet'!$A$191:$I$211,5,0)*VLOOKUP('Données projet'!$B$15,Paramètres!$A$1:$I$88,7,0))</f>
        <v>0</v>
      </c>
      <c r="DH32" s="37">
        <f>IF(ISNA(VLOOKUP(A32,'Données projet'!$A$191:$I$211,6,0)),0%,VLOOKUP(A32,'Données projet'!$A$191:$I$211,6,0)*VLOOKUP('Données projet'!$B$15,Paramètres!$A$1:$I$88,7,0))</f>
        <v>0</v>
      </c>
      <c r="DI32" s="37">
        <f>IF(ISNA(VLOOKUP(A32,'Données projet'!$A$191:$I$211,7,0)),0%,VLOOKUP(A32,'Données projet'!$A$191:$I$211,7,0))</f>
        <v>0</v>
      </c>
      <c r="DJ32" s="45">
        <f>EXP(-LN(2)/35)*DJ31+(1-EXP(-LN(2)/35))/(LN(2)/35)*DF32*DG32*VLOOKUP('Données projet'!$B$9,Paramètres!$A$1:$I$88,3,0)*0.475*44/12</f>
        <v>0</v>
      </c>
      <c r="DK32" s="45">
        <f>EXP(-LN(2)/25)*DK31+(1-EXP(-LN(2)/25))/(LN(2)/25)*Calculateur!DF32*Calculateur!DH32*VLOOKUP('Données projet'!$B$9,Paramètres!$A$1:$I$88,3,0)*0.475*44/12</f>
        <v>0</v>
      </c>
      <c r="DL32" s="45">
        <f>EXP(-LN(2)/2)*DL31+(1-EXP(-LN(2)/2))/(LN(2)/2)*DF32*DI32*VLOOKUP('Données projet'!$B$9,Paramètres!$A$1:$I$88,3,0)*0.475*44/12</f>
        <v>0</v>
      </c>
      <c r="DM32" s="46">
        <f t="shared" si="13"/>
        <v>0</v>
      </c>
      <c r="DN32" s="32" t="e">
        <f>VLOOKUP(A32,'Données projet'!$A$217:$I$237,2,0)</f>
        <v>#N/A</v>
      </c>
      <c r="DO32" s="33" t="e">
        <f>VLOOKUP(A32,'Données projet'!$A$217:$I$237,9,0)</f>
        <v>#N/A</v>
      </c>
      <c r="DP32" s="33">
        <f t="array" ref="DP32">INDEX(DO:DO,MIN(IF(ISNUMBER(DO32:DO228),ROW(DO32:DO228),"")))</f>
        <v>0</v>
      </c>
      <c r="DQ32" s="33">
        <f t="shared" si="35"/>
        <v>0</v>
      </c>
      <c r="DR32" s="38" t="e">
        <f>DQ32*VLOOKUP('Données projet'!$B$16,Paramètres!$A$1:$I$88,3,0)*VLOOKUP('Données projet'!$B$16,Paramètres!$A$1:$I$88,5,0)</f>
        <v>#N/A</v>
      </c>
      <c r="DS32" s="34" t="e">
        <f t="shared" si="36"/>
        <v>#N/A</v>
      </c>
      <c r="DT32" s="44" t="e">
        <f t="shared" si="14"/>
        <v>#N/A</v>
      </c>
      <c r="DU32" s="36">
        <f>IF(ISNA(VLOOKUP(A32,'Données projet'!$A$217:$I$237,3,0)),0,VLOOKUP(A32,'Données projet'!$A$217:$I$237,3,0))</f>
        <v>0</v>
      </c>
      <c r="DV32" s="36">
        <f>IF(ISNA(VLOOKUP(A32,'Données projet'!$A$217:$I$237,4,0)),0,VLOOKUP(A32,'Données projet'!$A$217:$I$237,4,0))</f>
        <v>0</v>
      </c>
      <c r="DW32" s="37">
        <f>IF(ISNA(VLOOKUP(A32,'Données projet'!$A$217:$I$237,5,0)),0%,VLOOKUP(A32,'Données projet'!$A$217:$I$237,5,0)*VLOOKUP('Données projet'!$B$16,Paramètres!$A$1:$I$88,7,0))</f>
        <v>0</v>
      </c>
      <c r="DX32" s="37">
        <f>IF(ISNA(VLOOKUP(A32,'Données projet'!$A$217:$I$237,6,0)),0%,VLOOKUP(A32,'Données projet'!$A$217:$I$237,6,0)*VLOOKUP('Données projet'!$B$16,Paramètres!$A$1:$I$88,7,0))</f>
        <v>0</v>
      </c>
      <c r="DY32" s="37">
        <f>IF(ISNA(VLOOKUP(A32,'Données projet'!$A$217:$I$237,7,0)),0%,VLOOKUP(A32,'Données projet'!$A$217:$I$237,7,0))</f>
        <v>0</v>
      </c>
      <c r="DZ32" s="45">
        <f>EXP(-LN(2)/35)*DZ31+(1-EXP(-LN(2)/35))/(LN(2)/35)*DV32*DW32*VLOOKUP('Données projet'!$B$9,Paramètres!$A$1:$I$88,3,0)*0.475*44/12</f>
        <v>0</v>
      </c>
      <c r="EA32" s="45">
        <f>EXP(-LN(2)/25)*EA31+(1-EXP(-LN(2)/25))/(LN(2)/25)*Calculateur!DV32*Calculateur!DX32*VLOOKUP('Données projet'!$B$9,Paramètres!$A$1:$I$88,3,0)*0.475*44/12</f>
        <v>0</v>
      </c>
      <c r="EB32" s="45">
        <f>EXP(-LN(2)/2)*EB31+(1-EXP(-LN(2)/2))/(LN(2)/2)*DV32*DY32*VLOOKUP('Données projet'!$B$9,Paramètres!$A$1:$I$88,3,0)*0.475*44/12</f>
        <v>0</v>
      </c>
      <c r="EC32" s="46">
        <f t="shared" si="15"/>
        <v>0</v>
      </c>
      <c r="ED32" s="32" t="e">
        <f>VLOOKUP(A32,'Données projet'!$A$243:$I$263,2,0)</f>
        <v>#N/A</v>
      </c>
      <c r="EE32" s="33" t="e">
        <f>VLOOKUP(A32,'Données projet'!$A$243:$I$263,9,0)</f>
        <v>#N/A</v>
      </c>
      <c r="EF32" s="33">
        <f t="array" ref="EF32">INDEX(EE:EE,MIN(IF(ISNUMBER(EE32:EE228),ROW(EE32:EE228),"")))</f>
        <v>0</v>
      </c>
      <c r="EG32" s="33">
        <f t="shared" si="37"/>
        <v>0</v>
      </c>
      <c r="EH32" s="38" t="e">
        <f>EG32*VLOOKUP('Données projet'!$B$17,Paramètres!$A$1:$I$88,3,0)*VLOOKUP('Données projet'!$B$17,Paramètres!$A$1:$I$88,5,0)</f>
        <v>#N/A</v>
      </c>
      <c r="EI32" s="34" t="e">
        <f t="shared" si="38"/>
        <v>#N/A</v>
      </c>
      <c r="EJ32" s="44" t="e">
        <f t="shared" si="16"/>
        <v>#N/A</v>
      </c>
      <c r="EK32" s="36">
        <f>IF(ISNA(VLOOKUP(A32,'Données projet'!$A$243:$I$263,3,0)),0,VLOOKUP(A32,'Données projet'!$A$243:$I$263,3,0))</f>
        <v>0</v>
      </c>
      <c r="EL32" s="36">
        <f>IF(ISNA(VLOOKUP(A32,'Données projet'!$A$243:$I$263,4,0)),0,VLOOKUP(A32,'Données projet'!$A$243:$I$263,4,0))</f>
        <v>0</v>
      </c>
      <c r="EM32" s="37">
        <f>IF(ISNA(VLOOKUP(A32,'Données projet'!$A$243:$I$263,5,0)),0%,VLOOKUP(A32,'Données projet'!$A$243:$I$263,5,0)*VLOOKUP('Données projet'!$B$17,Paramètres!$A$1:$I$88,7,0))</f>
        <v>0</v>
      </c>
      <c r="EN32" s="37">
        <f>IF(ISNA(VLOOKUP(A32,'Données projet'!$A$243:$I$263,6,0)),0%,VLOOKUP(A32,'Données projet'!$A$243:$I$263,6,0)*VLOOKUP('Données projet'!$B$17,Paramètres!$A$1:$I$88,7,0))</f>
        <v>0</v>
      </c>
      <c r="EO32" s="37">
        <f>IF(ISNA(VLOOKUP(A32,'Données projet'!$A$243:$I$263,7,0)),0%,VLOOKUP(A32,'Données projet'!$A$243:$I$263,7,0))</f>
        <v>0</v>
      </c>
      <c r="EP32" s="45">
        <f>EXP(-LN(2)/35)*EP31+(1-EXP(-LN(2)/35))/(LN(2)/35)*EL32*EM32*VLOOKUP('Données projet'!$B$9,Paramètres!$A$1:$I$88,3,0)*0.475*44/12</f>
        <v>0</v>
      </c>
      <c r="EQ32" s="45">
        <f>EXP(-LN(2)/25)*EQ31+(1-EXP(-LN(2)/25))/(LN(2)/25)*Calculateur!EL32*Calculateur!EN32*VLOOKUP('Données projet'!$B$9,Paramètres!$A$1:$I$88,3,0)*0.475*44/12</f>
        <v>0</v>
      </c>
      <c r="ER32" s="45">
        <f>EXP(-LN(2)/2)*ER31+(1-EXP(-LN(2)/2))/(LN(2)/2)*EL32*EO32*VLOOKUP('Données projet'!$B$9,Paramètres!$A$1:$I$88,3,0)*0.475*44/12</f>
        <v>0</v>
      </c>
      <c r="ES32" s="46">
        <f t="shared" si="17"/>
        <v>0</v>
      </c>
      <c r="ET32" s="32" t="e">
        <f>VLOOKUP(A32,'Données projet'!$A$269:$I$289,2,0)</f>
        <v>#N/A</v>
      </c>
      <c r="EU32" s="33" t="e">
        <f>VLOOKUP(A32,'Données projet'!$A$269:$I$289,9,0)</f>
        <v>#N/A</v>
      </c>
      <c r="EV32" s="33">
        <f t="array" ref="EV32">INDEX(EU:EU,MIN(IF(ISNUMBER(EU32:EU228),ROW(EU32:EU228),"")))</f>
        <v>0</v>
      </c>
      <c r="EW32" s="33">
        <f t="shared" si="39"/>
        <v>0</v>
      </c>
      <c r="EX32" s="38" t="e">
        <f>EW32*VLOOKUP('Données projet'!$B$18,Paramètres!$A$1:$I$88,3,0)*VLOOKUP('Données projet'!$B$18,Paramètres!$A$1:$I$88,5,0)</f>
        <v>#N/A</v>
      </c>
      <c r="EY32" s="34" t="e">
        <f t="shared" si="40"/>
        <v>#N/A</v>
      </c>
      <c r="EZ32" s="44" t="e">
        <f t="shared" si="18"/>
        <v>#N/A</v>
      </c>
      <c r="FA32" s="36">
        <f>IF(ISNA(VLOOKUP(A32,'Données projet'!$A$269:$I$289,3,0)),0,VLOOKUP(A32,'Données projet'!$A$269:$I$289,3,0))</f>
        <v>0</v>
      </c>
      <c r="FB32" s="36">
        <f>IF(ISNA(VLOOKUP(A32,'Données projet'!$A$269:$I$289,4,0)),0,VLOOKUP(A32,'Données projet'!$A$269:$I$289,4,0))</f>
        <v>0</v>
      </c>
      <c r="FC32" s="37">
        <f>IF(ISNA(VLOOKUP(A32,'Données projet'!$A$269:$I$289,5,0)),0%,VLOOKUP(A32,'Données projet'!$A$269:$I$289,5,0)*VLOOKUP('Données projet'!$B$18,Paramètres!$A$1:$I$88,7,0))</f>
        <v>0</v>
      </c>
      <c r="FD32" s="37">
        <f>IF(ISNA(VLOOKUP(A32,'Données projet'!$A$269:$I$289,6,0)),0%,VLOOKUP(A32,'Données projet'!$A$269:$I$289,6,0)*VLOOKUP('Données projet'!$B$18,Paramètres!$A$1:$I$88,7,0))</f>
        <v>0</v>
      </c>
      <c r="FE32" s="37">
        <f>IF(ISNA(VLOOKUP(A32,'Données projet'!$A$269:$I$289,7,0)),0%,VLOOKUP(A32,'Données projet'!$A$269:$I$289,7,0))</f>
        <v>0</v>
      </c>
      <c r="FF32" s="45">
        <f>EXP(-LN(2)/35)*FF31+(1-EXP(-LN(2)/35))/(LN(2)/35)*FB32*FC32*VLOOKUP('Données projet'!$B$9,Paramètres!$A$1:$I$88,3,0)*0.475*44/12</f>
        <v>0</v>
      </c>
      <c r="FG32" s="45">
        <f>EXP(-LN(2)/25)*FG31+(1-EXP(-LN(2)/25))/(LN(2)/25)*Calculateur!FB32*Calculateur!FD32*VLOOKUP('Données projet'!$B$9,Paramètres!$A$1:$I$88,3,0)*0.475*44/12</f>
        <v>0</v>
      </c>
      <c r="FH32" s="45">
        <f>EXP(-LN(2)/2)*FH31+(1-EXP(-LN(2)/2))/(LN(2)/2)*FB32*FE32*VLOOKUP('Données projet'!$B$9,Paramètres!$A$1:$I$88,3,0)*0.475*44/12</f>
        <v>0</v>
      </c>
      <c r="FI32" s="46">
        <f t="shared" si="19"/>
        <v>0</v>
      </c>
    </row>
    <row r="33" spans="1:165" x14ac:dyDescent="0.25">
      <c r="A33" s="24">
        <f t="shared" si="20"/>
        <v>30</v>
      </c>
      <c r="B33" s="25">
        <f>IF('Scénario référence'!$N$1=1,5,0)</f>
        <v>0</v>
      </c>
      <c r="C33" s="40">
        <f>IF(OR('Scénario référence'!$N$1=2,'Scénario référence'!$N$1=4),C32+1*VLOOKUP('Scénario référence'!$G$14,Paramètres!$A$1:$I$88,3,0)*VLOOKUP('Scénario référence'!$G$14,Paramètres!$A$1:$I$88,5,0),IF(OR('Scénario référence'!$N$1=3,'Scénario référence'!$N$1=5),C32+0.5*VLOOKUP('Scénario référence'!$G$14,Paramètres!$A$1:$I$88,3,0)*VLOOKUP('Scénario référence'!$G$14,Paramètres!$A$1:$I$88,5,0),0))</f>
        <v>16.379999999999995</v>
      </c>
      <c r="D33" s="26">
        <f t="shared" si="21"/>
        <v>5.4515478029518807</v>
      </c>
      <c r="E33" s="27">
        <f>IF('Scénario référence'!$N$1=1,B33*44/12,(C33+D33)*0.475*44/12)</f>
        <v>38.02327909014118</v>
      </c>
      <c r="F33" s="28">
        <f>VLOOKUP(A33,'Données projet'!$A$35:$I$55,2,0)</f>
        <v>97</v>
      </c>
      <c r="G33" s="28">
        <f>VLOOKUP(A33,'Données projet'!$A$35:$I$55,9,0)</f>
        <v>7</v>
      </c>
      <c r="H33" s="33">
        <f t="array" ref="H33">INDEX(G:G,MIN(IF(ISNUMBER(G33:G229),ROW(G33:G229),"")))</f>
        <v>7</v>
      </c>
      <c r="I33" s="28">
        <f t="shared" si="22"/>
        <v>97.000000000000014</v>
      </c>
      <c r="J33" s="41">
        <f>I33*VLOOKUP('Données projet'!$B$9,Paramètres!$A$1:$I$88,3,0)*VLOOKUP('Données projet'!$B$9,Paramètres!$A$1:$I$88,5,0)</f>
        <v>98.358000000000018</v>
      </c>
      <c r="K33" s="41">
        <f t="shared" si="23"/>
        <v>26.570437554143126</v>
      </c>
      <c r="L33" s="42">
        <f t="shared" si="0"/>
        <v>217.58369540679928</v>
      </c>
      <c r="M33" s="30">
        <f>IF(ISNA(VLOOKUP(A33,'Données projet'!$A$35:$I$55,3,0)),0,VLOOKUP(A33,'Données projet'!$A$35:$I$55,3,0))</f>
        <v>0</v>
      </c>
      <c r="N33" s="30">
        <f>IF(ISNA(VLOOKUP(A33,'Données projet'!$A$35:$I$55,4,0)),0,VLOOKUP(A33,'Données projet'!$A$35:$I$55,4,0))</f>
        <v>0</v>
      </c>
      <c r="O33" s="31">
        <f>IF(ISNA(VLOOKUP(A33,'Données projet'!$A$35:$I$55,5,0)),0%,VLOOKUP(A33,'Données projet'!$A$35:$I$55,5,0)*VLOOKUP('Données projet'!$B$9,Paramètres!$A$1:$I$88,7,0))</f>
        <v>0</v>
      </c>
      <c r="P33" s="31">
        <f>IF(ISNA(VLOOKUP(A33,'Données projet'!$A$35:$I$55,6,0)),0%,VLOOKUP(A33,'Données projet'!$A$35:$I$55,6,0)*VLOOKUP('Données projet'!$B$9,Paramètres!$A$1:$I$88,7,0))</f>
        <v>0</v>
      </c>
      <c r="Q33" s="31">
        <f>IF(ISNA(VLOOKUP(A33,'Données projet'!$A$35:$I$55,7,0)),0%,VLOOKUP(A33,'Données projet'!$A$35:$I$55,7,0))</f>
        <v>0</v>
      </c>
      <c r="R33" s="43">
        <f>EXP(-LN(2)/35)*R32+(1-EXP(-LN(2)/35))/(LN(2)/35)*N33*O33*VLOOKUP('Données projet'!$B$9,Paramètres!$A$1:$I$88,3,0)*0.475*44/12</f>
        <v>0</v>
      </c>
      <c r="S33" s="43">
        <f>EXP(-LN(2)/25)*S32+(1-EXP(-LN(2)/25))/(LN(2)/25)*Calculateur!N33*Calculateur!P33*VLOOKUP('Données projet'!$B$9,Paramètres!$A$1:$I$88,3,0)*0.475*44/12</f>
        <v>0</v>
      </c>
      <c r="T33" s="43">
        <f>EXP(-LN(2)/2)*T32+(1-EXP(-LN(2)/2))/(LN(2)/2)*N33*Q33*VLOOKUP('Données projet'!$B$9,Paramètres!$A$1:$I$88,3,0)*0.475*44/12</f>
        <v>0</v>
      </c>
      <c r="U33" s="43">
        <f t="shared" si="1"/>
        <v>0</v>
      </c>
      <c r="V33" s="32" t="e">
        <f>VLOOKUP(A33,'Données projet'!$A$61:$I$81,2,0)</f>
        <v>#N/A</v>
      </c>
      <c r="W33" s="33" t="e">
        <f>VLOOKUP(A33,'Données projet'!$A$61:$I$81,9,0)</f>
        <v>#N/A</v>
      </c>
      <c r="X33" s="33">
        <f t="array" ref="X33">INDEX(W:W,MIN(IF(ISNUMBER(W33:W229),ROW(W33:W229),"")))</f>
        <v>0</v>
      </c>
      <c r="Y33" s="33">
        <f t="shared" si="24"/>
        <v>0</v>
      </c>
      <c r="Z33" s="34" t="e">
        <f>Y33*VLOOKUP('Données projet'!$B$10,Paramètres!$A$1:$I$88,3,0)*VLOOKUP('Données projet'!$B$10,Paramètres!$A$1:$I$88,5,0)</f>
        <v>#N/A</v>
      </c>
      <c r="AA33" s="34" t="e">
        <f t="shared" si="25"/>
        <v>#N/A</v>
      </c>
      <c r="AB33" s="44" t="e">
        <f t="shared" si="2"/>
        <v>#N/A</v>
      </c>
      <c r="AC33" s="36">
        <f>IF(ISNA(VLOOKUP(A33,'Données projet'!$A$61:$I$81,3,0)),0,VLOOKUP(A33,'Données projet'!$A$61:$I$81,3,0))</f>
        <v>0</v>
      </c>
      <c r="AD33" s="36">
        <f>IF(ISNA(VLOOKUP(A33,'Données projet'!$A$61:$I$81,4,0)),0,VLOOKUP(A33,'Données projet'!$A$61:$I$81,4,0))</f>
        <v>0</v>
      </c>
      <c r="AE33" s="37">
        <f>IF(ISNA(VLOOKUP(A33,'Données projet'!$A$61:$I$81,5,0)),0%,VLOOKUP(A33,'Données projet'!$A$61:$I$81,5,0)*VLOOKUP('Données projet'!$B$10,Paramètres!$A$1:$I$88,7,0))</f>
        <v>0</v>
      </c>
      <c r="AF33" s="37">
        <f>IF(ISNA(VLOOKUP(A33,'Données projet'!$A$61:$I$81,6,0)),0%,VLOOKUP(A33,'Données projet'!$A$61:$I$81,6,0)*VLOOKUP('Données projet'!$B$10,Paramètres!$A$1:$I$88,7,0))</f>
        <v>0</v>
      </c>
      <c r="AG33" s="37">
        <f>IF(ISNA(VLOOKUP(A33,'Données projet'!$A$61:$I$81,7,0)),0%,VLOOKUP(A33,'Données projet'!$A$61:$I$81,7,0))</f>
        <v>0</v>
      </c>
      <c r="AH33" s="45">
        <f>EXP(-LN(2)/35)*AH32+(1-EXP(-LN(2)/35))/(LN(2)/35)*AD33*AE33*VLOOKUP('Données projet'!$B$9,Paramètres!$A$1:$I$88,3,0)*0.475*44/12</f>
        <v>0</v>
      </c>
      <c r="AI33" s="45">
        <f>EXP(-LN(2)/25)*AI32+(1-EXP(-LN(2)/25))/(LN(2)/25)*Calculateur!AD33*Calculateur!AF33*VLOOKUP('Données projet'!$B$9,Paramètres!$A$1:$I$88,3,0)*0.475*44/12</f>
        <v>0</v>
      </c>
      <c r="AJ33" s="45">
        <f>EXP(-LN(2)/2)*AJ32+(1-EXP(-LN(2)/2))/(LN(2)/2)*AD33*AG33*VLOOKUP('Données projet'!$B$9,Paramètres!$A$1:$I$88,3,0)*0.475*44/12</f>
        <v>0</v>
      </c>
      <c r="AK33" s="45">
        <f t="shared" si="3"/>
        <v>0</v>
      </c>
      <c r="AL33" s="32" t="e">
        <f>VLOOKUP(A33,'Données projet'!$A$87:$I$107,2,0)</f>
        <v>#N/A</v>
      </c>
      <c r="AM33" s="33" t="e">
        <f>VLOOKUP(A33,'Données projet'!$A$87:$I$107,9,0)</f>
        <v>#N/A</v>
      </c>
      <c r="AN33" s="33">
        <f t="array" ref="AN33">INDEX(AM:AM,MIN(IF(ISNUMBER(AM33:AM229),ROW(AM33:AM229),"")))</f>
        <v>0</v>
      </c>
      <c r="AO33" s="33">
        <f t="shared" si="26"/>
        <v>0</v>
      </c>
      <c r="AP33" s="34" t="e">
        <f>AO33*VLOOKUP('Données projet'!$B$11,Paramètres!$A$1:$I$88,3,0)*VLOOKUP('Données projet'!$B$11,Paramètres!$A$1:$I$88,5,0)</f>
        <v>#N/A</v>
      </c>
      <c r="AQ33" s="34" t="e">
        <f t="shared" si="27"/>
        <v>#N/A</v>
      </c>
      <c r="AR33" s="44" t="e">
        <f t="shared" si="4"/>
        <v>#N/A</v>
      </c>
      <c r="AS33" s="36">
        <f>IF(ISNA(VLOOKUP(A33,'Données projet'!$A$87:$I$107,3,0)),0,VLOOKUP(A33,'Données projet'!$A$87:$I$107,3,0))</f>
        <v>0</v>
      </c>
      <c r="AT33" s="36">
        <f>IF(ISNA(VLOOKUP(A33,'Données projet'!$A$87:$I$107,4,0)),0,VLOOKUP(A33,'Données projet'!$A$87:$I$107,4,0))</f>
        <v>0</v>
      </c>
      <c r="AU33" s="37">
        <f>IF(ISNA(VLOOKUP(A33,'Données projet'!$A$87:$I$107,5,0)),0%,VLOOKUP(A33,'Données projet'!$A$87:$I$107,5,0)*VLOOKUP('Données projet'!$B$11,Paramètres!$A$1:$I$88,7,0))</f>
        <v>0</v>
      </c>
      <c r="AV33" s="37">
        <f>IF(ISNA(VLOOKUP(A33,'Données projet'!$A$87:$I$107,6,0)),0%,VLOOKUP(A33,'Données projet'!$A$87:$I$107,6,0)*VLOOKUP('Données projet'!$B$11,Paramètres!$A$1:$I$88,7,0))</f>
        <v>0</v>
      </c>
      <c r="AW33" s="37">
        <f>IF(ISNA(VLOOKUP(A33,'Données projet'!$A$87:$I$107,7,0)),0%,VLOOKUP(A33,'Données projet'!$A$87:$I$107,7,0))</f>
        <v>0</v>
      </c>
      <c r="AX33" s="45">
        <f>EXP(-LN(2)/35)*AX32+(1-EXP(-LN(2)/35))/(LN(2)/35)*AT33*AU33*VLOOKUP('Données projet'!$B$9,Paramètres!$A$1:$I$88,3,0)*0.475*44/12</f>
        <v>0</v>
      </c>
      <c r="AY33" s="45">
        <f>EXP(-LN(2)/25)*AY32+(1-EXP(-LN(2)/25))/(LN(2)/25)*Calculateur!AT33*Calculateur!AV33*VLOOKUP('Données projet'!$B$9,Paramètres!$A$1:$I$88,3,0)*0.475*44/12</f>
        <v>0</v>
      </c>
      <c r="AZ33" s="45">
        <f>EXP(-LN(2)/2)*AZ32+(1-EXP(-LN(2)/2))/(LN(2)/2)*AT33*AW33*VLOOKUP('Données projet'!$B$9,Paramètres!$A$1:$I$88,3,0)*0.475*44/12</f>
        <v>0</v>
      </c>
      <c r="BA33" s="46">
        <f t="shared" si="5"/>
        <v>0</v>
      </c>
      <c r="BB33" s="32" t="e">
        <f>VLOOKUP(A33,'Données projet'!$A$113:$I$133,2,0)</f>
        <v>#N/A</v>
      </c>
      <c r="BC33" s="33" t="e">
        <f>VLOOKUP(A33,'Données projet'!$A$113:$I$133,9,0)</f>
        <v>#N/A</v>
      </c>
      <c r="BD33" s="33">
        <f t="array" ref="BD33">INDEX(BC:BC,MIN(IF(ISNUMBER(BC33:BC229),ROW(BC33:BC229),"")))</f>
        <v>0</v>
      </c>
      <c r="BE33" s="33">
        <f t="shared" si="28"/>
        <v>0</v>
      </c>
      <c r="BF33" s="34" t="e">
        <f>BE33*VLOOKUP('Données projet'!$B$12,Paramètres!$A$1:$I$88,3,0)*VLOOKUP('Données projet'!$B$12,Paramètres!$A$1:$I$88,5,0)</f>
        <v>#N/A</v>
      </c>
      <c r="BG33" s="34" t="e">
        <f t="shared" si="29"/>
        <v>#N/A</v>
      </c>
      <c r="BH33" s="44" t="e">
        <f t="shared" si="6"/>
        <v>#N/A</v>
      </c>
      <c r="BI33" s="36">
        <f>IF(ISNA(VLOOKUP(A33,'Données projet'!$A$113:$I$133,3,0)),0,VLOOKUP(A33,'Données projet'!$A$113:$I$133,3,0))</f>
        <v>0</v>
      </c>
      <c r="BJ33" s="36">
        <f>IF(ISNA(VLOOKUP(A33,'Données projet'!$A$113:$I$133,4,0)),0,VLOOKUP(A33,'Données projet'!$A$113:$I$133,4,0))</f>
        <v>0</v>
      </c>
      <c r="BK33" s="37">
        <f>IF(ISNA(VLOOKUP(A33,'Données projet'!$A$113:$I$133,5,0)),0%,VLOOKUP(A33,'Données projet'!$A$113:$I$133,5,0)*VLOOKUP('Données projet'!$B$12,Paramètres!$A$1:$I$88,7,0))</f>
        <v>0</v>
      </c>
      <c r="BL33" s="37">
        <f>IF(ISNA(VLOOKUP(A33,'Données projet'!$A$113:$I$133,6,0)),0%,VLOOKUP(A33,'Données projet'!$A$113:$I$133,6,0)*VLOOKUP('Données projet'!$B$12,Paramètres!$A$1:$I$88,7,0))</f>
        <v>0</v>
      </c>
      <c r="BM33" s="37">
        <f>IF(ISNA(VLOOKUP(A33,'Données projet'!$A$113:$I$133,7,0)),0%,VLOOKUP(A33,'Données projet'!$A$113:$I$133,7,0))</f>
        <v>0</v>
      </c>
      <c r="BN33" s="45">
        <f>EXP(-LN(2)/35)*BN32+(1-EXP(-LN(2)/35))/(LN(2)/35)*BJ33*BK33*VLOOKUP('Données projet'!$B$9,Paramètres!$A$1:$I$88,3,0)*0.475*44/12</f>
        <v>0</v>
      </c>
      <c r="BO33" s="45">
        <f>EXP(-LN(2)/25)*BO32+(1-EXP(-LN(2)/25))/(LN(2)/25)*Calculateur!BJ33*Calculateur!BL33*VLOOKUP('Données projet'!$B$9,Paramètres!$A$1:$I$88,3,0)*0.475*44/12</f>
        <v>0</v>
      </c>
      <c r="BP33" s="45">
        <f>EXP(-LN(2)/2)*BP32+(1-EXP(-LN(2)/2))/(LN(2)/2)*BJ33*BM33*VLOOKUP('Données projet'!$B$9,Paramètres!$A$1:$I$88,3,0)*0.475*44/12</f>
        <v>0</v>
      </c>
      <c r="BQ33" s="46">
        <f t="shared" si="7"/>
        <v>0</v>
      </c>
      <c r="BR33" s="32" t="e">
        <f>VLOOKUP(A33,'Données projet'!$A$139:$I$159,2,0)</f>
        <v>#N/A</v>
      </c>
      <c r="BS33" s="33" t="e">
        <f>VLOOKUP(A33,'Données projet'!$A$139:$I$159,9,0)</f>
        <v>#N/A</v>
      </c>
      <c r="BT33" s="33">
        <f t="array" ref="BT33">INDEX(BS:BS,MIN(IF(ISNUMBER(BS33:BS229),ROW(BS33:BS229),"")))</f>
        <v>0</v>
      </c>
      <c r="BU33" s="33">
        <f t="shared" si="41"/>
        <v>0</v>
      </c>
      <c r="BV33" s="38" t="e">
        <f>BU33*VLOOKUP('Données projet'!$B$13,Paramètres!$A$1:$I$88,3,0)*VLOOKUP('Données projet'!$B$13,Paramètres!$A$1:$I$88,5,0)</f>
        <v>#N/A</v>
      </c>
      <c r="BW33" s="34" t="e">
        <f t="shared" si="30"/>
        <v>#N/A</v>
      </c>
      <c r="BX33" s="44" t="e">
        <f t="shared" si="8"/>
        <v>#N/A</v>
      </c>
      <c r="BY33" s="36">
        <f>IF(ISNA(VLOOKUP(A33,'Données projet'!$A$139:$I$159,3,0)),0,VLOOKUP(A33,'Données projet'!$A$139:$I$159,3,0))</f>
        <v>0</v>
      </c>
      <c r="BZ33" s="36">
        <f>IF(ISNA(VLOOKUP(A33,'Données projet'!$A$139:$I$159,4,0)),0,VLOOKUP(A33,'Données projet'!$A$139:$I$159,4,0))</f>
        <v>0</v>
      </c>
      <c r="CA33" s="37">
        <f>IF(ISNA(VLOOKUP(A33,'Données projet'!$A$139:$I$159,5,0)),0%,VLOOKUP(A33,'Données projet'!$A$139:$I$159,5,0)*VLOOKUP('Données projet'!$B$13,Paramètres!$A$1:$I$88,7,0))</f>
        <v>0</v>
      </c>
      <c r="CB33" s="37">
        <f>IF(ISNA(VLOOKUP(A33,'Données projet'!$A$139:$I$159,6,0)),0%,VLOOKUP(A33,'Données projet'!$A$139:$I$159,6,0)*VLOOKUP('Données projet'!$B$13,Paramètres!$A$1:$I$88,7,0))</f>
        <v>0</v>
      </c>
      <c r="CC33" s="37">
        <f>IF(ISNA(VLOOKUP(A33,'Données projet'!$A$139:$I$159,7,0)),0%,VLOOKUP(A33,'Données projet'!$A$139:$I$159,7,0))</f>
        <v>0</v>
      </c>
      <c r="CD33" s="45">
        <f>EXP(-LN(2)/35)*CD32+(1-EXP(-LN(2)/35))/(LN(2)/35)*BZ33*CA33*VLOOKUP('Données projet'!$B$9,Paramètres!$A$1:$I$88,3,0)*0.475*44/12</f>
        <v>0</v>
      </c>
      <c r="CE33" s="45">
        <f>EXP(-LN(2)/25)*CE32+(1-EXP(-LN(2)/25))/(LN(2)/25)*Calculateur!BZ33*Calculateur!CB33*VLOOKUP('Données projet'!$B$9,Paramètres!$A$1:$I$88,3,0)*0.475*44/12</f>
        <v>0</v>
      </c>
      <c r="CF33" s="45">
        <f>EXP(-LN(2)/2)*CF32+(1-EXP(-LN(2)/2))/(LN(2)/2)*BZ33*CC33*VLOOKUP('Données projet'!$B$9,Paramètres!$A$1:$I$88,3,0)*0.475*44/12</f>
        <v>0</v>
      </c>
      <c r="CG33" s="46">
        <f t="shared" si="9"/>
        <v>0</v>
      </c>
      <c r="CH33" s="32" t="e">
        <f>VLOOKUP(A33,'Données projet'!$A$165:$I$185,2,0)</f>
        <v>#N/A</v>
      </c>
      <c r="CI33" s="33" t="e">
        <f>VLOOKUP(A33,'Données projet'!$A$165:$I$185,9,0)</f>
        <v>#N/A</v>
      </c>
      <c r="CJ33" s="33">
        <f t="array" ref="CJ33">INDEX(CI:CI,MIN(IF(ISNUMBER(CI33:CI229),ROW(CI33:CI229),"")))</f>
        <v>0</v>
      </c>
      <c r="CK33" s="33">
        <f t="shared" si="31"/>
        <v>0</v>
      </c>
      <c r="CL33" s="38" t="e">
        <f>CK33*VLOOKUP('Données projet'!$B$14,Paramètres!$A$1:$I$88,3,0)*VLOOKUP('Données projet'!$B$14,Paramètres!$A$1:$I$88,5,0)</f>
        <v>#N/A</v>
      </c>
      <c r="CM33" s="34" t="e">
        <f t="shared" si="32"/>
        <v>#N/A</v>
      </c>
      <c r="CN33" s="44" t="e">
        <f t="shared" si="10"/>
        <v>#N/A</v>
      </c>
      <c r="CO33" s="36">
        <f>IF(ISNA(VLOOKUP(A33,'Données projet'!$A$165:$I$185,3,0)),0,VLOOKUP(A33,'Données projet'!$A$165:$I$185,3,0))</f>
        <v>0</v>
      </c>
      <c r="CP33" s="36">
        <f>IF(ISNA(VLOOKUP(A33,'Données projet'!$A$165:$I$185,4,0)),0,VLOOKUP(A33,'Données projet'!$A$165:$I$185,4,0))</f>
        <v>0</v>
      </c>
      <c r="CQ33" s="37">
        <f>IF(ISNA(VLOOKUP(A33,'Données projet'!$A$165:$I$185,5,0)),0%,VLOOKUP(A33,'Données projet'!$A$165:$I$185,5,0)*VLOOKUP('Données projet'!$B$14,Paramètres!$A$1:$I$88,7,0))</f>
        <v>0</v>
      </c>
      <c r="CR33" s="37">
        <f>IF(ISNA(VLOOKUP(A33,'Données projet'!$A$165:$I$185,6,0)),0%,VLOOKUP(A33,'Données projet'!$A$165:$I$185,6,0)*VLOOKUP('Données projet'!$B$14,Paramètres!$A$1:$I$88,7,0))</f>
        <v>0</v>
      </c>
      <c r="CS33" s="37">
        <f>IF(ISNA(VLOOKUP(A33,'Données projet'!$A$165:$I$185,7,0)),0%,VLOOKUP(A33,'Données projet'!$A$165:$I$185,7,0))</f>
        <v>0</v>
      </c>
      <c r="CT33" s="45">
        <f>EXP(-LN(2)/35)*CT32+(1-EXP(-LN(2)/35))/(LN(2)/35)*CP33*CQ33*VLOOKUP('Données projet'!$B$9,Paramètres!$A$1:$I$88,3,0)*0.475*44/12</f>
        <v>0</v>
      </c>
      <c r="CU33" s="45">
        <f>EXP(-LN(2)/25)*CU32+(1-EXP(-LN(2)/25))/(LN(2)/25)*Calculateur!CP33*Calculateur!CR33*VLOOKUP('Données projet'!$B$9,Paramètres!$A$1:$I$88,3,0)*0.475*44/12</f>
        <v>0</v>
      </c>
      <c r="CV33" s="45">
        <f>EXP(-LN(2)/2)*CV32+(1-EXP(-LN(2)/2))/(LN(2)/2)*CP33*CS33*VLOOKUP('Données projet'!$B$9,Paramètres!$A$1:$I$88,3,0)*0.475*44/12</f>
        <v>0</v>
      </c>
      <c r="CW33" s="46">
        <f t="shared" si="11"/>
        <v>0</v>
      </c>
      <c r="CX33" s="32" t="e">
        <f>VLOOKUP(A33,'Données projet'!$A$191:$I$211,2,0)</f>
        <v>#N/A</v>
      </c>
      <c r="CY33" s="33" t="e">
        <f>VLOOKUP(A33,'Données projet'!$A$191:$I$211,9,0)</f>
        <v>#N/A</v>
      </c>
      <c r="CZ33" s="33">
        <f t="array" ref="CZ33">INDEX(CY:CY,MIN(IF(ISNUMBER(CY33:CY229),ROW(CY33:CY229),"")))</f>
        <v>0</v>
      </c>
      <c r="DA33" s="33">
        <f t="shared" si="33"/>
        <v>0</v>
      </c>
      <c r="DB33" s="38" t="e">
        <f>DA33*VLOOKUP('Données projet'!$B$15,Paramètres!$A$1:$I$88,3,0)*VLOOKUP('Données projet'!$B$15,Paramètres!$A$1:$I$88,5,0)</f>
        <v>#N/A</v>
      </c>
      <c r="DC33" s="34" t="e">
        <f t="shared" si="34"/>
        <v>#N/A</v>
      </c>
      <c r="DD33" s="44" t="e">
        <f t="shared" si="12"/>
        <v>#N/A</v>
      </c>
      <c r="DE33" s="36">
        <f>IF(ISNA(VLOOKUP(A33,'Données projet'!$A$191:$I$211,3,0)),0,VLOOKUP(A33,'Données projet'!$A$191:$I$211,3,0))</f>
        <v>0</v>
      </c>
      <c r="DF33" s="36">
        <f>IF(ISNA(VLOOKUP(A33,'Données projet'!$A$191:$I$211,4,0)),0,VLOOKUP(A33,'Données projet'!$A$191:$I$211,4,0))</f>
        <v>0</v>
      </c>
      <c r="DG33" s="37">
        <f>IF(ISNA(VLOOKUP(A33,'Données projet'!$A$191:$I$211,5,0)),0%,VLOOKUP(A33,'Données projet'!$A$191:$I$211,5,0)*VLOOKUP('Données projet'!$B$15,Paramètres!$A$1:$I$88,7,0))</f>
        <v>0</v>
      </c>
      <c r="DH33" s="37">
        <f>IF(ISNA(VLOOKUP(A33,'Données projet'!$A$191:$I$211,6,0)),0%,VLOOKUP(A33,'Données projet'!$A$191:$I$211,6,0)*VLOOKUP('Données projet'!$B$15,Paramètres!$A$1:$I$88,7,0))</f>
        <v>0</v>
      </c>
      <c r="DI33" s="37">
        <f>IF(ISNA(VLOOKUP(A33,'Données projet'!$A$191:$I$211,7,0)),0%,VLOOKUP(A33,'Données projet'!$A$191:$I$211,7,0))</f>
        <v>0</v>
      </c>
      <c r="DJ33" s="45">
        <f>EXP(-LN(2)/35)*DJ32+(1-EXP(-LN(2)/35))/(LN(2)/35)*DF33*DG33*VLOOKUP('Données projet'!$B$9,Paramètres!$A$1:$I$88,3,0)*0.475*44/12</f>
        <v>0</v>
      </c>
      <c r="DK33" s="45">
        <f>EXP(-LN(2)/25)*DK32+(1-EXP(-LN(2)/25))/(LN(2)/25)*Calculateur!DF33*Calculateur!DH33*VLOOKUP('Données projet'!$B$9,Paramètres!$A$1:$I$88,3,0)*0.475*44/12</f>
        <v>0</v>
      </c>
      <c r="DL33" s="45">
        <f>EXP(-LN(2)/2)*DL32+(1-EXP(-LN(2)/2))/(LN(2)/2)*DF33*DI33*VLOOKUP('Données projet'!$B$9,Paramètres!$A$1:$I$88,3,0)*0.475*44/12</f>
        <v>0</v>
      </c>
      <c r="DM33" s="46">
        <f t="shared" si="13"/>
        <v>0</v>
      </c>
      <c r="DN33" s="32" t="e">
        <f>VLOOKUP(A33,'Données projet'!$A$217:$I$237,2,0)</f>
        <v>#N/A</v>
      </c>
      <c r="DO33" s="33" t="e">
        <f>VLOOKUP(A33,'Données projet'!$A$217:$I$237,9,0)</f>
        <v>#N/A</v>
      </c>
      <c r="DP33" s="33">
        <f t="array" ref="DP33">INDEX(DO:DO,MIN(IF(ISNUMBER(DO33:DO229),ROW(DO33:DO229),"")))</f>
        <v>0</v>
      </c>
      <c r="DQ33" s="33">
        <f t="shared" si="35"/>
        <v>0</v>
      </c>
      <c r="DR33" s="38" t="e">
        <f>DQ33*VLOOKUP('Données projet'!$B$16,Paramètres!$A$1:$I$88,3,0)*VLOOKUP('Données projet'!$B$16,Paramètres!$A$1:$I$88,5,0)</f>
        <v>#N/A</v>
      </c>
      <c r="DS33" s="34" t="e">
        <f t="shared" si="36"/>
        <v>#N/A</v>
      </c>
      <c r="DT33" s="44" t="e">
        <f t="shared" si="14"/>
        <v>#N/A</v>
      </c>
      <c r="DU33" s="36">
        <f>IF(ISNA(VLOOKUP(A33,'Données projet'!$A$217:$I$237,3,0)),0,VLOOKUP(A33,'Données projet'!$A$217:$I$237,3,0))</f>
        <v>0</v>
      </c>
      <c r="DV33" s="36">
        <f>IF(ISNA(VLOOKUP(A33,'Données projet'!$A$217:$I$237,4,0)),0,VLOOKUP(A33,'Données projet'!$A$217:$I$237,4,0))</f>
        <v>0</v>
      </c>
      <c r="DW33" s="37">
        <f>IF(ISNA(VLOOKUP(A33,'Données projet'!$A$217:$I$237,5,0)),0%,VLOOKUP(A33,'Données projet'!$A$217:$I$237,5,0)*VLOOKUP('Données projet'!$B$16,Paramètres!$A$1:$I$88,7,0))</f>
        <v>0</v>
      </c>
      <c r="DX33" s="37">
        <f>IF(ISNA(VLOOKUP(A33,'Données projet'!$A$217:$I$237,6,0)),0%,VLOOKUP(A33,'Données projet'!$A$217:$I$237,6,0)*VLOOKUP('Données projet'!$B$16,Paramètres!$A$1:$I$88,7,0))</f>
        <v>0</v>
      </c>
      <c r="DY33" s="37">
        <f>IF(ISNA(VLOOKUP(A33,'Données projet'!$A$217:$I$237,7,0)),0%,VLOOKUP(A33,'Données projet'!$A$217:$I$237,7,0))</f>
        <v>0</v>
      </c>
      <c r="DZ33" s="45">
        <f>EXP(-LN(2)/35)*DZ32+(1-EXP(-LN(2)/35))/(LN(2)/35)*DV33*DW33*VLOOKUP('Données projet'!$B$9,Paramètres!$A$1:$I$88,3,0)*0.475*44/12</f>
        <v>0</v>
      </c>
      <c r="EA33" s="45">
        <f>EXP(-LN(2)/25)*EA32+(1-EXP(-LN(2)/25))/(LN(2)/25)*Calculateur!DV33*Calculateur!DX33*VLOOKUP('Données projet'!$B$9,Paramètres!$A$1:$I$88,3,0)*0.475*44/12</f>
        <v>0</v>
      </c>
      <c r="EB33" s="45">
        <f>EXP(-LN(2)/2)*EB32+(1-EXP(-LN(2)/2))/(LN(2)/2)*DV33*DY33*VLOOKUP('Données projet'!$B$9,Paramètres!$A$1:$I$88,3,0)*0.475*44/12</f>
        <v>0</v>
      </c>
      <c r="EC33" s="46">
        <f t="shared" si="15"/>
        <v>0</v>
      </c>
      <c r="ED33" s="32" t="e">
        <f>VLOOKUP(A33,'Données projet'!$A$243:$I$263,2,0)</f>
        <v>#N/A</v>
      </c>
      <c r="EE33" s="33" t="e">
        <f>VLOOKUP(A33,'Données projet'!$A$243:$I$263,9,0)</f>
        <v>#N/A</v>
      </c>
      <c r="EF33" s="33">
        <f t="array" ref="EF33">INDEX(EE:EE,MIN(IF(ISNUMBER(EE33:EE229),ROW(EE33:EE229),"")))</f>
        <v>0</v>
      </c>
      <c r="EG33" s="33">
        <f t="shared" si="37"/>
        <v>0</v>
      </c>
      <c r="EH33" s="38" t="e">
        <f>EG33*VLOOKUP('Données projet'!$B$17,Paramètres!$A$1:$I$88,3,0)*VLOOKUP('Données projet'!$B$17,Paramètres!$A$1:$I$88,5,0)</f>
        <v>#N/A</v>
      </c>
      <c r="EI33" s="34" t="e">
        <f t="shared" si="38"/>
        <v>#N/A</v>
      </c>
      <c r="EJ33" s="44" t="e">
        <f t="shared" si="16"/>
        <v>#N/A</v>
      </c>
      <c r="EK33" s="36">
        <f>IF(ISNA(VLOOKUP(A33,'Données projet'!$A$243:$I$263,3,0)),0,VLOOKUP(A33,'Données projet'!$A$243:$I$263,3,0))</f>
        <v>0</v>
      </c>
      <c r="EL33" s="36">
        <f>IF(ISNA(VLOOKUP(A33,'Données projet'!$A$243:$I$263,4,0)),0,VLOOKUP(A33,'Données projet'!$A$243:$I$263,4,0))</f>
        <v>0</v>
      </c>
      <c r="EM33" s="37">
        <f>IF(ISNA(VLOOKUP(A33,'Données projet'!$A$243:$I$263,5,0)),0%,VLOOKUP(A33,'Données projet'!$A$243:$I$263,5,0)*VLOOKUP('Données projet'!$B$17,Paramètres!$A$1:$I$88,7,0))</f>
        <v>0</v>
      </c>
      <c r="EN33" s="37">
        <f>IF(ISNA(VLOOKUP(A33,'Données projet'!$A$243:$I$263,6,0)),0%,VLOOKUP(A33,'Données projet'!$A$243:$I$263,6,0)*VLOOKUP('Données projet'!$B$17,Paramètres!$A$1:$I$88,7,0))</f>
        <v>0</v>
      </c>
      <c r="EO33" s="37">
        <f>IF(ISNA(VLOOKUP(A33,'Données projet'!$A$243:$I$263,7,0)),0%,VLOOKUP(A33,'Données projet'!$A$243:$I$263,7,0))</f>
        <v>0</v>
      </c>
      <c r="EP33" s="45">
        <f>EXP(-LN(2)/35)*EP32+(1-EXP(-LN(2)/35))/(LN(2)/35)*EL33*EM33*VLOOKUP('Données projet'!$B$9,Paramètres!$A$1:$I$88,3,0)*0.475*44/12</f>
        <v>0</v>
      </c>
      <c r="EQ33" s="45">
        <f>EXP(-LN(2)/25)*EQ32+(1-EXP(-LN(2)/25))/(LN(2)/25)*Calculateur!EL33*Calculateur!EN33*VLOOKUP('Données projet'!$B$9,Paramètres!$A$1:$I$88,3,0)*0.475*44/12</f>
        <v>0</v>
      </c>
      <c r="ER33" s="45">
        <f>EXP(-LN(2)/2)*ER32+(1-EXP(-LN(2)/2))/(LN(2)/2)*EL33*EO33*VLOOKUP('Données projet'!$B$9,Paramètres!$A$1:$I$88,3,0)*0.475*44/12</f>
        <v>0</v>
      </c>
      <c r="ES33" s="46">
        <f t="shared" si="17"/>
        <v>0</v>
      </c>
      <c r="ET33" s="32" t="e">
        <f>VLOOKUP(A33,'Données projet'!$A$269:$I$289,2,0)</f>
        <v>#N/A</v>
      </c>
      <c r="EU33" s="33" t="e">
        <f>VLOOKUP(A33,'Données projet'!$A$269:$I$289,9,0)</f>
        <v>#N/A</v>
      </c>
      <c r="EV33" s="33">
        <f t="array" ref="EV33">INDEX(EU:EU,MIN(IF(ISNUMBER(EU33:EU229),ROW(EU33:EU229),"")))</f>
        <v>0</v>
      </c>
      <c r="EW33" s="33">
        <f t="shared" si="39"/>
        <v>0</v>
      </c>
      <c r="EX33" s="38" t="e">
        <f>EW33*VLOOKUP('Données projet'!$B$18,Paramètres!$A$1:$I$88,3,0)*VLOOKUP('Données projet'!$B$18,Paramètres!$A$1:$I$88,5,0)</f>
        <v>#N/A</v>
      </c>
      <c r="EY33" s="34" t="e">
        <f t="shared" si="40"/>
        <v>#N/A</v>
      </c>
      <c r="EZ33" s="44" t="e">
        <f t="shared" si="18"/>
        <v>#N/A</v>
      </c>
      <c r="FA33" s="36">
        <f>IF(ISNA(VLOOKUP(A33,'Données projet'!$A$269:$I$289,3,0)),0,VLOOKUP(A33,'Données projet'!$A$269:$I$289,3,0))</f>
        <v>0</v>
      </c>
      <c r="FB33" s="36">
        <f>IF(ISNA(VLOOKUP(A33,'Données projet'!$A$269:$I$289,4,0)),0,VLOOKUP(A33,'Données projet'!$A$269:$I$289,4,0))</f>
        <v>0</v>
      </c>
      <c r="FC33" s="37">
        <f>IF(ISNA(VLOOKUP(A33,'Données projet'!$A$269:$I$289,5,0)),0%,VLOOKUP(A33,'Données projet'!$A$269:$I$289,5,0)*VLOOKUP('Données projet'!$B$18,Paramètres!$A$1:$I$88,7,0))</f>
        <v>0</v>
      </c>
      <c r="FD33" s="37">
        <f>IF(ISNA(VLOOKUP(A33,'Données projet'!$A$269:$I$289,6,0)),0%,VLOOKUP(A33,'Données projet'!$A$269:$I$289,6,0)*VLOOKUP('Données projet'!$B$18,Paramètres!$A$1:$I$88,7,0))</f>
        <v>0</v>
      </c>
      <c r="FE33" s="37">
        <f>IF(ISNA(VLOOKUP(A33,'Données projet'!$A$269:$I$289,7,0)),0%,VLOOKUP(A33,'Données projet'!$A$269:$I$289,7,0))</f>
        <v>0</v>
      </c>
      <c r="FF33" s="45">
        <f>EXP(-LN(2)/35)*FF32+(1-EXP(-LN(2)/35))/(LN(2)/35)*FB33*FC33*VLOOKUP('Données projet'!$B$9,Paramètres!$A$1:$I$88,3,0)*0.475*44/12</f>
        <v>0</v>
      </c>
      <c r="FG33" s="45">
        <f>EXP(-LN(2)/25)*FG32+(1-EXP(-LN(2)/25))/(LN(2)/25)*Calculateur!FB33*Calculateur!FD33*VLOOKUP('Données projet'!$B$9,Paramètres!$A$1:$I$88,3,0)*0.475*44/12</f>
        <v>0</v>
      </c>
      <c r="FH33" s="45">
        <f>EXP(-LN(2)/2)*FH32+(1-EXP(-LN(2)/2))/(LN(2)/2)*FB33*FE33*VLOOKUP('Données projet'!$B$9,Paramètres!$A$1:$I$88,3,0)*0.475*44/12</f>
        <v>0</v>
      </c>
      <c r="FI33" s="46">
        <f t="shared" si="19"/>
        <v>0</v>
      </c>
    </row>
    <row r="34" spans="1:165" x14ac:dyDescent="0.25">
      <c r="A34" s="24">
        <f t="shared" si="20"/>
        <v>31</v>
      </c>
      <c r="B34" s="25">
        <f>IF('Scénario référence'!$N$1=1,5,0)</f>
        <v>0</v>
      </c>
      <c r="C34" s="40">
        <f>IF(OR('Scénario référence'!$N$1=2,'Scénario référence'!$N$1=4),C33+1*VLOOKUP('Scénario référence'!$G$14,Paramètres!$A$1:$I$88,3,0)*VLOOKUP('Scénario référence'!$G$14,Paramètres!$A$1:$I$88,5,0),IF(OR('Scénario référence'!$N$1=3,'Scénario référence'!$N$1=5),C33+0.5*VLOOKUP('Scénario référence'!$G$14,Paramètres!$A$1:$I$88,3,0)*VLOOKUP('Scénario référence'!$G$14,Paramètres!$A$1:$I$88,5,0),0))</f>
        <v>16.925999999999995</v>
      </c>
      <c r="D34" s="26">
        <f t="shared" si="21"/>
        <v>5.6118063562438518</v>
      </c>
      <c r="E34" s="27">
        <f>IF('Scénario référence'!$N$1=1,B34*44/12,(C34+D34)*0.475*44/12)</f>
        <v>39.253346070458029</v>
      </c>
      <c r="F34" s="28" t="e">
        <f>VLOOKUP(A34,'Données projet'!$A$35:$I$55,2,0)</f>
        <v>#N/A</v>
      </c>
      <c r="G34" s="28" t="e">
        <f>VLOOKUP(A34,'Données projet'!$A$35:$I$55,9,0)</f>
        <v>#N/A</v>
      </c>
      <c r="H34" s="33">
        <f t="array" ref="H34">INDEX(G:G,MIN(IF(ISNUMBER(G34:G230),ROW(G34:G230),"")))</f>
        <v>8.6</v>
      </c>
      <c r="I34" s="28">
        <f t="shared" si="22"/>
        <v>105.60000000000001</v>
      </c>
      <c r="J34" s="41">
        <f>I34*VLOOKUP('Données projet'!$B$9,Paramètres!$A$1:$I$88,3,0)*VLOOKUP('Données projet'!$B$9,Paramètres!$A$1:$I$88,5,0)</f>
        <v>107.07840000000003</v>
      </c>
      <c r="K34" s="41">
        <f t="shared" si="23"/>
        <v>28.641558109101805</v>
      </c>
      <c r="L34" s="42">
        <f t="shared" si="0"/>
        <v>236.37892704001902</v>
      </c>
      <c r="M34" s="30">
        <f>IF(ISNA(VLOOKUP(A34,'Données projet'!$A$35:$I$55,3,0)),0,VLOOKUP(A34,'Données projet'!$A$35:$I$55,3,0))</f>
        <v>0</v>
      </c>
      <c r="N34" s="30">
        <f>IF(ISNA(VLOOKUP(A34,'Données projet'!$A$35:$I$55,4,0)),0,VLOOKUP(A34,'Données projet'!$A$35:$I$55,4,0))</f>
        <v>0</v>
      </c>
      <c r="O34" s="31">
        <f>IF(ISNA(VLOOKUP(A34,'Données projet'!$A$35:$I$55,5,0)),0%,VLOOKUP(A34,'Données projet'!$A$35:$I$55,5,0)*VLOOKUP('Données projet'!$B$9,Paramètres!$A$1:$I$88,7,0))</f>
        <v>0</v>
      </c>
      <c r="P34" s="31">
        <f>IF(ISNA(VLOOKUP(A34,'Données projet'!$A$35:$I$55,6,0)),0%,VLOOKUP(A34,'Données projet'!$A$35:$I$55,6,0)*VLOOKUP('Données projet'!$B$9,Paramètres!$A$1:$I$88,7,0))</f>
        <v>0</v>
      </c>
      <c r="Q34" s="31">
        <f>IF(ISNA(VLOOKUP(A34,'Données projet'!$A$35:$I$55,7,0)),0%,VLOOKUP(A34,'Données projet'!$A$35:$I$55,7,0))</f>
        <v>0</v>
      </c>
      <c r="R34" s="43">
        <f>EXP(-LN(2)/35)*R33+(1-EXP(-LN(2)/35))/(LN(2)/35)*N34*O34*VLOOKUP('Données projet'!$B$9,Paramètres!$A$1:$I$88,3,0)*0.475*44/12</f>
        <v>0</v>
      </c>
      <c r="S34" s="43">
        <f>EXP(-LN(2)/25)*S33+(1-EXP(-LN(2)/25))/(LN(2)/25)*Calculateur!N34*Calculateur!P34*VLOOKUP('Données projet'!$B$9,Paramètres!$A$1:$I$88,3,0)*0.475*44/12</f>
        <v>0</v>
      </c>
      <c r="T34" s="43">
        <f>EXP(-LN(2)/2)*T33+(1-EXP(-LN(2)/2))/(LN(2)/2)*N34*Q34*VLOOKUP('Données projet'!$B$9,Paramètres!$A$1:$I$88,3,0)*0.475*44/12</f>
        <v>0</v>
      </c>
      <c r="U34" s="43">
        <f t="shared" si="1"/>
        <v>0</v>
      </c>
      <c r="V34" s="32" t="e">
        <f>VLOOKUP(A34,'Données projet'!$A$61:$I$81,2,0)</f>
        <v>#N/A</v>
      </c>
      <c r="W34" s="33" t="e">
        <f>VLOOKUP(A34,'Données projet'!$A$61:$I$81,9,0)</f>
        <v>#N/A</v>
      </c>
      <c r="X34" s="33">
        <f t="array" ref="X34">INDEX(W:W,MIN(IF(ISNUMBER(W34:W230),ROW(W34:W230),"")))</f>
        <v>0</v>
      </c>
      <c r="Y34" s="33">
        <f t="shared" si="24"/>
        <v>0</v>
      </c>
      <c r="Z34" s="34" t="e">
        <f>Y34*VLOOKUP('Données projet'!$B$10,Paramètres!$A$1:$I$88,3,0)*VLOOKUP('Données projet'!$B$10,Paramètres!$A$1:$I$88,5,0)</f>
        <v>#N/A</v>
      </c>
      <c r="AA34" s="34" t="e">
        <f t="shared" si="25"/>
        <v>#N/A</v>
      </c>
      <c r="AB34" s="44" t="e">
        <f t="shared" si="2"/>
        <v>#N/A</v>
      </c>
      <c r="AC34" s="36">
        <f>IF(ISNA(VLOOKUP(A34,'Données projet'!$A$61:$I$81,3,0)),0,VLOOKUP(A34,'Données projet'!$A$61:$I$81,3,0))</f>
        <v>0</v>
      </c>
      <c r="AD34" s="36">
        <f>IF(ISNA(VLOOKUP(A34,'Données projet'!$A$61:$I$81,4,0)),0,VLOOKUP(A34,'Données projet'!$A$61:$I$81,4,0))</f>
        <v>0</v>
      </c>
      <c r="AE34" s="37">
        <f>IF(ISNA(VLOOKUP(A34,'Données projet'!$A$61:$I$81,5,0)),0%,VLOOKUP(A34,'Données projet'!$A$61:$I$81,5,0)*VLOOKUP('Données projet'!$B$10,Paramètres!$A$1:$I$88,7,0))</f>
        <v>0</v>
      </c>
      <c r="AF34" s="37">
        <f>IF(ISNA(VLOOKUP(A34,'Données projet'!$A$61:$I$81,6,0)),0%,VLOOKUP(A34,'Données projet'!$A$61:$I$81,6,0)*VLOOKUP('Données projet'!$B$10,Paramètres!$A$1:$I$88,7,0))</f>
        <v>0</v>
      </c>
      <c r="AG34" s="37">
        <f>IF(ISNA(VLOOKUP(A34,'Données projet'!$A$61:$I$81,7,0)),0%,VLOOKUP(A34,'Données projet'!$A$61:$I$81,7,0))</f>
        <v>0</v>
      </c>
      <c r="AH34" s="45">
        <f>EXP(-LN(2)/35)*AH33+(1-EXP(-LN(2)/35))/(LN(2)/35)*AD34*AE34*VLOOKUP('Données projet'!$B$9,Paramètres!$A$1:$I$88,3,0)*0.475*44/12</f>
        <v>0</v>
      </c>
      <c r="AI34" s="45">
        <f>EXP(-LN(2)/25)*AI33+(1-EXP(-LN(2)/25))/(LN(2)/25)*Calculateur!AD34*Calculateur!AF34*VLOOKUP('Données projet'!$B$9,Paramètres!$A$1:$I$88,3,0)*0.475*44/12</f>
        <v>0</v>
      </c>
      <c r="AJ34" s="45">
        <f>EXP(-LN(2)/2)*AJ33+(1-EXP(-LN(2)/2))/(LN(2)/2)*AD34*AG34*VLOOKUP('Données projet'!$B$9,Paramètres!$A$1:$I$88,3,0)*0.475*44/12</f>
        <v>0</v>
      </c>
      <c r="AK34" s="45">
        <f t="shared" si="3"/>
        <v>0</v>
      </c>
      <c r="AL34" s="32" t="e">
        <f>VLOOKUP(A34,'Données projet'!$A$87:$I$107,2,0)</f>
        <v>#N/A</v>
      </c>
      <c r="AM34" s="33" t="e">
        <f>VLOOKUP(A34,'Données projet'!$A$87:$I$107,9,0)</f>
        <v>#N/A</v>
      </c>
      <c r="AN34" s="33">
        <f t="array" ref="AN34">INDEX(AM:AM,MIN(IF(ISNUMBER(AM34:AM230),ROW(AM34:AM230),"")))</f>
        <v>0</v>
      </c>
      <c r="AO34" s="33">
        <f t="shared" si="26"/>
        <v>0</v>
      </c>
      <c r="AP34" s="34" t="e">
        <f>AO34*VLOOKUP('Données projet'!$B$11,Paramètres!$A$1:$I$88,3,0)*VLOOKUP('Données projet'!$B$11,Paramètres!$A$1:$I$88,5,0)</f>
        <v>#N/A</v>
      </c>
      <c r="AQ34" s="34" t="e">
        <f t="shared" si="27"/>
        <v>#N/A</v>
      </c>
      <c r="AR34" s="44" t="e">
        <f t="shared" si="4"/>
        <v>#N/A</v>
      </c>
      <c r="AS34" s="36">
        <f>IF(ISNA(VLOOKUP(A34,'Données projet'!$A$87:$I$107,3,0)),0,VLOOKUP(A34,'Données projet'!$A$87:$I$107,3,0))</f>
        <v>0</v>
      </c>
      <c r="AT34" s="36">
        <f>IF(ISNA(VLOOKUP(A34,'Données projet'!$A$87:$I$107,4,0)),0,VLOOKUP(A34,'Données projet'!$A$87:$I$107,4,0))</f>
        <v>0</v>
      </c>
      <c r="AU34" s="37">
        <f>IF(ISNA(VLOOKUP(A34,'Données projet'!$A$87:$I$107,5,0)),0%,VLOOKUP(A34,'Données projet'!$A$87:$I$107,5,0)*VLOOKUP('Données projet'!$B$11,Paramètres!$A$1:$I$88,7,0))</f>
        <v>0</v>
      </c>
      <c r="AV34" s="37">
        <f>IF(ISNA(VLOOKUP(A34,'Données projet'!$A$87:$I$107,6,0)),0%,VLOOKUP(A34,'Données projet'!$A$87:$I$107,6,0)*VLOOKUP('Données projet'!$B$11,Paramètres!$A$1:$I$88,7,0))</f>
        <v>0</v>
      </c>
      <c r="AW34" s="37">
        <f>IF(ISNA(VLOOKUP(A34,'Données projet'!$A$87:$I$107,7,0)),0%,VLOOKUP(A34,'Données projet'!$A$87:$I$107,7,0))</f>
        <v>0</v>
      </c>
      <c r="AX34" s="45">
        <f>EXP(-LN(2)/35)*AX33+(1-EXP(-LN(2)/35))/(LN(2)/35)*AT34*AU34*VLOOKUP('Données projet'!$B$9,Paramètres!$A$1:$I$88,3,0)*0.475*44/12</f>
        <v>0</v>
      </c>
      <c r="AY34" s="45">
        <f>EXP(-LN(2)/25)*AY33+(1-EXP(-LN(2)/25))/(LN(2)/25)*Calculateur!AT34*Calculateur!AV34*VLOOKUP('Données projet'!$B$9,Paramètres!$A$1:$I$88,3,0)*0.475*44/12</f>
        <v>0</v>
      </c>
      <c r="AZ34" s="45">
        <f>EXP(-LN(2)/2)*AZ33+(1-EXP(-LN(2)/2))/(LN(2)/2)*AT34*AW34*VLOOKUP('Données projet'!$B$9,Paramètres!$A$1:$I$88,3,0)*0.475*44/12</f>
        <v>0</v>
      </c>
      <c r="BA34" s="46">
        <f t="shared" si="5"/>
        <v>0</v>
      </c>
      <c r="BB34" s="32" t="e">
        <f>VLOOKUP(A34,'Données projet'!$A$113:$I$133,2,0)</f>
        <v>#N/A</v>
      </c>
      <c r="BC34" s="33" t="e">
        <f>VLOOKUP(A34,'Données projet'!$A$113:$I$133,9,0)</f>
        <v>#N/A</v>
      </c>
      <c r="BD34" s="33">
        <f t="array" ref="BD34">INDEX(BC:BC,MIN(IF(ISNUMBER(BC34:BC230),ROW(BC34:BC230),"")))</f>
        <v>0</v>
      </c>
      <c r="BE34" s="33">
        <f t="shared" si="28"/>
        <v>0</v>
      </c>
      <c r="BF34" s="34" t="e">
        <f>BE34*VLOOKUP('Données projet'!$B$12,Paramètres!$A$1:$I$88,3,0)*VLOOKUP('Données projet'!$B$12,Paramètres!$A$1:$I$88,5,0)</f>
        <v>#N/A</v>
      </c>
      <c r="BG34" s="34" t="e">
        <f t="shared" si="29"/>
        <v>#N/A</v>
      </c>
      <c r="BH34" s="44" t="e">
        <f t="shared" si="6"/>
        <v>#N/A</v>
      </c>
      <c r="BI34" s="36">
        <f>IF(ISNA(VLOOKUP(A34,'Données projet'!$A$113:$I$133,3,0)),0,VLOOKUP(A34,'Données projet'!$A$113:$I$133,3,0))</f>
        <v>0</v>
      </c>
      <c r="BJ34" s="36">
        <f>IF(ISNA(VLOOKUP(A34,'Données projet'!$A$113:$I$133,4,0)),0,VLOOKUP(A34,'Données projet'!$A$113:$I$133,4,0))</f>
        <v>0</v>
      </c>
      <c r="BK34" s="37">
        <f>IF(ISNA(VLOOKUP(A34,'Données projet'!$A$113:$I$133,5,0)),0%,VLOOKUP(A34,'Données projet'!$A$113:$I$133,5,0)*VLOOKUP('Données projet'!$B$12,Paramètres!$A$1:$I$88,7,0))</f>
        <v>0</v>
      </c>
      <c r="BL34" s="37">
        <f>IF(ISNA(VLOOKUP(A34,'Données projet'!$A$113:$I$133,6,0)),0%,VLOOKUP(A34,'Données projet'!$A$113:$I$133,6,0)*VLOOKUP('Données projet'!$B$12,Paramètres!$A$1:$I$88,7,0))</f>
        <v>0</v>
      </c>
      <c r="BM34" s="37">
        <f>IF(ISNA(VLOOKUP(A34,'Données projet'!$A$113:$I$133,7,0)),0%,VLOOKUP(A34,'Données projet'!$A$113:$I$133,7,0))</f>
        <v>0</v>
      </c>
      <c r="BN34" s="45">
        <f>EXP(-LN(2)/35)*BN33+(1-EXP(-LN(2)/35))/(LN(2)/35)*BJ34*BK34*VLOOKUP('Données projet'!$B$9,Paramètres!$A$1:$I$88,3,0)*0.475*44/12</f>
        <v>0</v>
      </c>
      <c r="BO34" s="45">
        <f>EXP(-LN(2)/25)*BO33+(1-EXP(-LN(2)/25))/(LN(2)/25)*Calculateur!BJ34*Calculateur!BL34*VLOOKUP('Données projet'!$B$9,Paramètres!$A$1:$I$88,3,0)*0.475*44/12</f>
        <v>0</v>
      </c>
      <c r="BP34" s="45">
        <f>EXP(-LN(2)/2)*BP33+(1-EXP(-LN(2)/2))/(LN(2)/2)*BJ34*BM34*VLOOKUP('Données projet'!$B$9,Paramètres!$A$1:$I$88,3,0)*0.475*44/12</f>
        <v>0</v>
      </c>
      <c r="BQ34" s="46">
        <f t="shared" si="7"/>
        <v>0</v>
      </c>
      <c r="BR34" s="32" t="e">
        <f>VLOOKUP(A34,'Données projet'!$A$139:$I$159,2,0)</f>
        <v>#N/A</v>
      </c>
      <c r="BS34" s="33" t="e">
        <f>VLOOKUP(A34,'Données projet'!$A$139:$I$159,9,0)</f>
        <v>#N/A</v>
      </c>
      <c r="BT34" s="33">
        <f t="array" ref="BT34">INDEX(BS:BS,MIN(IF(ISNUMBER(BS34:BS230),ROW(BS34:BS230),"")))</f>
        <v>0</v>
      </c>
      <c r="BU34" s="33">
        <f t="shared" si="41"/>
        <v>0</v>
      </c>
      <c r="BV34" s="38" t="e">
        <f>BU34*VLOOKUP('Données projet'!$B$13,Paramètres!$A$1:$I$88,3,0)*VLOOKUP('Données projet'!$B$13,Paramètres!$A$1:$I$88,5,0)</f>
        <v>#N/A</v>
      </c>
      <c r="BW34" s="34" t="e">
        <f t="shared" si="30"/>
        <v>#N/A</v>
      </c>
      <c r="BX34" s="44" t="e">
        <f t="shared" si="8"/>
        <v>#N/A</v>
      </c>
      <c r="BY34" s="36">
        <f>IF(ISNA(VLOOKUP(A34,'Données projet'!$A$139:$I$159,3,0)),0,VLOOKUP(A34,'Données projet'!$A$139:$I$159,3,0))</f>
        <v>0</v>
      </c>
      <c r="BZ34" s="36">
        <f>IF(ISNA(VLOOKUP(A34,'Données projet'!$A$139:$I$159,4,0)),0,VLOOKUP(A34,'Données projet'!$A$139:$I$159,4,0))</f>
        <v>0</v>
      </c>
      <c r="CA34" s="37">
        <f>IF(ISNA(VLOOKUP(A34,'Données projet'!$A$139:$I$159,5,0)),0%,VLOOKUP(A34,'Données projet'!$A$139:$I$159,5,0)*VLOOKUP('Données projet'!$B$13,Paramètres!$A$1:$I$88,7,0))</f>
        <v>0</v>
      </c>
      <c r="CB34" s="37">
        <f>IF(ISNA(VLOOKUP(A34,'Données projet'!$A$139:$I$159,6,0)),0%,VLOOKUP(A34,'Données projet'!$A$139:$I$159,6,0)*VLOOKUP('Données projet'!$B$13,Paramètres!$A$1:$I$88,7,0))</f>
        <v>0</v>
      </c>
      <c r="CC34" s="37">
        <f>IF(ISNA(VLOOKUP(A34,'Données projet'!$A$139:$I$159,7,0)),0%,VLOOKUP(A34,'Données projet'!$A$139:$I$159,7,0))</f>
        <v>0</v>
      </c>
      <c r="CD34" s="45">
        <f>EXP(-LN(2)/35)*CD33+(1-EXP(-LN(2)/35))/(LN(2)/35)*BZ34*CA34*VLOOKUP('Données projet'!$B$9,Paramètres!$A$1:$I$88,3,0)*0.475*44/12</f>
        <v>0</v>
      </c>
      <c r="CE34" s="45">
        <f>EXP(-LN(2)/25)*CE33+(1-EXP(-LN(2)/25))/(LN(2)/25)*Calculateur!BZ34*Calculateur!CB34*VLOOKUP('Données projet'!$B$9,Paramètres!$A$1:$I$88,3,0)*0.475*44/12</f>
        <v>0</v>
      </c>
      <c r="CF34" s="45">
        <f>EXP(-LN(2)/2)*CF33+(1-EXP(-LN(2)/2))/(LN(2)/2)*BZ34*CC34*VLOOKUP('Données projet'!$B$9,Paramètres!$A$1:$I$88,3,0)*0.475*44/12</f>
        <v>0</v>
      </c>
      <c r="CG34" s="46">
        <f t="shared" si="9"/>
        <v>0</v>
      </c>
      <c r="CH34" s="32" t="e">
        <f>VLOOKUP(A34,'Données projet'!$A$165:$I$185,2,0)</f>
        <v>#N/A</v>
      </c>
      <c r="CI34" s="33" t="e">
        <f>VLOOKUP(A34,'Données projet'!$A$165:$I$185,9,0)</f>
        <v>#N/A</v>
      </c>
      <c r="CJ34" s="33">
        <f t="array" ref="CJ34">INDEX(CI:CI,MIN(IF(ISNUMBER(CI34:CI230),ROW(CI34:CI230),"")))</f>
        <v>0</v>
      </c>
      <c r="CK34" s="33">
        <f t="shared" si="31"/>
        <v>0</v>
      </c>
      <c r="CL34" s="38" t="e">
        <f>CK34*VLOOKUP('Données projet'!$B$14,Paramètres!$A$1:$I$88,3,0)*VLOOKUP('Données projet'!$B$14,Paramètres!$A$1:$I$88,5,0)</f>
        <v>#N/A</v>
      </c>
      <c r="CM34" s="34" t="e">
        <f t="shared" si="32"/>
        <v>#N/A</v>
      </c>
      <c r="CN34" s="44" t="e">
        <f t="shared" si="10"/>
        <v>#N/A</v>
      </c>
      <c r="CO34" s="36">
        <f>IF(ISNA(VLOOKUP(A34,'Données projet'!$A$165:$I$185,3,0)),0,VLOOKUP(A34,'Données projet'!$A$165:$I$185,3,0))</f>
        <v>0</v>
      </c>
      <c r="CP34" s="36">
        <f>IF(ISNA(VLOOKUP(A34,'Données projet'!$A$165:$I$185,4,0)),0,VLOOKUP(A34,'Données projet'!$A$165:$I$185,4,0))</f>
        <v>0</v>
      </c>
      <c r="CQ34" s="37">
        <f>IF(ISNA(VLOOKUP(A34,'Données projet'!$A$165:$I$185,5,0)),0%,VLOOKUP(A34,'Données projet'!$A$165:$I$185,5,0)*VLOOKUP('Données projet'!$B$14,Paramètres!$A$1:$I$88,7,0))</f>
        <v>0</v>
      </c>
      <c r="CR34" s="37">
        <f>IF(ISNA(VLOOKUP(A34,'Données projet'!$A$165:$I$185,6,0)),0%,VLOOKUP(A34,'Données projet'!$A$165:$I$185,6,0)*VLOOKUP('Données projet'!$B$14,Paramètres!$A$1:$I$88,7,0))</f>
        <v>0</v>
      </c>
      <c r="CS34" s="37">
        <f>IF(ISNA(VLOOKUP(A34,'Données projet'!$A$165:$I$185,7,0)),0%,VLOOKUP(A34,'Données projet'!$A$165:$I$185,7,0))</f>
        <v>0</v>
      </c>
      <c r="CT34" s="45">
        <f>EXP(-LN(2)/35)*CT33+(1-EXP(-LN(2)/35))/(LN(2)/35)*CP34*CQ34*VLOOKUP('Données projet'!$B$9,Paramètres!$A$1:$I$88,3,0)*0.475*44/12</f>
        <v>0</v>
      </c>
      <c r="CU34" s="45">
        <f>EXP(-LN(2)/25)*CU33+(1-EXP(-LN(2)/25))/(LN(2)/25)*Calculateur!CP34*Calculateur!CR34*VLOOKUP('Données projet'!$B$9,Paramètres!$A$1:$I$88,3,0)*0.475*44/12</f>
        <v>0</v>
      </c>
      <c r="CV34" s="45">
        <f>EXP(-LN(2)/2)*CV33+(1-EXP(-LN(2)/2))/(LN(2)/2)*CP34*CS34*VLOOKUP('Données projet'!$B$9,Paramètres!$A$1:$I$88,3,0)*0.475*44/12</f>
        <v>0</v>
      </c>
      <c r="CW34" s="46">
        <f t="shared" si="11"/>
        <v>0</v>
      </c>
      <c r="CX34" s="32" t="e">
        <f>VLOOKUP(A34,'Données projet'!$A$191:$I$211,2,0)</f>
        <v>#N/A</v>
      </c>
      <c r="CY34" s="33" t="e">
        <f>VLOOKUP(A34,'Données projet'!$A$191:$I$211,9,0)</f>
        <v>#N/A</v>
      </c>
      <c r="CZ34" s="33">
        <f t="array" ref="CZ34">INDEX(CY:CY,MIN(IF(ISNUMBER(CY34:CY230),ROW(CY34:CY230),"")))</f>
        <v>0</v>
      </c>
      <c r="DA34" s="33">
        <f t="shared" si="33"/>
        <v>0</v>
      </c>
      <c r="DB34" s="38" t="e">
        <f>DA34*VLOOKUP('Données projet'!$B$15,Paramètres!$A$1:$I$88,3,0)*VLOOKUP('Données projet'!$B$15,Paramètres!$A$1:$I$88,5,0)</f>
        <v>#N/A</v>
      </c>
      <c r="DC34" s="34" t="e">
        <f t="shared" si="34"/>
        <v>#N/A</v>
      </c>
      <c r="DD34" s="44" t="e">
        <f t="shared" si="12"/>
        <v>#N/A</v>
      </c>
      <c r="DE34" s="36">
        <f>IF(ISNA(VLOOKUP(A34,'Données projet'!$A$191:$I$211,3,0)),0,VLOOKUP(A34,'Données projet'!$A$191:$I$211,3,0))</f>
        <v>0</v>
      </c>
      <c r="DF34" s="36">
        <f>IF(ISNA(VLOOKUP(A34,'Données projet'!$A$191:$I$211,4,0)),0,VLOOKUP(A34,'Données projet'!$A$191:$I$211,4,0))</f>
        <v>0</v>
      </c>
      <c r="DG34" s="37">
        <f>IF(ISNA(VLOOKUP(A34,'Données projet'!$A$191:$I$211,5,0)),0%,VLOOKUP(A34,'Données projet'!$A$191:$I$211,5,0)*VLOOKUP('Données projet'!$B$15,Paramètres!$A$1:$I$88,7,0))</f>
        <v>0</v>
      </c>
      <c r="DH34" s="37">
        <f>IF(ISNA(VLOOKUP(A34,'Données projet'!$A$191:$I$211,6,0)),0%,VLOOKUP(A34,'Données projet'!$A$191:$I$211,6,0)*VLOOKUP('Données projet'!$B$15,Paramètres!$A$1:$I$88,7,0))</f>
        <v>0</v>
      </c>
      <c r="DI34" s="37">
        <f>IF(ISNA(VLOOKUP(A34,'Données projet'!$A$191:$I$211,7,0)),0%,VLOOKUP(A34,'Données projet'!$A$191:$I$211,7,0))</f>
        <v>0</v>
      </c>
      <c r="DJ34" s="45">
        <f>EXP(-LN(2)/35)*DJ33+(1-EXP(-LN(2)/35))/(LN(2)/35)*DF34*DG34*VLOOKUP('Données projet'!$B$9,Paramètres!$A$1:$I$88,3,0)*0.475*44/12</f>
        <v>0</v>
      </c>
      <c r="DK34" s="45">
        <f>EXP(-LN(2)/25)*DK33+(1-EXP(-LN(2)/25))/(LN(2)/25)*Calculateur!DF34*Calculateur!DH34*VLOOKUP('Données projet'!$B$9,Paramètres!$A$1:$I$88,3,0)*0.475*44/12</f>
        <v>0</v>
      </c>
      <c r="DL34" s="45">
        <f>EXP(-LN(2)/2)*DL33+(1-EXP(-LN(2)/2))/(LN(2)/2)*DF34*DI34*VLOOKUP('Données projet'!$B$9,Paramètres!$A$1:$I$88,3,0)*0.475*44/12</f>
        <v>0</v>
      </c>
      <c r="DM34" s="46">
        <f t="shared" si="13"/>
        <v>0</v>
      </c>
      <c r="DN34" s="32" t="e">
        <f>VLOOKUP(A34,'Données projet'!$A$217:$I$237,2,0)</f>
        <v>#N/A</v>
      </c>
      <c r="DO34" s="33" t="e">
        <f>VLOOKUP(A34,'Données projet'!$A$217:$I$237,9,0)</f>
        <v>#N/A</v>
      </c>
      <c r="DP34" s="33">
        <f t="array" ref="DP34">INDEX(DO:DO,MIN(IF(ISNUMBER(DO34:DO230),ROW(DO34:DO230),"")))</f>
        <v>0</v>
      </c>
      <c r="DQ34" s="33">
        <f t="shared" si="35"/>
        <v>0</v>
      </c>
      <c r="DR34" s="38" t="e">
        <f>DQ34*VLOOKUP('Données projet'!$B$16,Paramètres!$A$1:$I$88,3,0)*VLOOKUP('Données projet'!$B$16,Paramètres!$A$1:$I$88,5,0)</f>
        <v>#N/A</v>
      </c>
      <c r="DS34" s="34" t="e">
        <f t="shared" si="36"/>
        <v>#N/A</v>
      </c>
      <c r="DT34" s="44" t="e">
        <f t="shared" si="14"/>
        <v>#N/A</v>
      </c>
      <c r="DU34" s="36">
        <f>IF(ISNA(VLOOKUP(A34,'Données projet'!$A$217:$I$237,3,0)),0,VLOOKUP(A34,'Données projet'!$A$217:$I$237,3,0))</f>
        <v>0</v>
      </c>
      <c r="DV34" s="36">
        <f>IF(ISNA(VLOOKUP(A34,'Données projet'!$A$217:$I$237,4,0)),0,VLOOKUP(A34,'Données projet'!$A$217:$I$237,4,0))</f>
        <v>0</v>
      </c>
      <c r="DW34" s="37">
        <f>IF(ISNA(VLOOKUP(A34,'Données projet'!$A$217:$I$237,5,0)),0%,VLOOKUP(A34,'Données projet'!$A$217:$I$237,5,0)*VLOOKUP('Données projet'!$B$16,Paramètres!$A$1:$I$88,7,0))</f>
        <v>0</v>
      </c>
      <c r="DX34" s="37">
        <f>IF(ISNA(VLOOKUP(A34,'Données projet'!$A$217:$I$237,6,0)),0%,VLOOKUP(A34,'Données projet'!$A$217:$I$237,6,0)*VLOOKUP('Données projet'!$B$16,Paramètres!$A$1:$I$88,7,0))</f>
        <v>0</v>
      </c>
      <c r="DY34" s="37">
        <f>IF(ISNA(VLOOKUP(A34,'Données projet'!$A$217:$I$237,7,0)),0%,VLOOKUP(A34,'Données projet'!$A$217:$I$237,7,0))</f>
        <v>0</v>
      </c>
      <c r="DZ34" s="45">
        <f>EXP(-LN(2)/35)*DZ33+(1-EXP(-LN(2)/35))/(LN(2)/35)*DV34*DW34*VLOOKUP('Données projet'!$B$9,Paramètres!$A$1:$I$88,3,0)*0.475*44/12</f>
        <v>0</v>
      </c>
      <c r="EA34" s="45">
        <f>EXP(-LN(2)/25)*EA33+(1-EXP(-LN(2)/25))/(LN(2)/25)*Calculateur!DV34*Calculateur!DX34*VLOOKUP('Données projet'!$B$9,Paramètres!$A$1:$I$88,3,0)*0.475*44/12</f>
        <v>0</v>
      </c>
      <c r="EB34" s="45">
        <f>EXP(-LN(2)/2)*EB33+(1-EXP(-LN(2)/2))/(LN(2)/2)*DV34*DY34*VLOOKUP('Données projet'!$B$9,Paramètres!$A$1:$I$88,3,0)*0.475*44/12</f>
        <v>0</v>
      </c>
      <c r="EC34" s="46">
        <f t="shared" si="15"/>
        <v>0</v>
      </c>
      <c r="ED34" s="32" t="e">
        <f>VLOOKUP(A34,'Données projet'!$A$243:$I$263,2,0)</f>
        <v>#N/A</v>
      </c>
      <c r="EE34" s="33" t="e">
        <f>VLOOKUP(A34,'Données projet'!$A$243:$I$263,9,0)</f>
        <v>#N/A</v>
      </c>
      <c r="EF34" s="33">
        <f t="array" ref="EF34">INDEX(EE:EE,MIN(IF(ISNUMBER(EE34:EE230),ROW(EE34:EE230),"")))</f>
        <v>0</v>
      </c>
      <c r="EG34" s="33">
        <f t="shared" si="37"/>
        <v>0</v>
      </c>
      <c r="EH34" s="38" t="e">
        <f>EG34*VLOOKUP('Données projet'!$B$17,Paramètres!$A$1:$I$88,3,0)*VLOOKUP('Données projet'!$B$17,Paramètres!$A$1:$I$88,5,0)</f>
        <v>#N/A</v>
      </c>
      <c r="EI34" s="34" t="e">
        <f t="shared" si="38"/>
        <v>#N/A</v>
      </c>
      <c r="EJ34" s="44" t="e">
        <f t="shared" si="16"/>
        <v>#N/A</v>
      </c>
      <c r="EK34" s="36">
        <f>IF(ISNA(VLOOKUP(A34,'Données projet'!$A$243:$I$263,3,0)),0,VLOOKUP(A34,'Données projet'!$A$243:$I$263,3,0))</f>
        <v>0</v>
      </c>
      <c r="EL34" s="36">
        <f>IF(ISNA(VLOOKUP(A34,'Données projet'!$A$243:$I$263,4,0)),0,VLOOKUP(A34,'Données projet'!$A$243:$I$263,4,0))</f>
        <v>0</v>
      </c>
      <c r="EM34" s="37">
        <f>IF(ISNA(VLOOKUP(A34,'Données projet'!$A$243:$I$263,5,0)),0%,VLOOKUP(A34,'Données projet'!$A$243:$I$263,5,0)*VLOOKUP('Données projet'!$B$17,Paramètres!$A$1:$I$88,7,0))</f>
        <v>0</v>
      </c>
      <c r="EN34" s="37">
        <f>IF(ISNA(VLOOKUP(A34,'Données projet'!$A$243:$I$263,6,0)),0%,VLOOKUP(A34,'Données projet'!$A$243:$I$263,6,0)*VLOOKUP('Données projet'!$B$17,Paramètres!$A$1:$I$88,7,0))</f>
        <v>0</v>
      </c>
      <c r="EO34" s="37">
        <f>IF(ISNA(VLOOKUP(A34,'Données projet'!$A$243:$I$263,7,0)),0%,VLOOKUP(A34,'Données projet'!$A$243:$I$263,7,0))</f>
        <v>0</v>
      </c>
      <c r="EP34" s="45">
        <f>EXP(-LN(2)/35)*EP33+(1-EXP(-LN(2)/35))/(LN(2)/35)*EL34*EM34*VLOOKUP('Données projet'!$B$9,Paramètres!$A$1:$I$88,3,0)*0.475*44/12</f>
        <v>0</v>
      </c>
      <c r="EQ34" s="45">
        <f>EXP(-LN(2)/25)*EQ33+(1-EXP(-LN(2)/25))/(LN(2)/25)*Calculateur!EL34*Calculateur!EN34*VLOOKUP('Données projet'!$B$9,Paramètres!$A$1:$I$88,3,0)*0.475*44/12</f>
        <v>0</v>
      </c>
      <c r="ER34" s="45">
        <f>EXP(-LN(2)/2)*ER33+(1-EXP(-LN(2)/2))/(LN(2)/2)*EL34*EO34*VLOOKUP('Données projet'!$B$9,Paramètres!$A$1:$I$88,3,0)*0.475*44/12</f>
        <v>0</v>
      </c>
      <c r="ES34" s="46">
        <f t="shared" si="17"/>
        <v>0</v>
      </c>
      <c r="ET34" s="32" t="e">
        <f>VLOOKUP(A34,'Données projet'!$A$269:$I$289,2,0)</f>
        <v>#N/A</v>
      </c>
      <c r="EU34" s="33" t="e">
        <f>VLOOKUP(A34,'Données projet'!$A$269:$I$289,9,0)</f>
        <v>#N/A</v>
      </c>
      <c r="EV34" s="33">
        <f t="array" ref="EV34">INDEX(EU:EU,MIN(IF(ISNUMBER(EU34:EU230),ROW(EU34:EU230),"")))</f>
        <v>0</v>
      </c>
      <c r="EW34" s="33">
        <f t="shared" si="39"/>
        <v>0</v>
      </c>
      <c r="EX34" s="38" t="e">
        <f>EW34*VLOOKUP('Données projet'!$B$18,Paramètres!$A$1:$I$88,3,0)*VLOOKUP('Données projet'!$B$18,Paramètres!$A$1:$I$88,5,0)</f>
        <v>#N/A</v>
      </c>
      <c r="EY34" s="34" t="e">
        <f t="shared" si="40"/>
        <v>#N/A</v>
      </c>
      <c r="EZ34" s="44" t="e">
        <f t="shared" si="18"/>
        <v>#N/A</v>
      </c>
      <c r="FA34" s="36">
        <f>IF(ISNA(VLOOKUP(A34,'Données projet'!$A$269:$I$289,3,0)),0,VLOOKUP(A34,'Données projet'!$A$269:$I$289,3,0))</f>
        <v>0</v>
      </c>
      <c r="FB34" s="36">
        <f>IF(ISNA(VLOOKUP(A34,'Données projet'!$A$269:$I$289,4,0)),0,VLOOKUP(A34,'Données projet'!$A$269:$I$289,4,0))</f>
        <v>0</v>
      </c>
      <c r="FC34" s="37">
        <f>IF(ISNA(VLOOKUP(A34,'Données projet'!$A$269:$I$289,5,0)),0%,VLOOKUP(A34,'Données projet'!$A$269:$I$289,5,0)*VLOOKUP('Données projet'!$B$18,Paramètres!$A$1:$I$88,7,0))</f>
        <v>0</v>
      </c>
      <c r="FD34" s="37">
        <f>IF(ISNA(VLOOKUP(A34,'Données projet'!$A$269:$I$289,6,0)),0%,VLOOKUP(A34,'Données projet'!$A$269:$I$289,6,0)*VLOOKUP('Données projet'!$B$18,Paramètres!$A$1:$I$88,7,0))</f>
        <v>0</v>
      </c>
      <c r="FE34" s="37">
        <f>IF(ISNA(VLOOKUP(A34,'Données projet'!$A$269:$I$289,7,0)),0%,VLOOKUP(A34,'Données projet'!$A$269:$I$289,7,0))</f>
        <v>0</v>
      </c>
      <c r="FF34" s="45">
        <f>EXP(-LN(2)/35)*FF33+(1-EXP(-LN(2)/35))/(LN(2)/35)*FB34*FC34*VLOOKUP('Données projet'!$B$9,Paramètres!$A$1:$I$88,3,0)*0.475*44/12</f>
        <v>0</v>
      </c>
      <c r="FG34" s="45">
        <f>EXP(-LN(2)/25)*FG33+(1-EXP(-LN(2)/25))/(LN(2)/25)*Calculateur!FB34*Calculateur!FD34*VLOOKUP('Données projet'!$B$9,Paramètres!$A$1:$I$88,3,0)*0.475*44/12</f>
        <v>0</v>
      </c>
      <c r="FH34" s="45">
        <f>EXP(-LN(2)/2)*FH33+(1-EXP(-LN(2)/2))/(LN(2)/2)*FB34*FE34*VLOOKUP('Données projet'!$B$9,Paramètres!$A$1:$I$88,3,0)*0.475*44/12</f>
        <v>0</v>
      </c>
      <c r="FI34" s="46">
        <f t="shared" si="19"/>
        <v>0</v>
      </c>
    </row>
    <row r="35" spans="1:165" x14ac:dyDescent="0.25">
      <c r="A35" s="24">
        <f t="shared" si="20"/>
        <v>32</v>
      </c>
      <c r="B35" s="25">
        <f>IF('Scénario référence'!$N$1=1,5,0)</f>
        <v>0</v>
      </c>
      <c r="C35" s="40">
        <f>IF(OR('Scénario référence'!$N$1=2,'Scénario référence'!$N$1=4),C34+1*VLOOKUP('Scénario référence'!$G$14,Paramètres!$A$1:$I$88,3,0)*VLOOKUP('Scénario référence'!$G$14,Paramètres!$A$1:$I$88,5,0),IF(OR('Scénario référence'!$N$1=3,'Scénario référence'!$N$1=5),C34+0.5*VLOOKUP('Scénario référence'!$G$14,Paramètres!$A$1:$I$88,3,0)*VLOOKUP('Scénario référence'!$G$14,Paramètres!$A$1:$I$88,5,0),0))</f>
        <v>17.471999999999994</v>
      </c>
      <c r="D35" s="26">
        <f t="shared" si="21"/>
        <v>5.7714641827626956</v>
      </c>
      <c r="E35" s="27">
        <f>IF('Scénario référence'!$N$1=1,B35*44/12,(C35+D35)*0.475*44/12)</f>
        <v>40.482366784978346</v>
      </c>
      <c r="F35" s="28" t="e">
        <f>VLOOKUP(A35,'Données projet'!$A$35:$I$55,2,0)</f>
        <v>#N/A</v>
      </c>
      <c r="G35" s="28" t="e">
        <f>VLOOKUP(A35,'Données projet'!$A$35:$I$55,9,0)</f>
        <v>#N/A</v>
      </c>
      <c r="H35" s="33">
        <f t="array" ref="H35">INDEX(G:G,MIN(IF(ISNUMBER(G35:G231),ROW(G35:G231),"")))</f>
        <v>8.6</v>
      </c>
      <c r="I35" s="28">
        <f t="shared" si="22"/>
        <v>114.2</v>
      </c>
      <c r="J35" s="41">
        <f>I35*VLOOKUP('Données projet'!$B$9,Paramètres!$A$1:$I$88,3,0)*VLOOKUP('Données projet'!$B$9,Paramètres!$A$1:$I$88,5,0)</f>
        <v>115.79880000000001</v>
      </c>
      <c r="K35" s="41">
        <f t="shared" si="23"/>
        <v>30.693115334311045</v>
      </c>
      <c r="L35" s="42">
        <f t="shared" si="0"/>
        <v>255.14008587392505</v>
      </c>
      <c r="M35" s="30">
        <f>IF(ISNA(VLOOKUP(A35,'Données projet'!$A$35:$I$55,3,0)),0,VLOOKUP(A35,'Données projet'!$A$35:$I$55,3,0))</f>
        <v>0</v>
      </c>
      <c r="N35" s="30">
        <f>IF(ISNA(VLOOKUP(A35,'Données projet'!$A$35:$I$55,4,0)),0,VLOOKUP(A35,'Données projet'!$A$35:$I$55,4,0))</f>
        <v>0</v>
      </c>
      <c r="O35" s="31">
        <f>IF(ISNA(VLOOKUP(A35,'Données projet'!$A$35:$I$55,5,0)),0%,VLOOKUP(A35,'Données projet'!$A$35:$I$55,5,0)*VLOOKUP('Données projet'!$B$9,Paramètres!$A$1:$I$88,7,0))</f>
        <v>0</v>
      </c>
      <c r="P35" s="31">
        <f>IF(ISNA(VLOOKUP(A35,'Données projet'!$A$35:$I$55,6,0)),0%,VLOOKUP(A35,'Données projet'!$A$35:$I$55,6,0)*VLOOKUP('Données projet'!$B$9,Paramètres!$A$1:$I$88,7,0))</f>
        <v>0</v>
      </c>
      <c r="Q35" s="31">
        <f>IF(ISNA(VLOOKUP(A35,'Données projet'!$A$35:$I$55,7,0)),0%,VLOOKUP(A35,'Données projet'!$A$35:$I$55,7,0))</f>
        <v>0</v>
      </c>
      <c r="R35" s="43">
        <f>EXP(-LN(2)/35)*R34+(1-EXP(-LN(2)/35))/(LN(2)/35)*N35*O35*VLOOKUP('Données projet'!$B$9,Paramètres!$A$1:$I$88,3,0)*0.475*44/12</f>
        <v>0</v>
      </c>
      <c r="S35" s="43">
        <f>EXP(-LN(2)/25)*S34+(1-EXP(-LN(2)/25))/(LN(2)/25)*Calculateur!N35*Calculateur!P35*VLOOKUP('Données projet'!$B$9,Paramètres!$A$1:$I$88,3,0)*0.475*44/12</f>
        <v>0</v>
      </c>
      <c r="T35" s="43">
        <f>EXP(-LN(2)/2)*T34+(1-EXP(-LN(2)/2))/(LN(2)/2)*N35*Q35*VLOOKUP('Données projet'!$B$9,Paramètres!$A$1:$I$88,3,0)*0.475*44/12</f>
        <v>0</v>
      </c>
      <c r="U35" s="43">
        <f t="shared" si="1"/>
        <v>0</v>
      </c>
      <c r="V35" s="32" t="e">
        <f>VLOOKUP(A35,'Données projet'!$A$61:$I$81,2,0)</f>
        <v>#N/A</v>
      </c>
      <c r="W35" s="33" t="e">
        <f>VLOOKUP(A35,'Données projet'!$A$61:$I$81,9,0)</f>
        <v>#N/A</v>
      </c>
      <c r="X35" s="33">
        <f t="array" ref="X35">INDEX(W:W,MIN(IF(ISNUMBER(W35:W231),ROW(W35:W231),"")))</f>
        <v>0</v>
      </c>
      <c r="Y35" s="33">
        <f t="shared" si="24"/>
        <v>0</v>
      </c>
      <c r="Z35" s="34" t="e">
        <f>Y35*VLOOKUP('Données projet'!$B$10,Paramètres!$A$1:$I$88,3,0)*VLOOKUP('Données projet'!$B$10,Paramètres!$A$1:$I$88,5,0)</f>
        <v>#N/A</v>
      </c>
      <c r="AA35" s="34" t="e">
        <f t="shared" si="25"/>
        <v>#N/A</v>
      </c>
      <c r="AB35" s="44" t="e">
        <f t="shared" si="2"/>
        <v>#N/A</v>
      </c>
      <c r="AC35" s="36">
        <f>IF(ISNA(VLOOKUP(A35,'Données projet'!$A$61:$I$81,3,0)),0,VLOOKUP(A35,'Données projet'!$A$61:$I$81,3,0))</f>
        <v>0</v>
      </c>
      <c r="AD35" s="36">
        <f>IF(ISNA(VLOOKUP(A35,'Données projet'!$A$61:$I$81,4,0)),0,VLOOKUP(A35,'Données projet'!$A$61:$I$81,4,0))</f>
        <v>0</v>
      </c>
      <c r="AE35" s="37">
        <f>IF(ISNA(VLOOKUP(A35,'Données projet'!$A$61:$I$81,5,0)),0%,VLOOKUP(A35,'Données projet'!$A$61:$I$81,5,0)*VLOOKUP('Données projet'!$B$10,Paramètres!$A$1:$I$88,7,0))</f>
        <v>0</v>
      </c>
      <c r="AF35" s="37">
        <f>IF(ISNA(VLOOKUP(A35,'Données projet'!$A$61:$I$81,6,0)),0%,VLOOKUP(A35,'Données projet'!$A$61:$I$81,6,0)*VLOOKUP('Données projet'!$B$10,Paramètres!$A$1:$I$88,7,0))</f>
        <v>0</v>
      </c>
      <c r="AG35" s="37">
        <f>IF(ISNA(VLOOKUP(A35,'Données projet'!$A$61:$I$81,7,0)),0%,VLOOKUP(A35,'Données projet'!$A$61:$I$81,7,0))</f>
        <v>0</v>
      </c>
      <c r="AH35" s="45">
        <f>EXP(-LN(2)/35)*AH34+(1-EXP(-LN(2)/35))/(LN(2)/35)*AD35*AE35*VLOOKUP('Données projet'!$B$9,Paramètres!$A$1:$I$88,3,0)*0.475*44/12</f>
        <v>0</v>
      </c>
      <c r="AI35" s="45">
        <f>EXP(-LN(2)/25)*AI34+(1-EXP(-LN(2)/25))/(LN(2)/25)*Calculateur!AD35*Calculateur!AF35*VLOOKUP('Données projet'!$B$9,Paramètres!$A$1:$I$88,3,0)*0.475*44/12</f>
        <v>0</v>
      </c>
      <c r="AJ35" s="45">
        <f>EXP(-LN(2)/2)*AJ34+(1-EXP(-LN(2)/2))/(LN(2)/2)*AD35*AG35*VLOOKUP('Données projet'!$B$9,Paramètres!$A$1:$I$88,3,0)*0.475*44/12</f>
        <v>0</v>
      </c>
      <c r="AK35" s="45">
        <f t="shared" si="3"/>
        <v>0</v>
      </c>
      <c r="AL35" s="32" t="e">
        <f>VLOOKUP(A35,'Données projet'!$A$87:$I$107,2,0)</f>
        <v>#N/A</v>
      </c>
      <c r="AM35" s="33" t="e">
        <f>VLOOKUP(A35,'Données projet'!$A$87:$I$107,9,0)</f>
        <v>#N/A</v>
      </c>
      <c r="AN35" s="33">
        <f t="array" ref="AN35">INDEX(AM:AM,MIN(IF(ISNUMBER(AM35:AM231),ROW(AM35:AM231),"")))</f>
        <v>0</v>
      </c>
      <c r="AO35" s="33">
        <f t="shared" si="26"/>
        <v>0</v>
      </c>
      <c r="AP35" s="34" t="e">
        <f>AO35*VLOOKUP('Données projet'!$B$11,Paramètres!$A$1:$I$88,3,0)*VLOOKUP('Données projet'!$B$11,Paramètres!$A$1:$I$88,5,0)</f>
        <v>#N/A</v>
      </c>
      <c r="AQ35" s="34" t="e">
        <f t="shared" si="27"/>
        <v>#N/A</v>
      </c>
      <c r="AR35" s="44" t="e">
        <f t="shared" si="4"/>
        <v>#N/A</v>
      </c>
      <c r="AS35" s="36">
        <f>IF(ISNA(VLOOKUP(A35,'Données projet'!$A$87:$I$107,3,0)),0,VLOOKUP(A35,'Données projet'!$A$87:$I$107,3,0))</f>
        <v>0</v>
      </c>
      <c r="AT35" s="36">
        <f>IF(ISNA(VLOOKUP(A35,'Données projet'!$A$87:$I$107,4,0)),0,VLOOKUP(A35,'Données projet'!$A$87:$I$107,4,0))</f>
        <v>0</v>
      </c>
      <c r="AU35" s="37">
        <f>IF(ISNA(VLOOKUP(A35,'Données projet'!$A$87:$I$107,5,0)),0%,VLOOKUP(A35,'Données projet'!$A$87:$I$107,5,0)*VLOOKUP('Données projet'!$B$11,Paramètres!$A$1:$I$88,7,0))</f>
        <v>0</v>
      </c>
      <c r="AV35" s="37">
        <f>IF(ISNA(VLOOKUP(A35,'Données projet'!$A$87:$I$107,6,0)),0%,VLOOKUP(A35,'Données projet'!$A$87:$I$107,6,0)*VLOOKUP('Données projet'!$B$11,Paramètres!$A$1:$I$88,7,0))</f>
        <v>0</v>
      </c>
      <c r="AW35" s="37">
        <f>IF(ISNA(VLOOKUP(A35,'Données projet'!$A$87:$I$107,7,0)),0%,VLOOKUP(A35,'Données projet'!$A$87:$I$107,7,0))</f>
        <v>0</v>
      </c>
      <c r="AX35" s="45">
        <f>EXP(-LN(2)/35)*AX34+(1-EXP(-LN(2)/35))/(LN(2)/35)*AT35*AU35*VLOOKUP('Données projet'!$B$9,Paramètres!$A$1:$I$88,3,0)*0.475*44/12</f>
        <v>0</v>
      </c>
      <c r="AY35" s="45">
        <f>EXP(-LN(2)/25)*AY34+(1-EXP(-LN(2)/25))/(LN(2)/25)*Calculateur!AT35*Calculateur!AV35*VLOOKUP('Données projet'!$B$9,Paramètres!$A$1:$I$88,3,0)*0.475*44/12</f>
        <v>0</v>
      </c>
      <c r="AZ35" s="45">
        <f>EXP(-LN(2)/2)*AZ34+(1-EXP(-LN(2)/2))/(LN(2)/2)*AT35*AW35*VLOOKUP('Données projet'!$B$9,Paramètres!$A$1:$I$88,3,0)*0.475*44/12</f>
        <v>0</v>
      </c>
      <c r="BA35" s="46">
        <f t="shared" si="5"/>
        <v>0</v>
      </c>
      <c r="BB35" s="32" t="e">
        <f>VLOOKUP(A35,'Données projet'!$A$113:$I$133,2,0)</f>
        <v>#N/A</v>
      </c>
      <c r="BC35" s="33" t="e">
        <f>VLOOKUP(A35,'Données projet'!$A$113:$I$133,9,0)</f>
        <v>#N/A</v>
      </c>
      <c r="BD35" s="33">
        <f t="array" ref="BD35">INDEX(BC:BC,MIN(IF(ISNUMBER(BC35:BC231),ROW(BC35:BC231),"")))</f>
        <v>0</v>
      </c>
      <c r="BE35" s="33">
        <f t="shared" si="28"/>
        <v>0</v>
      </c>
      <c r="BF35" s="34" t="e">
        <f>BE35*VLOOKUP('Données projet'!$B$12,Paramètres!$A$1:$I$88,3,0)*VLOOKUP('Données projet'!$B$12,Paramètres!$A$1:$I$88,5,0)</f>
        <v>#N/A</v>
      </c>
      <c r="BG35" s="34" t="e">
        <f t="shared" si="29"/>
        <v>#N/A</v>
      </c>
      <c r="BH35" s="44" t="e">
        <f t="shared" si="6"/>
        <v>#N/A</v>
      </c>
      <c r="BI35" s="36">
        <f>IF(ISNA(VLOOKUP(A35,'Données projet'!$A$113:$I$133,3,0)),0,VLOOKUP(A35,'Données projet'!$A$113:$I$133,3,0))</f>
        <v>0</v>
      </c>
      <c r="BJ35" s="36">
        <f>IF(ISNA(VLOOKUP(A35,'Données projet'!$A$113:$I$133,4,0)),0,VLOOKUP(A35,'Données projet'!$A$113:$I$133,4,0))</f>
        <v>0</v>
      </c>
      <c r="BK35" s="37">
        <f>IF(ISNA(VLOOKUP(A35,'Données projet'!$A$113:$I$133,5,0)),0%,VLOOKUP(A35,'Données projet'!$A$113:$I$133,5,0)*VLOOKUP('Données projet'!$B$12,Paramètres!$A$1:$I$88,7,0))</f>
        <v>0</v>
      </c>
      <c r="BL35" s="37">
        <f>IF(ISNA(VLOOKUP(A35,'Données projet'!$A$113:$I$133,6,0)),0%,VLOOKUP(A35,'Données projet'!$A$113:$I$133,6,0)*VLOOKUP('Données projet'!$B$12,Paramètres!$A$1:$I$88,7,0))</f>
        <v>0</v>
      </c>
      <c r="BM35" s="37">
        <f>IF(ISNA(VLOOKUP(A35,'Données projet'!$A$113:$I$133,7,0)),0%,VLOOKUP(A35,'Données projet'!$A$113:$I$133,7,0))</f>
        <v>0</v>
      </c>
      <c r="BN35" s="45">
        <f>EXP(-LN(2)/35)*BN34+(1-EXP(-LN(2)/35))/(LN(2)/35)*BJ35*BK35*VLOOKUP('Données projet'!$B$9,Paramètres!$A$1:$I$88,3,0)*0.475*44/12</f>
        <v>0</v>
      </c>
      <c r="BO35" s="45">
        <f>EXP(-LN(2)/25)*BO34+(1-EXP(-LN(2)/25))/(LN(2)/25)*Calculateur!BJ35*Calculateur!BL35*VLOOKUP('Données projet'!$B$9,Paramètres!$A$1:$I$88,3,0)*0.475*44/12</f>
        <v>0</v>
      </c>
      <c r="BP35" s="45">
        <f>EXP(-LN(2)/2)*BP34+(1-EXP(-LN(2)/2))/(LN(2)/2)*BJ35*BM35*VLOOKUP('Données projet'!$B$9,Paramètres!$A$1:$I$88,3,0)*0.475*44/12</f>
        <v>0</v>
      </c>
      <c r="BQ35" s="46">
        <f t="shared" si="7"/>
        <v>0</v>
      </c>
      <c r="BR35" s="32" t="e">
        <f>VLOOKUP(A35,'Données projet'!$A$139:$I$159,2,0)</f>
        <v>#N/A</v>
      </c>
      <c r="BS35" s="33" t="e">
        <f>VLOOKUP(A35,'Données projet'!$A$139:$I$159,9,0)</f>
        <v>#N/A</v>
      </c>
      <c r="BT35" s="33">
        <f t="array" ref="BT35">INDEX(BS:BS,MIN(IF(ISNUMBER(BS35:BS231),ROW(BS35:BS231),"")))</f>
        <v>0</v>
      </c>
      <c r="BU35" s="33">
        <f t="shared" si="41"/>
        <v>0</v>
      </c>
      <c r="BV35" s="38" t="e">
        <f>BU35*VLOOKUP('Données projet'!$B$13,Paramètres!$A$1:$I$88,3,0)*VLOOKUP('Données projet'!$B$13,Paramètres!$A$1:$I$88,5,0)</f>
        <v>#N/A</v>
      </c>
      <c r="BW35" s="34" t="e">
        <f t="shared" si="30"/>
        <v>#N/A</v>
      </c>
      <c r="BX35" s="44" t="e">
        <f t="shared" si="8"/>
        <v>#N/A</v>
      </c>
      <c r="BY35" s="36">
        <f>IF(ISNA(VLOOKUP(A35,'Données projet'!$A$139:$I$159,3,0)),0,VLOOKUP(A35,'Données projet'!$A$139:$I$159,3,0))</f>
        <v>0</v>
      </c>
      <c r="BZ35" s="36">
        <f>IF(ISNA(VLOOKUP(A35,'Données projet'!$A$139:$I$159,4,0)),0,VLOOKUP(A35,'Données projet'!$A$139:$I$159,4,0))</f>
        <v>0</v>
      </c>
      <c r="CA35" s="37">
        <f>IF(ISNA(VLOOKUP(A35,'Données projet'!$A$139:$I$159,5,0)),0%,VLOOKUP(A35,'Données projet'!$A$139:$I$159,5,0)*VLOOKUP('Données projet'!$B$13,Paramètres!$A$1:$I$88,7,0))</f>
        <v>0</v>
      </c>
      <c r="CB35" s="37">
        <f>IF(ISNA(VLOOKUP(A35,'Données projet'!$A$139:$I$159,6,0)),0%,VLOOKUP(A35,'Données projet'!$A$139:$I$159,6,0)*VLOOKUP('Données projet'!$B$13,Paramètres!$A$1:$I$88,7,0))</f>
        <v>0</v>
      </c>
      <c r="CC35" s="37">
        <f>IF(ISNA(VLOOKUP(A35,'Données projet'!$A$139:$I$159,7,0)),0%,VLOOKUP(A35,'Données projet'!$A$139:$I$159,7,0))</f>
        <v>0</v>
      </c>
      <c r="CD35" s="45">
        <f>EXP(-LN(2)/35)*CD34+(1-EXP(-LN(2)/35))/(LN(2)/35)*BZ35*CA35*VLOOKUP('Données projet'!$B$9,Paramètres!$A$1:$I$88,3,0)*0.475*44/12</f>
        <v>0</v>
      </c>
      <c r="CE35" s="45">
        <f>EXP(-LN(2)/25)*CE34+(1-EXP(-LN(2)/25))/(LN(2)/25)*Calculateur!BZ35*Calculateur!CB35*VLOOKUP('Données projet'!$B$9,Paramètres!$A$1:$I$88,3,0)*0.475*44/12</f>
        <v>0</v>
      </c>
      <c r="CF35" s="45">
        <f>EXP(-LN(2)/2)*CF34+(1-EXP(-LN(2)/2))/(LN(2)/2)*BZ35*CC35*VLOOKUP('Données projet'!$B$9,Paramètres!$A$1:$I$88,3,0)*0.475*44/12</f>
        <v>0</v>
      </c>
      <c r="CG35" s="46">
        <f t="shared" si="9"/>
        <v>0</v>
      </c>
      <c r="CH35" s="32" t="e">
        <f>VLOOKUP(A35,'Données projet'!$A$165:$I$185,2,0)</f>
        <v>#N/A</v>
      </c>
      <c r="CI35" s="33" t="e">
        <f>VLOOKUP(A35,'Données projet'!$A$165:$I$185,9,0)</f>
        <v>#N/A</v>
      </c>
      <c r="CJ35" s="33">
        <f t="array" ref="CJ35">INDEX(CI:CI,MIN(IF(ISNUMBER(CI35:CI231),ROW(CI35:CI231),"")))</f>
        <v>0</v>
      </c>
      <c r="CK35" s="33">
        <f t="shared" si="31"/>
        <v>0</v>
      </c>
      <c r="CL35" s="38" t="e">
        <f>CK35*VLOOKUP('Données projet'!$B$14,Paramètres!$A$1:$I$88,3,0)*VLOOKUP('Données projet'!$B$14,Paramètres!$A$1:$I$88,5,0)</f>
        <v>#N/A</v>
      </c>
      <c r="CM35" s="34" t="e">
        <f t="shared" si="32"/>
        <v>#N/A</v>
      </c>
      <c r="CN35" s="44" t="e">
        <f t="shared" si="10"/>
        <v>#N/A</v>
      </c>
      <c r="CO35" s="36">
        <f>IF(ISNA(VLOOKUP(A35,'Données projet'!$A$165:$I$185,3,0)),0,VLOOKUP(A35,'Données projet'!$A$165:$I$185,3,0))</f>
        <v>0</v>
      </c>
      <c r="CP35" s="36">
        <f>IF(ISNA(VLOOKUP(A35,'Données projet'!$A$165:$I$185,4,0)),0,VLOOKUP(A35,'Données projet'!$A$165:$I$185,4,0))</f>
        <v>0</v>
      </c>
      <c r="CQ35" s="37">
        <f>IF(ISNA(VLOOKUP(A35,'Données projet'!$A$165:$I$185,5,0)),0%,VLOOKUP(A35,'Données projet'!$A$165:$I$185,5,0)*VLOOKUP('Données projet'!$B$14,Paramètres!$A$1:$I$88,7,0))</f>
        <v>0</v>
      </c>
      <c r="CR35" s="37">
        <f>IF(ISNA(VLOOKUP(A35,'Données projet'!$A$165:$I$185,6,0)),0%,VLOOKUP(A35,'Données projet'!$A$165:$I$185,6,0)*VLOOKUP('Données projet'!$B$14,Paramètres!$A$1:$I$88,7,0))</f>
        <v>0</v>
      </c>
      <c r="CS35" s="37">
        <f>IF(ISNA(VLOOKUP(A35,'Données projet'!$A$165:$I$185,7,0)),0%,VLOOKUP(A35,'Données projet'!$A$165:$I$185,7,0))</f>
        <v>0</v>
      </c>
      <c r="CT35" s="45">
        <f>EXP(-LN(2)/35)*CT34+(1-EXP(-LN(2)/35))/(LN(2)/35)*CP35*CQ35*VLOOKUP('Données projet'!$B$9,Paramètres!$A$1:$I$88,3,0)*0.475*44/12</f>
        <v>0</v>
      </c>
      <c r="CU35" s="45">
        <f>EXP(-LN(2)/25)*CU34+(1-EXP(-LN(2)/25))/(LN(2)/25)*Calculateur!CP35*Calculateur!CR35*VLOOKUP('Données projet'!$B$9,Paramètres!$A$1:$I$88,3,0)*0.475*44/12</f>
        <v>0</v>
      </c>
      <c r="CV35" s="45">
        <f>EXP(-LN(2)/2)*CV34+(1-EXP(-LN(2)/2))/(LN(2)/2)*CP35*CS35*VLOOKUP('Données projet'!$B$9,Paramètres!$A$1:$I$88,3,0)*0.475*44/12</f>
        <v>0</v>
      </c>
      <c r="CW35" s="46">
        <f t="shared" si="11"/>
        <v>0</v>
      </c>
      <c r="CX35" s="32" t="e">
        <f>VLOOKUP(A35,'Données projet'!$A$191:$I$211,2,0)</f>
        <v>#N/A</v>
      </c>
      <c r="CY35" s="33" t="e">
        <f>VLOOKUP(A35,'Données projet'!$A$191:$I$211,9,0)</f>
        <v>#N/A</v>
      </c>
      <c r="CZ35" s="33">
        <f t="array" ref="CZ35">INDEX(CY:CY,MIN(IF(ISNUMBER(CY35:CY231),ROW(CY35:CY231),"")))</f>
        <v>0</v>
      </c>
      <c r="DA35" s="33">
        <f t="shared" si="33"/>
        <v>0</v>
      </c>
      <c r="DB35" s="38" t="e">
        <f>DA35*VLOOKUP('Données projet'!$B$15,Paramètres!$A$1:$I$88,3,0)*VLOOKUP('Données projet'!$B$15,Paramètres!$A$1:$I$88,5,0)</f>
        <v>#N/A</v>
      </c>
      <c r="DC35" s="34" t="e">
        <f t="shared" si="34"/>
        <v>#N/A</v>
      </c>
      <c r="DD35" s="44" t="e">
        <f t="shared" si="12"/>
        <v>#N/A</v>
      </c>
      <c r="DE35" s="36">
        <f>IF(ISNA(VLOOKUP(A35,'Données projet'!$A$191:$I$211,3,0)),0,VLOOKUP(A35,'Données projet'!$A$191:$I$211,3,0))</f>
        <v>0</v>
      </c>
      <c r="DF35" s="36">
        <f>IF(ISNA(VLOOKUP(A35,'Données projet'!$A$191:$I$211,4,0)),0,VLOOKUP(A35,'Données projet'!$A$191:$I$211,4,0))</f>
        <v>0</v>
      </c>
      <c r="DG35" s="37">
        <f>IF(ISNA(VLOOKUP(A35,'Données projet'!$A$191:$I$211,5,0)),0%,VLOOKUP(A35,'Données projet'!$A$191:$I$211,5,0)*VLOOKUP('Données projet'!$B$15,Paramètres!$A$1:$I$88,7,0))</f>
        <v>0</v>
      </c>
      <c r="DH35" s="37">
        <f>IF(ISNA(VLOOKUP(A35,'Données projet'!$A$191:$I$211,6,0)),0%,VLOOKUP(A35,'Données projet'!$A$191:$I$211,6,0)*VLOOKUP('Données projet'!$B$15,Paramètres!$A$1:$I$88,7,0))</f>
        <v>0</v>
      </c>
      <c r="DI35" s="37">
        <f>IF(ISNA(VLOOKUP(A35,'Données projet'!$A$191:$I$211,7,0)),0%,VLOOKUP(A35,'Données projet'!$A$191:$I$211,7,0))</f>
        <v>0</v>
      </c>
      <c r="DJ35" s="45">
        <f>EXP(-LN(2)/35)*DJ34+(1-EXP(-LN(2)/35))/(LN(2)/35)*DF35*DG35*VLOOKUP('Données projet'!$B$9,Paramètres!$A$1:$I$88,3,0)*0.475*44/12</f>
        <v>0</v>
      </c>
      <c r="DK35" s="45">
        <f>EXP(-LN(2)/25)*DK34+(1-EXP(-LN(2)/25))/(LN(2)/25)*Calculateur!DF35*Calculateur!DH35*VLOOKUP('Données projet'!$B$9,Paramètres!$A$1:$I$88,3,0)*0.475*44/12</f>
        <v>0</v>
      </c>
      <c r="DL35" s="45">
        <f>EXP(-LN(2)/2)*DL34+(1-EXP(-LN(2)/2))/(LN(2)/2)*DF35*DI35*VLOOKUP('Données projet'!$B$9,Paramètres!$A$1:$I$88,3,0)*0.475*44/12</f>
        <v>0</v>
      </c>
      <c r="DM35" s="46">
        <f t="shared" si="13"/>
        <v>0</v>
      </c>
      <c r="DN35" s="32" t="e">
        <f>VLOOKUP(A35,'Données projet'!$A$217:$I$237,2,0)</f>
        <v>#N/A</v>
      </c>
      <c r="DO35" s="33" t="e">
        <f>VLOOKUP(A35,'Données projet'!$A$217:$I$237,9,0)</f>
        <v>#N/A</v>
      </c>
      <c r="DP35" s="33">
        <f t="array" ref="DP35">INDEX(DO:DO,MIN(IF(ISNUMBER(DO35:DO231),ROW(DO35:DO231),"")))</f>
        <v>0</v>
      </c>
      <c r="DQ35" s="33">
        <f t="shared" si="35"/>
        <v>0</v>
      </c>
      <c r="DR35" s="38" t="e">
        <f>DQ35*VLOOKUP('Données projet'!$B$16,Paramètres!$A$1:$I$88,3,0)*VLOOKUP('Données projet'!$B$16,Paramètres!$A$1:$I$88,5,0)</f>
        <v>#N/A</v>
      </c>
      <c r="DS35" s="34" t="e">
        <f t="shared" si="36"/>
        <v>#N/A</v>
      </c>
      <c r="DT35" s="44" t="e">
        <f t="shared" si="14"/>
        <v>#N/A</v>
      </c>
      <c r="DU35" s="36">
        <f>IF(ISNA(VLOOKUP(A35,'Données projet'!$A$217:$I$237,3,0)),0,VLOOKUP(A35,'Données projet'!$A$217:$I$237,3,0))</f>
        <v>0</v>
      </c>
      <c r="DV35" s="36">
        <f>IF(ISNA(VLOOKUP(A35,'Données projet'!$A$217:$I$237,4,0)),0,VLOOKUP(A35,'Données projet'!$A$217:$I$237,4,0))</f>
        <v>0</v>
      </c>
      <c r="DW35" s="37">
        <f>IF(ISNA(VLOOKUP(A35,'Données projet'!$A$217:$I$237,5,0)),0%,VLOOKUP(A35,'Données projet'!$A$217:$I$237,5,0)*VLOOKUP('Données projet'!$B$16,Paramètres!$A$1:$I$88,7,0))</f>
        <v>0</v>
      </c>
      <c r="DX35" s="37">
        <f>IF(ISNA(VLOOKUP(A35,'Données projet'!$A$217:$I$237,6,0)),0%,VLOOKUP(A35,'Données projet'!$A$217:$I$237,6,0)*VLOOKUP('Données projet'!$B$16,Paramètres!$A$1:$I$88,7,0))</f>
        <v>0</v>
      </c>
      <c r="DY35" s="37">
        <f>IF(ISNA(VLOOKUP(A35,'Données projet'!$A$217:$I$237,7,0)),0%,VLOOKUP(A35,'Données projet'!$A$217:$I$237,7,0))</f>
        <v>0</v>
      </c>
      <c r="DZ35" s="45">
        <f>EXP(-LN(2)/35)*DZ34+(1-EXP(-LN(2)/35))/(LN(2)/35)*DV35*DW35*VLOOKUP('Données projet'!$B$9,Paramètres!$A$1:$I$88,3,0)*0.475*44/12</f>
        <v>0</v>
      </c>
      <c r="EA35" s="45">
        <f>EXP(-LN(2)/25)*EA34+(1-EXP(-LN(2)/25))/(LN(2)/25)*Calculateur!DV35*Calculateur!DX35*VLOOKUP('Données projet'!$B$9,Paramètres!$A$1:$I$88,3,0)*0.475*44/12</f>
        <v>0</v>
      </c>
      <c r="EB35" s="45">
        <f>EXP(-LN(2)/2)*EB34+(1-EXP(-LN(2)/2))/(LN(2)/2)*DV35*DY35*VLOOKUP('Données projet'!$B$9,Paramètres!$A$1:$I$88,3,0)*0.475*44/12</f>
        <v>0</v>
      </c>
      <c r="EC35" s="46">
        <f t="shared" si="15"/>
        <v>0</v>
      </c>
      <c r="ED35" s="32" t="e">
        <f>VLOOKUP(A35,'Données projet'!$A$243:$I$263,2,0)</f>
        <v>#N/A</v>
      </c>
      <c r="EE35" s="33" t="e">
        <f>VLOOKUP(A35,'Données projet'!$A$243:$I$263,9,0)</f>
        <v>#N/A</v>
      </c>
      <c r="EF35" s="33">
        <f t="array" ref="EF35">INDEX(EE:EE,MIN(IF(ISNUMBER(EE35:EE231),ROW(EE35:EE231),"")))</f>
        <v>0</v>
      </c>
      <c r="EG35" s="33">
        <f t="shared" si="37"/>
        <v>0</v>
      </c>
      <c r="EH35" s="38" t="e">
        <f>EG35*VLOOKUP('Données projet'!$B$17,Paramètres!$A$1:$I$88,3,0)*VLOOKUP('Données projet'!$B$17,Paramètres!$A$1:$I$88,5,0)</f>
        <v>#N/A</v>
      </c>
      <c r="EI35" s="34" t="e">
        <f t="shared" si="38"/>
        <v>#N/A</v>
      </c>
      <c r="EJ35" s="44" t="e">
        <f t="shared" si="16"/>
        <v>#N/A</v>
      </c>
      <c r="EK35" s="36">
        <f>IF(ISNA(VLOOKUP(A35,'Données projet'!$A$243:$I$263,3,0)),0,VLOOKUP(A35,'Données projet'!$A$243:$I$263,3,0))</f>
        <v>0</v>
      </c>
      <c r="EL35" s="36">
        <f>IF(ISNA(VLOOKUP(A35,'Données projet'!$A$243:$I$263,4,0)),0,VLOOKUP(A35,'Données projet'!$A$243:$I$263,4,0))</f>
        <v>0</v>
      </c>
      <c r="EM35" s="37">
        <f>IF(ISNA(VLOOKUP(A35,'Données projet'!$A$243:$I$263,5,0)),0%,VLOOKUP(A35,'Données projet'!$A$243:$I$263,5,0)*VLOOKUP('Données projet'!$B$17,Paramètres!$A$1:$I$88,7,0))</f>
        <v>0</v>
      </c>
      <c r="EN35" s="37">
        <f>IF(ISNA(VLOOKUP(A35,'Données projet'!$A$243:$I$263,6,0)),0%,VLOOKUP(A35,'Données projet'!$A$243:$I$263,6,0)*VLOOKUP('Données projet'!$B$17,Paramètres!$A$1:$I$88,7,0))</f>
        <v>0</v>
      </c>
      <c r="EO35" s="37">
        <f>IF(ISNA(VLOOKUP(A35,'Données projet'!$A$243:$I$263,7,0)),0%,VLOOKUP(A35,'Données projet'!$A$243:$I$263,7,0))</f>
        <v>0</v>
      </c>
      <c r="EP35" s="45">
        <f>EXP(-LN(2)/35)*EP34+(1-EXP(-LN(2)/35))/(LN(2)/35)*EL35*EM35*VLOOKUP('Données projet'!$B$9,Paramètres!$A$1:$I$88,3,0)*0.475*44/12</f>
        <v>0</v>
      </c>
      <c r="EQ35" s="45">
        <f>EXP(-LN(2)/25)*EQ34+(1-EXP(-LN(2)/25))/(LN(2)/25)*Calculateur!EL35*Calculateur!EN35*VLOOKUP('Données projet'!$B$9,Paramètres!$A$1:$I$88,3,0)*0.475*44/12</f>
        <v>0</v>
      </c>
      <c r="ER35" s="45">
        <f>EXP(-LN(2)/2)*ER34+(1-EXP(-LN(2)/2))/(LN(2)/2)*EL35*EO35*VLOOKUP('Données projet'!$B$9,Paramètres!$A$1:$I$88,3,0)*0.475*44/12</f>
        <v>0</v>
      </c>
      <c r="ES35" s="46">
        <f t="shared" si="17"/>
        <v>0</v>
      </c>
      <c r="ET35" s="32" t="e">
        <f>VLOOKUP(A35,'Données projet'!$A$269:$I$289,2,0)</f>
        <v>#N/A</v>
      </c>
      <c r="EU35" s="33" t="e">
        <f>VLOOKUP(A35,'Données projet'!$A$269:$I$289,9,0)</f>
        <v>#N/A</v>
      </c>
      <c r="EV35" s="33">
        <f t="array" ref="EV35">INDEX(EU:EU,MIN(IF(ISNUMBER(EU35:EU231),ROW(EU35:EU231),"")))</f>
        <v>0</v>
      </c>
      <c r="EW35" s="33">
        <f t="shared" si="39"/>
        <v>0</v>
      </c>
      <c r="EX35" s="38" t="e">
        <f>EW35*VLOOKUP('Données projet'!$B$18,Paramètres!$A$1:$I$88,3,0)*VLOOKUP('Données projet'!$B$18,Paramètres!$A$1:$I$88,5,0)</f>
        <v>#N/A</v>
      </c>
      <c r="EY35" s="34" t="e">
        <f t="shared" si="40"/>
        <v>#N/A</v>
      </c>
      <c r="EZ35" s="44" t="e">
        <f t="shared" si="18"/>
        <v>#N/A</v>
      </c>
      <c r="FA35" s="36">
        <f>IF(ISNA(VLOOKUP(A35,'Données projet'!$A$269:$I$289,3,0)),0,VLOOKUP(A35,'Données projet'!$A$269:$I$289,3,0))</f>
        <v>0</v>
      </c>
      <c r="FB35" s="36">
        <f>IF(ISNA(VLOOKUP(A35,'Données projet'!$A$269:$I$289,4,0)),0,VLOOKUP(A35,'Données projet'!$A$269:$I$289,4,0))</f>
        <v>0</v>
      </c>
      <c r="FC35" s="37">
        <f>IF(ISNA(VLOOKUP(A35,'Données projet'!$A$269:$I$289,5,0)),0%,VLOOKUP(A35,'Données projet'!$A$269:$I$289,5,0)*VLOOKUP('Données projet'!$B$18,Paramètres!$A$1:$I$88,7,0))</f>
        <v>0</v>
      </c>
      <c r="FD35" s="37">
        <f>IF(ISNA(VLOOKUP(A35,'Données projet'!$A$269:$I$289,6,0)),0%,VLOOKUP(A35,'Données projet'!$A$269:$I$289,6,0)*VLOOKUP('Données projet'!$B$18,Paramètres!$A$1:$I$88,7,0))</f>
        <v>0</v>
      </c>
      <c r="FE35" s="37">
        <f>IF(ISNA(VLOOKUP(A35,'Données projet'!$A$269:$I$289,7,0)),0%,VLOOKUP(A35,'Données projet'!$A$269:$I$289,7,0))</f>
        <v>0</v>
      </c>
      <c r="FF35" s="45">
        <f>EXP(-LN(2)/35)*FF34+(1-EXP(-LN(2)/35))/(LN(2)/35)*FB35*FC35*VLOOKUP('Données projet'!$B$9,Paramètres!$A$1:$I$88,3,0)*0.475*44/12</f>
        <v>0</v>
      </c>
      <c r="FG35" s="45">
        <f>EXP(-LN(2)/25)*FG34+(1-EXP(-LN(2)/25))/(LN(2)/25)*Calculateur!FB35*Calculateur!FD35*VLOOKUP('Données projet'!$B$9,Paramètres!$A$1:$I$88,3,0)*0.475*44/12</f>
        <v>0</v>
      </c>
      <c r="FH35" s="45">
        <f>EXP(-LN(2)/2)*FH34+(1-EXP(-LN(2)/2))/(LN(2)/2)*FB35*FE35*VLOOKUP('Données projet'!$B$9,Paramètres!$A$1:$I$88,3,0)*0.475*44/12</f>
        <v>0</v>
      </c>
      <c r="FI35" s="46">
        <f t="shared" si="19"/>
        <v>0</v>
      </c>
    </row>
    <row r="36" spans="1:165" x14ac:dyDescent="0.25">
      <c r="A36" s="24">
        <f t="shared" si="20"/>
        <v>33</v>
      </c>
      <c r="B36" s="25">
        <f>IF('Scénario référence'!$N$1=1,5,0)</f>
        <v>0</v>
      </c>
      <c r="C36" s="40">
        <f>IF(OR('Scénario référence'!$N$1=2,'Scénario référence'!$N$1=4),C35+1*VLOOKUP('Scénario référence'!$G$14,Paramètres!$A$1:$I$88,3,0)*VLOOKUP('Scénario référence'!$G$14,Paramètres!$A$1:$I$88,5,0),IF(OR('Scénario référence'!$N$1=3,'Scénario référence'!$N$1=5),C35+0.5*VLOOKUP('Scénario référence'!$G$14,Paramètres!$A$1:$I$88,3,0)*VLOOKUP('Scénario référence'!$G$14,Paramètres!$A$1:$I$88,5,0),0))</f>
        <v>18.017999999999994</v>
      </c>
      <c r="D36" s="26">
        <f t="shared" si="21"/>
        <v>5.9305422092039777</v>
      </c>
      <c r="E36" s="27">
        <f>IF('Scénario référence'!$N$1=1,B36*44/12,(C36+D36)*0.475*44/12)</f>
        <v>41.710377681030245</v>
      </c>
      <c r="F36" s="28" t="e">
        <f>VLOOKUP(A36,'Données projet'!$A$35:$I$55,2,0)</f>
        <v>#N/A</v>
      </c>
      <c r="G36" s="28" t="e">
        <f>VLOOKUP(A36,'Données projet'!$A$35:$I$55,9,0)</f>
        <v>#N/A</v>
      </c>
      <c r="H36" s="33">
        <f t="array" ref="H36">INDEX(G:G,MIN(IF(ISNUMBER(G36:G232),ROW(G36:G232),"")))</f>
        <v>8.6</v>
      </c>
      <c r="I36" s="28">
        <f t="shared" si="22"/>
        <v>122.8</v>
      </c>
      <c r="J36" s="41">
        <f>I36*VLOOKUP('Données projet'!$B$9,Paramètres!$A$1:$I$88,3,0)*VLOOKUP('Données projet'!$B$9,Paramètres!$A$1:$I$88,5,0)</f>
        <v>124.51920000000001</v>
      </c>
      <c r="K36" s="41">
        <f t="shared" si="23"/>
        <v>32.726749993106417</v>
      </c>
      <c r="L36" s="42">
        <f t="shared" si="0"/>
        <v>273.870029571327</v>
      </c>
      <c r="M36" s="30">
        <f>IF(ISNA(VLOOKUP(A36,'Données projet'!$A$35:$I$55,3,0)),0,VLOOKUP(A36,'Données projet'!$A$35:$I$55,3,0))</f>
        <v>0</v>
      </c>
      <c r="N36" s="30">
        <f>IF(ISNA(VLOOKUP(A36,'Données projet'!$A$35:$I$55,4,0)),0,VLOOKUP(A36,'Données projet'!$A$35:$I$55,4,0))</f>
        <v>0</v>
      </c>
      <c r="O36" s="31">
        <f>IF(ISNA(VLOOKUP(A36,'Données projet'!$A$35:$I$55,5,0)),0%,VLOOKUP(A36,'Données projet'!$A$35:$I$55,5,0)*VLOOKUP('Données projet'!$B$9,Paramètres!$A$1:$I$88,7,0))</f>
        <v>0</v>
      </c>
      <c r="P36" s="31">
        <f>IF(ISNA(VLOOKUP(A36,'Données projet'!$A$35:$I$55,6,0)),0%,VLOOKUP(A36,'Données projet'!$A$35:$I$55,6,0)*VLOOKUP('Données projet'!$B$9,Paramètres!$A$1:$I$88,7,0))</f>
        <v>0</v>
      </c>
      <c r="Q36" s="31">
        <f>IF(ISNA(VLOOKUP(A36,'Données projet'!$A$35:$I$55,7,0)),0%,VLOOKUP(A36,'Données projet'!$A$35:$I$55,7,0))</f>
        <v>0</v>
      </c>
      <c r="R36" s="43">
        <f>EXP(-LN(2)/35)*R35+(1-EXP(-LN(2)/35))/(LN(2)/35)*N36*O36*VLOOKUP('Données projet'!$B$9,Paramètres!$A$1:$I$88,3,0)*0.475*44/12</f>
        <v>0</v>
      </c>
      <c r="S36" s="43">
        <f>EXP(-LN(2)/25)*S35+(1-EXP(-LN(2)/25))/(LN(2)/25)*Calculateur!N36*Calculateur!P36*VLOOKUP('Données projet'!$B$9,Paramètres!$A$1:$I$88,3,0)*0.475*44/12</f>
        <v>0</v>
      </c>
      <c r="T36" s="43">
        <f>EXP(-LN(2)/2)*T35+(1-EXP(-LN(2)/2))/(LN(2)/2)*N36*Q36*VLOOKUP('Données projet'!$B$9,Paramètres!$A$1:$I$88,3,0)*0.475*44/12</f>
        <v>0</v>
      </c>
      <c r="U36" s="43">
        <f t="shared" si="1"/>
        <v>0</v>
      </c>
      <c r="V36" s="32" t="e">
        <f>VLOOKUP(A36,'Données projet'!$A$61:$I$81,2,0)</f>
        <v>#N/A</v>
      </c>
      <c r="W36" s="33" t="e">
        <f>VLOOKUP(A36,'Données projet'!$A$61:$I$81,9,0)</f>
        <v>#N/A</v>
      </c>
      <c r="X36" s="33">
        <f t="array" ref="X36">INDEX(W:W,MIN(IF(ISNUMBER(W36:W232),ROW(W36:W232),"")))</f>
        <v>0</v>
      </c>
      <c r="Y36" s="33">
        <f t="shared" si="24"/>
        <v>0</v>
      </c>
      <c r="Z36" s="34" t="e">
        <f>Y36*VLOOKUP('Données projet'!$B$10,Paramètres!$A$1:$I$88,3,0)*VLOOKUP('Données projet'!$B$10,Paramètres!$A$1:$I$88,5,0)</f>
        <v>#N/A</v>
      </c>
      <c r="AA36" s="34" t="e">
        <f t="shared" si="25"/>
        <v>#N/A</v>
      </c>
      <c r="AB36" s="44" t="e">
        <f t="shared" si="2"/>
        <v>#N/A</v>
      </c>
      <c r="AC36" s="36">
        <f>IF(ISNA(VLOOKUP(A36,'Données projet'!$A$61:$I$81,3,0)),0,VLOOKUP(A36,'Données projet'!$A$61:$I$81,3,0))</f>
        <v>0</v>
      </c>
      <c r="AD36" s="36">
        <f>IF(ISNA(VLOOKUP(A36,'Données projet'!$A$61:$I$81,4,0)),0,VLOOKUP(A36,'Données projet'!$A$61:$I$81,4,0))</f>
        <v>0</v>
      </c>
      <c r="AE36" s="37">
        <f>IF(ISNA(VLOOKUP(A36,'Données projet'!$A$61:$I$81,5,0)),0%,VLOOKUP(A36,'Données projet'!$A$61:$I$81,5,0)*VLOOKUP('Données projet'!$B$10,Paramètres!$A$1:$I$88,7,0))</f>
        <v>0</v>
      </c>
      <c r="AF36" s="37">
        <f>IF(ISNA(VLOOKUP(A36,'Données projet'!$A$61:$I$81,6,0)),0%,VLOOKUP(A36,'Données projet'!$A$61:$I$81,6,0)*VLOOKUP('Données projet'!$B$10,Paramètres!$A$1:$I$88,7,0))</f>
        <v>0</v>
      </c>
      <c r="AG36" s="37">
        <f>IF(ISNA(VLOOKUP(A36,'Données projet'!$A$61:$I$81,7,0)),0%,VLOOKUP(A36,'Données projet'!$A$61:$I$81,7,0))</f>
        <v>0</v>
      </c>
      <c r="AH36" s="45">
        <f>EXP(-LN(2)/35)*AH35+(1-EXP(-LN(2)/35))/(LN(2)/35)*AD36*AE36*VLOOKUP('Données projet'!$B$9,Paramètres!$A$1:$I$88,3,0)*0.475*44/12</f>
        <v>0</v>
      </c>
      <c r="AI36" s="45">
        <f>EXP(-LN(2)/25)*AI35+(1-EXP(-LN(2)/25))/(LN(2)/25)*Calculateur!AD36*Calculateur!AF36*VLOOKUP('Données projet'!$B$9,Paramètres!$A$1:$I$88,3,0)*0.475*44/12</f>
        <v>0</v>
      </c>
      <c r="AJ36" s="45">
        <f>EXP(-LN(2)/2)*AJ35+(1-EXP(-LN(2)/2))/(LN(2)/2)*AD36*AG36*VLOOKUP('Données projet'!$B$9,Paramètres!$A$1:$I$88,3,0)*0.475*44/12</f>
        <v>0</v>
      </c>
      <c r="AK36" s="45">
        <f t="shared" si="3"/>
        <v>0</v>
      </c>
      <c r="AL36" s="32" t="e">
        <f>VLOOKUP(A36,'Données projet'!$A$87:$I$107,2,0)</f>
        <v>#N/A</v>
      </c>
      <c r="AM36" s="33" t="e">
        <f>VLOOKUP(A36,'Données projet'!$A$87:$I$107,9,0)</f>
        <v>#N/A</v>
      </c>
      <c r="AN36" s="33">
        <f t="array" ref="AN36">INDEX(AM:AM,MIN(IF(ISNUMBER(AM36:AM232),ROW(AM36:AM232),"")))</f>
        <v>0</v>
      </c>
      <c r="AO36" s="33">
        <f t="shared" si="26"/>
        <v>0</v>
      </c>
      <c r="AP36" s="34" t="e">
        <f>AO36*VLOOKUP('Données projet'!$B$11,Paramètres!$A$1:$I$88,3,0)*VLOOKUP('Données projet'!$B$11,Paramètres!$A$1:$I$88,5,0)</f>
        <v>#N/A</v>
      </c>
      <c r="AQ36" s="34" t="e">
        <f t="shared" si="27"/>
        <v>#N/A</v>
      </c>
      <c r="AR36" s="44" t="e">
        <f t="shared" si="4"/>
        <v>#N/A</v>
      </c>
      <c r="AS36" s="36">
        <f>IF(ISNA(VLOOKUP(A36,'Données projet'!$A$87:$I$107,3,0)),0,VLOOKUP(A36,'Données projet'!$A$87:$I$107,3,0))</f>
        <v>0</v>
      </c>
      <c r="AT36" s="36">
        <f>IF(ISNA(VLOOKUP(A36,'Données projet'!$A$87:$I$107,4,0)),0,VLOOKUP(A36,'Données projet'!$A$87:$I$107,4,0))</f>
        <v>0</v>
      </c>
      <c r="AU36" s="37">
        <f>IF(ISNA(VLOOKUP(A36,'Données projet'!$A$87:$I$107,5,0)),0%,VLOOKUP(A36,'Données projet'!$A$87:$I$107,5,0)*VLOOKUP('Données projet'!$B$11,Paramètres!$A$1:$I$88,7,0))</f>
        <v>0</v>
      </c>
      <c r="AV36" s="37">
        <f>IF(ISNA(VLOOKUP(A36,'Données projet'!$A$87:$I$107,6,0)),0%,VLOOKUP(A36,'Données projet'!$A$87:$I$107,6,0)*VLOOKUP('Données projet'!$B$11,Paramètres!$A$1:$I$88,7,0))</f>
        <v>0</v>
      </c>
      <c r="AW36" s="37">
        <f>IF(ISNA(VLOOKUP(A36,'Données projet'!$A$87:$I$107,7,0)),0%,VLOOKUP(A36,'Données projet'!$A$87:$I$107,7,0))</f>
        <v>0</v>
      </c>
      <c r="AX36" s="45">
        <f>EXP(-LN(2)/35)*AX35+(1-EXP(-LN(2)/35))/(LN(2)/35)*AT36*AU36*VLOOKUP('Données projet'!$B$9,Paramètres!$A$1:$I$88,3,0)*0.475*44/12</f>
        <v>0</v>
      </c>
      <c r="AY36" s="45">
        <f>EXP(-LN(2)/25)*AY35+(1-EXP(-LN(2)/25))/(LN(2)/25)*Calculateur!AT36*Calculateur!AV36*VLOOKUP('Données projet'!$B$9,Paramètres!$A$1:$I$88,3,0)*0.475*44/12</f>
        <v>0</v>
      </c>
      <c r="AZ36" s="45">
        <f>EXP(-LN(2)/2)*AZ35+(1-EXP(-LN(2)/2))/(LN(2)/2)*AT36*AW36*VLOOKUP('Données projet'!$B$9,Paramètres!$A$1:$I$88,3,0)*0.475*44/12</f>
        <v>0</v>
      </c>
      <c r="BA36" s="46">
        <f t="shared" si="5"/>
        <v>0</v>
      </c>
      <c r="BB36" s="32" t="e">
        <f>VLOOKUP(A36,'Données projet'!$A$113:$I$133,2,0)</f>
        <v>#N/A</v>
      </c>
      <c r="BC36" s="33" t="e">
        <f>VLOOKUP(A36,'Données projet'!$A$113:$I$133,9,0)</f>
        <v>#N/A</v>
      </c>
      <c r="BD36" s="33">
        <f t="array" ref="BD36">INDEX(BC:BC,MIN(IF(ISNUMBER(BC36:BC232),ROW(BC36:BC232),"")))</f>
        <v>0</v>
      </c>
      <c r="BE36" s="33">
        <f t="shared" si="28"/>
        <v>0</v>
      </c>
      <c r="BF36" s="34" t="e">
        <f>BE36*VLOOKUP('Données projet'!$B$12,Paramètres!$A$1:$I$88,3,0)*VLOOKUP('Données projet'!$B$12,Paramètres!$A$1:$I$88,5,0)</f>
        <v>#N/A</v>
      </c>
      <c r="BG36" s="34" t="e">
        <f t="shared" si="29"/>
        <v>#N/A</v>
      </c>
      <c r="BH36" s="44" t="e">
        <f t="shared" si="6"/>
        <v>#N/A</v>
      </c>
      <c r="BI36" s="36">
        <f>IF(ISNA(VLOOKUP(A36,'Données projet'!$A$113:$I$133,3,0)),0,VLOOKUP(A36,'Données projet'!$A$113:$I$133,3,0))</f>
        <v>0</v>
      </c>
      <c r="BJ36" s="36">
        <f>IF(ISNA(VLOOKUP(A36,'Données projet'!$A$113:$I$133,4,0)),0,VLOOKUP(A36,'Données projet'!$A$113:$I$133,4,0))</f>
        <v>0</v>
      </c>
      <c r="BK36" s="37">
        <f>IF(ISNA(VLOOKUP(A36,'Données projet'!$A$113:$I$133,5,0)),0%,VLOOKUP(A36,'Données projet'!$A$113:$I$133,5,0)*VLOOKUP('Données projet'!$B$12,Paramètres!$A$1:$I$88,7,0))</f>
        <v>0</v>
      </c>
      <c r="BL36" s="37">
        <f>IF(ISNA(VLOOKUP(A36,'Données projet'!$A$113:$I$133,6,0)),0%,VLOOKUP(A36,'Données projet'!$A$113:$I$133,6,0)*VLOOKUP('Données projet'!$B$12,Paramètres!$A$1:$I$88,7,0))</f>
        <v>0</v>
      </c>
      <c r="BM36" s="37">
        <f>IF(ISNA(VLOOKUP(A36,'Données projet'!$A$113:$I$133,7,0)),0%,VLOOKUP(A36,'Données projet'!$A$113:$I$133,7,0))</f>
        <v>0</v>
      </c>
      <c r="BN36" s="45">
        <f>EXP(-LN(2)/35)*BN35+(1-EXP(-LN(2)/35))/(LN(2)/35)*BJ36*BK36*VLOOKUP('Données projet'!$B$9,Paramètres!$A$1:$I$88,3,0)*0.475*44/12</f>
        <v>0</v>
      </c>
      <c r="BO36" s="45">
        <f>EXP(-LN(2)/25)*BO35+(1-EXP(-LN(2)/25))/(LN(2)/25)*Calculateur!BJ36*Calculateur!BL36*VLOOKUP('Données projet'!$B$9,Paramètres!$A$1:$I$88,3,0)*0.475*44/12</f>
        <v>0</v>
      </c>
      <c r="BP36" s="45">
        <f>EXP(-LN(2)/2)*BP35+(1-EXP(-LN(2)/2))/(LN(2)/2)*BJ36*BM36*VLOOKUP('Données projet'!$B$9,Paramètres!$A$1:$I$88,3,0)*0.475*44/12</f>
        <v>0</v>
      </c>
      <c r="BQ36" s="46">
        <f t="shared" si="7"/>
        <v>0</v>
      </c>
      <c r="BR36" s="32" t="e">
        <f>VLOOKUP(A36,'Données projet'!$A$139:$I$159,2,0)</f>
        <v>#N/A</v>
      </c>
      <c r="BS36" s="33" t="e">
        <f>VLOOKUP(A36,'Données projet'!$A$139:$I$159,9,0)</f>
        <v>#N/A</v>
      </c>
      <c r="BT36" s="33">
        <f t="array" ref="BT36">INDEX(BS:BS,MIN(IF(ISNUMBER(BS36:BS232),ROW(BS36:BS232),"")))</f>
        <v>0</v>
      </c>
      <c r="BU36" s="33">
        <f t="shared" si="41"/>
        <v>0</v>
      </c>
      <c r="BV36" s="38" t="e">
        <f>BU36*VLOOKUP('Données projet'!$B$13,Paramètres!$A$1:$I$88,3,0)*VLOOKUP('Données projet'!$B$13,Paramètres!$A$1:$I$88,5,0)</f>
        <v>#N/A</v>
      </c>
      <c r="BW36" s="34" t="e">
        <f t="shared" si="30"/>
        <v>#N/A</v>
      </c>
      <c r="BX36" s="44" t="e">
        <f t="shared" si="8"/>
        <v>#N/A</v>
      </c>
      <c r="BY36" s="36">
        <f>IF(ISNA(VLOOKUP(A36,'Données projet'!$A$139:$I$159,3,0)),0,VLOOKUP(A36,'Données projet'!$A$139:$I$159,3,0))</f>
        <v>0</v>
      </c>
      <c r="BZ36" s="36">
        <f>IF(ISNA(VLOOKUP(A36,'Données projet'!$A$139:$I$159,4,0)),0,VLOOKUP(A36,'Données projet'!$A$139:$I$159,4,0))</f>
        <v>0</v>
      </c>
      <c r="CA36" s="37">
        <f>IF(ISNA(VLOOKUP(A36,'Données projet'!$A$139:$I$159,5,0)),0%,VLOOKUP(A36,'Données projet'!$A$139:$I$159,5,0)*VLOOKUP('Données projet'!$B$13,Paramètres!$A$1:$I$88,7,0))</f>
        <v>0</v>
      </c>
      <c r="CB36" s="37">
        <f>IF(ISNA(VLOOKUP(A36,'Données projet'!$A$139:$I$159,6,0)),0%,VLOOKUP(A36,'Données projet'!$A$139:$I$159,6,0)*VLOOKUP('Données projet'!$B$13,Paramètres!$A$1:$I$88,7,0))</f>
        <v>0</v>
      </c>
      <c r="CC36" s="37">
        <f>IF(ISNA(VLOOKUP(A36,'Données projet'!$A$139:$I$159,7,0)),0%,VLOOKUP(A36,'Données projet'!$A$139:$I$159,7,0))</f>
        <v>0</v>
      </c>
      <c r="CD36" s="45">
        <f>EXP(-LN(2)/35)*CD35+(1-EXP(-LN(2)/35))/(LN(2)/35)*BZ36*CA36*VLOOKUP('Données projet'!$B$9,Paramètres!$A$1:$I$88,3,0)*0.475*44/12</f>
        <v>0</v>
      </c>
      <c r="CE36" s="45">
        <f>EXP(-LN(2)/25)*CE35+(1-EXP(-LN(2)/25))/(LN(2)/25)*Calculateur!BZ36*Calculateur!CB36*VLOOKUP('Données projet'!$B$9,Paramètres!$A$1:$I$88,3,0)*0.475*44/12</f>
        <v>0</v>
      </c>
      <c r="CF36" s="45">
        <f>EXP(-LN(2)/2)*CF35+(1-EXP(-LN(2)/2))/(LN(2)/2)*BZ36*CC36*VLOOKUP('Données projet'!$B$9,Paramètres!$A$1:$I$88,3,0)*0.475*44/12</f>
        <v>0</v>
      </c>
      <c r="CG36" s="46">
        <f t="shared" si="9"/>
        <v>0</v>
      </c>
      <c r="CH36" s="32" t="e">
        <f>VLOOKUP(A36,'Données projet'!$A$165:$I$185,2,0)</f>
        <v>#N/A</v>
      </c>
      <c r="CI36" s="33" t="e">
        <f>VLOOKUP(A36,'Données projet'!$A$165:$I$185,9,0)</f>
        <v>#N/A</v>
      </c>
      <c r="CJ36" s="33">
        <f t="array" ref="CJ36">INDEX(CI:CI,MIN(IF(ISNUMBER(CI36:CI232),ROW(CI36:CI232),"")))</f>
        <v>0</v>
      </c>
      <c r="CK36" s="33">
        <f t="shared" si="31"/>
        <v>0</v>
      </c>
      <c r="CL36" s="38" t="e">
        <f>CK36*VLOOKUP('Données projet'!$B$14,Paramètres!$A$1:$I$88,3,0)*VLOOKUP('Données projet'!$B$14,Paramètres!$A$1:$I$88,5,0)</f>
        <v>#N/A</v>
      </c>
      <c r="CM36" s="34" t="e">
        <f t="shared" si="32"/>
        <v>#N/A</v>
      </c>
      <c r="CN36" s="44" t="e">
        <f t="shared" si="10"/>
        <v>#N/A</v>
      </c>
      <c r="CO36" s="36">
        <f>IF(ISNA(VLOOKUP(A36,'Données projet'!$A$165:$I$185,3,0)),0,VLOOKUP(A36,'Données projet'!$A$165:$I$185,3,0))</f>
        <v>0</v>
      </c>
      <c r="CP36" s="36">
        <f>IF(ISNA(VLOOKUP(A36,'Données projet'!$A$165:$I$185,4,0)),0,VLOOKUP(A36,'Données projet'!$A$165:$I$185,4,0))</f>
        <v>0</v>
      </c>
      <c r="CQ36" s="37">
        <f>IF(ISNA(VLOOKUP(A36,'Données projet'!$A$165:$I$185,5,0)),0%,VLOOKUP(A36,'Données projet'!$A$165:$I$185,5,0)*VLOOKUP('Données projet'!$B$14,Paramètres!$A$1:$I$88,7,0))</f>
        <v>0</v>
      </c>
      <c r="CR36" s="37">
        <f>IF(ISNA(VLOOKUP(A36,'Données projet'!$A$165:$I$185,6,0)),0%,VLOOKUP(A36,'Données projet'!$A$165:$I$185,6,0)*VLOOKUP('Données projet'!$B$14,Paramètres!$A$1:$I$88,7,0))</f>
        <v>0</v>
      </c>
      <c r="CS36" s="37">
        <f>IF(ISNA(VLOOKUP(A36,'Données projet'!$A$165:$I$185,7,0)),0%,VLOOKUP(A36,'Données projet'!$A$165:$I$185,7,0))</f>
        <v>0</v>
      </c>
      <c r="CT36" s="45">
        <f>EXP(-LN(2)/35)*CT35+(1-EXP(-LN(2)/35))/(LN(2)/35)*CP36*CQ36*VLOOKUP('Données projet'!$B$9,Paramètres!$A$1:$I$88,3,0)*0.475*44/12</f>
        <v>0</v>
      </c>
      <c r="CU36" s="45">
        <f>EXP(-LN(2)/25)*CU35+(1-EXP(-LN(2)/25))/(LN(2)/25)*Calculateur!CP36*Calculateur!CR36*VLOOKUP('Données projet'!$B$9,Paramètres!$A$1:$I$88,3,0)*0.475*44/12</f>
        <v>0</v>
      </c>
      <c r="CV36" s="45">
        <f>EXP(-LN(2)/2)*CV35+(1-EXP(-LN(2)/2))/(LN(2)/2)*CP36*CS36*VLOOKUP('Données projet'!$B$9,Paramètres!$A$1:$I$88,3,0)*0.475*44/12</f>
        <v>0</v>
      </c>
      <c r="CW36" s="46">
        <f t="shared" si="11"/>
        <v>0</v>
      </c>
      <c r="CX36" s="32" t="e">
        <f>VLOOKUP(A36,'Données projet'!$A$191:$I$211,2,0)</f>
        <v>#N/A</v>
      </c>
      <c r="CY36" s="33" t="e">
        <f>VLOOKUP(A36,'Données projet'!$A$191:$I$211,9,0)</f>
        <v>#N/A</v>
      </c>
      <c r="CZ36" s="33">
        <f t="array" ref="CZ36">INDEX(CY:CY,MIN(IF(ISNUMBER(CY36:CY232),ROW(CY36:CY232),"")))</f>
        <v>0</v>
      </c>
      <c r="DA36" s="33">
        <f t="shared" si="33"/>
        <v>0</v>
      </c>
      <c r="DB36" s="38" t="e">
        <f>DA36*VLOOKUP('Données projet'!$B$15,Paramètres!$A$1:$I$88,3,0)*VLOOKUP('Données projet'!$B$15,Paramètres!$A$1:$I$88,5,0)</f>
        <v>#N/A</v>
      </c>
      <c r="DC36" s="34" t="e">
        <f t="shared" si="34"/>
        <v>#N/A</v>
      </c>
      <c r="DD36" s="44" t="e">
        <f t="shared" si="12"/>
        <v>#N/A</v>
      </c>
      <c r="DE36" s="36">
        <f>IF(ISNA(VLOOKUP(A36,'Données projet'!$A$191:$I$211,3,0)),0,VLOOKUP(A36,'Données projet'!$A$191:$I$211,3,0))</f>
        <v>0</v>
      </c>
      <c r="DF36" s="36">
        <f>IF(ISNA(VLOOKUP(A36,'Données projet'!$A$191:$I$211,4,0)),0,VLOOKUP(A36,'Données projet'!$A$191:$I$211,4,0))</f>
        <v>0</v>
      </c>
      <c r="DG36" s="37">
        <f>IF(ISNA(VLOOKUP(A36,'Données projet'!$A$191:$I$211,5,0)),0%,VLOOKUP(A36,'Données projet'!$A$191:$I$211,5,0)*VLOOKUP('Données projet'!$B$15,Paramètres!$A$1:$I$88,7,0))</f>
        <v>0</v>
      </c>
      <c r="DH36" s="37">
        <f>IF(ISNA(VLOOKUP(A36,'Données projet'!$A$191:$I$211,6,0)),0%,VLOOKUP(A36,'Données projet'!$A$191:$I$211,6,0)*VLOOKUP('Données projet'!$B$15,Paramètres!$A$1:$I$88,7,0))</f>
        <v>0</v>
      </c>
      <c r="DI36" s="37">
        <f>IF(ISNA(VLOOKUP(A36,'Données projet'!$A$191:$I$211,7,0)),0%,VLOOKUP(A36,'Données projet'!$A$191:$I$211,7,0))</f>
        <v>0</v>
      </c>
      <c r="DJ36" s="45">
        <f>EXP(-LN(2)/35)*DJ35+(1-EXP(-LN(2)/35))/(LN(2)/35)*DF36*DG36*VLOOKUP('Données projet'!$B$9,Paramètres!$A$1:$I$88,3,0)*0.475*44/12</f>
        <v>0</v>
      </c>
      <c r="DK36" s="45">
        <f>EXP(-LN(2)/25)*DK35+(1-EXP(-LN(2)/25))/(LN(2)/25)*Calculateur!DF36*Calculateur!DH36*VLOOKUP('Données projet'!$B$9,Paramètres!$A$1:$I$88,3,0)*0.475*44/12</f>
        <v>0</v>
      </c>
      <c r="DL36" s="45">
        <f>EXP(-LN(2)/2)*DL35+(1-EXP(-LN(2)/2))/(LN(2)/2)*DF36*DI36*VLOOKUP('Données projet'!$B$9,Paramètres!$A$1:$I$88,3,0)*0.475*44/12</f>
        <v>0</v>
      </c>
      <c r="DM36" s="46">
        <f t="shared" si="13"/>
        <v>0</v>
      </c>
      <c r="DN36" s="32" t="e">
        <f>VLOOKUP(A36,'Données projet'!$A$217:$I$237,2,0)</f>
        <v>#N/A</v>
      </c>
      <c r="DO36" s="33" t="e">
        <f>VLOOKUP(A36,'Données projet'!$A$217:$I$237,9,0)</f>
        <v>#N/A</v>
      </c>
      <c r="DP36" s="33">
        <f t="array" ref="DP36">INDEX(DO:DO,MIN(IF(ISNUMBER(DO36:DO232),ROW(DO36:DO232),"")))</f>
        <v>0</v>
      </c>
      <c r="DQ36" s="33">
        <f t="shared" si="35"/>
        <v>0</v>
      </c>
      <c r="DR36" s="38" t="e">
        <f>DQ36*VLOOKUP('Données projet'!$B$16,Paramètres!$A$1:$I$88,3,0)*VLOOKUP('Données projet'!$B$16,Paramètres!$A$1:$I$88,5,0)</f>
        <v>#N/A</v>
      </c>
      <c r="DS36" s="34" t="e">
        <f t="shared" si="36"/>
        <v>#N/A</v>
      </c>
      <c r="DT36" s="44" t="e">
        <f t="shared" si="14"/>
        <v>#N/A</v>
      </c>
      <c r="DU36" s="36">
        <f>IF(ISNA(VLOOKUP(A36,'Données projet'!$A$217:$I$237,3,0)),0,VLOOKUP(A36,'Données projet'!$A$217:$I$237,3,0))</f>
        <v>0</v>
      </c>
      <c r="DV36" s="36">
        <f>IF(ISNA(VLOOKUP(A36,'Données projet'!$A$217:$I$237,4,0)),0,VLOOKUP(A36,'Données projet'!$A$217:$I$237,4,0))</f>
        <v>0</v>
      </c>
      <c r="DW36" s="37">
        <f>IF(ISNA(VLOOKUP(A36,'Données projet'!$A$217:$I$237,5,0)),0%,VLOOKUP(A36,'Données projet'!$A$217:$I$237,5,0)*VLOOKUP('Données projet'!$B$16,Paramètres!$A$1:$I$88,7,0))</f>
        <v>0</v>
      </c>
      <c r="DX36" s="37">
        <f>IF(ISNA(VLOOKUP(A36,'Données projet'!$A$217:$I$237,6,0)),0%,VLOOKUP(A36,'Données projet'!$A$217:$I$237,6,0)*VLOOKUP('Données projet'!$B$16,Paramètres!$A$1:$I$88,7,0))</f>
        <v>0</v>
      </c>
      <c r="DY36" s="37">
        <f>IF(ISNA(VLOOKUP(A36,'Données projet'!$A$217:$I$237,7,0)),0%,VLOOKUP(A36,'Données projet'!$A$217:$I$237,7,0))</f>
        <v>0</v>
      </c>
      <c r="DZ36" s="45">
        <f>EXP(-LN(2)/35)*DZ35+(1-EXP(-LN(2)/35))/(LN(2)/35)*DV36*DW36*VLOOKUP('Données projet'!$B$9,Paramètres!$A$1:$I$88,3,0)*0.475*44/12</f>
        <v>0</v>
      </c>
      <c r="EA36" s="45">
        <f>EXP(-LN(2)/25)*EA35+(1-EXP(-LN(2)/25))/(LN(2)/25)*Calculateur!DV36*Calculateur!DX36*VLOOKUP('Données projet'!$B$9,Paramètres!$A$1:$I$88,3,0)*0.475*44/12</f>
        <v>0</v>
      </c>
      <c r="EB36" s="45">
        <f>EXP(-LN(2)/2)*EB35+(1-EXP(-LN(2)/2))/(LN(2)/2)*DV36*DY36*VLOOKUP('Données projet'!$B$9,Paramètres!$A$1:$I$88,3,0)*0.475*44/12</f>
        <v>0</v>
      </c>
      <c r="EC36" s="46">
        <f t="shared" si="15"/>
        <v>0</v>
      </c>
      <c r="ED36" s="32" t="e">
        <f>VLOOKUP(A36,'Données projet'!$A$243:$I$263,2,0)</f>
        <v>#N/A</v>
      </c>
      <c r="EE36" s="33" t="e">
        <f>VLOOKUP(A36,'Données projet'!$A$243:$I$263,9,0)</f>
        <v>#N/A</v>
      </c>
      <c r="EF36" s="33">
        <f t="array" ref="EF36">INDEX(EE:EE,MIN(IF(ISNUMBER(EE36:EE232),ROW(EE36:EE232),"")))</f>
        <v>0</v>
      </c>
      <c r="EG36" s="33">
        <f t="shared" si="37"/>
        <v>0</v>
      </c>
      <c r="EH36" s="38" t="e">
        <f>EG36*VLOOKUP('Données projet'!$B$17,Paramètres!$A$1:$I$88,3,0)*VLOOKUP('Données projet'!$B$17,Paramètres!$A$1:$I$88,5,0)</f>
        <v>#N/A</v>
      </c>
      <c r="EI36" s="34" t="e">
        <f t="shared" si="38"/>
        <v>#N/A</v>
      </c>
      <c r="EJ36" s="44" t="e">
        <f t="shared" si="16"/>
        <v>#N/A</v>
      </c>
      <c r="EK36" s="36">
        <f>IF(ISNA(VLOOKUP(A36,'Données projet'!$A$243:$I$263,3,0)),0,VLOOKUP(A36,'Données projet'!$A$243:$I$263,3,0))</f>
        <v>0</v>
      </c>
      <c r="EL36" s="36">
        <f>IF(ISNA(VLOOKUP(A36,'Données projet'!$A$243:$I$263,4,0)),0,VLOOKUP(A36,'Données projet'!$A$243:$I$263,4,0))</f>
        <v>0</v>
      </c>
      <c r="EM36" s="37">
        <f>IF(ISNA(VLOOKUP(A36,'Données projet'!$A$243:$I$263,5,0)),0%,VLOOKUP(A36,'Données projet'!$A$243:$I$263,5,0)*VLOOKUP('Données projet'!$B$17,Paramètres!$A$1:$I$88,7,0))</f>
        <v>0</v>
      </c>
      <c r="EN36" s="37">
        <f>IF(ISNA(VLOOKUP(A36,'Données projet'!$A$243:$I$263,6,0)),0%,VLOOKUP(A36,'Données projet'!$A$243:$I$263,6,0)*VLOOKUP('Données projet'!$B$17,Paramètres!$A$1:$I$88,7,0))</f>
        <v>0</v>
      </c>
      <c r="EO36" s="37">
        <f>IF(ISNA(VLOOKUP(A36,'Données projet'!$A$243:$I$263,7,0)),0%,VLOOKUP(A36,'Données projet'!$A$243:$I$263,7,0))</f>
        <v>0</v>
      </c>
      <c r="EP36" s="45">
        <f>EXP(-LN(2)/35)*EP35+(1-EXP(-LN(2)/35))/(LN(2)/35)*EL36*EM36*VLOOKUP('Données projet'!$B$9,Paramètres!$A$1:$I$88,3,0)*0.475*44/12</f>
        <v>0</v>
      </c>
      <c r="EQ36" s="45">
        <f>EXP(-LN(2)/25)*EQ35+(1-EXP(-LN(2)/25))/(LN(2)/25)*Calculateur!EL36*Calculateur!EN36*VLOOKUP('Données projet'!$B$9,Paramètres!$A$1:$I$88,3,0)*0.475*44/12</f>
        <v>0</v>
      </c>
      <c r="ER36" s="45">
        <f>EXP(-LN(2)/2)*ER35+(1-EXP(-LN(2)/2))/(LN(2)/2)*EL36*EO36*VLOOKUP('Données projet'!$B$9,Paramètres!$A$1:$I$88,3,0)*0.475*44/12</f>
        <v>0</v>
      </c>
      <c r="ES36" s="46">
        <f t="shared" si="17"/>
        <v>0</v>
      </c>
      <c r="ET36" s="32" t="e">
        <f>VLOOKUP(A36,'Données projet'!$A$269:$I$289,2,0)</f>
        <v>#N/A</v>
      </c>
      <c r="EU36" s="33" t="e">
        <f>VLOOKUP(A36,'Données projet'!$A$269:$I$289,9,0)</f>
        <v>#N/A</v>
      </c>
      <c r="EV36" s="33">
        <f t="array" ref="EV36">INDEX(EU:EU,MIN(IF(ISNUMBER(EU36:EU232),ROW(EU36:EU232),"")))</f>
        <v>0</v>
      </c>
      <c r="EW36" s="33">
        <f t="shared" si="39"/>
        <v>0</v>
      </c>
      <c r="EX36" s="38" t="e">
        <f>EW36*VLOOKUP('Données projet'!$B$18,Paramètres!$A$1:$I$88,3,0)*VLOOKUP('Données projet'!$B$18,Paramètres!$A$1:$I$88,5,0)</f>
        <v>#N/A</v>
      </c>
      <c r="EY36" s="34" t="e">
        <f t="shared" si="40"/>
        <v>#N/A</v>
      </c>
      <c r="EZ36" s="44" t="e">
        <f t="shared" si="18"/>
        <v>#N/A</v>
      </c>
      <c r="FA36" s="36">
        <f>IF(ISNA(VLOOKUP(A36,'Données projet'!$A$269:$I$289,3,0)),0,VLOOKUP(A36,'Données projet'!$A$269:$I$289,3,0))</f>
        <v>0</v>
      </c>
      <c r="FB36" s="36">
        <f>IF(ISNA(VLOOKUP(A36,'Données projet'!$A$269:$I$289,4,0)),0,VLOOKUP(A36,'Données projet'!$A$269:$I$289,4,0))</f>
        <v>0</v>
      </c>
      <c r="FC36" s="37">
        <f>IF(ISNA(VLOOKUP(A36,'Données projet'!$A$269:$I$289,5,0)),0%,VLOOKUP(A36,'Données projet'!$A$269:$I$289,5,0)*VLOOKUP('Données projet'!$B$18,Paramètres!$A$1:$I$88,7,0))</f>
        <v>0</v>
      </c>
      <c r="FD36" s="37">
        <f>IF(ISNA(VLOOKUP(A36,'Données projet'!$A$269:$I$289,6,0)),0%,VLOOKUP(A36,'Données projet'!$A$269:$I$289,6,0)*VLOOKUP('Données projet'!$B$18,Paramètres!$A$1:$I$88,7,0))</f>
        <v>0</v>
      </c>
      <c r="FE36" s="37">
        <f>IF(ISNA(VLOOKUP(A36,'Données projet'!$A$269:$I$289,7,0)),0%,VLOOKUP(A36,'Données projet'!$A$269:$I$289,7,0))</f>
        <v>0</v>
      </c>
      <c r="FF36" s="45">
        <f>EXP(-LN(2)/35)*FF35+(1-EXP(-LN(2)/35))/(LN(2)/35)*FB36*FC36*VLOOKUP('Données projet'!$B$9,Paramètres!$A$1:$I$88,3,0)*0.475*44/12</f>
        <v>0</v>
      </c>
      <c r="FG36" s="45">
        <f>EXP(-LN(2)/25)*FG35+(1-EXP(-LN(2)/25))/(LN(2)/25)*Calculateur!FB36*Calculateur!FD36*VLOOKUP('Données projet'!$B$9,Paramètres!$A$1:$I$88,3,0)*0.475*44/12</f>
        <v>0</v>
      </c>
      <c r="FH36" s="45">
        <f>EXP(-LN(2)/2)*FH35+(1-EXP(-LN(2)/2))/(LN(2)/2)*FB36*FE36*VLOOKUP('Données projet'!$B$9,Paramètres!$A$1:$I$88,3,0)*0.475*44/12</f>
        <v>0</v>
      </c>
      <c r="FI36" s="46">
        <f t="shared" si="19"/>
        <v>0</v>
      </c>
    </row>
    <row r="37" spans="1:165" x14ac:dyDescent="0.25">
      <c r="A37" s="24">
        <f t="shared" si="20"/>
        <v>34</v>
      </c>
      <c r="B37" s="25">
        <f>IF('Scénario référence'!$N$1=1,5,0)</f>
        <v>0</v>
      </c>
      <c r="C37" s="40">
        <f>IF(OR('Scénario référence'!$N$1=2,'Scénario référence'!$N$1=4),C36+1*VLOOKUP('Scénario référence'!$G$14,Paramètres!$A$1:$I$88,3,0)*VLOOKUP('Scénario référence'!$G$14,Paramètres!$A$1:$I$88,5,0),IF(OR('Scénario référence'!$N$1=3,'Scénario référence'!$N$1=5),C36+0.5*VLOOKUP('Scénario référence'!$G$14,Paramètres!$A$1:$I$88,3,0)*VLOOKUP('Scénario référence'!$G$14,Paramètres!$A$1:$I$88,5,0),0))</f>
        <v>18.563999999999993</v>
      </c>
      <c r="D37" s="26">
        <f t="shared" si="21"/>
        <v>6.0890600219069135</v>
      </c>
      <c r="E37" s="27">
        <f>IF('Scénario référence'!$N$1=1,B37*44/12,(C37+D37)*0.475*44/12)</f>
        <v>42.937412871487858</v>
      </c>
      <c r="F37" s="28" t="e">
        <f>VLOOKUP(A37,'Données projet'!$A$35:$I$55,2,0)</f>
        <v>#N/A</v>
      </c>
      <c r="G37" s="28" t="e">
        <f>VLOOKUP(A37,'Données projet'!$A$35:$I$55,9,0)</f>
        <v>#N/A</v>
      </c>
      <c r="H37" s="33">
        <f t="array" ref="H37">INDEX(G:G,MIN(IF(ISNUMBER(G37:G233),ROW(G37:G233),"")))</f>
        <v>8.6</v>
      </c>
      <c r="I37" s="28">
        <f t="shared" si="22"/>
        <v>131.4</v>
      </c>
      <c r="J37" s="41">
        <f>I37*VLOOKUP('Données projet'!$B$9,Paramètres!$A$1:$I$88,3,0)*VLOOKUP('Données projet'!$B$9,Paramètres!$A$1:$I$88,5,0)</f>
        <v>133.23960000000002</v>
      </c>
      <c r="K37" s="41">
        <f t="shared" si="23"/>
        <v>34.743860019521328</v>
      </c>
      <c r="L37" s="42">
        <f t="shared" si="0"/>
        <v>292.57119286733297</v>
      </c>
      <c r="M37" s="30">
        <f>IF(ISNA(VLOOKUP(A37,'Données projet'!$A$35:$I$55,3,0)),0,VLOOKUP(A37,'Données projet'!$A$35:$I$55,3,0))</f>
        <v>0</v>
      </c>
      <c r="N37" s="30">
        <f>IF(ISNA(VLOOKUP(A37,'Données projet'!$A$35:$I$55,4,0)),0,VLOOKUP(A37,'Données projet'!$A$35:$I$55,4,0))</f>
        <v>0</v>
      </c>
      <c r="O37" s="31">
        <f>IF(ISNA(VLOOKUP(A37,'Données projet'!$A$35:$I$55,5,0)),0%,VLOOKUP(A37,'Données projet'!$A$35:$I$55,5,0)*VLOOKUP('Données projet'!$B$9,Paramètres!$A$1:$I$88,7,0))</f>
        <v>0</v>
      </c>
      <c r="P37" s="31">
        <f>IF(ISNA(VLOOKUP(A37,'Données projet'!$A$35:$I$55,6,0)),0%,VLOOKUP(A37,'Données projet'!$A$35:$I$55,6,0)*VLOOKUP('Données projet'!$B$9,Paramètres!$A$1:$I$88,7,0))</f>
        <v>0</v>
      </c>
      <c r="Q37" s="31">
        <f>IF(ISNA(VLOOKUP(A37,'Données projet'!$A$35:$I$55,7,0)),0%,VLOOKUP(A37,'Données projet'!$A$35:$I$55,7,0))</f>
        <v>0</v>
      </c>
      <c r="R37" s="43">
        <f>EXP(-LN(2)/35)*R36+(1-EXP(-LN(2)/35))/(LN(2)/35)*N37*O37*VLOOKUP('Données projet'!$B$9,Paramètres!$A$1:$I$88,3,0)*0.475*44/12</f>
        <v>0</v>
      </c>
      <c r="S37" s="43">
        <f>EXP(-LN(2)/25)*S36+(1-EXP(-LN(2)/25))/(LN(2)/25)*Calculateur!N37*Calculateur!P37*VLOOKUP('Données projet'!$B$9,Paramètres!$A$1:$I$88,3,0)*0.475*44/12</f>
        <v>0</v>
      </c>
      <c r="T37" s="43">
        <f>EXP(-LN(2)/2)*T36+(1-EXP(-LN(2)/2))/(LN(2)/2)*N37*Q37*VLOOKUP('Données projet'!$B$9,Paramètres!$A$1:$I$88,3,0)*0.475*44/12</f>
        <v>0</v>
      </c>
      <c r="U37" s="43">
        <f t="shared" si="1"/>
        <v>0</v>
      </c>
      <c r="V37" s="32" t="e">
        <f>VLOOKUP(A37,'Données projet'!$A$61:$I$81,2,0)</f>
        <v>#N/A</v>
      </c>
      <c r="W37" s="33" t="e">
        <f>VLOOKUP(A37,'Données projet'!$A$61:$I$81,9,0)</f>
        <v>#N/A</v>
      </c>
      <c r="X37" s="33">
        <f t="array" ref="X37">INDEX(W:W,MIN(IF(ISNUMBER(W37:W233),ROW(W37:W233),"")))</f>
        <v>0</v>
      </c>
      <c r="Y37" s="33">
        <f t="shared" si="24"/>
        <v>0</v>
      </c>
      <c r="Z37" s="34" t="e">
        <f>Y37*VLOOKUP('Données projet'!$B$10,Paramètres!$A$1:$I$88,3,0)*VLOOKUP('Données projet'!$B$10,Paramètres!$A$1:$I$88,5,0)</f>
        <v>#N/A</v>
      </c>
      <c r="AA37" s="34" t="e">
        <f t="shared" si="25"/>
        <v>#N/A</v>
      </c>
      <c r="AB37" s="44" t="e">
        <f t="shared" si="2"/>
        <v>#N/A</v>
      </c>
      <c r="AC37" s="36">
        <f>IF(ISNA(VLOOKUP(A37,'Données projet'!$A$61:$I$81,3,0)),0,VLOOKUP(A37,'Données projet'!$A$61:$I$81,3,0))</f>
        <v>0</v>
      </c>
      <c r="AD37" s="36">
        <f>IF(ISNA(VLOOKUP(A37,'Données projet'!$A$61:$I$81,4,0)),0,VLOOKUP(A37,'Données projet'!$A$61:$I$81,4,0))</f>
        <v>0</v>
      </c>
      <c r="AE37" s="37">
        <f>IF(ISNA(VLOOKUP(A37,'Données projet'!$A$61:$I$81,5,0)),0%,VLOOKUP(A37,'Données projet'!$A$61:$I$81,5,0)*VLOOKUP('Données projet'!$B$10,Paramètres!$A$1:$I$88,7,0))</f>
        <v>0</v>
      </c>
      <c r="AF37" s="37">
        <f>IF(ISNA(VLOOKUP(A37,'Données projet'!$A$61:$I$81,6,0)),0%,VLOOKUP(A37,'Données projet'!$A$61:$I$81,6,0)*VLOOKUP('Données projet'!$B$10,Paramètres!$A$1:$I$88,7,0))</f>
        <v>0</v>
      </c>
      <c r="AG37" s="37">
        <f>IF(ISNA(VLOOKUP(A37,'Données projet'!$A$61:$I$81,7,0)),0%,VLOOKUP(A37,'Données projet'!$A$61:$I$81,7,0))</f>
        <v>0</v>
      </c>
      <c r="AH37" s="45">
        <f>EXP(-LN(2)/35)*AH36+(1-EXP(-LN(2)/35))/(LN(2)/35)*AD37*AE37*VLOOKUP('Données projet'!$B$9,Paramètres!$A$1:$I$88,3,0)*0.475*44/12</f>
        <v>0</v>
      </c>
      <c r="AI37" s="45">
        <f>EXP(-LN(2)/25)*AI36+(1-EXP(-LN(2)/25))/(LN(2)/25)*Calculateur!AD37*Calculateur!AF37*VLOOKUP('Données projet'!$B$9,Paramètres!$A$1:$I$88,3,0)*0.475*44/12</f>
        <v>0</v>
      </c>
      <c r="AJ37" s="45">
        <f>EXP(-LN(2)/2)*AJ36+(1-EXP(-LN(2)/2))/(LN(2)/2)*AD37*AG37*VLOOKUP('Données projet'!$B$9,Paramètres!$A$1:$I$88,3,0)*0.475*44/12</f>
        <v>0</v>
      </c>
      <c r="AK37" s="45">
        <f t="shared" si="3"/>
        <v>0</v>
      </c>
      <c r="AL37" s="32" t="e">
        <f>VLOOKUP(A37,'Données projet'!$A$87:$I$107,2,0)</f>
        <v>#N/A</v>
      </c>
      <c r="AM37" s="33" t="e">
        <f>VLOOKUP(A37,'Données projet'!$A$87:$I$107,9,0)</f>
        <v>#N/A</v>
      </c>
      <c r="AN37" s="33">
        <f t="array" ref="AN37">INDEX(AM:AM,MIN(IF(ISNUMBER(AM37:AM233),ROW(AM37:AM233),"")))</f>
        <v>0</v>
      </c>
      <c r="AO37" s="33">
        <f t="shared" si="26"/>
        <v>0</v>
      </c>
      <c r="AP37" s="34" t="e">
        <f>AO37*VLOOKUP('Données projet'!$B$11,Paramètres!$A$1:$I$88,3,0)*VLOOKUP('Données projet'!$B$11,Paramètres!$A$1:$I$88,5,0)</f>
        <v>#N/A</v>
      </c>
      <c r="AQ37" s="34" t="e">
        <f t="shared" si="27"/>
        <v>#N/A</v>
      </c>
      <c r="AR37" s="44" t="e">
        <f t="shared" si="4"/>
        <v>#N/A</v>
      </c>
      <c r="AS37" s="36">
        <f>IF(ISNA(VLOOKUP(A37,'Données projet'!$A$87:$I$107,3,0)),0,VLOOKUP(A37,'Données projet'!$A$87:$I$107,3,0))</f>
        <v>0</v>
      </c>
      <c r="AT37" s="36">
        <f>IF(ISNA(VLOOKUP(A37,'Données projet'!$A$87:$I$107,4,0)),0,VLOOKUP(A37,'Données projet'!$A$87:$I$107,4,0))</f>
        <v>0</v>
      </c>
      <c r="AU37" s="37">
        <f>IF(ISNA(VLOOKUP(A37,'Données projet'!$A$87:$I$107,5,0)),0%,VLOOKUP(A37,'Données projet'!$A$87:$I$107,5,0)*VLOOKUP('Données projet'!$B$11,Paramètres!$A$1:$I$88,7,0))</f>
        <v>0</v>
      </c>
      <c r="AV37" s="37">
        <f>IF(ISNA(VLOOKUP(A37,'Données projet'!$A$87:$I$107,6,0)),0%,VLOOKUP(A37,'Données projet'!$A$87:$I$107,6,0)*VLOOKUP('Données projet'!$B$11,Paramètres!$A$1:$I$88,7,0))</f>
        <v>0</v>
      </c>
      <c r="AW37" s="37">
        <f>IF(ISNA(VLOOKUP(A37,'Données projet'!$A$87:$I$107,7,0)),0%,VLOOKUP(A37,'Données projet'!$A$87:$I$107,7,0))</f>
        <v>0</v>
      </c>
      <c r="AX37" s="45">
        <f>EXP(-LN(2)/35)*AX36+(1-EXP(-LN(2)/35))/(LN(2)/35)*AT37*AU37*VLOOKUP('Données projet'!$B$9,Paramètres!$A$1:$I$88,3,0)*0.475*44/12</f>
        <v>0</v>
      </c>
      <c r="AY37" s="45">
        <f>EXP(-LN(2)/25)*AY36+(1-EXP(-LN(2)/25))/(LN(2)/25)*Calculateur!AT37*Calculateur!AV37*VLOOKUP('Données projet'!$B$9,Paramètres!$A$1:$I$88,3,0)*0.475*44/12</f>
        <v>0</v>
      </c>
      <c r="AZ37" s="45">
        <f>EXP(-LN(2)/2)*AZ36+(1-EXP(-LN(2)/2))/(LN(2)/2)*AT37*AW37*VLOOKUP('Données projet'!$B$9,Paramètres!$A$1:$I$88,3,0)*0.475*44/12</f>
        <v>0</v>
      </c>
      <c r="BA37" s="46">
        <f t="shared" si="5"/>
        <v>0</v>
      </c>
      <c r="BB37" s="32" t="e">
        <f>VLOOKUP(A37,'Données projet'!$A$113:$I$133,2,0)</f>
        <v>#N/A</v>
      </c>
      <c r="BC37" s="33" t="e">
        <f>VLOOKUP(A37,'Données projet'!$A$113:$I$133,9,0)</f>
        <v>#N/A</v>
      </c>
      <c r="BD37" s="33">
        <f t="array" ref="BD37">INDEX(BC:BC,MIN(IF(ISNUMBER(BC37:BC233),ROW(BC37:BC233),"")))</f>
        <v>0</v>
      </c>
      <c r="BE37" s="33">
        <f t="shared" si="28"/>
        <v>0</v>
      </c>
      <c r="BF37" s="34" t="e">
        <f>BE37*VLOOKUP('Données projet'!$B$12,Paramètres!$A$1:$I$88,3,0)*VLOOKUP('Données projet'!$B$12,Paramètres!$A$1:$I$88,5,0)</f>
        <v>#N/A</v>
      </c>
      <c r="BG37" s="34" t="e">
        <f t="shared" si="29"/>
        <v>#N/A</v>
      </c>
      <c r="BH37" s="44" t="e">
        <f t="shared" si="6"/>
        <v>#N/A</v>
      </c>
      <c r="BI37" s="36">
        <f>IF(ISNA(VLOOKUP(A37,'Données projet'!$A$113:$I$133,3,0)),0,VLOOKUP(A37,'Données projet'!$A$113:$I$133,3,0))</f>
        <v>0</v>
      </c>
      <c r="BJ37" s="36">
        <f>IF(ISNA(VLOOKUP(A37,'Données projet'!$A$113:$I$133,4,0)),0,VLOOKUP(A37,'Données projet'!$A$113:$I$133,4,0))</f>
        <v>0</v>
      </c>
      <c r="BK37" s="37">
        <f>IF(ISNA(VLOOKUP(A37,'Données projet'!$A$113:$I$133,5,0)),0%,VLOOKUP(A37,'Données projet'!$A$113:$I$133,5,0)*VLOOKUP('Données projet'!$B$12,Paramètres!$A$1:$I$88,7,0))</f>
        <v>0</v>
      </c>
      <c r="BL37" s="37">
        <f>IF(ISNA(VLOOKUP(A37,'Données projet'!$A$113:$I$133,6,0)),0%,VLOOKUP(A37,'Données projet'!$A$113:$I$133,6,0)*VLOOKUP('Données projet'!$B$12,Paramètres!$A$1:$I$88,7,0))</f>
        <v>0</v>
      </c>
      <c r="BM37" s="37">
        <f>IF(ISNA(VLOOKUP(A37,'Données projet'!$A$113:$I$133,7,0)),0%,VLOOKUP(A37,'Données projet'!$A$113:$I$133,7,0))</f>
        <v>0</v>
      </c>
      <c r="BN37" s="45">
        <f>EXP(-LN(2)/35)*BN36+(1-EXP(-LN(2)/35))/(LN(2)/35)*BJ37*BK37*VLOOKUP('Données projet'!$B$9,Paramètres!$A$1:$I$88,3,0)*0.475*44/12</f>
        <v>0</v>
      </c>
      <c r="BO37" s="45">
        <f>EXP(-LN(2)/25)*BO36+(1-EXP(-LN(2)/25))/(LN(2)/25)*Calculateur!BJ37*Calculateur!BL37*VLOOKUP('Données projet'!$B$9,Paramètres!$A$1:$I$88,3,0)*0.475*44/12</f>
        <v>0</v>
      </c>
      <c r="BP37" s="45">
        <f>EXP(-LN(2)/2)*BP36+(1-EXP(-LN(2)/2))/(LN(2)/2)*BJ37*BM37*VLOOKUP('Données projet'!$B$9,Paramètres!$A$1:$I$88,3,0)*0.475*44/12</f>
        <v>0</v>
      </c>
      <c r="BQ37" s="46">
        <f t="shared" si="7"/>
        <v>0</v>
      </c>
      <c r="BR37" s="32" t="e">
        <f>VLOOKUP(A37,'Données projet'!$A$139:$I$159,2,0)</f>
        <v>#N/A</v>
      </c>
      <c r="BS37" s="33" t="e">
        <f>VLOOKUP(A37,'Données projet'!$A$139:$I$159,9,0)</f>
        <v>#N/A</v>
      </c>
      <c r="BT37" s="33">
        <f t="array" ref="BT37">INDEX(BS:BS,MIN(IF(ISNUMBER(BS37:BS233),ROW(BS37:BS233),"")))</f>
        <v>0</v>
      </c>
      <c r="BU37" s="33">
        <f t="shared" si="41"/>
        <v>0</v>
      </c>
      <c r="BV37" s="38" t="e">
        <f>BU37*VLOOKUP('Données projet'!$B$13,Paramètres!$A$1:$I$88,3,0)*VLOOKUP('Données projet'!$B$13,Paramètres!$A$1:$I$88,5,0)</f>
        <v>#N/A</v>
      </c>
      <c r="BW37" s="34" t="e">
        <f t="shared" si="30"/>
        <v>#N/A</v>
      </c>
      <c r="BX37" s="44" t="e">
        <f t="shared" si="8"/>
        <v>#N/A</v>
      </c>
      <c r="BY37" s="36">
        <f>IF(ISNA(VLOOKUP(A37,'Données projet'!$A$139:$I$159,3,0)),0,VLOOKUP(A37,'Données projet'!$A$139:$I$159,3,0))</f>
        <v>0</v>
      </c>
      <c r="BZ37" s="36">
        <f>IF(ISNA(VLOOKUP(A37,'Données projet'!$A$139:$I$159,4,0)),0,VLOOKUP(A37,'Données projet'!$A$139:$I$159,4,0))</f>
        <v>0</v>
      </c>
      <c r="CA37" s="37">
        <f>IF(ISNA(VLOOKUP(A37,'Données projet'!$A$139:$I$159,5,0)),0%,VLOOKUP(A37,'Données projet'!$A$139:$I$159,5,0)*VLOOKUP('Données projet'!$B$13,Paramètres!$A$1:$I$88,7,0))</f>
        <v>0</v>
      </c>
      <c r="CB37" s="37">
        <f>IF(ISNA(VLOOKUP(A37,'Données projet'!$A$139:$I$159,6,0)),0%,VLOOKUP(A37,'Données projet'!$A$139:$I$159,6,0)*VLOOKUP('Données projet'!$B$13,Paramètres!$A$1:$I$88,7,0))</f>
        <v>0</v>
      </c>
      <c r="CC37" s="37">
        <f>IF(ISNA(VLOOKUP(A37,'Données projet'!$A$139:$I$159,7,0)),0%,VLOOKUP(A37,'Données projet'!$A$139:$I$159,7,0))</f>
        <v>0</v>
      </c>
      <c r="CD37" s="45">
        <f>EXP(-LN(2)/35)*CD36+(1-EXP(-LN(2)/35))/(LN(2)/35)*BZ37*CA37*VLOOKUP('Données projet'!$B$9,Paramètres!$A$1:$I$88,3,0)*0.475*44/12</f>
        <v>0</v>
      </c>
      <c r="CE37" s="45">
        <f>EXP(-LN(2)/25)*CE36+(1-EXP(-LN(2)/25))/(LN(2)/25)*Calculateur!BZ37*Calculateur!CB37*VLOOKUP('Données projet'!$B$9,Paramètres!$A$1:$I$88,3,0)*0.475*44/12</f>
        <v>0</v>
      </c>
      <c r="CF37" s="45">
        <f>EXP(-LN(2)/2)*CF36+(1-EXP(-LN(2)/2))/(LN(2)/2)*BZ37*CC37*VLOOKUP('Données projet'!$B$9,Paramètres!$A$1:$I$88,3,0)*0.475*44/12</f>
        <v>0</v>
      </c>
      <c r="CG37" s="46">
        <f t="shared" si="9"/>
        <v>0</v>
      </c>
      <c r="CH37" s="32" t="e">
        <f>VLOOKUP(A37,'Données projet'!$A$165:$I$185,2,0)</f>
        <v>#N/A</v>
      </c>
      <c r="CI37" s="33" t="e">
        <f>VLOOKUP(A37,'Données projet'!$A$165:$I$185,9,0)</f>
        <v>#N/A</v>
      </c>
      <c r="CJ37" s="33">
        <f t="array" ref="CJ37">INDEX(CI:CI,MIN(IF(ISNUMBER(CI37:CI233),ROW(CI37:CI233),"")))</f>
        <v>0</v>
      </c>
      <c r="CK37" s="33">
        <f t="shared" si="31"/>
        <v>0</v>
      </c>
      <c r="CL37" s="38" t="e">
        <f>CK37*VLOOKUP('Données projet'!$B$14,Paramètres!$A$1:$I$88,3,0)*VLOOKUP('Données projet'!$B$14,Paramètres!$A$1:$I$88,5,0)</f>
        <v>#N/A</v>
      </c>
      <c r="CM37" s="34" t="e">
        <f t="shared" si="32"/>
        <v>#N/A</v>
      </c>
      <c r="CN37" s="44" t="e">
        <f t="shared" si="10"/>
        <v>#N/A</v>
      </c>
      <c r="CO37" s="36">
        <f>IF(ISNA(VLOOKUP(A37,'Données projet'!$A$165:$I$185,3,0)),0,VLOOKUP(A37,'Données projet'!$A$165:$I$185,3,0))</f>
        <v>0</v>
      </c>
      <c r="CP37" s="36">
        <f>IF(ISNA(VLOOKUP(A37,'Données projet'!$A$165:$I$185,4,0)),0,VLOOKUP(A37,'Données projet'!$A$165:$I$185,4,0))</f>
        <v>0</v>
      </c>
      <c r="CQ37" s="37">
        <f>IF(ISNA(VLOOKUP(A37,'Données projet'!$A$165:$I$185,5,0)),0%,VLOOKUP(A37,'Données projet'!$A$165:$I$185,5,0)*VLOOKUP('Données projet'!$B$14,Paramètres!$A$1:$I$88,7,0))</f>
        <v>0</v>
      </c>
      <c r="CR37" s="37">
        <f>IF(ISNA(VLOOKUP(A37,'Données projet'!$A$165:$I$185,6,0)),0%,VLOOKUP(A37,'Données projet'!$A$165:$I$185,6,0)*VLOOKUP('Données projet'!$B$14,Paramètres!$A$1:$I$88,7,0))</f>
        <v>0</v>
      </c>
      <c r="CS37" s="37">
        <f>IF(ISNA(VLOOKUP(A37,'Données projet'!$A$165:$I$185,7,0)),0%,VLOOKUP(A37,'Données projet'!$A$165:$I$185,7,0))</f>
        <v>0</v>
      </c>
      <c r="CT37" s="45">
        <f>EXP(-LN(2)/35)*CT36+(1-EXP(-LN(2)/35))/(LN(2)/35)*CP37*CQ37*VLOOKUP('Données projet'!$B$9,Paramètres!$A$1:$I$88,3,0)*0.475*44/12</f>
        <v>0</v>
      </c>
      <c r="CU37" s="45">
        <f>EXP(-LN(2)/25)*CU36+(1-EXP(-LN(2)/25))/(LN(2)/25)*Calculateur!CP37*Calculateur!CR37*VLOOKUP('Données projet'!$B$9,Paramètres!$A$1:$I$88,3,0)*0.475*44/12</f>
        <v>0</v>
      </c>
      <c r="CV37" s="45">
        <f>EXP(-LN(2)/2)*CV36+(1-EXP(-LN(2)/2))/(LN(2)/2)*CP37*CS37*VLOOKUP('Données projet'!$B$9,Paramètres!$A$1:$I$88,3,0)*0.475*44/12</f>
        <v>0</v>
      </c>
      <c r="CW37" s="46">
        <f t="shared" si="11"/>
        <v>0</v>
      </c>
      <c r="CX37" s="32" t="e">
        <f>VLOOKUP(A37,'Données projet'!$A$191:$I$211,2,0)</f>
        <v>#N/A</v>
      </c>
      <c r="CY37" s="33" t="e">
        <f>VLOOKUP(A37,'Données projet'!$A$191:$I$211,9,0)</f>
        <v>#N/A</v>
      </c>
      <c r="CZ37" s="33">
        <f t="array" ref="CZ37">INDEX(CY:CY,MIN(IF(ISNUMBER(CY37:CY233),ROW(CY37:CY233),"")))</f>
        <v>0</v>
      </c>
      <c r="DA37" s="33">
        <f t="shared" si="33"/>
        <v>0</v>
      </c>
      <c r="DB37" s="38" t="e">
        <f>DA37*VLOOKUP('Données projet'!$B$15,Paramètres!$A$1:$I$88,3,0)*VLOOKUP('Données projet'!$B$15,Paramètres!$A$1:$I$88,5,0)</f>
        <v>#N/A</v>
      </c>
      <c r="DC37" s="34" t="e">
        <f t="shared" si="34"/>
        <v>#N/A</v>
      </c>
      <c r="DD37" s="44" t="e">
        <f t="shared" si="12"/>
        <v>#N/A</v>
      </c>
      <c r="DE37" s="36">
        <f>IF(ISNA(VLOOKUP(A37,'Données projet'!$A$191:$I$211,3,0)),0,VLOOKUP(A37,'Données projet'!$A$191:$I$211,3,0))</f>
        <v>0</v>
      </c>
      <c r="DF37" s="36">
        <f>IF(ISNA(VLOOKUP(A37,'Données projet'!$A$191:$I$211,4,0)),0,VLOOKUP(A37,'Données projet'!$A$191:$I$211,4,0))</f>
        <v>0</v>
      </c>
      <c r="DG37" s="37">
        <f>IF(ISNA(VLOOKUP(A37,'Données projet'!$A$191:$I$211,5,0)),0%,VLOOKUP(A37,'Données projet'!$A$191:$I$211,5,0)*VLOOKUP('Données projet'!$B$15,Paramètres!$A$1:$I$88,7,0))</f>
        <v>0</v>
      </c>
      <c r="DH37" s="37">
        <f>IF(ISNA(VLOOKUP(A37,'Données projet'!$A$191:$I$211,6,0)),0%,VLOOKUP(A37,'Données projet'!$A$191:$I$211,6,0)*VLOOKUP('Données projet'!$B$15,Paramètres!$A$1:$I$88,7,0))</f>
        <v>0</v>
      </c>
      <c r="DI37" s="37">
        <f>IF(ISNA(VLOOKUP(A37,'Données projet'!$A$191:$I$211,7,0)),0%,VLOOKUP(A37,'Données projet'!$A$191:$I$211,7,0))</f>
        <v>0</v>
      </c>
      <c r="DJ37" s="45">
        <f>EXP(-LN(2)/35)*DJ36+(1-EXP(-LN(2)/35))/(LN(2)/35)*DF37*DG37*VLOOKUP('Données projet'!$B$9,Paramètres!$A$1:$I$88,3,0)*0.475*44/12</f>
        <v>0</v>
      </c>
      <c r="DK37" s="45">
        <f>EXP(-LN(2)/25)*DK36+(1-EXP(-LN(2)/25))/(LN(2)/25)*Calculateur!DF37*Calculateur!DH37*VLOOKUP('Données projet'!$B$9,Paramètres!$A$1:$I$88,3,0)*0.475*44/12</f>
        <v>0</v>
      </c>
      <c r="DL37" s="45">
        <f>EXP(-LN(2)/2)*DL36+(1-EXP(-LN(2)/2))/(LN(2)/2)*DF37*DI37*VLOOKUP('Données projet'!$B$9,Paramètres!$A$1:$I$88,3,0)*0.475*44/12</f>
        <v>0</v>
      </c>
      <c r="DM37" s="46">
        <f t="shared" si="13"/>
        <v>0</v>
      </c>
      <c r="DN37" s="32" t="e">
        <f>VLOOKUP(A37,'Données projet'!$A$217:$I$237,2,0)</f>
        <v>#N/A</v>
      </c>
      <c r="DO37" s="33" t="e">
        <f>VLOOKUP(A37,'Données projet'!$A$217:$I$237,9,0)</f>
        <v>#N/A</v>
      </c>
      <c r="DP37" s="33">
        <f t="array" ref="DP37">INDEX(DO:DO,MIN(IF(ISNUMBER(DO37:DO233),ROW(DO37:DO233),"")))</f>
        <v>0</v>
      </c>
      <c r="DQ37" s="33">
        <f t="shared" si="35"/>
        <v>0</v>
      </c>
      <c r="DR37" s="38" t="e">
        <f>DQ37*VLOOKUP('Données projet'!$B$16,Paramètres!$A$1:$I$88,3,0)*VLOOKUP('Données projet'!$B$16,Paramètres!$A$1:$I$88,5,0)</f>
        <v>#N/A</v>
      </c>
      <c r="DS37" s="34" t="e">
        <f t="shared" si="36"/>
        <v>#N/A</v>
      </c>
      <c r="DT37" s="44" t="e">
        <f t="shared" si="14"/>
        <v>#N/A</v>
      </c>
      <c r="DU37" s="36">
        <f>IF(ISNA(VLOOKUP(A37,'Données projet'!$A$217:$I$237,3,0)),0,VLOOKUP(A37,'Données projet'!$A$217:$I$237,3,0))</f>
        <v>0</v>
      </c>
      <c r="DV37" s="36">
        <f>IF(ISNA(VLOOKUP(A37,'Données projet'!$A$217:$I$237,4,0)),0,VLOOKUP(A37,'Données projet'!$A$217:$I$237,4,0))</f>
        <v>0</v>
      </c>
      <c r="DW37" s="37">
        <f>IF(ISNA(VLOOKUP(A37,'Données projet'!$A$217:$I$237,5,0)),0%,VLOOKUP(A37,'Données projet'!$A$217:$I$237,5,0)*VLOOKUP('Données projet'!$B$16,Paramètres!$A$1:$I$88,7,0))</f>
        <v>0</v>
      </c>
      <c r="DX37" s="37">
        <f>IF(ISNA(VLOOKUP(A37,'Données projet'!$A$217:$I$237,6,0)),0%,VLOOKUP(A37,'Données projet'!$A$217:$I$237,6,0)*VLOOKUP('Données projet'!$B$16,Paramètres!$A$1:$I$88,7,0))</f>
        <v>0</v>
      </c>
      <c r="DY37" s="37">
        <f>IF(ISNA(VLOOKUP(A37,'Données projet'!$A$217:$I$237,7,0)),0%,VLOOKUP(A37,'Données projet'!$A$217:$I$237,7,0))</f>
        <v>0</v>
      </c>
      <c r="DZ37" s="45">
        <f>EXP(-LN(2)/35)*DZ36+(1-EXP(-LN(2)/35))/(LN(2)/35)*DV37*DW37*VLOOKUP('Données projet'!$B$9,Paramètres!$A$1:$I$88,3,0)*0.475*44/12</f>
        <v>0</v>
      </c>
      <c r="EA37" s="45">
        <f>EXP(-LN(2)/25)*EA36+(1-EXP(-LN(2)/25))/(LN(2)/25)*Calculateur!DV37*Calculateur!DX37*VLOOKUP('Données projet'!$B$9,Paramètres!$A$1:$I$88,3,0)*0.475*44/12</f>
        <v>0</v>
      </c>
      <c r="EB37" s="45">
        <f>EXP(-LN(2)/2)*EB36+(1-EXP(-LN(2)/2))/(LN(2)/2)*DV37*DY37*VLOOKUP('Données projet'!$B$9,Paramètres!$A$1:$I$88,3,0)*0.475*44/12</f>
        <v>0</v>
      </c>
      <c r="EC37" s="46">
        <f t="shared" si="15"/>
        <v>0</v>
      </c>
      <c r="ED37" s="32" t="e">
        <f>VLOOKUP(A37,'Données projet'!$A$243:$I$263,2,0)</f>
        <v>#N/A</v>
      </c>
      <c r="EE37" s="33" t="e">
        <f>VLOOKUP(A37,'Données projet'!$A$243:$I$263,9,0)</f>
        <v>#N/A</v>
      </c>
      <c r="EF37" s="33">
        <f t="array" ref="EF37">INDEX(EE:EE,MIN(IF(ISNUMBER(EE37:EE233),ROW(EE37:EE233),"")))</f>
        <v>0</v>
      </c>
      <c r="EG37" s="33">
        <f t="shared" si="37"/>
        <v>0</v>
      </c>
      <c r="EH37" s="38" t="e">
        <f>EG37*VLOOKUP('Données projet'!$B$17,Paramètres!$A$1:$I$88,3,0)*VLOOKUP('Données projet'!$B$17,Paramètres!$A$1:$I$88,5,0)</f>
        <v>#N/A</v>
      </c>
      <c r="EI37" s="34" t="e">
        <f t="shared" si="38"/>
        <v>#N/A</v>
      </c>
      <c r="EJ37" s="44" t="e">
        <f t="shared" si="16"/>
        <v>#N/A</v>
      </c>
      <c r="EK37" s="36">
        <f>IF(ISNA(VLOOKUP(A37,'Données projet'!$A$243:$I$263,3,0)),0,VLOOKUP(A37,'Données projet'!$A$243:$I$263,3,0))</f>
        <v>0</v>
      </c>
      <c r="EL37" s="36">
        <f>IF(ISNA(VLOOKUP(A37,'Données projet'!$A$243:$I$263,4,0)),0,VLOOKUP(A37,'Données projet'!$A$243:$I$263,4,0))</f>
        <v>0</v>
      </c>
      <c r="EM37" s="37">
        <f>IF(ISNA(VLOOKUP(A37,'Données projet'!$A$243:$I$263,5,0)),0%,VLOOKUP(A37,'Données projet'!$A$243:$I$263,5,0)*VLOOKUP('Données projet'!$B$17,Paramètres!$A$1:$I$88,7,0))</f>
        <v>0</v>
      </c>
      <c r="EN37" s="37">
        <f>IF(ISNA(VLOOKUP(A37,'Données projet'!$A$243:$I$263,6,0)),0%,VLOOKUP(A37,'Données projet'!$A$243:$I$263,6,0)*VLOOKUP('Données projet'!$B$17,Paramètres!$A$1:$I$88,7,0))</f>
        <v>0</v>
      </c>
      <c r="EO37" s="37">
        <f>IF(ISNA(VLOOKUP(A37,'Données projet'!$A$243:$I$263,7,0)),0%,VLOOKUP(A37,'Données projet'!$A$243:$I$263,7,0))</f>
        <v>0</v>
      </c>
      <c r="EP37" s="45">
        <f>EXP(-LN(2)/35)*EP36+(1-EXP(-LN(2)/35))/(LN(2)/35)*EL37*EM37*VLOOKUP('Données projet'!$B$9,Paramètres!$A$1:$I$88,3,0)*0.475*44/12</f>
        <v>0</v>
      </c>
      <c r="EQ37" s="45">
        <f>EXP(-LN(2)/25)*EQ36+(1-EXP(-LN(2)/25))/(LN(2)/25)*Calculateur!EL37*Calculateur!EN37*VLOOKUP('Données projet'!$B$9,Paramètres!$A$1:$I$88,3,0)*0.475*44/12</f>
        <v>0</v>
      </c>
      <c r="ER37" s="45">
        <f>EXP(-LN(2)/2)*ER36+(1-EXP(-LN(2)/2))/(LN(2)/2)*EL37*EO37*VLOOKUP('Données projet'!$B$9,Paramètres!$A$1:$I$88,3,0)*0.475*44/12</f>
        <v>0</v>
      </c>
      <c r="ES37" s="46">
        <f t="shared" si="17"/>
        <v>0</v>
      </c>
      <c r="ET37" s="32" t="e">
        <f>VLOOKUP(A37,'Données projet'!$A$269:$I$289,2,0)</f>
        <v>#N/A</v>
      </c>
      <c r="EU37" s="33" t="e">
        <f>VLOOKUP(A37,'Données projet'!$A$269:$I$289,9,0)</f>
        <v>#N/A</v>
      </c>
      <c r="EV37" s="33">
        <f t="array" ref="EV37">INDEX(EU:EU,MIN(IF(ISNUMBER(EU37:EU233),ROW(EU37:EU233),"")))</f>
        <v>0</v>
      </c>
      <c r="EW37" s="33">
        <f t="shared" si="39"/>
        <v>0</v>
      </c>
      <c r="EX37" s="38" t="e">
        <f>EW37*VLOOKUP('Données projet'!$B$18,Paramètres!$A$1:$I$88,3,0)*VLOOKUP('Données projet'!$B$18,Paramètres!$A$1:$I$88,5,0)</f>
        <v>#N/A</v>
      </c>
      <c r="EY37" s="34" t="e">
        <f t="shared" si="40"/>
        <v>#N/A</v>
      </c>
      <c r="EZ37" s="44" t="e">
        <f t="shared" si="18"/>
        <v>#N/A</v>
      </c>
      <c r="FA37" s="36">
        <f>IF(ISNA(VLOOKUP(A37,'Données projet'!$A$269:$I$289,3,0)),0,VLOOKUP(A37,'Données projet'!$A$269:$I$289,3,0))</f>
        <v>0</v>
      </c>
      <c r="FB37" s="36">
        <f>IF(ISNA(VLOOKUP(A37,'Données projet'!$A$269:$I$289,4,0)),0,VLOOKUP(A37,'Données projet'!$A$269:$I$289,4,0))</f>
        <v>0</v>
      </c>
      <c r="FC37" s="37">
        <f>IF(ISNA(VLOOKUP(A37,'Données projet'!$A$269:$I$289,5,0)),0%,VLOOKUP(A37,'Données projet'!$A$269:$I$289,5,0)*VLOOKUP('Données projet'!$B$18,Paramètres!$A$1:$I$88,7,0))</f>
        <v>0</v>
      </c>
      <c r="FD37" s="37">
        <f>IF(ISNA(VLOOKUP(A37,'Données projet'!$A$269:$I$289,6,0)),0%,VLOOKUP(A37,'Données projet'!$A$269:$I$289,6,0)*VLOOKUP('Données projet'!$B$18,Paramètres!$A$1:$I$88,7,0))</f>
        <v>0</v>
      </c>
      <c r="FE37" s="37">
        <f>IF(ISNA(VLOOKUP(A37,'Données projet'!$A$269:$I$289,7,0)),0%,VLOOKUP(A37,'Données projet'!$A$269:$I$289,7,0))</f>
        <v>0</v>
      </c>
      <c r="FF37" s="45">
        <f>EXP(-LN(2)/35)*FF36+(1-EXP(-LN(2)/35))/(LN(2)/35)*FB37*FC37*VLOOKUP('Données projet'!$B$9,Paramètres!$A$1:$I$88,3,0)*0.475*44/12</f>
        <v>0</v>
      </c>
      <c r="FG37" s="45">
        <f>EXP(-LN(2)/25)*FG36+(1-EXP(-LN(2)/25))/(LN(2)/25)*Calculateur!FB37*Calculateur!FD37*VLOOKUP('Données projet'!$B$9,Paramètres!$A$1:$I$88,3,0)*0.475*44/12</f>
        <v>0</v>
      </c>
      <c r="FH37" s="45">
        <f>EXP(-LN(2)/2)*FH36+(1-EXP(-LN(2)/2))/(LN(2)/2)*FB37*FE37*VLOOKUP('Données projet'!$B$9,Paramètres!$A$1:$I$88,3,0)*0.475*44/12</f>
        <v>0</v>
      </c>
      <c r="FI37" s="46">
        <f t="shared" si="19"/>
        <v>0</v>
      </c>
    </row>
    <row r="38" spans="1:165" x14ac:dyDescent="0.25">
      <c r="A38" s="24">
        <f t="shared" si="20"/>
        <v>35</v>
      </c>
      <c r="B38" s="25">
        <f>IF('Scénario référence'!$N$1=1,5,0)</f>
        <v>0</v>
      </c>
      <c r="C38" s="40">
        <f>IF(OR('Scénario référence'!$N$1=2,'Scénario référence'!$N$1=4),C37+1*VLOOKUP('Scénario référence'!$G$14,Paramètres!$A$1:$I$88,3,0)*VLOOKUP('Scénario référence'!$G$14,Paramètres!$A$1:$I$88,5,0),IF(OR('Scénario référence'!$N$1=3,'Scénario référence'!$N$1=5),C37+0.5*VLOOKUP('Scénario référence'!$G$14,Paramètres!$A$1:$I$88,3,0)*VLOOKUP('Scénario référence'!$G$14,Paramètres!$A$1:$I$88,5,0),0))</f>
        <v>19.109999999999992</v>
      </c>
      <c r="D38" s="26">
        <f t="shared" si="21"/>
        <v>6.2470359895716463</v>
      </c>
      <c r="E38" s="27">
        <f>IF('Scénario référence'!$N$1=1,B38*44/12,(C38+D38)*0.475*44/12)</f>
        <v>44.163504348503942</v>
      </c>
      <c r="F38" s="28">
        <f>VLOOKUP(A38,'Données projet'!$A$35:$I$55,2,0)</f>
        <v>140</v>
      </c>
      <c r="G38" s="28">
        <f>VLOOKUP(A38,'Données projet'!$A$35:$I$55,9,0)</f>
        <v>8.6</v>
      </c>
      <c r="H38" s="33">
        <f t="array" ref="H38">INDEX(G:G,MIN(IF(ISNUMBER(G38:G234),ROW(G38:G234),"")))</f>
        <v>8.6</v>
      </c>
      <c r="I38" s="28">
        <f t="shared" si="22"/>
        <v>140</v>
      </c>
      <c r="J38" s="41">
        <f>I38*VLOOKUP('Données projet'!$B$9,Paramètres!$A$1:$I$88,3,0)*VLOOKUP('Données projet'!$B$9,Paramètres!$A$1:$I$88,5,0)</f>
        <v>141.96</v>
      </c>
      <c r="K38" s="41">
        <f t="shared" si="23"/>
        <v>36.745650011720485</v>
      </c>
      <c r="L38" s="42">
        <f t="shared" si="0"/>
        <v>311.24567377041313</v>
      </c>
      <c r="M38" s="30">
        <f>IF(ISNA(VLOOKUP(A38,'Données projet'!$A$35:$I$55,3,0)),0,VLOOKUP(A38,'Données projet'!$A$35:$I$55,3,0))</f>
        <v>2</v>
      </c>
      <c r="N38" s="30">
        <f>IF(ISNA(VLOOKUP(A38,'Données projet'!$A$35:$I$55,4,0)),0,VLOOKUP(A38,'Données projet'!$A$35:$I$55,4,0))</f>
        <v>42</v>
      </c>
      <c r="O38" s="31">
        <f>IF(ISNA(VLOOKUP(A38,'Données projet'!$A$35:$I$55,5,0)),0%,VLOOKUP(A38,'Données projet'!$A$35:$I$55,5,0)*VLOOKUP('Données projet'!$B$9,Paramètres!$A$1:$I$88,7,0))</f>
        <v>0</v>
      </c>
      <c r="P38" s="31">
        <f>IF(ISNA(VLOOKUP(A38,'Données projet'!$A$35:$I$55,6,0)),0%,VLOOKUP(A38,'Données projet'!$A$35:$I$55,6,0)*VLOOKUP('Données projet'!$B$9,Paramètres!$A$1:$I$88,7,0))</f>
        <v>0</v>
      </c>
      <c r="Q38" s="31">
        <f>IF(ISNA(VLOOKUP(A38,'Données projet'!$A$35:$I$55,7,0)),0%,VLOOKUP(A38,'Données projet'!$A$35:$I$55,7,0))</f>
        <v>0</v>
      </c>
      <c r="R38" s="43">
        <f>EXP(-LN(2)/35)*R37+(1-EXP(-LN(2)/35))/(LN(2)/35)*N38*O38*VLOOKUP('Données projet'!$B$9,Paramètres!$A$1:$I$88,3,0)*0.475*44/12</f>
        <v>0</v>
      </c>
      <c r="S38" s="43">
        <f>EXP(-LN(2)/25)*S37+(1-EXP(-LN(2)/25))/(LN(2)/25)*Calculateur!N38*Calculateur!P38*VLOOKUP('Données projet'!$B$9,Paramètres!$A$1:$I$88,3,0)*0.475*44/12</f>
        <v>0</v>
      </c>
      <c r="T38" s="43">
        <f>EXP(-LN(2)/2)*T37+(1-EXP(-LN(2)/2))/(LN(2)/2)*N38*Q38*VLOOKUP('Données projet'!$B$9,Paramètres!$A$1:$I$88,3,0)*0.475*44/12</f>
        <v>0</v>
      </c>
      <c r="U38" s="43">
        <f t="shared" si="1"/>
        <v>0</v>
      </c>
      <c r="V38" s="32" t="e">
        <f>VLOOKUP(A38,'Données projet'!$A$61:$I$81,2,0)</f>
        <v>#N/A</v>
      </c>
      <c r="W38" s="33" t="e">
        <f>VLOOKUP(A38,'Données projet'!$A$61:$I$81,9,0)</f>
        <v>#N/A</v>
      </c>
      <c r="X38" s="33">
        <f t="array" ref="X38">INDEX(W:W,MIN(IF(ISNUMBER(W38:W234),ROW(W38:W234),"")))</f>
        <v>0</v>
      </c>
      <c r="Y38" s="33">
        <f t="shared" si="24"/>
        <v>0</v>
      </c>
      <c r="Z38" s="34" t="e">
        <f>Y38*VLOOKUP('Données projet'!$B$10,Paramètres!$A$1:$I$88,3,0)*VLOOKUP('Données projet'!$B$10,Paramètres!$A$1:$I$88,5,0)</f>
        <v>#N/A</v>
      </c>
      <c r="AA38" s="34" t="e">
        <f t="shared" si="25"/>
        <v>#N/A</v>
      </c>
      <c r="AB38" s="44" t="e">
        <f t="shared" si="2"/>
        <v>#N/A</v>
      </c>
      <c r="AC38" s="36">
        <f>IF(ISNA(VLOOKUP(A38,'Données projet'!$A$61:$I$81,3,0)),0,VLOOKUP(A38,'Données projet'!$A$61:$I$81,3,0))</f>
        <v>0</v>
      </c>
      <c r="AD38" s="36">
        <f>IF(ISNA(VLOOKUP(A38,'Données projet'!$A$61:$I$81,4,0)),0,VLOOKUP(A38,'Données projet'!$A$61:$I$81,4,0))</f>
        <v>0</v>
      </c>
      <c r="AE38" s="37">
        <f>IF(ISNA(VLOOKUP(A38,'Données projet'!$A$61:$I$81,5,0)),0%,VLOOKUP(A38,'Données projet'!$A$61:$I$81,5,0)*VLOOKUP('Données projet'!$B$10,Paramètres!$A$1:$I$88,7,0))</f>
        <v>0</v>
      </c>
      <c r="AF38" s="37">
        <f>IF(ISNA(VLOOKUP(A38,'Données projet'!$A$61:$I$81,6,0)),0%,VLOOKUP(A38,'Données projet'!$A$61:$I$81,6,0)*VLOOKUP('Données projet'!$B$10,Paramètres!$A$1:$I$88,7,0))</f>
        <v>0</v>
      </c>
      <c r="AG38" s="37">
        <f>IF(ISNA(VLOOKUP(A38,'Données projet'!$A$61:$I$81,7,0)),0%,VLOOKUP(A38,'Données projet'!$A$61:$I$81,7,0))</f>
        <v>0</v>
      </c>
      <c r="AH38" s="45">
        <f>EXP(-LN(2)/35)*AH37+(1-EXP(-LN(2)/35))/(LN(2)/35)*AD38*AE38*VLOOKUP('Données projet'!$B$9,Paramètres!$A$1:$I$88,3,0)*0.475*44/12</f>
        <v>0</v>
      </c>
      <c r="AI38" s="45">
        <f>EXP(-LN(2)/25)*AI37+(1-EXP(-LN(2)/25))/(LN(2)/25)*Calculateur!AD38*Calculateur!AF38*VLOOKUP('Données projet'!$B$9,Paramètres!$A$1:$I$88,3,0)*0.475*44/12</f>
        <v>0</v>
      </c>
      <c r="AJ38" s="45">
        <f>EXP(-LN(2)/2)*AJ37+(1-EXP(-LN(2)/2))/(LN(2)/2)*AD38*AG38*VLOOKUP('Données projet'!$B$9,Paramètres!$A$1:$I$88,3,0)*0.475*44/12</f>
        <v>0</v>
      </c>
      <c r="AK38" s="45">
        <f t="shared" si="3"/>
        <v>0</v>
      </c>
      <c r="AL38" s="32" t="e">
        <f>VLOOKUP(A38,'Données projet'!$A$87:$I$107,2,0)</f>
        <v>#N/A</v>
      </c>
      <c r="AM38" s="33" t="e">
        <f>VLOOKUP(A38,'Données projet'!$A$87:$I$107,9,0)</f>
        <v>#N/A</v>
      </c>
      <c r="AN38" s="33">
        <f t="array" ref="AN38">INDEX(AM:AM,MIN(IF(ISNUMBER(AM38:AM234),ROW(AM38:AM234),"")))</f>
        <v>0</v>
      </c>
      <c r="AO38" s="33">
        <f t="shared" si="26"/>
        <v>0</v>
      </c>
      <c r="AP38" s="34" t="e">
        <f>AO38*VLOOKUP('Données projet'!$B$11,Paramètres!$A$1:$I$88,3,0)*VLOOKUP('Données projet'!$B$11,Paramètres!$A$1:$I$88,5,0)</f>
        <v>#N/A</v>
      </c>
      <c r="AQ38" s="34" t="e">
        <f t="shared" si="27"/>
        <v>#N/A</v>
      </c>
      <c r="AR38" s="44" t="e">
        <f t="shared" si="4"/>
        <v>#N/A</v>
      </c>
      <c r="AS38" s="36">
        <f>IF(ISNA(VLOOKUP(A38,'Données projet'!$A$87:$I$107,3,0)),0,VLOOKUP(A38,'Données projet'!$A$87:$I$107,3,0))</f>
        <v>0</v>
      </c>
      <c r="AT38" s="36">
        <f>IF(ISNA(VLOOKUP(A38,'Données projet'!$A$87:$I$107,4,0)),0,VLOOKUP(A38,'Données projet'!$A$87:$I$107,4,0))</f>
        <v>0</v>
      </c>
      <c r="AU38" s="37">
        <f>IF(ISNA(VLOOKUP(A38,'Données projet'!$A$87:$I$107,5,0)),0%,VLOOKUP(A38,'Données projet'!$A$87:$I$107,5,0)*VLOOKUP('Données projet'!$B$11,Paramètres!$A$1:$I$88,7,0))</f>
        <v>0</v>
      </c>
      <c r="AV38" s="37">
        <f>IF(ISNA(VLOOKUP(A38,'Données projet'!$A$87:$I$107,6,0)),0%,VLOOKUP(A38,'Données projet'!$A$87:$I$107,6,0)*VLOOKUP('Données projet'!$B$11,Paramètres!$A$1:$I$88,7,0))</f>
        <v>0</v>
      </c>
      <c r="AW38" s="37">
        <f>IF(ISNA(VLOOKUP(A38,'Données projet'!$A$87:$I$107,7,0)),0%,VLOOKUP(A38,'Données projet'!$A$87:$I$107,7,0))</f>
        <v>0</v>
      </c>
      <c r="AX38" s="45">
        <f>EXP(-LN(2)/35)*AX37+(1-EXP(-LN(2)/35))/(LN(2)/35)*AT38*AU38*VLOOKUP('Données projet'!$B$9,Paramètres!$A$1:$I$88,3,0)*0.475*44/12</f>
        <v>0</v>
      </c>
      <c r="AY38" s="45">
        <f>EXP(-LN(2)/25)*AY37+(1-EXP(-LN(2)/25))/(LN(2)/25)*Calculateur!AT38*Calculateur!AV38*VLOOKUP('Données projet'!$B$9,Paramètres!$A$1:$I$88,3,0)*0.475*44/12</f>
        <v>0</v>
      </c>
      <c r="AZ38" s="45">
        <f>EXP(-LN(2)/2)*AZ37+(1-EXP(-LN(2)/2))/(LN(2)/2)*AT38*AW38*VLOOKUP('Données projet'!$B$9,Paramètres!$A$1:$I$88,3,0)*0.475*44/12</f>
        <v>0</v>
      </c>
      <c r="BA38" s="46">
        <f t="shared" si="5"/>
        <v>0</v>
      </c>
      <c r="BB38" s="32" t="e">
        <f>VLOOKUP(A38,'Données projet'!$A$113:$I$133,2,0)</f>
        <v>#N/A</v>
      </c>
      <c r="BC38" s="33" t="e">
        <f>VLOOKUP(A38,'Données projet'!$A$113:$I$133,9,0)</f>
        <v>#N/A</v>
      </c>
      <c r="BD38" s="33">
        <f t="array" ref="BD38">INDEX(BC:BC,MIN(IF(ISNUMBER(BC38:BC234),ROW(BC38:BC234),"")))</f>
        <v>0</v>
      </c>
      <c r="BE38" s="33">
        <f t="shared" si="28"/>
        <v>0</v>
      </c>
      <c r="BF38" s="34" t="e">
        <f>BE38*VLOOKUP('Données projet'!$B$12,Paramètres!$A$1:$I$88,3,0)*VLOOKUP('Données projet'!$B$12,Paramètres!$A$1:$I$88,5,0)</f>
        <v>#N/A</v>
      </c>
      <c r="BG38" s="34" t="e">
        <f t="shared" si="29"/>
        <v>#N/A</v>
      </c>
      <c r="BH38" s="44" t="e">
        <f t="shared" si="6"/>
        <v>#N/A</v>
      </c>
      <c r="BI38" s="36">
        <f>IF(ISNA(VLOOKUP(A38,'Données projet'!$A$113:$I$133,3,0)),0,VLOOKUP(A38,'Données projet'!$A$113:$I$133,3,0))</f>
        <v>0</v>
      </c>
      <c r="BJ38" s="36">
        <f>IF(ISNA(VLOOKUP(A38,'Données projet'!$A$113:$I$133,4,0)),0,VLOOKUP(A38,'Données projet'!$A$113:$I$133,4,0))</f>
        <v>0</v>
      </c>
      <c r="BK38" s="37">
        <f>IF(ISNA(VLOOKUP(A38,'Données projet'!$A$113:$I$133,5,0)),0%,VLOOKUP(A38,'Données projet'!$A$113:$I$133,5,0)*VLOOKUP('Données projet'!$B$12,Paramètres!$A$1:$I$88,7,0))</f>
        <v>0</v>
      </c>
      <c r="BL38" s="37">
        <f>IF(ISNA(VLOOKUP(A38,'Données projet'!$A$113:$I$133,6,0)),0%,VLOOKUP(A38,'Données projet'!$A$113:$I$133,6,0)*VLOOKUP('Données projet'!$B$12,Paramètres!$A$1:$I$88,7,0))</f>
        <v>0</v>
      </c>
      <c r="BM38" s="37">
        <f>IF(ISNA(VLOOKUP(A38,'Données projet'!$A$113:$I$133,7,0)),0%,VLOOKUP(A38,'Données projet'!$A$113:$I$133,7,0))</f>
        <v>0</v>
      </c>
      <c r="BN38" s="45">
        <f>EXP(-LN(2)/35)*BN37+(1-EXP(-LN(2)/35))/(LN(2)/35)*BJ38*BK38*VLOOKUP('Données projet'!$B$9,Paramètres!$A$1:$I$88,3,0)*0.475*44/12</f>
        <v>0</v>
      </c>
      <c r="BO38" s="45">
        <f>EXP(-LN(2)/25)*BO37+(1-EXP(-LN(2)/25))/(LN(2)/25)*Calculateur!BJ38*Calculateur!BL38*VLOOKUP('Données projet'!$B$9,Paramètres!$A$1:$I$88,3,0)*0.475*44/12</f>
        <v>0</v>
      </c>
      <c r="BP38" s="45">
        <f>EXP(-LN(2)/2)*BP37+(1-EXP(-LN(2)/2))/(LN(2)/2)*BJ38*BM38*VLOOKUP('Données projet'!$B$9,Paramètres!$A$1:$I$88,3,0)*0.475*44/12</f>
        <v>0</v>
      </c>
      <c r="BQ38" s="46">
        <f t="shared" si="7"/>
        <v>0</v>
      </c>
      <c r="BR38" s="32" t="e">
        <f>VLOOKUP(A38,'Données projet'!$A$139:$I$159,2,0)</f>
        <v>#N/A</v>
      </c>
      <c r="BS38" s="33" t="e">
        <f>VLOOKUP(A38,'Données projet'!$A$139:$I$159,9,0)</f>
        <v>#N/A</v>
      </c>
      <c r="BT38" s="33">
        <f t="array" ref="BT38">INDEX(BS:BS,MIN(IF(ISNUMBER(BS38:BS234),ROW(BS38:BS234),"")))</f>
        <v>0</v>
      </c>
      <c r="BU38" s="33">
        <f t="shared" si="41"/>
        <v>0</v>
      </c>
      <c r="BV38" s="38" t="e">
        <f>BU38*VLOOKUP('Données projet'!$B$13,Paramètres!$A$1:$I$88,3,0)*VLOOKUP('Données projet'!$B$13,Paramètres!$A$1:$I$88,5,0)</f>
        <v>#N/A</v>
      </c>
      <c r="BW38" s="34" t="e">
        <f t="shared" si="30"/>
        <v>#N/A</v>
      </c>
      <c r="BX38" s="44" t="e">
        <f t="shared" si="8"/>
        <v>#N/A</v>
      </c>
      <c r="BY38" s="36">
        <f>IF(ISNA(VLOOKUP(A38,'Données projet'!$A$139:$I$159,3,0)),0,VLOOKUP(A38,'Données projet'!$A$139:$I$159,3,0))</f>
        <v>0</v>
      </c>
      <c r="BZ38" s="36">
        <f>IF(ISNA(VLOOKUP(A38,'Données projet'!$A$139:$I$159,4,0)),0,VLOOKUP(A38,'Données projet'!$A$139:$I$159,4,0))</f>
        <v>0</v>
      </c>
      <c r="CA38" s="37">
        <f>IF(ISNA(VLOOKUP(A38,'Données projet'!$A$139:$I$159,5,0)),0%,VLOOKUP(A38,'Données projet'!$A$139:$I$159,5,0)*VLOOKUP('Données projet'!$B$13,Paramètres!$A$1:$I$88,7,0))</f>
        <v>0</v>
      </c>
      <c r="CB38" s="37">
        <f>IF(ISNA(VLOOKUP(A38,'Données projet'!$A$139:$I$159,6,0)),0%,VLOOKUP(A38,'Données projet'!$A$139:$I$159,6,0)*VLOOKUP('Données projet'!$B$13,Paramètres!$A$1:$I$88,7,0))</f>
        <v>0</v>
      </c>
      <c r="CC38" s="37">
        <f>IF(ISNA(VLOOKUP(A38,'Données projet'!$A$139:$I$159,7,0)),0%,VLOOKUP(A38,'Données projet'!$A$139:$I$159,7,0))</f>
        <v>0</v>
      </c>
      <c r="CD38" s="45">
        <f>EXP(-LN(2)/35)*CD37+(1-EXP(-LN(2)/35))/(LN(2)/35)*BZ38*CA38*VLOOKUP('Données projet'!$B$9,Paramètres!$A$1:$I$88,3,0)*0.475*44/12</f>
        <v>0</v>
      </c>
      <c r="CE38" s="45">
        <f>EXP(-LN(2)/25)*CE37+(1-EXP(-LN(2)/25))/(LN(2)/25)*Calculateur!BZ38*Calculateur!CB38*VLOOKUP('Données projet'!$B$9,Paramètres!$A$1:$I$88,3,0)*0.475*44/12</f>
        <v>0</v>
      </c>
      <c r="CF38" s="45">
        <f>EXP(-LN(2)/2)*CF37+(1-EXP(-LN(2)/2))/(LN(2)/2)*BZ38*CC38*VLOOKUP('Données projet'!$B$9,Paramètres!$A$1:$I$88,3,0)*0.475*44/12</f>
        <v>0</v>
      </c>
      <c r="CG38" s="46">
        <f t="shared" si="9"/>
        <v>0</v>
      </c>
      <c r="CH38" s="32" t="e">
        <f>VLOOKUP(A38,'Données projet'!$A$165:$I$185,2,0)</f>
        <v>#N/A</v>
      </c>
      <c r="CI38" s="33" t="e">
        <f>VLOOKUP(A38,'Données projet'!$A$165:$I$185,9,0)</f>
        <v>#N/A</v>
      </c>
      <c r="CJ38" s="33">
        <f t="array" ref="CJ38">INDEX(CI:CI,MIN(IF(ISNUMBER(CI38:CI234),ROW(CI38:CI234),"")))</f>
        <v>0</v>
      </c>
      <c r="CK38" s="33">
        <f t="shared" si="31"/>
        <v>0</v>
      </c>
      <c r="CL38" s="38" t="e">
        <f>CK38*VLOOKUP('Données projet'!$B$14,Paramètres!$A$1:$I$88,3,0)*VLOOKUP('Données projet'!$B$14,Paramètres!$A$1:$I$88,5,0)</f>
        <v>#N/A</v>
      </c>
      <c r="CM38" s="34" t="e">
        <f t="shared" si="32"/>
        <v>#N/A</v>
      </c>
      <c r="CN38" s="44" t="e">
        <f t="shared" si="10"/>
        <v>#N/A</v>
      </c>
      <c r="CO38" s="36">
        <f>IF(ISNA(VLOOKUP(A38,'Données projet'!$A$165:$I$185,3,0)),0,VLOOKUP(A38,'Données projet'!$A$165:$I$185,3,0))</f>
        <v>0</v>
      </c>
      <c r="CP38" s="36">
        <f>IF(ISNA(VLOOKUP(A38,'Données projet'!$A$165:$I$185,4,0)),0,VLOOKUP(A38,'Données projet'!$A$165:$I$185,4,0))</f>
        <v>0</v>
      </c>
      <c r="CQ38" s="37">
        <f>IF(ISNA(VLOOKUP(A38,'Données projet'!$A$165:$I$185,5,0)),0%,VLOOKUP(A38,'Données projet'!$A$165:$I$185,5,0)*VLOOKUP('Données projet'!$B$14,Paramètres!$A$1:$I$88,7,0))</f>
        <v>0</v>
      </c>
      <c r="CR38" s="37">
        <f>IF(ISNA(VLOOKUP(A38,'Données projet'!$A$165:$I$185,6,0)),0%,VLOOKUP(A38,'Données projet'!$A$165:$I$185,6,0)*VLOOKUP('Données projet'!$B$14,Paramètres!$A$1:$I$88,7,0))</f>
        <v>0</v>
      </c>
      <c r="CS38" s="37">
        <f>IF(ISNA(VLOOKUP(A38,'Données projet'!$A$165:$I$185,7,0)),0%,VLOOKUP(A38,'Données projet'!$A$165:$I$185,7,0))</f>
        <v>0</v>
      </c>
      <c r="CT38" s="45">
        <f>EXP(-LN(2)/35)*CT37+(1-EXP(-LN(2)/35))/(LN(2)/35)*CP38*CQ38*VLOOKUP('Données projet'!$B$9,Paramètres!$A$1:$I$88,3,0)*0.475*44/12</f>
        <v>0</v>
      </c>
      <c r="CU38" s="45">
        <f>EXP(-LN(2)/25)*CU37+(1-EXP(-LN(2)/25))/(LN(2)/25)*Calculateur!CP38*Calculateur!CR38*VLOOKUP('Données projet'!$B$9,Paramètres!$A$1:$I$88,3,0)*0.475*44/12</f>
        <v>0</v>
      </c>
      <c r="CV38" s="45">
        <f>EXP(-LN(2)/2)*CV37+(1-EXP(-LN(2)/2))/(LN(2)/2)*CP38*CS38*VLOOKUP('Données projet'!$B$9,Paramètres!$A$1:$I$88,3,0)*0.475*44/12</f>
        <v>0</v>
      </c>
      <c r="CW38" s="46">
        <f t="shared" si="11"/>
        <v>0</v>
      </c>
      <c r="CX38" s="32" t="e">
        <f>VLOOKUP(A38,'Données projet'!$A$191:$I$211,2,0)</f>
        <v>#N/A</v>
      </c>
      <c r="CY38" s="33" t="e">
        <f>VLOOKUP(A38,'Données projet'!$A$191:$I$211,9,0)</f>
        <v>#N/A</v>
      </c>
      <c r="CZ38" s="33">
        <f t="array" ref="CZ38">INDEX(CY:CY,MIN(IF(ISNUMBER(CY38:CY234),ROW(CY38:CY234),"")))</f>
        <v>0</v>
      </c>
      <c r="DA38" s="33">
        <f t="shared" si="33"/>
        <v>0</v>
      </c>
      <c r="DB38" s="38" t="e">
        <f>DA38*VLOOKUP('Données projet'!$B$15,Paramètres!$A$1:$I$88,3,0)*VLOOKUP('Données projet'!$B$15,Paramètres!$A$1:$I$88,5,0)</f>
        <v>#N/A</v>
      </c>
      <c r="DC38" s="34" t="e">
        <f t="shared" si="34"/>
        <v>#N/A</v>
      </c>
      <c r="DD38" s="44" t="e">
        <f t="shared" si="12"/>
        <v>#N/A</v>
      </c>
      <c r="DE38" s="36">
        <f>IF(ISNA(VLOOKUP(A38,'Données projet'!$A$191:$I$211,3,0)),0,VLOOKUP(A38,'Données projet'!$A$191:$I$211,3,0))</f>
        <v>0</v>
      </c>
      <c r="DF38" s="36">
        <f>IF(ISNA(VLOOKUP(A38,'Données projet'!$A$191:$I$211,4,0)),0,VLOOKUP(A38,'Données projet'!$A$191:$I$211,4,0))</f>
        <v>0</v>
      </c>
      <c r="DG38" s="37">
        <f>IF(ISNA(VLOOKUP(A38,'Données projet'!$A$191:$I$211,5,0)),0%,VLOOKUP(A38,'Données projet'!$A$191:$I$211,5,0)*VLOOKUP('Données projet'!$B$15,Paramètres!$A$1:$I$88,7,0))</f>
        <v>0</v>
      </c>
      <c r="DH38" s="37">
        <f>IF(ISNA(VLOOKUP(A38,'Données projet'!$A$191:$I$211,6,0)),0%,VLOOKUP(A38,'Données projet'!$A$191:$I$211,6,0)*VLOOKUP('Données projet'!$B$15,Paramètres!$A$1:$I$88,7,0))</f>
        <v>0</v>
      </c>
      <c r="DI38" s="37">
        <f>IF(ISNA(VLOOKUP(A38,'Données projet'!$A$191:$I$211,7,0)),0%,VLOOKUP(A38,'Données projet'!$A$191:$I$211,7,0))</f>
        <v>0</v>
      </c>
      <c r="DJ38" s="45">
        <f>EXP(-LN(2)/35)*DJ37+(1-EXP(-LN(2)/35))/(LN(2)/35)*DF38*DG38*VLOOKUP('Données projet'!$B$9,Paramètres!$A$1:$I$88,3,0)*0.475*44/12</f>
        <v>0</v>
      </c>
      <c r="DK38" s="45">
        <f>EXP(-LN(2)/25)*DK37+(1-EXP(-LN(2)/25))/(LN(2)/25)*Calculateur!DF38*Calculateur!DH38*VLOOKUP('Données projet'!$B$9,Paramètres!$A$1:$I$88,3,0)*0.475*44/12</f>
        <v>0</v>
      </c>
      <c r="DL38" s="45">
        <f>EXP(-LN(2)/2)*DL37+(1-EXP(-LN(2)/2))/(LN(2)/2)*DF38*DI38*VLOOKUP('Données projet'!$B$9,Paramètres!$A$1:$I$88,3,0)*0.475*44/12</f>
        <v>0</v>
      </c>
      <c r="DM38" s="46">
        <f t="shared" si="13"/>
        <v>0</v>
      </c>
      <c r="DN38" s="32" t="e">
        <f>VLOOKUP(A38,'Données projet'!$A$217:$I$237,2,0)</f>
        <v>#N/A</v>
      </c>
      <c r="DO38" s="33" t="e">
        <f>VLOOKUP(A38,'Données projet'!$A$217:$I$237,9,0)</f>
        <v>#N/A</v>
      </c>
      <c r="DP38" s="33">
        <f t="array" ref="DP38">INDEX(DO:DO,MIN(IF(ISNUMBER(DO38:DO234),ROW(DO38:DO234),"")))</f>
        <v>0</v>
      </c>
      <c r="DQ38" s="33">
        <f t="shared" si="35"/>
        <v>0</v>
      </c>
      <c r="DR38" s="38" t="e">
        <f>DQ38*VLOOKUP('Données projet'!$B$16,Paramètres!$A$1:$I$88,3,0)*VLOOKUP('Données projet'!$B$16,Paramètres!$A$1:$I$88,5,0)</f>
        <v>#N/A</v>
      </c>
      <c r="DS38" s="34" t="e">
        <f t="shared" si="36"/>
        <v>#N/A</v>
      </c>
      <c r="DT38" s="44" t="e">
        <f t="shared" si="14"/>
        <v>#N/A</v>
      </c>
      <c r="DU38" s="36">
        <f>IF(ISNA(VLOOKUP(A38,'Données projet'!$A$217:$I$237,3,0)),0,VLOOKUP(A38,'Données projet'!$A$217:$I$237,3,0))</f>
        <v>0</v>
      </c>
      <c r="DV38" s="36">
        <f>IF(ISNA(VLOOKUP(A38,'Données projet'!$A$217:$I$237,4,0)),0,VLOOKUP(A38,'Données projet'!$A$217:$I$237,4,0))</f>
        <v>0</v>
      </c>
      <c r="DW38" s="37">
        <f>IF(ISNA(VLOOKUP(A38,'Données projet'!$A$217:$I$237,5,0)),0%,VLOOKUP(A38,'Données projet'!$A$217:$I$237,5,0)*VLOOKUP('Données projet'!$B$16,Paramètres!$A$1:$I$88,7,0))</f>
        <v>0</v>
      </c>
      <c r="DX38" s="37">
        <f>IF(ISNA(VLOOKUP(A38,'Données projet'!$A$217:$I$237,6,0)),0%,VLOOKUP(A38,'Données projet'!$A$217:$I$237,6,0)*VLOOKUP('Données projet'!$B$16,Paramètres!$A$1:$I$88,7,0))</f>
        <v>0</v>
      </c>
      <c r="DY38" s="37">
        <f>IF(ISNA(VLOOKUP(A38,'Données projet'!$A$217:$I$237,7,0)),0%,VLOOKUP(A38,'Données projet'!$A$217:$I$237,7,0))</f>
        <v>0</v>
      </c>
      <c r="DZ38" s="45">
        <f>EXP(-LN(2)/35)*DZ37+(1-EXP(-LN(2)/35))/(LN(2)/35)*DV38*DW38*VLOOKUP('Données projet'!$B$9,Paramètres!$A$1:$I$88,3,0)*0.475*44/12</f>
        <v>0</v>
      </c>
      <c r="EA38" s="45">
        <f>EXP(-LN(2)/25)*EA37+(1-EXP(-LN(2)/25))/(LN(2)/25)*Calculateur!DV38*Calculateur!DX38*VLOOKUP('Données projet'!$B$9,Paramètres!$A$1:$I$88,3,0)*0.475*44/12</f>
        <v>0</v>
      </c>
      <c r="EB38" s="45">
        <f>EXP(-LN(2)/2)*EB37+(1-EXP(-LN(2)/2))/(LN(2)/2)*DV38*DY38*VLOOKUP('Données projet'!$B$9,Paramètres!$A$1:$I$88,3,0)*0.475*44/12</f>
        <v>0</v>
      </c>
      <c r="EC38" s="46">
        <f t="shared" si="15"/>
        <v>0</v>
      </c>
      <c r="ED38" s="32" t="e">
        <f>VLOOKUP(A38,'Données projet'!$A$243:$I$263,2,0)</f>
        <v>#N/A</v>
      </c>
      <c r="EE38" s="33" t="e">
        <f>VLOOKUP(A38,'Données projet'!$A$243:$I$263,9,0)</f>
        <v>#N/A</v>
      </c>
      <c r="EF38" s="33">
        <f t="array" ref="EF38">INDEX(EE:EE,MIN(IF(ISNUMBER(EE38:EE234),ROW(EE38:EE234),"")))</f>
        <v>0</v>
      </c>
      <c r="EG38" s="33">
        <f t="shared" si="37"/>
        <v>0</v>
      </c>
      <c r="EH38" s="38" t="e">
        <f>EG38*VLOOKUP('Données projet'!$B$17,Paramètres!$A$1:$I$88,3,0)*VLOOKUP('Données projet'!$B$17,Paramètres!$A$1:$I$88,5,0)</f>
        <v>#N/A</v>
      </c>
      <c r="EI38" s="34" t="e">
        <f t="shared" si="38"/>
        <v>#N/A</v>
      </c>
      <c r="EJ38" s="44" t="e">
        <f t="shared" si="16"/>
        <v>#N/A</v>
      </c>
      <c r="EK38" s="36">
        <f>IF(ISNA(VLOOKUP(A38,'Données projet'!$A$243:$I$263,3,0)),0,VLOOKUP(A38,'Données projet'!$A$243:$I$263,3,0))</f>
        <v>0</v>
      </c>
      <c r="EL38" s="36">
        <f>IF(ISNA(VLOOKUP(A38,'Données projet'!$A$243:$I$263,4,0)),0,VLOOKUP(A38,'Données projet'!$A$243:$I$263,4,0))</f>
        <v>0</v>
      </c>
      <c r="EM38" s="37">
        <f>IF(ISNA(VLOOKUP(A38,'Données projet'!$A$243:$I$263,5,0)),0%,VLOOKUP(A38,'Données projet'!$A$243:$I$263,5,0)*VLOOKUP('Données projet'!$B$17,Paramètres!$A$1:$I$88,7,0))</f>
        <v>0</v>
      </c>
      <c r="EN38" s="37">
        <f>IF(ISNA(VLOOKUP(A38,'Données projet'!$A$243:$I$263,6,0)),0%,VLOOKUP(A38,'Données projet'!$A$243:$I$263,6,0)*VLOOKUP('Données projet'!$B$17,Paramètres!$A$1:$I$88,7,0))</f>
        <v>0</v>
      </c>
      <c r="EO38" s="37">
        <f>IF(ISNA(VLOOKUP(A38,'Données projet'!$A$243:$I$263,7,0)),0%,VLOOKUP(A38,'Données projet'!$A$243:$I$263,7,0))</f>
        <v>0</v>
      </c>
      <c r="EP38" s="45">
        <f>EXP(-LN(2)/35)*EP37+(1-EXP(-LN(2)/35))/(LN(2)/35)*EL38*EM38*VLOOKUP('Données projet'!$B$9,Paramètres!$A$1:$I$88,3,0)*0.475*44/12</f>
        <v>0</v>
      </c>
      <c r="EQ38" s="45">
        <f>EXP(-LN(2)/25)*EQ37+(1-EXP(-LN(2)/25))/(LN(2)/25)*Calculateur!EL38*Calculateur!EN38*VLOOKUP('Données projet'!$B$9,Paramètres!$A$1:$I$88,3,0)*0.475*44/12</f>
        <v>0</v>
      </c>
      <c r="ER38" s="45">
        <f>EXP(-LN(2)/2)*ER37+(1-EXP(-LN(2)/2))/(LN(2)/2)*EL38*EO38*VLOOKUP('Données projet'!$B$9,Paramètres!$A$1:$I$88,3,0)*0.475*44/12</f>
        <v>0</v>
      </c>
      <c r="ES38" s="46">
        <f t="shared" si="17"/>
        <v>0</v>
      </c>
      <c r="ET38" s="32" t="e">
        <f>VLOOKUP(A38,'Données projet'!$A$269:$I$289,2,0)</f>
        <v>#N/A</v>
      </c>
      <c r="EU38" s="33" t="e">
        <f>VLOOKUP(A38,'Données projet'!$A$269:$I$289,9,0)</f>
        <v>#N/A</v>
      </c>
      <c r="EV38" s="33">
        <f t="array" ref="EV38">INDEX(EU:EU,MIN(IF(ISNUMBER(EU38:EU234),ROW(EU38:EU234),"")))</f>
        <v>0</v>
      </c>
      <c r="EW38" s="33">
        <f t="shared" si="39"/>
        <v>0</v>
      </c>
      <c r="EX38" s="38" t="e">
        <f>EW38*VLOOKUP('Données projet'!$B$18,Paramètres!$A$1:$I$88,3,0)*VLOOKUP('Données projet'!$B$18,Paramètres!$A$1:$I$88,5,0)</f>
        <v>#N/A</v>
      </c>
      <c r="EY38" s="34" t="e">
        <f t="shared" si="40"/>
        <v>#N/A</v>
      </c>
      <c r="EZ38" s="44" t="e">
        <f t="shared" si="18"/>
        <v>#N/A</v>
      </c>
      <c r="FA38" s="36">
        <f>IF(ISNA(VLOOKUP(A38,'Données projet'!$A$269:$I$289,3,0)),0,VLOOKUP(A38,'Données projet'!$A$269:$I$289,3,0))</f>
        <v>0</v>
      </c>
      <c r="FB38" s="36">
        <f>IF(ISNA(VLOOKUP(A38,'Données projet'!$A$269:$I$289,4,0)),0,VLOOKUP(A38,'Données projet'!$A$269:$I$289,4,0))</f>
        <v>0</v>
      </c>
      <c r="FC38" s="37">
        <f>IF(ISNA(VLOOKUP(A38,'Données projet'!$A$269:$I$289,5,0)),0%,VLOOKUP(A38,'Données projet'!$A$269:$I$289,5,0)*VLOOKUP('Données projet'!$B$18,Paramètres!$A$1:$I$88,7,0))</f>
        <v>0</v>
      </c>
      <c r="FD38" s="37">
        <f>IF(ISNA(VLOOKUP(A38,'Données projet'!$A$269:$I$289,6,0)),0%,VLOOKUP(A38,'Données projet'!$A$269:$I$289,6,0)*VLOOKUP('Données projet'!$B$18,Paramètres!$A$1:$I$88,7,0))</f>
        <v>0</v>
      </c>
      <c r="FE38" s="37">
        <f>IF(ISNA(VLOOKUP(A38,'Données projet'!$A$269:$I$289,7,0)),0%,VLOOKUP(A38,'Données projet'!$A$269:$I$289,7,0))</f>
        <v>0</v>
      </c>
      <c r="FF38" s="45">
        <f>EXP(-LN(2)/35)*FF37+(1-EXP(-LN(2)/35))/(LN(2)/35)*FB38*FC38*VLOOKUP('Données projet'!$B$9,Paramètres!$A$1:$I$88,3,0)*0.475*44/12</f>
        <v>0</v>
      </c>
      <c r="FG38" s="45">
        <f>EXP(-LN(2)/25)*FG37+(1-EXP(-LN(2)/25))/(LN(2)/25)*Calculateur!FB38*Calculateur!FD38*VLOOKUP('Données projet'!$B$9,Paramètres!$A$1:$I$88,3,0)*0.475*44/12</f>
        <v>0</v>
      </c>
      <c r="FH38" s="45">
        <f>EXP(-LN(2)/2)*FH37+(1-EXP(-LN(2)/2))/(LN(2)/2)*FB38*FE38*VLOOKUP('Données projet'!$B$9,Paramètres!$A$1:$I$88,3,0)*0.475*44/12</f>
        <v>0</v>
      </c>
      <c r="FI38" s="46">
        <f t="shared" si="19"/>
        <v>0</v>
      </c>
    </row>
    <row r="39" spans="1:165" x14ac:dyDescent="0.25">
      <c r="A39" s="24">
        <f t="shared" si="20"/>
        <v>36</v>
      </c>
      <c r="B39" s="25">
        <f>IF('Scénario référence'!$N$1=1,5,0)</f>
        <v>0</v>
      </c>
      <c r="C39" s="40">
        <f>IF(OR('Scénario référence'!$N$1=2,'Scénario référence'!$N$1=4),C38+1*VLOOKUP('Scénario référence'!$G$14,Paramètres!$A$1:$I$88,3,0)*VLOOKUP('Scénario référence'!$G$14,Paramètres!$A$1:$I$88,5,0),IF(OR('Scénario référence'!$N$1=3,'Scénario référence'!$N$1=5),C38+0.5*VLOOKUP('Scénario référence'!$G$14,Paramètres!$A$1:$I$88,3,0)*VLOOKUP('Scénario référence'!$G$14,Paramètres!$A$1:$I$88,5,0),0))</f>
        <v>19.655999999999992</v>
      </c>
      <c r="D39" s="26">
        <f t="shared" si="21"/>
        <v>6.4044873715575248</v>
      </c>
      <c r="E39" s="27">
        <f>IF('Scénario référence'!$N$1=1,B39*44/12,(C39+D39)*0.475*44/12)</f>
        <v>45.388682172129343</v>
      </c>
      <c r="F39" s="28" t="e">
        <f>VLOOKUP(A39,'Données projet'!$A$35:$I$55,2,0)</f>
        <v>#N/A</v>
      </c>
      <c r="G39" s="28" t="e">
        <f>VLOOKUP(A39,'Données projet'!$A$35:$I$55,9,0)</f>
        <v>#N/A</v>
      </c>
      <c r="H39" s="33">
        <f t="array" ref="H39">INDEX(G:G,MIN(IF(ISNUMBER(G39:G235),ROW(G39:G235),"")))</f>
        <v>7.8</v>
      </c>
      <c r="I39" s="28">
        <f t="shared" si="22"/>
        <v>105.80000000000001</v>
      </c>
      <c r="J39" s="41">
        <f>I39*VLOOKUP('Données projet'!$B$9,Paramètres!$A$1:$I$88,3,0)*VLOOKUP('Données projet'!$B$9,Paramètres!$A$1:$I$88,5,0)</f>
        <v>107.28120000000001</v>
      </c>
      <c r="K39" s="41">
        <f t="shared" si="23"/>
        <v>28.689484043027395</v>
      </c>
      <c r="L39" s="42">
        <f t="shared" si="0"/>
        <v>236.81560804160605</v>
      </c>
      <c r="M39" s="30">
        <f>IF(ISNA(VLOOKUP(A39,'Données projet'!$A$35:$I$55,3,0)),0,VLOOKUP(A39,'Données projet'!$A$35:$I$55,3,0))</f>
        <v>0</v>
      </c>
      <c r="N39" s="30">
        <f>IF(ISNA(VLOOKUP(A39,'Données projet'!$A$35:$I$55,4,0)),0,VLOOKUP(A39,'Données projet'!$A$35:$I$55,4,0))</f>
        <v>0</v>
      </c>
      <c r="O39" s="31">
        <f>IF(ISNA(VLOOKUP(A39,'Données projet'!$A$35:$I$55,5,0)),0%,VLOOKUP(A39,'Données projet'!$A$35:$I$55,5,0)*VLOOKUP('Données projet'!$B$9,Paramètres!$A$1:$I$88,7,0))</f>
        <v>0</v>
      </c>
      <c r="P39" s="31">
        <f>IF(ISNA(VLOOKUP(A39,'Données projet'!$A$35:$I$55,6,0)),0%,VLOOKUP(A39,'Données projet'!$A$35:$I$55,6,0)*VLOOKUP('Données projet'!$B$9,Paramètres!$A$1:$I$88,7,0))</f>
        <v>0</v>
      </c>
      <c r="Q39" s="31">
        <f>IF(ISNA(VLOOKUP(A39,'Données projet'!$A$35:$I$55,7,0)),0%,VLOOKUP(A39,'Données projet'!$A$35:$I$55,7,0))</f>
        <v>0</v>
      </c>
      <c r="R39" s="43">
        <f>EXP(-LN(2)/35)*R38+(1-EXP(-LN(2)/35))/(LN(2)/35)*N39*O39*VLOOKUP('Données projet'!$B$9,Paramètres!$A$1:$I$88,3,0)*0.475*44/12</f>
        <v>0</v>
      </c>
      <c r="S39" s="43">
        <f>EXP(-LN(2)/25)*S38+(1-EXP(-LN(2)/25))/(LN(2)/25)*Calculateur!N39*Calculateur!P39*VLOOKUP('Données projet'!$B$9,Paramètres!$A$1:$I$88,3,0)*0.475*44/12</f>
        <v>0</v>
      </c>
      <c r="T39" s="43">
        <f>EXP(-LN(2)/2)*T38+(1-EXP(-LN(2)/2))/(LN(2)/2)*N39*Q39*VLOOKUP('Données projet'!$B$9,Paramètres!$A$1:$I$88,3,0)*0.475*44/12</f>
        <v>0</v>
      </c>
      <c r="U39" s="43">
        <f t="shared" si="1"/>
        <v>0</v>
      </c>
      <c r="V39" s="32" t="e">
        <f>VLOOKUP(A39,'Données projet'!$A$61:$I$81,2,0)</f>
        <v>#N/A</v>
      </c>
      <c r="W39" s="33" t="e">
        <f>VLOOKUP(A39,'Données projet'!$A$61:$I$81,9,0)</f>
        <v>#N/A</v>
      </c>
      <c r="X39" s="33">
        <f t="array" ref="X39">INDEX(W:W,MIN(IF(ISNUMBER(W39:W235),ROW(W39:W235),"")))</f>
        <v>0</v>
      </c>
      <c r="Y39" s="33">
        <f t="shared" si="24"/>
        <v>0</v>
      </c>
      <c r="Z39" s="34" t="e">
        <f>Y39*VLOOKUP('Données projet'!$B$10,Paramètres!$A$1:$I$88,3,0)*VLOOKUP('Données projet'!$B$10,Paramètres!$A$1:$I$88,5,0)</f>
        <v>#N/A</v>
      </c>
      <c r="AA39" s="34" t="e">
        <f t="shared" si="25"/>
        <v>#N/A</v>
      </c>
      <c r="AB39" s="44" t="e">
        <f t="shared" si="2"/>
        <v>#N/A</v>
      </c>
      <c r="AC39" s="36">
        <f>IF(ISNA(VLOOKUP(A39,'Données projet'!$A$61:$I$81,3,0)),0,VLOOKUP(A39,'Données projet'!$A$61:$I$81,3,0))</f>
        <v>0</v>
      </c>
      <c r="AD39" s="36">
        <f>IF(ISNA(VLOOKUP(A39,'Données projet'!$A$61:$I$81,4,0)),0,VLOOKUP(A39,'Données projet'!$A$61:$I$81,4,0))</f>
        <v>0</v>
      </c>
      <c r="AE39" s="37">
        <f>IF(ISNA(VLOOKUP(A39,'Données projet'!$A$61:$I$81,5,0)),0%,VLOOKUP(A39,'Données projet'!$A$61:$I$81,5,0)*VLOOKUP('Données projet'!$B$10,Paramètres!$A$1:$I$88,7,0))</f>
        <v>0</v>
      </c>
      <c r="AF39" s="37">
        <f>IF(ISNA(VLOOKUP(A39,'Données projet'!$A$61:$I$81,6,0)),0%,VLOOKUP(A39,'Données projet'!$A$61:$I$81,6,0)*VLOOKUP('Données projet'!$B$10,Paramètres!$A$1:$I$88,7,0))</f>
        <v>0</v>
      </c>
      <c r="AG39" s="37">
        <f>IF(ISNA(VLOOKUP(A39,'Données projet'!$A$61:$I$81,7,0)),0%,VLOOKUP(A39,'Données projet'!$A$61:$I$81,7,0))</f>
        <v>0</v>
      </c>
      <c r="AH39" s="45">
        <f>EXP(-LN(2)/35)*AH38+(1-EXP(-LN(2)/35))/(LN(2)/35)*AD39*AE39*VLOOKUP('Données projet'!$B$9,Paramètres!$A$1:$I$88,3,0)*0.475*44/12</f>
        <v>0</v>
      </c>
      <c r="AI39" s="45">
        <f>EXP(-LN(2)/25)*AI38+(1-EXP(-LN(2)/25))/(LN(2)/25)*Calculateur!AD39*Calculateur!AF39*VLOOKUP('Données projet'!$B$9,Paramètres!$A$1:$I$88,3,0)*0.475*44/12</f>
        <v>0</v>
      </c>
      <c r="AJ39" s="45">
        <f>EXP(-LN(2)/2)*AJ38+(1-EXP(-LN(2)/2))/(LN(2)/2)*AD39*AG39*VLOOKUP('Données projet'!$B$9,Paramètres!$A$1:$I$88,3,0)*0.475*44/12</f>
        <v>0</v>
      </c>
      <c r="AK39" s="45">
        <f t="shared" si="3"/>
        <v>0</v>
      </c>
      <c r="AL39" s="32" t="e">
        <f>VLOOKUP(A39,'Données projet'!$A$87:$I$107,2,0)</f>
        <v>#N/A</v>
      </c>
      <c r="AM39" s="33" t="e">
        <f>VLOOKUP(A39,'Données projet'!$A$87:$I$107,9,0)</f>
        <v>#N/A</v>
      </c>
      <c r="AN39" s="33">
        <f t="array" ref="AN39">INDEX(AM:AM,MIN(IF(ISNUMBER(AM39:AM235),ROW(AM39:AM235),"")))</f>
        <v>0</v>
      </c>
      <c r="AO39" s="33">
        <f t="shared" si="26"/>
        <v>0</v>
      </c>
      <c r="AP39" s="34" t="e">
        <f>AO39*VLOOKUP('Données projet'!$B$11,Paramètres!$A$1:$I$88,3,0)*VLOOKUP('Données projet'!$B$11,Paramètres!$A$1:$I$88,5,0)</f>
        <v>#N/A</v>
      </c>
      <c r="AQ39" s="34" t="e">
        <f t="shared" si="27"/>
        <v>#N/A</v>
      </c>
      <c r="AR39" s="44" t="e">
        <f t="shared" si="4"/>
        <v>#N/A</v>
      </c>
      <c r="AS39" s="36">
        <f>IF(ISNA(VLOOKUP(A39,'Données projet'!$A$87:$I$107,3,0)),0,VLOOKUP(A39,'Données projet'!$A$87:$I$107,3,0))</f>
        <v>0</v>
      </c>
      <c r="AT39" s="36">
        <f>IF(ISNA(VLOOKUP(A39,'Données projet'!$A$87:$I$107,4,0)),0,VLOOKUP(A39,'Données projet'!$A$87:$I$107,4,0))</f>
        <v>0</v>
      </c>
      <c r="AU39" s="37">
        <f>IF(ISNA(VLOOKUP(A39,'Données projet'!$A$87:$I$107,5,0)),0%,VLOOKUP(A39,'Données projet'!$A$87:$I$107,5,0)*VLOOKUP('Données projet'!$B$11,Paramètres!$A$1:$I$88,7,0))</f>
        <v>0</v>
      </c>
      <c r="AV39" s="37">
        <f>IF(ISNA(VLOOKUP(A39,'Données projet'!$A$87:$I$107,6,0)),0%,VLOOKUP(A39,'Données projet'!$A$87:$I$107,6,0)*VLOOKUP('Données projet'!$B$11,Paramètres!$A$1:$I$88,7,0))</f>
        <v>0</v>
      </c>
      <c r="AW39" s="37">
        <f>IF(ISNA(VLOOKUP(A39,'Données projet'!$A$87:$I$107,7,0)),0%,VLOOKUP(A39,'Données projet'!$A$87:$I$107,7,0))</f>
        <v>0</v>
      </c>
      <c r="AX39" s="45">
        <f>EXP(-LN(2)/35)*AX38+(1-EXP(-LN(2)/35))/(LN(2)/35)*AT39*AU39*VLOOKUP('Données projet'!$B$9,Paramètres!$A$1:$I$88,3,0)*0.475*44/12</f>
        <v>0</v>
      </c>
      <c r="AY39" s="45">
        <f>EXP(-LN(2)/25)*AY38+(1-EXP(-LN(2)/25))/(LN(2)/25)*Calculateur!AT39*Calculateur!AV39*VLOOKUP('Données projet'!$B$9,Paramètres!$A$1:$I$88,3,0)*0.475*44/12</f>
        <v>0</v>
      </c>
      <c r="AZ39" s="45">
        <f>EXP(-LN(2)/2)*AZ38+(1-EXP(-LN(2)/2))/(LN(2)/2)*AT39*AW39*VLOOKUP('Données projet'!$B$9,Paramètres!$A$1:$I$88,3,0)*0.475*44/12</f>
        <v>0</v>
      </c>
      <c r="BA39" s="46">
        <f t="shared" si="5"/>
        <v>0</v>
      </c>
      <c r="BB39" s="32" t="e">
        <f>VLOOKUP(A39,'Données projet'!$A$113:$I$133,2,0)</f>
        <v>#N/A</v>
      </c>
      <c r="BC39" s="33" t="e">
        <f>VLOOKUP(A39,'Données projet'!$A$113:$I$133,9,0)</f>
        <v>#N/A</v>
      </c>
      <c r="BD39" s="33">
        <f t="array" ref="BD39">INDEX(BC:BC,MIN(IF(ISNUMBER(BC39:BC235),ROW(BC39:BC235),"")))</f>
        <v>0</v>
      </c>
      <c r="BE39" s="33">
        <f t="shared" si="28"/>
        <v>0</v>
      </c>
      <c r="BF39" s="34" t="e">
        <f>BE39*VLOOKUP('Données projet'!$B$12,Paramètres!$A$1:$I$88,3,0)*VLOOKUP('Données projet'!$B$12,Paramètres!$A$1:$I$88,5,0)</f>
        <v>#N/A</v>
      </c>
      <c r="BG39" s="34" t="e">
        <f t="shared" si="29"/>
        <v>#N/A</v>
      </c>
      <c r="BH39" s="44" t="e">
        <f t="shared" si="6"/>
        <v>#N/A</v>
      </c>
      <c r="BI39" s="36">
        <f>IF(ISNA(VLOOKUP(A39,'Données projet'!$A$113:$I$133,3,0)),0,VLOOKUP(A39,'Données projet'!$A$113:$I$133,3,0))</f>
        <v>0</v>
      </c>
      <c r="BJ39" s="36">
        <f>IF(ISNA(VLOOKUP(A39,'Données projet'!$A$113:$I$133,4,0)),0,VLOOKUP(A39,'Données projet'!$A$113:$I$133,4,0))</f>
        <v>0</v>
      </c>
      <c r="BK39" s="37">
        <f>IF(ISNA(VLOOKUP(A39,'Données projet'!$A$113:$I$133,5,0)),0%,VLOOKUP(A39,'Données projet'!$A$113:$I$133,5,0)*VLOOKUP('Données projet'!$B$12,Paramètres!$A$1:$I$88,7,0))</f>
        <v>0</v>
      </c>
      <c r="BL39" s="37">
        <f>IF(ISNA(VLOOKUP(A39,'Données projet'!$A$113:$I$133,6,0)),0%,VLOOKUP(A39,'Données projet'!$A$113:$I$133,6,0)*VLOOKUP('Données projet'!$B$12,Paramètres!$A$1:$I$88,7,0))</f>
        <v>0</v>
      </c>
      <c r="BM39" s="37">
        <f>IF(ISNA(VLOOKUP(A39,'Données projet'!$A$113:$I$133,7,0)),0%,VLOOKUP(A39,'Données projet'!$A$113:$I$133,7,0))</f>
        <v>0</v>
      </c>
      <c r="BN39" s="45">
        <f>EXP(-LN(2)/35)*BN38+(1-EXP(-LN(2)/35))/(LN(2)/35)*BJ39*BK39*VLOOKUP('Données projet'!$B$9,Paramètres!$A$1:$I$88,3,0)*0.475*44/12</f>
        <v>0</v>
      </c>
      <c r="BO39" s="45">
        <f>EXP(-LN(2)/25)*BO38+(1-EXP(-LN(2)/25))/(LN(2)/25)*Calculateur!BJ39*Calculateur!BL39*VLOOKUP('Données projet'!$B$9,Paramètres!$A$1:$I$88,3,0)*0.475*44/12</f>
        <v>0</v>
      </c>
      <c r="BP39" s="45">
        <f>EXP(-LN(2)/2)*BP38+(1-EXP(-LN(2)/2))/(LN(2)/2)*BJ39*BM39*VLOOKUP('Données projet'!$B$9,Paramètres!$A$1:$I$88,3,0)*0.475*44/12</f>
        <v>0</v>
      </c>
      <c r="BQ39" s="46">
        <f t="shared" si="7"/>
        <v>0</v>
      </c>
      <c r="BR39" s="32" t="e">
        <f>VLOOKUP(A39,'Données projet'!$A$139:$I$159,2,0)</f>
        <v>#N/A</v>
      </c>
      <c r="BS39" s="33" t="e">
        <f>VLOOKUP(A39,'Données projet'!$A$139:$I$159,9,0)</f>
        <v>#N/A</v>
      </c>
      <c r="BT39" s="33">
        <f t="array" ref="BT39">INDEX(BS:BS,MIN(IF(ISNUMBER(BS39:BS235),ROW(BS39:BS235),"")))</f>
        <v>0</v>
      </c>
      <c r="BU39" s="33">
        <f t="shared" si="41"/>
        <v>0</v>
      </c>
      <c r="BV39" s="38" t="e">
        <f>BU39*VLOOKUP('Données projet'!$B$13,Paramètres!$A$1:$I$88,3,0)*VLOOKUP('Données projet'!$B$13,Paramètres!$A$1:$I$88,5,0)</f>
        <v>#N/A</v>
      </c>
      <c r="BW39" s="34" t="e">
        <f t="shared" si="30"/>
        <v>#N/A</v>
      </c>
      <c r="BX39" s="44" t="e">
        <f t="shared" si="8"/>
        <v>#N/A</v>
      </c>
      <c r="BY39" s="36">
        <f>IF(ISNA(VLOOKUP(A39,'Données projet'!$A$139:$I$159,3,0)),0,VLOOKUP(A39,'Données projet'!$A$139:$I$159,3,0))</f>
        <v>0</v>
      </c>
      <c r="BZ39" s="36">
        <f>IF(ISNA(VLOOKUP(A39,'Données projet'!$A$139:$I$159,4,0)),0,VLOOKUP(A39,'Données projet'!$A$139:$I$159,4,0))</f>
        <v>0</v>
      </c>
      <c r="CA39" s="37">
        <f>IF(ISNA(VLOOKUP(A39,'Données projet'!$A$139:$I$159,5,0)),0%,VLOOKUP(A39,'Données projet'!$A$139:$I$159,5,0)*VLOOKUP('Données projet'!$B$13,Paramètres!$A$1:$I$88,7,0))</f>
        <v>0</v>
      </c>
      <c r="CB39" s="37">
        <f>IF(ISNA(VLOOKUP(A39,'Données projet'!$A$139:$I$159,6,0)),0%,VLOOKUP(A39,'Données projet'!$A$139:$I$159,6,0)*VLOOKUP('Données projet'!$B$13,Paramètres!$A$1:$I$88,7,0))</f>
        <v>0</v>
      </c>
      <c r="CC39" s="37">
        <f>IF(ISNA(VLOOKUP(A39,'Données projet'!$A$139:$I$159,7,0)),0%,VLOOKUP(A39,'Données projet'!$A$139:$I$159,7,0))</f>
        <v>0</v>
      </c>
      <c r="CD39" s="45">
        <f>EXP(-LN(2)/35)*CD38+(1-EXP(-LN(2)/35))/(LN(2)/35)*BZ39*CA39*VLOOKUP('Données projet'!$B$9,Paramètres!$A$1:$I$88,3,0)*0.475*44/12</f>
        <v>0</v>
      </c>
      <c r="CE39" s="45">
        <f>EXP(-LN(2)/25)*CE38+(1-EXP(-LN(2)/25))/(LN(2)/25)*Calculateur!BZ39*Calculateur!CB39*VLOOKUP('Données projet'!$B$9,Paramètres!$A$1:$I$88,3,0)*0.475*44/12</f>
        <v>0</v>
      </c>
      <c r="CF39" s="45">
        <f>EXP(-LN(2)/2)*CF38+(1-EXP(-LN(2)/2))/(LN(2)/2)*BZ39*CC39*VLOOKUP('Données projet'!$B$9,Paramètres!$A$1:$I$88,3,0)*0.475*44/12</f>
        <v>0</v>
      </c>
      <c r="CG39" s="46">
        <f t="shared" si="9"/>
        <v>0</v>
      </c>
      <c r="CH39" s="32" t="e">
        <f>VLOOKUP(A39,'Données projet'!$A$165:$I$185,2,0)</f>
        <v>#N/A</v>
      </c>
      <c r="CI39" s="33" t="e">
        <f>VLOOKUP(A39,'Données projet'!$A$165:$I$185,9,0)</f>
        <v>#N/A</v>
      </c>
      <c r="CJ39" s="33">
        <f t="array" ref="CJ39">INDEX(CI:CI,MIN(IF(ISNUMBER(CI39:CI235),ROW(CI39:CI235),"")))</f>
        <v>0</v>
      </c>
      <c r="CK39" s="33">
        <f t="shared" si="31"/>
        <v>0</v>
      </c>
      <c r="CL39" s="38" t="e">
        <f>CK39*VLOOKUP('Données projet'!$B$14,Paramètres!$A$1:$I$88,3,0)*VLOOKUP('Données projet'!$B$14,Paramètres!$A$1:$I$88,5,0)</f>
        <v>#N/A</v>
      </c>
      <c r="CM39" s="34" t="e">
        <f t="shared" si="32"/>
        <v>#N/A</v>
      </c>
      <c r="CN39" s="44" t="e">
        <f t="shared" si="10"/>
        <v>#N/A</v>
      </c>
      <c r="CO39" s="36">
        <f>IF(ISNA(VLOOKUP(A39,'Données projet'!$A$165:$I$185,3,0)),0,VLOOKUP(A39,'Données projet'!$A$165:$I$185,3,0))</f>
        <v>0</v>
      </c>
      <c r="CP39" s="36">
        <f>IF(ISNA(VLOOKUP(A39,'Données projet'!$A$165:$I$185,4,0)),0,VLOOKUP(A39,'Données projet'!$A$165:$I$185,4,0))</f>
        <v>0</v>
      </c>
      <c r="CQ39" s="37">
        <f>IF(ISNA(VLOOKUP(A39,'Données projet'!$A$165:$I$185,5,0)),0%,VLOOKUP(A39,'Données projet'!$A$165:$I$185,5,0)*VLOOKUP('Données projet'!$B$14,Paramètres!$A$1:$I$88,7,0))</f>
        <v>0</v>
      </c>
      <c r="CR39" s="37">
        <f>IF(ISNA(VLOOKUP(A39,'Données projet'!$A$165:$I$185,6,0)),0%,VLOOKUP(A39,'Données projet'!$A$165:$I$185,6,0)*VLOOKUP('Données projet'!$B$14,Paramètres!$A$1:$I$88,7,0))</f>
        <v>0</v>
      </c>
      <c r="CS39" s="37">
        <f>IF(ISNA(VLOOKUP(A39,'Données projet'!$A$165:$I$185,7,0)),0%,VLOOKUP(A39,'Données projet'!$A$165:$I$185,7,0))</f>
        <v>0</v>
      </c>
      <c r="CT39" s="45">
        <f>EXP(-LN(2)/35)*CT38+(1-EXP(-LN(2)/35))/(LN(2)/35)*CP39*CQ39*VLOOKUP('Données projet'!$B$9,Paramètres!$A$1:$I$88,3,0)*0.475*44/12</f>
        <v>0</v>
      </c>
      <c r="CU39" s="45">
        <f>EXP(-LN(2)/25)*CU38+(1-EXP(-LN(2)/25))/(LN(2)/25)*Calculateur!CP39*Calculateur!CR39*VLOOKUP('Données projet'!$B$9,Paramètres!$A$1:$I$88,3,0)*0.475*44/12</f>
        <v>0</v>
      </c>
      <c r="CV39" s="45">
        <f>EXP(-LN(2)/2)*CV38+(1-EXP(-LN(2)/2))/(LN(2)/2)*CP39*CS39*VLOOKUP('Données projet'!$B$9,Paramètres!$A$1:$I$88,3,0)*0.475*44/12</f>
        <v>0</v>
      </c>
      <c r="CW39" s="46">
        <f t="shared" si="11"/>
        <v>0</v>
      </c>
      <c r="CX39" s="32" t="e">
        <f>VLOOKUP(A39,'Données projet'!$A$191:$I$211,2,0)</f>
        <v>#N/A</v>
      </c>
      <c r="CY39" s="33" t="e">
        <f>VLOOKUP(A39,'Données projet'!$A$191:$I$211,9,0)</f>
        <v>#N/A</v>
      </c>
      <c r="CZ39" s="33">
        <f t="array" ref="CZ39">INDEX(CY:CY,MIN(IF(ISNUMBER(CY39:CY235),ROW(CY39:CY235),"")))</f>
        <v>0</v>
      </c>
      <c r="DA39" s="33">
        <f t="shared" si="33"/>
        <v>0</v>
      </c>
      <c r="DB39" s="38" t="e">
        <f>DA39*VLOOKUP('Données projet'!$B$15,Paramètres!$A$1:$I$88,3,0)*VLOOKUP('Données projet'!$B$15,Paramètres!$A$1:$I$88,5,0)</f>
        <v>#N/A</v>
      </c>
      <c r="DC39" s="34" t="e">
        <f t="shared" si="34"/>
        <v>#N/A</v>
      </c>
      <c r="DD39" s="44" t="e">
        <f t="shared" si="12"/>
        <v>#N/A</v>
      </c>
      <c r="DE39" s="36">
        <f>IF(ISNA(VLOOKUP(A39,'Données projet'!$A$191:$I$211,3,0)),0,VLOOKUP(A39,'Données projet'!$A$191:$I$211,3,0))</f>
        <v>0</v>
      </c>
      <c r="DF39" s="36">
        <f>IF(ISNA(VLOOKUP(A39,'Données projet'!$A$191:$I$211,4,0)),0,VLOOKUP(A39,'Données projet'!$A$191:$I$211,4,0))</f>
        <v>0</v>
      </c>
      <c r="DG39" s="37">
        <f>IF(ISNA(VLOOKUP(A39,'Données projet'!$A$191:$I$211,5,0)),0%,VLOOKUP(A39,'Données projet'!$A$191:$I$211,5,0)*VLOOKUP('Données projet'!$B$15,Paramètres!$A$1:$I$88,7,0))</f>
        <v>0</v>
      </c>
      <c r="DH39" s="37">
        <f>IF(ISNA(VLOOKUP(A39,'Données projet'!$A$191:$I$211,6,0)),0%,VLOOKUP(A39,'Données projet'!$A$191:$I$211,6,0)*VLOOKUP('Données projet'!$B$15,Paramètres!$A$1:$I$88,7,0))</f>
        <v>0</v>
      </c>
      <c r="DI39" s="37">
        <f>IF(ISNA(VLOOKUP(A39,'Données projet'!$A$191:$I$211,7,0)),0%,VLOOKUP(A39,'Données projet'!$A$191:$I$211,7,0))</f>
        <v>0</v>
      </c>
      <c r="DJ39" s="45">
        <f>EXP(-LN(2)/35)*DJ38+(1-EXP(-LN(2)/35))/(LN(2)/35)*DF39*DG39*VLOOKUP('Données projet'!$B$9,Paramètres!$A$1:$I$88,3,0)*0.475*44/12</f>
        <v>0</v>
      </c>
      <c r="DK39" s="45">
        <f>EXP(-LN(2)/25)*DK38+(1-EXP(-LN(2)/25))/(LN(2)/25)*Calculateur!DF39*Calculateur!DH39*VLOOKUP('Données projet'!$B$9,Paramètres!$A$1:$I$88,3,0)*0.475*44/12</f>
        <v>0</v>
      </c>
      <c r="DL39" s="45">
        <f>EXP(-LN(2)/2)*DL38+(1-EXP(-LN(2)/2))/(LN(2)/2)*DF39*DI39*VLOOKUP('Données projet'!$B$9,Paramètres!$A$1:$I$88,3,0)*0.475*44/12</f>
        <v>0</v>
      </c>
      <c r="DM39" s="46">
        <f t="shared" si="13"/>
        <v>0</v>
      </c>
      <c r="DN39" s="32" t="e">
        <f>VLOOKUP(A39,'Données projet'!$A$217:$I$237,2,0)</f>
        <v>#N/A</v>
      </c>
      <c r="DO39" s="33" t="e">
        <f>VLOOKUP(A39,'Données projet'!$A$217:$I$237,9,0)</f>
        <v>#N/A</v>
      </c>
      <c r="DP39" s="33">
        <f t="array" ref="DP39">INDEX(DO:DO,MIN(IF(ISNUMBER(DO39:DO235),ROW(DO39:DO235),"")))</f>
        <v>0</v>
      </c>
      <c r="DQ39" s="33">
        <f t="shared" si="35"/>
        <v>0</v>
      </c>
      <c r="DR39" s="38" t="e">
        <f>DQ39*VLOOKUP('Données projet'!$B$16,Paramètres!$A$1:$I$88,3,0)*VLOOKUP('Données projet'!$B$16,Paramètres!$A$1:$I$88,5,0)</f>
        <v>#N/A</v>
      </c>
      <c r="DS39" s="34" t="e">
        <f t="shared" si="36"/>
        <v>#N/A</v>
      </c>
      <c r="DT39" s="44" t="e">
        <f t="shared" si="14"/>
        <v>#N/A</v>
      </c>
      <c r="DU39" s="36">
        <f>IF(ISNA(VLOOKUP(A39,'Données projet'!$A$217:$I$237,3,0)),0,VLOOKUP(A39,'Données projet'!$A$217:$I$237,3,0))</f>
        <v>0</v>
      </c>
      <c r="DV39" s="36">
        <f>IF(ISNA(VLOOKUP(A39,'Données projet'!$A$217:$I$237,4,0)),0,VLOOKUP(A39,'Données projet'!$A$217:$I$237,4,0))</f>
        <v>0</v>
      </c>
      <c r="DW39" s="37">
        <f>IF(ISNA(VLOOKUP(A39,'Données projet'!$A$217:$I$237,5,0)),0%,VLOOKUP(A39,'Données projet'!$A$217:$I$237,5,0)*VLOOKUP('Données projet'!$B$16,Paramètres!$A$1:$I$88,7,0))</f>
        <v>0</v>
      </c>
      <c r="DX39" s="37">
        <f>IF(ISNA(VLOOKUP(A39,'Données projet'!$A$217:$I$237,6,0)),0%,VLOOKUP(A39,'Données projet'!$A$217:$I$237,6,0)*VLOOKUP('Données projet'!$B$16,Paramètres!$A$1:$I$88,7,0))</f>
        <v>0</v>
      </c>
      <c r="DY39" s="37">
        <f>IF(ISNA(VLOOKUP(A39,'Données projet'!$A$217:$I$237,7,0)),0%,VLOOKUP(A39,'Données projet'!$A$217:$I$237,7,0))</f>
        <v>0</v>
      </c>
      <c r="DZ39" s="45">
        <f>EXP(-LN(2)/35)*DZ38+(1-EXP(-LN(2)/35))/(LN(2)/35)*DV39*DW39*VLOOKUP('Données projet'!$B$9,Paramètres!$A$1:$I$88,3,0)*0.475*44/12</f>
        <v>0</v>
      </c>
      <c r="EA39" s="45">
        <f>EXP(-LN(2)/25)*EA38+(1-EXP(-LN(2)/25))/(LN(2)/25)*Calculateur!DV39*Calculateur!DX39*VLOOKUP('Données projet'!$B$9,Paramètres!$A$1:$I$88,3,0)*0.475*44/12</f>
        <v>0</v>
      </c>
      <c r="EB39" s="45">
        <f>EXP(-LN(2)/2)*EB38+(1-EXP(-LN(2)/2))/(LN(2)/2)*DV39*DY39*VLOOKUP('Données projet'!$B$9,Paramètres!$A$1:$I$88,3,0)*0.475*44/12</f>
        <v>0</v>
      </c>
      <c r="EC39" s="46">
        <f t="shared" si="15"/>
        <v>0</v>
      </c>
      <c r="ED39" s="32" t="e">
        <f>VLOOKUP(A39,'Données projet'!$A$243:$I$263,2,0)</f>
        <v>#N/A</v>
      </c>
      <c r="EE39" s="33" t="e">
        <f>VLOOKUP(A39,'Données projet'!$A$243:$I$263,9,0)</f>
        <v>#N/A</v>
      </c>
      <c r="EF39" s="33">
        <f t="array" ref="EF39">INDEX(EE:EE,MIN(IF(ISNUMBER(EE39:EE235),ROW(EE39:EE235),"")))</f>
        <v>0</v>
      </c>
      <c r="EG39" s="33">
        <f t="shared" si="37"/>
        <v>0</v>
      </c>
      <c r="EH39" s="38" t="e">
        <f>EG39*VLOOKUP('Données projet'!$B$17,Paramètres!$A$1:$I$88,3,0)*VLOOKUP('Données projet'!$B$17,Paramètres!$A$1:$I$88,5,0)</f>
        <v>#N/A</v>
      </c>
      <c r="EI39" s="34" t="e">
        <f t="shared" si="38"/>
        <v>#N/A</v>
      </c>
      <c r="EJ39" s="44" t="e">
        <f t="shared" si="16"/>
        <v>#N/A</v>
      </c>
      <c r="EK39" s="36">
        <f>IF(ISNA(VLOOKUP(A39,'Données projet'!$A$243:$I$263,3,0)),0,VLOOKUP(A39,'Données projet'!$A$243:$I$263,3,0))</f>
        <v>0</v>
      </c>
      <c r="EL39" s="36">
        <f>IF(ISNA(VLOOKUP(A39,'Données projet'!$A$243:$I$263,4,0)),0,VLOOKUP(A39,'Données projet'!$A$243:$I$263,4,0))</f>
        <v>0</v>
      </c>
      <c r="EM39" s="37">
        <f>IF(ISNA(VLOOKUP(A39,'Données projet'!$A$243:$I$263,5,0)),0%,VLOOKUP(A39,'Données projet'!$A$243:$I$263,5,0)*VLOOKUP('Données projet'!$B$17,Paramètres!$A$1:$I$88,7,0))</f>
        <v>0</v>
      </c>
      <c r="EN39" s="37">
        <f>IF(ISNA(VLOOKUP(A39,'Données projet'!$A$243:$I$263,6,0)),0%,VLOOKUP(A39,'Données projet'!$A$243:$I$263,6,0)*VLOOKUP('Données projet'!$B$17,Paramètres!$A$1:$I$88,7,0))</f>
        <v>0</v>
      </c>
      <c r="EO39" s="37">
        <f>IF(ISNA(VLOOKUP(A39,'Données projet'!$A$243:$I$263,7,0)),0%,VLOOKUP(A39,'Données projet'!$A$243:$I$263,7,0))</f>
        <v>0</v>
      </c>
      <c r="EP39" s="45">
        <f>EXP(-LN(2)/35)*EP38+(1-EXP(-LN(2)/35))/(LN(2)/35)*EL39*EM39*VLOOKUP('Données projet'!$B$9,Paramètres!$A$1:$I$88,3,0)*0.475*44/12</f>
        <v>0</v>
      </c>
      <c r="EQ39" s="45">
        <f>EXP(-LN(2)/25)*EQ38+(1-EXP(-LN(2)/25))/(LN(2)/25)*Calculateur!EL39*Calculateur!EN39*VLOOKUP('Données projet'!$B$9,Paramètres!$A$1:$I$88,3,0)*0.475*44/12</f>
        <v>0</v>
      </c>
      <c r="ER39" s="45">
        <f>EXP(-LN(2)/2)*ER38+(1-EXP(-LN(2)/2))/(LN(2)/2)*EL39*EO39*VLOOKUP('Données projet'!$B$9,Paramètres!$A$1:$I$88,3,0)*0.475*44/12</f>
        <v>0</v>
      </c>
      <c r="ES39" s="46">
        <f t="shared" si="17"/>
        <v>0</v>
      </c>
      <c r="ET39" s="32" t="e">
        <f>VLOOKUP(A39,'Données projet'!$A$269:$I$289,2,0)</f>
        <v>#N/A</v>
      </c>
      <c r="EU39" s="33" t="e">
        <f>VLOOKUP(A39,'Données projet'!$A$269:$I$289,9,0)</f>
        <v>#N/A</v>
      </c>
      <c r="EV39" s="33">
        <f t="array" ref="EV39">INDEX(EU:EU,MIN(IF(ISNUMBER(EU39:EU235),ROW(EU39:EU235),"")))</f>
        <v>0</v>
      </c>
      <c r="EW39" s="33">
        <f t="shared" si="39"/>
        <v>0</v>
      </c>
      <c r="EX39" s="38" t="e">
        <f>EW39*VLOOKUP('Données projet'!$B$18,Paramètres!$A$1:$I$88,3,0)*VLOOKUP('Données projet'!$B$18,Paramètres!$A$1:$I$88,5,0)</f>
        <v>#N/A</v>
      </c>
      <c r="EY39" s="34" t="e">
        <f t="shared" si="40"/>
        <v>#N/A</v>
      </c>
      <c r="EZ39" s="44" t="e">
        <f t="shared" si="18"/>
        <v>#N/A</v>
      </c>
      <c r="FA39" s="36">
        <f>IF(ISNA(VLOOKUP(A39,'Données projet'!$A$269:$I$289,3,0)),0,VLOOKUP(A39,'Données projet'!$A$269:$I$289,3,0))</f>
        <v>0</v>
      </c>
      <c r="FB39" s="36">
        <f>IF(ISNA(VLOOKUP(A39,'Données projet'!$A$269:$I$289,4,0)),0,VLOOKUP(A39,'Données projet'!$A$269:$I$289,4,0))</f>
        <v>0</v>
      </c>
      <c r="FC39" s="37">
        <f>IF(ISNA(VLOOKUP(A39,'Données projet'!$A$269:$I$289,5,0)),0%,VLOOKUP(A39,'Données projet'!$A$269:$I$289,5,0)*VLOOKUP('Données projet'!$B$18,Paramètres!$A$1:$I$88,7,0))</f>
        <v>0</v>
      </c>
      <c r="FD39" s="37">
        <f>IF(ISNA(VLOOKUP(A39,'Données projet'!$A$269:$I$289,6,0)),0%,VLOOKUP(A39,'Données projet'!$A$269:$I$289,6,0)*VLOOKUP('Données projet'!$B$18,Paramètres!$A$1:$I$88,7,0))</f>
        <v>0</v>
      </c>
      <c r="FE39" s="37">
        <f>IF(ISNA(VLOOKUP(A39,'Données projet'!$A$269:$I$289,7,0)),0%,VLOOKUP(A39,'Données projet'!$A$269:$I$289,7,0))</f>
        <v>0</v>
      </c>
      <c r="FF39" s="45">
        <f>EXP(-LN(2)/35)*FF38+(1-EXP(-LN(2)/35))/(LN(2)/35)*FB39*FC39*VLOOKUP('Données projet'!$B$9,Paramètres!$A$1:$I$88,3,0)*0.475*44/12</f>
        <v>0</v>
      </c>
      <c r="FG39" s="45">
        <f>EXP(-LN(2)/25)*FG38+(1-EXP(-LN(2)/25))/(LN(2)/25)*Calculateur!FB39*Calculateur!FD39*VLOOKUP('Données projet'!$B$9,Paramètres!$A$1:$I$88,3,0)*0.475*44/12</f>
        <v>0</v>
      </c>
      <c r="FH39" s="45">
        <f>EXP(-LN(2)/2)*FH38+(1-EXP(-LN(2)/2))/(LN(2)/2)*FB39*FE39*VLOOKUP('Données projet'!$B$9,Paramètres!$A$1:$I$88,3,0)*0.475*44/12</f>
        <v>0</v>
      </c>
      <c r="FI39" s="46">
        <f t="shared" si="19"/>
        <v>0</v>
      </c>
    </row>
    <row r="40" spans="1:165" x14ac:dyDescent="0.25">
      <c r="A40" s="24">
        <f t="shared" si="20"/>
        <v>37</v>
      </c>
      <c r="B40" s="25">
        <f>IF('Scénario référence'!$N$1=1,5,0)</f>
        <v>0</v>
      </c>
      <c r="C40" s="40">
        <f>IF(OR('Scénario référence'!$N$1=2,'Scénario référence'!$N$1=4),C39+1*VLOOKUP('Scénario référence'!$G$14,Paramètres!$A$1:$I$88,3,0)*VLOOKUP('Scénario référence'!$G$14,Paramètres!$A$1:$I$88,5,0),IF(OR('Scénario référence'!$N$1=3,'Scénario référence'!$N$1=5),C39+0.5*VLOOKUP('Scénario référence'!$G$14,Paramètres!$A$1:$I$88,3,0)*VLOOKUP('Scénario référence'!$G$14,Paramètres!$A$1:$I$88,5,0),0))</f>
        <v>20.201999999999991</v>
      </c>
      <c r="D40" s="26">
        <f t="shared" si="21"/>
        <v>6.5614304138099282</v>
      </c>
      <c r="E40" s="27">
        <f>IF('Scénario référence'!$N$1=1,B40*44/12,(C40+D40)*0.475*44/12)</f>
        <v>46.612974637385605</v>
      </c>
      <c r="F40" s="28" t="e">
        <f>VLOOKUP(A40,'Données projet'!$A$35:$I$55,2,0)</f>
        <v>#N/A</v>
      </c>
      <c r="G40" s="28" t="e">
        <f>VLOOKUP(A40,'Données projet'!$A$35:$I$55,9,0)</f>
        <v>#N/A</v>
      </c>
      <c r="H40" s="33">
        <f t="array" ref="H40">INDEX(G:G,MIN(IF(ISNUMBER(G40:G236),ROW(G40:G236),"")))</f>
        <v>7.8</v>
      </c>
      <c r="I40" s="28">
        <f t="shared" si="22"/>
        <v>113.60000000000001</v>
      </c>
      <c r="J40" s="41">
        <f>I40*VLOOKUP('Données projet'!$B$9,Paramètres!$A$1:$I$88,3,0)*VLOOKUP('Données projet'!$B$9,Paramètres!$A$1:$I$88,5,0)</f>
        <v>115.19040000000001</v>
      </c>
      <c r="K40" s="41">
        <f t="shared" si="23"/>
        <v>30.550582519051947</v>
      </c>
      <c r="L40" s="42">
        <f t="shared" si="0"/>
        <v>253.83221122068218</v>
      </c>
      <c r="M40" s="30">
        <f>IF(ISNA(VLOOKUP(A40,'Données projet'!$A$35:$I$55,3,0)),0,VLOOKUP(A40,'Données projet'!$A$35:$I$55,3,0))</f>
        <v>0</v>
      </c>
      <c r="N40" s="30">
        <f>IF(ISNA(VLOOKUP(A40,'Données projet'!$A$35:$I$55,4,0)),0,VLOOKUP(A40,'Données projet'!$A$35:$I$55,4,0))</f>
        <v>0</v>
      </c>
      <c r="O40" s="31">
        <f>IF(ISNA(VLOOKUP(A40,'Données projet'!$A$35:$I$55,5,0)),0%,VLOOKUP(A40,'Données projet'!$A$35:$I$55,5,0)*VLOOKUP('Données projet'!$B$9,Paramètres!$A$1:$I$88,7,0))</f>
        <v>0</v>
      </c>
      <c r="P40" s="31">
        <f>IF(ISNA(VLOOKUP(A40,'Données projet'!$A$35:$I$55,6,0)),0%,VLOOKUP(A40,'Données projet'!$A$35:$I$55,6,0)*VLOOKUP('Données projet'!$B$9,Paramètres!$A$1:$I$88,7,0))</f>
        <v>0</v>
      </c>
      <c r="Q40" s="31">
        <f>IF(ISNA(VLOOKUP(A40,'Données projet'!$A$35:$I$55,7,0)),0%,VLOOKUP(A40,'Données projet'!$A$35:$I$55,7,0))</f>
        <v>0</v>
      </c>
      <c r="R40" s="43">
        <f>EXP(-LN(2)/35)*R39+(1-EXP(-LN(2)/35))/(LN(2)/35)*N40*O40*VLOOKUP('Données projet'!$B$9,Paramètres!$A$1:$I$88,3,0)*0.475*44/12</f>
        <v>0</v>
      </c>
      <c r="S40" s="43">
        <f>EXP(-LN(2)/25)*S39+(1-EXP(-LN(2)/25))/(LN(2)/25)*Calculateur!N40*Calculateur!P40*VLOOKUP('Données projet'!$B$9,Paramètres!$A$1:$I$88,3,0)*0.475*44/12</f>
        <v>0</v>
      </c>
      <c r="T40" s="43">
        <f>EXP(-LN(2)/2)*T39+(1-EXP(-LN(2)/2))/(LN(2)/2)*N40*Q40*VLOOKUP('Données projet'!$B$9,Paramètres!$A$1:$I$88,3,0)*0.475*44/12</f>
        <v>0</v>
      </c>
      <c r="U40" s="43">
        <f t="shared" si="1"/>
        <v>0</v>
      </c>
      <c r="V40" s="32" t="e">
        <f>VLOOKUP(A40,'Données projet'!$A$61:$I$81,2,0)</f>
        <v>#N/A</v>
      </c>
      <c r="W40" s="33" t="e">
        <f>VLOOKUP(A40,'Données projet'!$A$61:$I$81,9,0)</f>
        <v>#N/A</v>
      </c>
      <c r="X40" s="33">
        <f t="array" ref="X40">INDEX(W:W,MIN(IF(ISNUMBER(W40:W236),ROW(W40:W236),"")))</f>
        <v>0</v>
      </c>
      <c r="Y40" s="33">
        <f t="shared" si="24"/>
        <v>0</v>
      </c>
      <c r="Z40" s="34" t="e">
        <f>Y40*VLOOKUP('Données projet'!$B$10,Paramètres!$A$1:$I$88,3,0)*VLOOKUP('Données projet'!$B$10,Paramètres!$A$1:$I$88,5,0)</f>
        <v>#N/A</v>
      </c>
      <c r="AA40" s="34" t="e">
        <f t="shared" si="25"/>
        <v>#N/A</v>
      </c>
      <c r="AB40" s="44" t="e">
        <f t="shared" si="2"/>
        <v>#N/A</v>
      </c>
      <c r="AC40" s="36">
        <f>IF(ISNA(VLOOKUP(A40,'Données projet'!$A$61:$I$81,3,0)),0,VLOOKUP(A40,'Données projet'!$A$61:$I$81,3,0))</f>
        <v>0</v>
      </c>
      <c r="AD40" s="36">
        <f>IF(ISNA(VLOOKUP(A40,'Données projet'!$A$61:$I$81,4,0)),0,VLOOKUP(A40,'Données projet'!$A$61:$I$81,4,0))</f>
        <v>0</v>
      </c>
      <c r="AE40" s="37">
        <f>IF(ISNA(VLOOKUP(A40,'Données projet'!$A$61:$I$81,5,0)),0%,VLOOKUP(A40,'Données projet'!$A$61:$I$81,5,0)*VLOOKUP('Données projet'!$B$10,Paramètres!$A$1:$I$88,7,0))</f>
        <v>0</v>
      </c>
      <c r="AF40" s="37">
        <f>IF(ISNA(VLOOKUP(A40,'Données projet'!$A$61:$I$81,6,0)),0%,VLOOKUP(A40,'Données projet'!$A$61:$I$81,6,0)*VLOOKUP('Données projet'!$B$10,Paramètres!$A$1:$I$88,7,0))</f>
        <v>0</v>
      </c>
      <c r="AG40" s="37">
        <f>IF(ISNA(VLOOKUP(A40,'Données projet'!$A$61:$I$81,7,0)),0%,VLOOKUP(A40,'Données projet'!$A$61:$I$81,7,0))</f>
        <v>0</v>
      </c>
      <c r="AH40" s="45">
        <f>EXP(-LN(2)/35)*AH39+(1-EXP(-LN(2)/35))/(LN(2)/35)*AD40*AE40*VLOOKUP('Données projet'!$B$9,Paramètres!$A$1:$I$88,3,0)*0.475*44/12</f>
        <v>0</v>
      </c>
      <c r="AI40" s="45">
        <f>EXP(-LN(2)/25)*AI39+(1-EXP(-LN(2)/25))/(LN(2)/25)*Calculateur!AD40*Calculateur!AF40*VLOOKUP('Données projet'!$B$9,Paramètres!$A$1:$I$88,3,0)*0.475*44/12</f>
        <v>0</v>
      </c>
      <c r="AJ40" s="45">
        <f>EXP(-LN(2)/2)*AJ39+(1-EXP(-LN(2)/2))/(LN(2)/2)*AD40*AG40*VLOOKUP('Données projet'!$B$9,Paramètres!$A$1:$I$88,3,0)*0.475*44/12</f>
        <v>0</v>
      </c>
      <c r="AK40" s="45">
        <f t="shared" si="3"/>
        <v>0</v>
      </c>
      <c r="AL40" s="32" t="e">
        <f>VLOOKUP(A40,'Données projet'!$A$87:$I$107,2,0)</f>
        <v>#N/A</v>
      </c>
      <c r="AM40" s="33" t="e">
        <f>VLOOKUP(A40,'Données projet'!$A$87:$I$107,9,0)</f>
        <v>#N/A</v>
      </c>
      <c r="AN40" s="33">
        <f t="array" ref="AN40">INDEX(AM:AM,MIN(IF(ISNUMBER(AM40:AM236),ROW(AM40:AM236),"")))</f>
        <v>0</v>
      </c>
      <c r="AO40" s="33">
        <f t="shared" si="26"/>
        <v>0</v>
      </c>
      <c r="AP40" s="34" t="e">
        <f>AO40*VLOOKUP('Données projet'!$B$11,Paramètres!$A$1:$I$88,3,0)*VLOOKUP('Données projet'!$B$11,Paramètres!$A$1:$I$88,5,0)</f>
        <v>#N/A</v>
      </c>
      <c r="AQ40" s="34" t="e">
        <f t="shared" si="27"/>
        <v>#N/A</v>
      </c>
      <c r="AR40" s="44" t="e">
        <f t="shared" si="4"/>
        <v>#N/A</v>
      </c>
      <c r="AS40" s="36">
        <f>IF(ISNA(VLOOKUP(A40,'Données projet'!$A$87:$I$107,3,0)),0,VLOOKUP(A40,'Données projet'!$A$87:$I$107,3,0))</f>
        <v>0</v>
      </c>
      <c r="AT40" s="36">
        <f>IF(ISNA(VLOOKUP(A40,'Données projet'!$A$87:$I$107,4,0)),0,VLOOKUP(A40,'Données projet'!$A$87:$I$107,4,0))</f>
        <v>0</v>
      </c>
      <c r="AU40" s="37">
        <f>IF(ISNA(VLOOKUP(A40,'Données projet'!$A$87:$I$107,5,0)),0%,VLOOKUP(A40,'Données projet'!$A$87:$I$107,5,0)*VLOOKUP('Données projet'!$B$11,Paramètres!$A$1:$I$88,7,0))</f>
        <v>0</v>
      </c>
      <c r="AV40" s="37">
        <f>IF(ISNA(VLOOKUP(A40,'Données projet'!$A$87:$I$107,6,0)),0%,VLOOKUP(A40,'Données projet'!$A$87:$I$107,6,0)*VLOOKUP('Données projet'!$B$11,Paramètres!$A$1:$I$88,7,0))</f>
        <v>0</v>
      </c>
      <c r="AW40" s="37">
        <f>IF(ISNA(VLOOKUP(A40,'Données projet'!$A$87:$I$107,7,0)),0%,VLOOKUP(A40,'Données projet'!$A$87:$I$107,7,0))</f>
        <v>0</v>
      </c>
      <c r="AX40" s="45">
        <f>EXP(-LN(2)/35)*AX39+(1-EXP(-LN(2)/35))/(LN(2)/35)*AT40*AU40*VLOOKUP('Données projet'!$B$9,Paramètres!$A$1:$I$88,3,0)*0.475*44/12</f>
        <v>0</v>
      </c>
      <c r="AY40" s="45">
        <f>EXP(-LN(2)/25)*AY39+(1-EXP(-LN(2)/25))/(LN(2)/25)*Calculateur!AT40*Calculateur!AV40*VLOOKUP('Données projet'!$B$9,Paramètres!$A$1:$I$88,3,0)*0.475*44/12</f>
        <v>0</v>
      </c>
      <c r="AZ40" s="45">
        <f>EXP(-LN(2)/2)*AZ39+(1-EXP(-LN(2)/2))/(LN(2)/2)*AT40*AW40*VLOOKUP('Données projet'!$B$9,Paramètres!$A$1:$I$88,3,0)*0.475*44/12</f>
        <v>0</v>
      </c>
      <c r="BA40" s="46">
        <f t="shared" si="5"/>
        <v>0</v>
      </c>
      <c r="BB40" s="32" t="e">
        <f>VLOOKUP(A40,'Données projet'!$A$113:$I$133,2,0)</f>
        <v>#N/A</v>
      </c>
      <c r="BC40" s="33" t="e">
        <f>VLOOKUP(A40,'Données projet'!$A$113:$I$133,9,0)</f>
        <v>#N/A</v>
      </c>
      <c r="BD40" s="33">
        <f t="array" ref="BD40">INDEX(BC:BC,MIN(IF(ISNUMBER(BC40:BC236),ROW(BC40:BC236),"")))</f>
        <v>0</v>
      </c>
      <c r="BE40" s="33">
        <f t="shared" si="28"/>
        <v>0</v>
      </c>
      <c r="BF40" s="34" t="e">
        <f>BE40*VLOOKUP('Données projet'!$B$12,Paramètres!$A$1:$I$88,3,0)*VLOOKUP('Données projet'!$B$12,Paramètres!$A$1:$I$88,5,0)</f>
        <v>#N/A</v>
      </c>
      <c r="BG40" s="34" t="e">
        <f t="shared" si="29"/>
        <v>#N/A</v>
      </c>
      <c r="BH40" s="44" t="e">
        <f t="shared" si="6"/>
        <v>#N/A</v>
      </c>
      <c r="BI40" s="36">
        <f>IF(ISNA(VLOOKUP(A40,'Données projet'!$A$113:$I$133,3,0)),0,VLOOKUP(A40,'Données projet'!$A$113:$I$133,3,0))</f>
        <v>0</v>
      </c>
      <c r="BJ40" s="36">
        <f>IF(ISNA(VLOOKUP(A40,'Données projet'!$A$113:$I$133,4,0)),0,VLOOKUP(A40,'Données projet'!$A$113:$I$133,4,0))</f>
        <v>0</v>
      </c>
      <c r="BK40" s="37">
        <f>IF(ISNA(VLOOKUP(A40,'Données projet'!$A$113:$I$133,5,0)),0%,VLOOKUP(A40,'Données projet'!$A$113:$I$133,5,0)*VLOOKUP('Données projet'!$B$12,Paramètres!$A$1:$I$88,7,0))</f>
        <v>0</v>
      </c>
      <c r="BL40" s="37">
        <f>IF(ISNA(VLOOKUP(A40,'Données projet'!$A$113:$I$133,6,0)),0%,VLOOKUP(A40,'Données projet'!$A$113:$I$133,6,0)*VLOOKUP('Données projet'!$B$12,Paramètres!$A$1:$I$88,7,0))</f>
        <v>0</v>
      </c>
      <c r="BM40" s="37">
        <f>IF(ISNA(VLOOKUP(A40,'Données projet'!$A$113:$I$133,7,0)),0%,VLOOKUP(A40,'Données projet'!$A$113:$I$133,7,0))</f>
        <v>0</v>
      </c>
      <c r="BN40" s="45">
        <f>EXP(-LN(2)/35)*BN39+(1-EXP(-LN(2)/35))/(LN(2)/35)*BJ40*BK40*VLOOKUP('Données projet'!$B$9,Paramètres!$A$1:$I$88,3,0)*0.475*44/12</f>
        <v>0</v>
      </c>
      <c r="BO40" s="45">
        <f>EXP(-LN(2)/25)*BO39+(1-EXP(-LN(2)/25))/(LN(2)/25)*Calculateur!BJ40*Calculateur!BL40*VLOOKUP('Données projet'!$B$9,Paramètres!$A$1:$I$88,3,0)*0.475*44/12</f>
        <v>0</v>
      </c>
      <c r="BP40" s="45">
        <f>EXP(-LN(2)/2)*BP39+(1-EXP(-LN(2)/2))/(LN(2)/2)*BJ40*BM40*VLOOKUP('Données projet'!$B$9,Paramètres!$A$1:$I$88,3,0)*0.475*44/12</f>
        <v>0</v>
      </c>
      <c r="BQ40" s="46">
        <f t="shared" si="7"/>
        <v>0</v>
      </c>
      <c r="BR40" s="32" t="e">
        <f>VLOOKUP(A40,'Données projet'!$A$139:$I$159,2,0)</f>
        <v>#N/A</v>
      </c>
      <c r="BS40" s="33" t="e">
        <f>VLOOKUP(A40,'Données projet'!$A$139:$I$159,9,0)</f>
        <v>#N/A</v>
      </c>
      <c r="BT40" s="33">
        <f t="array" ref="BT40">INDEX(BS:BS,MIN(IF(ISNUMBER(BS40:BS236),ROW(BS40:BS236),"")))</f>
        <v>0</v>
      </c>
      <c r="BU40" s="33">
        <f t="shared" si="41"/>
        <v>0</v>
      </c>
      <c r="BV40" s="38" t="e">
        <f>BU40*VLOOKUP('Données projet'!$B$13,Paramètres!$A$1:$I$88,3,0)*VLOOKUP('Données projet'!$B$13,Paramètres!$A$1:$I$88,5,0)</f>
        <v>#N/A</v>
      </c>
      <c r="BW40" s="34" t="e">
        <f t="shared" si="30"/>
        <v>#N/A</v>
      </c>
      <c r="BX40" s="44" t="e">
        <f t="shared" si="8"/>
        <v>#N/A</v>
      </c>
      <c r="BY40" s="36">
        <f>IF(ISNA(VLOOKUP(A40,'Données projet'!$A$139:$I$159,3,0)),0,VLOOKUP(A40,'Données projet'!$A$139:$I$159,3,0))</f>
        <v>0</v>
      </c>
      <c r="BZ40" s="36">
        <f>IF(ISNA(VLOOKUP(A40,'Données projet'!$A$139:$I$159,4,0)),0,VLOOKUP(A40,'Données projet'!$A$139:$I$159,4,0))</f>
        <v>0</v>
      </c>
      <c r="CA40" s="37">
        <f>IF(ISNA(VLOOKUP(A40,'Données projet'!$A$139:$I$159,5,0)),0%,VLOOKUP(A40,'Données projet'!$A$139:$I$159,5,0)*VLOOKUP('Données projet'!$B$13,Paramètres!$A$1:$I$88,7,0))</f>
        <v>0</v>
      </c>
      <c r="CB40" s="37">
        <f>IF(ISNA(VLOOKUP(A40,'Données projet'!$A$139:$I$159,6,0)),0%,VLOOKUP(A40,'Données projet'!$A$139:$I$159,6,0)*VLOOKUP('Données projet'!$B$13,Paramètres!$A$1:$I$88,7,0))</f>
        <v>0</v>
      </c>
      <c r="CC40" s="37">
        <f>IF(ISNA(VLOOKUP(A40,'Données projet'!$A$139:$I$159,7,0)),0%,VLOOKUP(A40,'Données projet'!$A$139:$I$159,7,0))</f>
        <v>0</v>
      </c>
      <c r="CD40" s="45">
        <f>EXP(-LN(2)/35)*CD39+(1-EXP(-LN(2)/35))/(LN(2)/35)*BZ40*CA40*VLOOKUP('Données projet'!$B$9,Paramètres!$A$1:$I$88,3,0)*0.475*44/12</f>
        <v>0</v>
      </c>
      <c r="CE40" s="45">
        <f>EXP(-LN(2)/25)*CE39+(1-EXP(-LN(2)/25))/(LN(2)/25)*Calculateur!BZ40*Calculateur!CB40*VLOOKUP('Données projet'!$B$9,Paramètres!$A$1:$I$88,3,0)*0.475*44/12</f>
        <v>0</v>
      </c>
      <c r="CF40" s="45">
        <f>EXP(-LN(2)/2)*CF39+(1-EXP(-LN(2)/2))/(LN(2)/2)*BZ40*CC40*VLOOKUP('Données projet'!$B$9,Paramètres!$A$1:$I$88,3,0)*0.475*44/12</f>
        <v>0</v>
      </c>
      <c r="CG40" s="46">
        <f t="shared" si="9"/>
        <v>0</v>
      </c>
      <c r="CH40" s="32" t="e">
        <f>VLOOKUP(A40,'Données projet'!$A$165:$I$185,2,0)</f>
        <v>#N/A</v>
      </c>
      <c r="CI40" s="33" t="e">
        <f>VLOOKUP(A40,'Données projet'!$A$165:$I$185,9,0)</f>
        <v>#N/A</v>
      </c>
      <c r="CJ40" s="33">
        <f t="array" ref="CJ40">INDEX(CI:CI,MIN(IF(ISNUMBER(CI40:CI236),ROW(CI40:CI236),"")))</f>
        <v>0</v>
      </c>
      <c r="CK40" s="33">
        <f t="shared" si="31"/>
        <v>0</v>
      </c>
      <c r="CL40" s="38" t="e">
        <f>CK40*VLOOKUP('Données projet'!$B$14,Paramètres!$A$1:$I$88,3,0)*VLOOKUP('Données projet'!$B$14,Paramètres!$A$1:$I$88,5,0)</f>
        <v>#N/A</v>
      </c>
      <c r="CM40" s="34" t="e">
        <f t="shared" si="32"/>
        <v>#N/A</v>
      </c>
      <c r="CN40" s="44" t="e">
        <f t="shared" si="10"/>
        <v>#N/A</v>
      </c>
      <c r="CO40" s="36">
        <f>IF(ISNA(VLOOKUP(A40,'Données projet'!$A$165:$I$185,3,0)),0,VLOOKUP(A40,'Données projet'!$A$165:$I$185,3,0))</f>
        <v>0</v>
      </c>
      <c r="CP40" s="36">
        <f>IF(ISNA(VLOOKUP(A40,'Données projet'!$A$165:$I$185,4,0)),0,VLOOKUP(A40,'Données projet'!$A$165:$I$185,4,0))</f>
        <v>0</v>
      </c>
      <c r="CQ40" s="37">
        <f>IF(ISNA(VLOOKUP(A40,'Données projet'!$A$165:$I$185,5,0)),0%,VLOOKUP(A40,'Données projet'!$A$165:$I$185,5,0)*VLOOKUP('Données projet'!$B$14,Paramètres!$A$1:$I$88,7,0))</f>
        <v>0</v>
      </c>
      <c r="CR40" s="37">
        <f>IF(ISNA(VLOOKUP(A40,'Données projet'!$A$165:$I$185,6,0)),0%,VLOOKUP(A40,'Données projet'!$A$165:$I$185,6,0)*VLOOKUP('Données projet'!$B$14,Paramètres!$A$1:$I$88,7,0))</f>
        <v>0</v>
      </c>
      <c r="CS40" s="37">
        <f>IF(ISNA(VLOOKUP(A40,'Données projet'!$A$165:$I$185,7,0)),0%,VLOOKUP(A40,'Données projet'!$A$165:$I$185,7,0))</f>
        <v>0</v>
      </c>
      <c r="CT40" s="45">
        <f>EXP(-LN(2)/35)*CT39+(1-EXP(-LN(2)/35))/(LN(2)/35)*CP40*CQ40*VLOOKUP('Données projet'!$B$9,Paramètres!$A$1:$I$88,3,0)*0.475*44/12</f>
        <v>0</v>
      </c>
      <c r="CU40" s="45">
        <f>EXP(-LN(2)/25)*CU39+(1-EXP(-LN(2)/25))/(LN(2)/25)*Calculateur!CP40*Calculateur!CR40*VLOOKUP('Données projet'!$B$9,Paramètres!$A$1:$I$88,3,0)*0.475*44/12</f>
        <v>0</v>
      </c>
      <c r="CV40" s="45">
        <f>EXP(-LN(2)/2)*CV39+(1-EXP(-LN(2)/2))/(LN(2)/2)*CP40*CS40*VLOOKUP('Données projet'!$B$9,Paramètres!$A$1:$I$88,3,0)*0.475*44/12</f>
        <v>0</v>
      </c>
      <c r="CW40" s="46">
        <f t="shared" si="11"/>
        <v>0</v>
      </c>
      <c r="CX40" s="32" t="e">
        <f>VLOOKUP(A40,'Données projet'!$A$191:$I$211,2,0)</f>
        <v>#N/A</v>
      </c>
      <c r="CY40" s="33" t="e">
        <f>VLOOKUP(A40,'Données projet'!$A$191:$I$211,9,0)</f>
        <v>#N/A</v>
      </c>
      <c r="CZ40" s="33">
        <f t="array" ref="CZ40">INDEX(CY:CY,MIN(IF(ISNUMBER(CY40:CY236),ROW(CY40:CY236),"")))</f>
        <v>0</v>
      </c>
      <c r="DA40" s="33">
        <f t="shared" si="33"/>
        <v>0</v>
      </c>
      <c r="DB40" s="38" t="e">
        <f>DA40*VLOOKUP('Données projet'!$B$15,Paramètres!$A$1:$I$88,3,0)*VLOOKUP('Données projet'!$B$15,Paramètres!$A$1:$I$88,5,0)</f>
        <v>#N/A</v>
      </c>
      <c r="DC40" s="34" t="e">
        <f t="shared" si="34"/>
        <v>#N/A</v>
      </c>
      <c r="DD40" s="44" t="e">
        <f t="shared" si="12"/>
        <v>#N/A</v>
      </c>
      <c r="DE40" s="36">
        <f>IF(ISNA(VLOOKUP(A40,'Données projet'!$A$191:$I$211,3,0)),0,VLOOKUP(A40,'Données projet'!$A$191:$I$211,3,0))</f>
        <v>0</v>
      </c>
      <c r="DF40" s="36">
        <f>IF(ISNA(VLOOKUP(A40,'Données projet'!$A$191:$I$211,4,0)),0,VLOOKUP(A40,'Données projet'!$A$191:$I$211,4,0))</f>
        <v>0</v>
      </c>
      <c r="DG40" s="37">
        <f>IF(ISNA(VLOOKUP(A40,'Données projet'!$A$191:$I$211,5,0)),0%,VLOOKUP(A40,'Données projet'!$A$191:$I$211,5,0)*VLOOKUP('Données projet'!$B$15,Paramètres!$A$1:$I$88,7,0))</f>
        <v>0</v>
      </c>
      <c r="DH40" s="37">
        <f>IF(ISNA(VLOOKUP(A40,'Données projet'!$A$191:$I$211,6,0)),0%,VLOOKUP(A40,'Données projet'!$A$191:$I$211,6,0)*VLOOKUP('Données projet'!$B$15,Paramètres!$A$1:$I$88,7,0))</f>
        <v>0</v>
      </c>
      <c r="DI40" s="37">
        <f>IF(ISNA(VLOOKUP(A40,'Données projet'!$A$191:$I$211,7,0)),0%,VLOOKUP(A40,'Données projet'!$A$191:$I$211,7,0))</f>
        <v>0</v>
      </c>
      <c r="DJ40" s="45">
        <f>EXP(-LN(2)/35)*DJ39+(1-EXP(-LN(2)/35))/(LN(2)/35)*DF40*DG40*VLOOKUP('Données projet'!$B$9,Paramètres!$A$1:$I$88,3,0)*0.475*44/12</f>
        <v>0</v>
      </c>
      <c r="DK40" s="45">
        <f>EXP(-LN(2)/25)*DK39+(1-EXP(-LN(2)/25))/(LN(2)/25)*Calculateur!DF40*Calculateur!DH40*VLOOKUP('Données projet'!$B$9,Paramètres!$A$1:$I$88,3,0)*0.475*44/12</f>
        <v>0</v>
      </c>
      <c r="DL40" s="45">
        <f>EXP(-LN(2)/2)*DL39+(1-EXP(-LN(2)/2))/(LN(2)/2)*DF40*DI40*VLOOKUP('Données projet'!$B$9,Paramètres!$A$1:$I$88,3,0)*0.475*44/12</f>
        <v>0</v>
      </c>
      <c r="DM40" s="46">
        <f t="shared" si="13"/>
        <v>0</v>
      </c>
      <c r="DN40" s="32" t="e">
        <f>VLOOKUP(A40,'Données projet'!$A$217:$I$237,2,0)</f>
        <v>#N/A</v>
      </c>
      <c r="DO40" s="33" t="e">
        <f>VLOOKUP(A40,'Données projet'!$A$217:$I$237,9,0)</f>
        <v>#N/A</v>
      </c>
      <c r="DP40" s="33">
        <f t="array" ref="DP40">INDEX(DO:DO,MIN(IF(ISNUMBER(DO40:DO236),ROW(DO40:DO236),"")))</f>
        <v>0</v>
      </c>
      <c r="DQ40" s="33">
        <f t="shared" si="35"/>
        <v>0</v>
      </c>
      <c r="DR40" s="38" t="e">
        <f>DQ40*VLOOKUP('Données projet'!$B$16,Paramètres!$A$1:$I$88,3,0)*VLOOKUP('Données projet'!$B$16,Paramètres!$A$1:$I$88,5,0)</f>
        <v>#N/A</v>
      </c>
      <c r="DS40" s="34" t="e">
        <f t="shared" si="36"/>
        <v>#N/A</v>
      </c>
      <c r="DT40" s="44" t="e">
        <f t="shared" si="14"/>
        <v>#N/A</v>
      </c>
      <c r="DU40" s="36">
        <f>IF(ISNA(VLOOKUP(A40,'Données projet'!$A$217:$I$237,3,0)),0,VLOOKUP(A40,'Données projet'!$A$217:$I$237,3,0))</f>
        <v>0</v>
      </c>
      <c r="DV40" s="36">
        <f>IF(ISNA(VLOOKUP(A40,'Données projet'!$A$217:$I$237,4,0)),0,VLOOKUP(A40,'Données projet'!$A$217:$I$237,4,0))</f>
        <v>0</v>
      </c>
      <c r="DW40" s="37">
        <f>IF(ISNA(VLOOKUP(A40,'Données projet'!$A$217:$I$237,5,0)),0%,VLOOKUP(A40,'Données projet'!$A$217:$I$237,5,0)*VLOOKUP('Données projet'!$B$16,Paramètres!$A$1:$I$88,7,0))</f>
        <v>0</v>
      </c>
      <c r="DX40" s="37">
        <f>IF(ISNA(VLOOKUP(A40,'Données projet'!$A$217:$I$237,6,0)),0%,VLOOKUP(A40,'Données projet'!$A$217:$I$237,6,0)*VLOOKUP('Données projet'!$B$16,Paramètres!$A$1:$I$88,7,0))</f>
        <v>0</v>
      </c>
      <c r="DY40" s="37">
        <f>IF(ISNA(VLOOKUP(A40,'Données projet'!$A$217:$I$237,7,0)),0%,VLOOKUP(A40,'Données projet'!$A$217:$I$237,7,0))</f>
        <v>0</v>
      </c>
      <c r="DZ40" s="45">
        <f>EXP(-LN(2)/35)*DZ39+(1-EXP(-LN(2)/35))/(LN(2)/35)*DV40*DW40*VLOOKUP('Données projet'!$B$9,Paramètres!$A$1:$I$88,3,0)*0.475*44/12</f>
        <v>0</v>
      </c>
      <c r="EA40" s="45">
        <f>EXP(-LN(2)/25)*EA39+(1-EXP(-LN(2)/25))/(LN(2)/25)*Calculateur!DV40*Calculateur!DX40*VLOOKUP('Données projet'!$B$9,Paramètres!$A$1:$I$88,3,0)*0.475*44/12</f>
        <v>0</v>
      </c>
      <c r="EB40" s="45">
        <f>EXP(-LN(2)/2)*EB39+(1-EXP(-LN(2)/2))/(LN(2)/2)*DV40*DY40*VLOOKUP('Données projet'!$B$9,Paramètres!$A$1:$I$88,3,0)*0.475*44/12</f>
        <v>0</v>
      </c>
      <c r="EC40" s="46">
        <f t="shared" si="15"/>
        <v>0</v>
      </c>
      <c r="ED40" s="32" t="e">
        <f>VLOOKUP(A40,'Données projet'!$A$243:$I$263,2,0)</f>
        <v>#N/A</v>
      </c>
      <c r="EE40" s="33" t="e">
        <f>VLOOKUP(A40,'Données projet'!$A$243:$I$263,9,0)</f>
        <v>#N/A</v>
      </c>
      <c r="EF40" s="33">
        <f t="array" ref="EF40">INDEX(EE:EE,MIN(IF(ISNUMBER(EE40:EE236),ROW(EE40:EE236),"")))</f>
        <v>0</v>
      </c>
      <c r="EG40" s="33">
        <f t="shared" si="37"/>
        <v>0</v>
      </c>
      <c r="EH40" s="38" t="e">
        <f>EG40*VLOOKUP('Données projet'!$B$17,Paramètres!$A$1:$I$88,3,0)*VLOOKUP('Données projet'!$B$17,Paramètres!$A$1:$I$88,5,0)</f>
        <v>#N/A</v>
      </c>
      <c r="EI40" s="34" t="e">
        <f t="shared" si="38"/>
        <v>#N/A</v>
      </c>
      <c r="EJ40" s="44" t="e">
        <f t="shared" si="16"/>
        <v>#N/A</v>
      </c>
      <c r="EK40" s="36">
        <f>IF(ISNA(VLOOKUP(A40,'Données projet'!$A$243:$I$263,3,0)),0,VLOOKUP(A40,'Données projet'!$A$243:$I$263,3,0))</f>
        <v>0</v>
      </c>
      <c r="EL40" s="36">
        <f>IF(ISNA(VLOOKUP(A40,'Données projet'!$A$243:$I$263,4,0)),0,VLOOKUP(A40,'Données projet'!$A$243:$I$263,4,0))</f>
        <v>0</v>
      </c>
      <c r="EM40" s="37">
        <f>IF(ISNA(VLOOKUP(A40,'Données projet'!$A$243:$I$263,5,0)),0%,VLOOKUP(A40,'Données projet'!$A$243:$I$263,5,0)*VLOOKUP('Données projet'!$B$17,Paramètres!$A$1:$I$88,7,0))</f>
        <v>0</v>
      </c>
      <c r="EN40" s="37">
        <f>IF(ISNA(VLOOKUP(A40,'Données projet'!$A$243:$I$263,6,0)),0%,VLOOKUP(A40,'Données projet'!$A$243:$I$263,6,0)*VLOOKUP('Données projet'!$B$17,Paramètres!$A$1:$I$88,7,0))</f>
        <v>0</v>
      </c>
      <c r="EO40" s="37">
        <f>IF(ISNA(VLOOKUP(A40,'Données projet'!$A$243:$I$263,7,0)),0%,VLOOKUP(A40,'Données projet'!$A$243:$I$263,7,0))</f>
        <v>0</v>
      </c>
      <c r="EP40" s="45">
        <f>EXP(-LN(2)/35)*EP39+(1-EXP(-LN(2)/35))/(LN(2)/35)*EL40*EM40*VLOOKUP('Données projet'!$B$9,Paramètres!$A$1:$I$88,3,0)*0.475*44/12</f>
        <v>0</v>
      </c>
      <c r="EQ40" s="45">
        <f>EXP(-LN(2)/25)*EQ39+(1-EXP(-LN(2)/25))/(LN(2)/25)*Calculateur!EL40*Calculateur!EN40*VLOOKUP('Données projet'!$B$9,Paramètres!$A$1:$I$88,3,0)*0.475*44/12</f>
        <v>0</v>
      </c>
      <c r="ER40" s="45">
        <f>EXP(-LN(2)/2)*ER39+(1-EXP(-LN(2)/2))/(LN(2)/2)*EL40*EO40*VLOOKUP('Données projet'!$B$9,Paramètres!$A$1:$I$88,3,0)*0.475*44/12</f>
        <v>0</v>
      </c>
      <c r="ES40" s="46">
        <f t="shared" si="17"/>
        <v>0</v>
      </c>
      <c r="ET40" s="32" t="e">
        <f>VLOOKUP(A40,'Données projet'!$A$269:$I$289,2,0)</f>
        <v>#N/A</v>
      </c>
      <c r="EU40" s="33" t="e">
        <f>VLOOKUP(A40,'Données projet'!$A$269:$I$289,9,0)</f>
        <v>#N/A</v>
      </c>
      <c r="EV40" s="33">
        <f t="array" ref="EV40">INDEX(EU:EU,MIN(IF(ISNUMBER(EU40:EU236),ROW(EU40:EU236),"")))</f>
        <v>0</v>
      </c>
      <c r="EW40" s="33">
        <f t="shared" si="39"/>
        <v>0</v>
      </c>
      <c r="EX40" s="38" t="e">
        <f>EW40*VLOOKUP('Données projet'!$B$18,Paramètres!$A$1:$I$88,3,0)*VLOOKUP('Données projet'!$B$18,Paramètres!$A$1:$I$88,5,0)</f>
        <v>#N/A</v>
      </c>
      <c r="EY40" s="34" t="e">
        <f t="shared" si="40"/>
        <v>#N/A</v>
      </c>
      <c r="EZ40" s="44" t="e">
        <f t="shared" si="18"/>
        <v>#N/A</v>
      </c>
      <c r="FA40" s="36">
        <f>IF(ISNA(VLOOKUP(A40,'Données projet'!$A$269:$I$289,3,0)),0,VLOOKUP(A40,'Données projet'!$A$269:$I$289,3,0))</f>
        <v>0</v>
      </c>
      <c r="FB40" s="36">
        <f>IF(ISNA(VLOOKUP(A40,'Données projet'!$A$269:$I$289,4,0)),0,VLOOKUP(A40,'Données projet'!$A$269:$I$289,4,0))</f>
        <v>0</v>
      </c>
      <c r="FC40" s="37">
        <f>IF(ISNA(VLOOKUP(A40,'Données projet'!$A$269:$I$289,5,0)),0%,VLOOKUP(A40,'Données projet'!$A$269:$I$289,5,0)*VLOOKUP('Données projet'!$B$18,Paramètres!$A$1:$I$88,7,0))</f>
        <v>0</v>
      </c>
      <c r="FD40" s="37">
        <f>IF(ISNA(VLOOKUP(A40,'Données projet'!$A$269:$I$289,6,0)),0%,VLOOKUP(A40,'Données projet'!$A$269:$I$289,6,0)*VLOOKUP('Données projet'!$B$18,Paramètres!$A$1:$I$88,7,0))</f>
        <v>0</v>
      </c>
      <c r="FE40" s="37">
        <f>IF(ISNA(VLOOKUP(A40,'Données projet'!$A$269:$I$289,7,0)),0%,VLOOKUP(A40,'Données projet'!$A$269:$I$289,7,0))</f>
        <v>0</v>
      </c>
      <c r="FF40" s="45">
        <f>EXP(-LN(2)/35)*FF39+(1-EXP(-LN(2)/35))/(LN(2)/35)*FB40*FC40*VLOOKUP('Données projet'!$B$9,Paramètres!$A$1:$I$88,3,0)*0.475*44/12</f>
        <v>0</v>
      </c>
      <c r="FG40" s="45">
        <f>EXP(-LN(2)/25)*FG39+(1-EXP(-LN(2)/25))/(LN(2)/25)*Calculateur!FB40*Calculateur!FD40*VLOOKUP('Données projet'!$B$9,Paramètres!$A$1:$I$88,3,0)*0.475*44/12</f>
        <v>0</v>
      </c>
      <c r="FH40" s="45">
        <f>EXP(-LN(2)/2)*FH39+(1-EXP(-LN(2)/2))/(LN(2)/2)*FB40*FE40*VLOOKUP('Données projet'!$B$9,Paramètres!$A$1:$I$88,3,0)*0.475*44/12</f>
        <v>0</v>
      </c>
      <c r="FI40" s="46">
        <f t="shared" si="19"/>
        <v>0</v>
      </c>
    </row>
    <row r="41" spans="1:165" x14ac:dyDescent="0.25">
      <c r="A41" s="24">
        <f t="shared" si="20"/>
        <v>38</v>
      </c>
      <c r="B41" s="25">
        <f>IF('Scénario référence'!$N$1=1,5,0)</f>
        <v>0</v>
      </c>
      <c r="C41" s="40">
        <f>IF(OR('Scénario référence'!$N$1=2,'Scénario référence'!$N$1=4),C40+1*VLOOKUP('Scénario référence'!$G$14,Paramètres!$A$1:$I$88,3,0)*VLOOKUP('Scénario référence'!$G$14,Paramètres!$A$1:$I$88,5,0),IF(OR('Scénario référence'!$N$1=3,'Scénario référence'!$N$1=5),C40+0.5*VLOOKUP('Scénario référence'!$G$14,Paramètres!$A$1:$I$88,3,0)*VLOOKUP('Scénario référence'!$G$14,Paramètres!$A$1:$I$88,5,0),0))</f>
        <v>20.74799999999999</v>
      </c>
      <c r="D41" s="26">
        <f t="shared" si="21"/>
        <v>6.717880434124976</v>
      </c>
      <c r="E41" s="27">
        <f>IF('Scénario référence'!$N$1=1,B41*44/12,(C41+D41)*0.475*44/12)</f>
        <v>47.836408422767647</v>
      </c>
      <c r="F41" s="28" t="e">
        <f>VLOOKUP(A41,'Données projet'!$A$35:$I$55,2,0)</f>
        <v>#N/A</v>
      </c>
      <c r="G41" s="28" t="e">
        <f>VLOOKUP(A41,'Données projet'!$A$35:$I$55,9,0)</f>
        <v>#N/A</v>
      </c>
      <c r="H41" s="33">
        <f t="array" ref="H41">INDEX(G:G,MIN(IF(ISNUMBER(G41:G237),ROW(G41:G237),"")))</f>
        <v>7.8</v>
      </c>
      <c r="I41" s="28">
        <f t="shared" si="22"/>
        <v>121.4</v>
      </c>
      <c r="J41" s="41">
        <f>I41*VLOOKUP('Données projet'!$B$9,Paramètres!$A$1:$I$88,3,0)*VLOOKUP('Données projet'!$B$9,Paramètres!$A$1:$I$88,5,0)</f>
        <v>123.09960000000002</v>
      </c>
      <c r="K41" s="41">
        <f t="shared" si="23"/>
        <v>32.396853612606897</v>
      </c>
      <c r="L41" s="42">
        <f t="shared" si="0"/>
        <v>270.82299004195704</v>
      </c>
      <c r="M41" s="30">
        <f>IF(ISNA(VLOOKUP(A41,'Données projet'!$A$35:$I$55,3,0)),0,VLOOKUP(A41,'Données projet'!$A$35:$I$55,3,0))</f>
        <v>0</v>
      </c>
      <c r="N41" s="30">
        <f>IF(ISNA(VLOOKUP(A41,'Données projet'!$A$35:$I$55,4,0)),0,VLOOKUP(A41,'Données projet'!$A$35:$I$55,4,0))</f>
        <v>0</v>
      </c>
      <c r="O41" s="31">
        <f>IF(ISNA(VLOOKUP(A41,'Données projet'!$A$35:$I$55,5,0)),0%,VLOOKUP(A41,'Données projet'!$A$35:$I$55,5,0)*VLOOKUP('Données projet'!$B$9,Paramètres!$A$1:$I$88,7,0))</f>
        <v>0</v>
      </c>
      <c r="P41" s="31">
        <f>IF(ISNA(VLOOKUP(A41,'Données projet'!$A$35:$I$55,6,0)),0%,VLOOKUP(A41,'Données projet'!$A$35:$I$55,6,0)*VLOOKUP('Données projet'!$B$9,Paramètres!$A$1:$I$88,7,0))</f>
        <v>0</v>
      </c>
      <c r="Q41" s="31">
        <f>IF(ISNA(VLOOKUP(A41,'Données projet'!$A$35:$I$55,7,0)),0%,VLOOKUP(A41,'Données projet'!$A$35:$I$55,7,0))</f>
        <v>0</v>
      </c>
      <c r="R41" s="43">
        <f>EXP(-LN(2)/35)*R40+(1-EXP(-LN(2)/35))/(LN(2)/35)*N41*O41*VLOOKUP('Données projet'!$B$9,Paramètres!$A$1:$I$88,3,0)*0.475*44/12</f>
        <v>0</v>
      </c>
      <c r="S41" s="43">
        <f>EXP(-LN(2)/25)*S40+(1-EXP(-LN(2)/25))/(LN(2)/25)*Calculateur!N41*Calculateur!P41*VLOOKUP('Données projet'!$B$9,Paramètres!$A$1:$I$88,3,0)*0.475*44/12</f>
        <v>0</v>
      </c>
      <c r="T41" s="43">
        <f>EXP(-LN(2)/2)*T40+(1-EXP(-LN(2)/2))/(LN(2)/2)*N41*Q41*VLOOKUP('Données projet'!$B$9,Paramètres!$A$1:$I$88,3,0)*0.475*44/12</f>
        <v>0</v>
      </c>
      <c r="U41" s="43">
        <f t="shared" si="1"/>
        <v>0</v>
      </c>
      <c r="V41" s="32" t="e">
        <f>VLOOKUP(A41,'Données projet'!$A$61:$I$81,2,0)</f>
        <v>#N/A</v>
      </c>
      <c r="W41" s="33" t="e">
        <f>VLOOKUP(A41,'Données projet'!$A$61:$I$81,9,0)</f>
        <v>#N/A</v>
      </c>
      <c r="X41" s="33">
        <f t="array" ref="X41">INDEX(W:W,MIN(IF(ISNUMBER(W41:W237),ROW(W41:W237),"")))</f>
        <v>0</v>
      </c>
      <c r="Y41" s="33">
        <f t="shared" si="24"/>
        <v>0</v>
      </c>
      <c r="Z41" s="34" t="e">
        <f>Y41*VLOOKUP('Données projet'!$B$10,Paramètres!$A$1:$I$88,3,0)*VLOOKUP('Données projet'!$B$10,Paramètres!$A$1:$I$88,5,0)</f>
        <v>#N/A</v>
      </c>
      <c r="AA41" s="34" t="e">
        <f t="shared" si="25"/>
        <v>#N/A</v>
      </c>
      <c r="AB41" s="44" t="e">
        <f t="shared" si="2"/>
        <v>#N/A</v>
      </c>
      <c r="AC41" s="36">
        <f>IF(ISNA(VLOOKUP(A41,'Données projet'!$A$61:$I$81,3,0)),0,VLOOKUP(A41,'Données projet'!$A$61:$I$81,3,0))</f>
        <v>0</v>
      </c>
      <c r="AD41" s="36">
        <f>IF(ISNA(VLOOKUP(A41,'Données projet'!$A$61:$I$81,4,0)),0,VLOOKUP(A41,'Données projet'!$A$61:$I$81,4,0))</f>
        <v>0</v>
      </c>
      <c r="AE41" s="37">
        <f>IF(ISNA(VLOOKUP(A41,'Données projet'!$A$61:$I$81,5,0)),0%,VLOOKUP(A41,'Données projet'!$A$61:$I$81,5,0)*VLOOKUP('Données projet'!$B$10,Paramètres!$A$1:$I$88,7,0))</f>
        <v>0</v>
      </c>
      <c r="AF41" s="37">
        <f>IF(ISNA(VLOOKUP(A41,'Données projet'!$A$61:$I$81,6,0)),0%,VLOOKUP(A41,'Données projet'!$A$61:$I$81,6,0)*VLOOKUP('Données projet'!$B$10,Paramètres!$A$1:$I$88,7,0))</f>
        <v>0</v>
      </c>
      <c r="AG41" s="37">
        <f>IF(ISNA(VLOOKUP(A41,'Données projet'!$A$61:$I$81,7,0)),0%,VLOOKUP(A41,'Données projet'!$A$61:$I$81,7,0))</f>
        <v>0</v>
      </c>
      <c r="AH41" s="45">
        <f>EXP(-LN(2)/35)*AH40+(1-EXP(-LN(2)/35))/(LN(2)/35)*AD41*AE41*VLOOKUP('Données projet'!$B$9,Paramètres!$A$1:$I$88,3,0)*0.475*44/12</f>
        <v>0</v>
      </c>
      <c r="AI41" s="45">
        <f>EXP(-LN(2)/25)*AI40+(1-EXP(-LN(2)/25))/(LN(2)/25)*Calculateur!AD41*Calculateur!AF41*VLOOKUP('Données projet'!$B$9,Paramètres!$A$1:$I$88,3,0)*0.475*44/12</f>
        <v>0</v>
      </c>
      <c r="AJ41" s="45">
        <f>EXP(-LN(2)/2)*AJ40+(1-EXP(-LN(2)/2))/(LN(2)/2)*AD41*AG41*VLOOKUP('Données projet'!$B$9,Paramètres!$A$1:$I$88,3,0)*0.475*44/12</f>
        <v>0</v>
      </c>
      <c r="AK41" s="45">
        <f t="shared" si="3"/>
        <v>0</v>
      </c>
      <c r="AL41" s="32" t="e">
        <f>VLOOKUP(A41,'Données projet'!$A$87:$I$107,2,0)</f>
        <v>#N/A</v>
      </c>
      <c r="AM41" s="33" t="e">
        <f>VLOOKUP(A41,'Données projet'!$A$87:$I$107,9,0)</f>
        <v>#N/A</v>
      </c>
      <c r="AN41" s="33">
        <f t="array" ref="AN41">INDEX(AM:AM,MIN(IF(ISNUMBER(AM41:AM237),ROW(AM41:AM237),"")))</f>
        <v>0</v>
      </c>
      <c r="AO41" s="33">
        <f t="shared" si="26"/>
        <v>0</v>
      </c>
      <c r="AP41" s="34" t="e">
        <f>AO41*VLOOKUP('Données projet'!$B$11,Paramètres!$A$1:$I$88,3,0)*VLOOKUP('Données projet'!$B$11,Paramètres!$A$1:$I$88,5,0)</f>
        <v>#N/A</v>
      </c>
      <c r="AQ41" s="34" t="e">
        <f t="shared" si="27"/>
        <v>#N/A</v>
      </c>
      <c r="AR41" s="44" t="e">
        <f t="shared" si="4"/>
        <v>#N/A</v>
      </c>
      <c r="AS41" s="36">
        <f>IF(ISNA(VLOOKUP(A41,'Données projet'!$A$87:$I$107,3,0)),0,VLOOKUP(A41,'Données projet'!$A$87:$I$107,3,0))</f>
        <v>0</v>
      </c>
      <c r="AT41" s="36">
        <f>IF(ISNA(VLOOKUP(A41,'Données projet'!$A$87:$I$107,4,0)),0,VLOOKUP(A41,'Données projet'!$A$87:$I$107,4,0))</f>
        <v>0</v>
      </c>
      <c r="AU41" s="37">
        <f>IF(ISNA(VLOOKUP(A41,'Données projet'!$A$87:$I$107,5,0)),0%,VLOOKUP(A41,'Données projet'!$A$87:$I$107,5,0)*VLOOKUP('Données projet'!$B$11,Paramètres!$A$1:$I$88,7,0))</f>
        <v>0</v>
      </c>
      <c r="AV41" s="37">
        <f>IF(ISNA(VLOOKUP(A41,'Données projet'!$A$87:$I$107,6,0)),0%,VLOOKUP(A41,'Données projet'!$A$87:$I$107,6,0)*VLOOKUP('Données projet'!$B$11,Paramètres!$A$1:$I$88,7,0))</f>
        <v>0</v>
      </c>
      <c r="AW41" s="37">
        <f>IF(ISNA(VLOOKUP(A41,'Données projet'!$A$87:$I$107,7,0)),0%,VLOOKUP(A41,'Données projet'!$A$87:$I$107,7,0))</f>
        <v>0</v>
      </c>
      <c r="AX41" s="45">
        <f>EXP(-LN(2)/35)*AX40+(1-EXP(-LN(2)/35))/(LN(2)/35)*AT41*AU41*VLOOKUP('Données projet'!$B$9,Paramètres!$A$1:$I$88,3,0)*0.475*44/12</f>
        <v>0</v>
      </c>
      <c r="AY41" s="45">
        <f>EXP(-LN(2)/25)*AY40+(1-EXP(-LN(2)/25))/(LN(2)/25)*Calculateur!AT41*Calculateur!AV41*VLOOKUP('Données projet'!$B$9,Paramètres!$A$1:$I$88,3,0)*0.475*44/12</f>
        <v>0</v>
      </c>
      <c r="AZ41" s="45">
        <f>EXP(-LN(2)/2)*AZ40+(1-EXP(-LN(2)/2))/(LN(2)/2)*AT41*AW41*VLOOKUP('Données projet'!$B$9,Paramètres!$A$1:$I$88,3,0)*0.475*44/12</f>
        <v>0</v>
      </c>
      <c r="BA41" s="46">
        <f t="shared" si="5"/>
        <v>0</v>
      </c>
      <c r="BB41" s="32" t="e">
        <f>VLOOKUP(A41,'Données projet'!$A$113:$I$133,2,0)</f>
        <v>#N/A</v>
      </c>
      <c r="BC41" s="33" t="e">
        <f>VLOOKUP(A41,'Données projet'!$A$113:$I$133,9,0)</f>
        <v>#N/A</v>
      </c>
      <c r="BD41" s="33">
        <f t="array" ref="BD41">INDEX(BC:BC,MIN(IF(ISNUMBER(BC41:BC237),ROW(BC41:BC237),"")))</f>
        <v>0</v>
      </c>
      <c r="BE41" s="33">
        <f t="shared" si="28"/>
        <v>0</v>
      </c>
      <c r="BF41" s="34" t="e">
        <f>BE41*VLOOKUP('Données projet'!$B$12,Paramètres!$A$1:$I$88,3,0)*VLOOKUP('Données projet'!$B$12,Paramètres!$A$1:$I$88,5,0)</f>
        <v>#N/A</v>
      </c>
      <c r="BG41" s="34" t="e">
        <f t="shared" si="29"/>
        <v>#N/A</v>
      </c>
      <c r="BH41" s="44" t="e">
        <f t="shared" si="6"/>
        <v>#N/A</v>
      </c>
      <c r="BI41" s="36">
        <f>IF(ISNA(VLOOKUP(A41,'Données projet'!$A$113:$I$133,3,0)),0,VLOOKUP(A41,'Données projet'!$A$113:$I$133,3,0))</f>
        <v>0</v>
      </c>
      <c r="BJ41" s="36">
        <f>IF(ISNA(VLOOKUP(A41,'Données projet'!$A$113:$I$133,4,0)),0,VLOOKUP(A41,'Données projet'!$A$113:$I$133,4,0))</f>
        <v>0</v>
      </c>
      <c r="BK41" s="37">
        <f>IF(ISNA(VLOOKUP(A41,'Données projet'!$A$113:$I$133,5,0)),0%,VLOOKUP(A41,'Données projet'!$A$113:$I$133,5,0)*VLOOKUP('Données projet'!$B$12,Paramètres!$A$1:$I$88,7,0))</f>
        <v>0</v>
      </c>
      <c r="BL41" s="37">
        <f>IF(ISNA(VLOOKUP(A41,'Données projet'!$A$113:$I$133,6,0)),0%,VLOOKUP(A41,'Données projet'!$A$113:$I$133,6,0)*VLOOKUP('Données projet'!$B$12,Paramètres!$A$1:$I$88,7,0))</f>
        <v>0</v>
      </c>
      <c r="BM41" s="37">
        <f>IF(ISNA(VLOOKUP(A41,'Données projet'!$A$113:$I$133,7,0)),0%,VLOOKUP(A41,'Données projet'!$A$113:$I$133,7,0))</f>
        <v>0</v>
      </c>
      <c r="BN41" s="45">
        <f>EXP(-LN(2)/35)*BN40+(1-EXP(-LN(2)/35))/(LN(2)/35)*BJ41*BK41*VLOOKUP('Données projet'!$B$9,Paramètres!$A$1:$I$88,3,0)*0.475*44/12</f>
        <v>0</v>
      </c>
      <c r="BO41" s="45">
        <f>EXP(-LN(2)/25)*BO40+(1-EXP(-LN(2)/25))/(LN(2)/25)*Calculateur!BJ41*Calculateur!BL41*VLOOKUP('Données projet'!$B$9,Paramètres!$A$1:$I$88,3,0)*0.475*44/12</f>
        <v>0</v>
      </c>
      <c r="BP41" s="45">
        <f>EXP(-LN(2)/2)*BP40+(1-EXP(-LN(2)/2))/(LN(2)/2)*BJ41*BM41*VLOOKUP('Données projet'!$B$9,Paramètres!$A$1:$I$88,3,0)*0.475*44/12</f>
        <v>0</v>
      </c>
      <c r="BQ41" s="46">
        <f t="shared" si="7"/>
        <v>0</v>
      </c>
      <c r="BR41" s="32" t="e">
        <f>VLOOKUP(A41,'Données projet'!$A$139:$I$159,2,0)</f>
        <v>#N/A</v>
      </c>
      <c r="BS41" s="33" t="e">
        <f>VLOOKUP(A41,'Données projet'!$A$139:$I$159,9,0)</f>
        <v>#N/A</v>
      </c>
      <c r="BT41" s="33">
        <f t="array" ref="BT41">INDEX(BS:BS,MIN(IF(ISNUMBER(BS41:BS237),ROW(BS41:BS237),"")))</f>
        <v>0</v>
      </c>
      <c r="BU41" s="33">
        <f t="shared" si="41"/>
        <v>0</v>
      </c>
      <c r="BV41" s="38" t="e">
        <f>BU41*VLOOKUP('Données projet'!$B$13,Paramètres!$A$1:$I$88,3,0)*VLOOKUP('Données projet'!$B$13,Paramètres!$A$1:$I$88,5,0)</f>
        <v>#N/A</v>
      </c>
      <c r="BW41" s="34" t="e">
        <f t="shared" si="30"/>
        <v>#N/A</v>
      </c>
      <c r="BX41" s="44" t="e">
        <f t="shared" si="8"/>
        <v>#N/A</v>
      </c>
      <c r="BY41" s="36">
        <f>IF(ISNA(VLOOKUP(A41,'Données projet'!$A$139:$I$159,3,0)),0,VLOOKUP(A41,'Données projet'!$A$139:$I$159,3,0))</f>
        <v>0</v>
      </c>
      <c r="BZ41" s="36">
        <f>IF(ISNA(VLOOKUP(A41,'Données projet'!$A$139:$I$159,4,0)),0,VLOOKUP(A41,'Données projet'!$A$139:$I$159,4,0))</f>
        <v>0</v>
      </c>
      <c r="CA41" s="37">
        <f>IF(ISNA(VLOOKUP(A41,'Données projet'!$A$139:$I$159,5,0)),0%,VLOOKUP(A41,'Données projet'!$A$139:$I$159,5,0)*VLOOKUP('Données projet'!$B$13,Paramètres!$A$1:$I$88,7,0))</f>
        <v>0</v>
      </c>
      <c r="CB41" s="37">
        <f>IF(ISNA(VLOOKUP(A41,'Données projet'!$A$139:$I$159,6,0)),0%,VLOOKUP(A41,'Données projet'!$A$139:$I$159,6,0)*VLOOKUP('Données projet'!$B$13,Paramètres!$A$1:$I$88,7,0))</f>
        <v>0</v>
      </c>
      <c r="CC41" s="37">
        <f>IF(ISNA(VLOOKUP(A41,'Données projet'!$A$139:$I$159,7,0)),0%,VLOOKUP(A41,'Données projet'!$A$139:$I$159,7,0))</f>
        <v>0</v>
      </c>
      <c r="CD41" s="45">
        <f>EXP(-LN(2)/35)*CD40+(1-EXP(-LN(2)/35))/(LN(2)/35)*BZ41*CA41*VLOOKUP('Données projet'!$B$9,Paramètres!$A$1:$I$88,3,0)*0.475*44/12</f>
        <v>0</v>
      </c>
      <c r="CE41" s="45">
        <f>EXP(-LN(2)/25)*CE40+(1-EXP(-LN(2)/25))/(LN(2)/25)*Calculateur!BZ41*Calculateur!CB41*VLOOKUP('Données projet'!$B$9,Paramètres!$A$1:$I$88,3,0)*0.475*44/12</f>
        <v>0</v>
      </c>
      <c r="CF41" s="45">
        <f>EXP(-LN(2)/2)*CF40+(1-EXP(-LN(2)/2))/(LN(2)/2)*BZ41*CC41*VLOOKUP('Données projet'!$B$9,Paramètres!$A$1:$I$88,3,0)*0.475*44/12</f>
        <v>0</v>
      </c>
      <c r="CG41" s="46">
        <f t="shared" si="9"/>
        <v>0</v>
      </c>
      <c r="CH41" s="32" t="e">
        <f>VLOOKUP(A41,'Données projet'!$A$165:$I$185,2,0)</f>
        <v>#N/A</v>
      </c>
      <c r="CI41" s="33" t="e">
        <f>VLOOKUP(A41,'Données projet'!$A$165:$I$185,9,0)</f>
        <v>#N/A</v>
      </c>
      <c r="CJ41" s="33">
        <f t="array" ref="CJ41">INDEX(CI:CI,MIN(IF(ISNUMBER(CI41:CI237),ROW(CI41:CI237),"")))</f>
        <v>0</v>
      </c>
      <c r="CK41" s="33">
        <f t="shared" si="31"/>
        <v>0</v>
      </c>
      <c r="CL41" s="38" t="e">
        <f>CK41*VLOOKUP('Données projet'!$B$14,Paramètres!$A$1:$I$88,3,0)*VLOOKUP('Données projet'!$B$14,Paramètres!$A$1:$I$88,5,0)</f>
        <v>#N/A</v>
      </c>
      <c r="CM41" s="34" t="e">
        <f t="shared" si="32"/>
        <v>#N/A</v>
      </c>
      <c r="CN41" s="44" t="e">
        <f t="shared" si="10"/>
        <v>#N/A</v>
      </c>
      <c r="CO41" s="36">
        <f>IF(ISNA(VLOOKUP(A41,'Données projet'!$A$165:$I$185,3,0)),0,VLOOKUP(A41,'Données projet'!$A$165:$I$185,3,0))</f>
        <v>0</v>
      </c>
      <c r="CP41" s="36">
        <f>IF(ISNA(VLOOKUP(A41,'Données projet'!$A$165:$I$185,4,0)),0,VLOOKUP(A41,'Données projet'!$A$165:$I$185,4,0))</f>
        <v>0</v>
      </c>
      <c r="CQ41" s="37">
        <f>IF(ISNA(VLOOKUP(A41,'Données projet'!$A$165:$I$185,5,0)),0%,VLOOKUP(A41,'Données projet'!$A$165:$I$185,5,0)*VLOOKUP('Données projet'!$B$14,Paramètres!$A$1:$I$88,7,0))</f>
        <v>0</v>
      </c>
      <c r="CR41" s="37">
        <f>IF(ISNA(VLOOKUP(A41,'Données projet'!$A$165:$I$185,6,0)),0%,VLOOKUP(A41,'Données projet'!$A$165:$I$185,6,0)*VLOOKUP('Données projet'!$B$14,Paramètres!$A$1:$I$88,7,0))</f>
        <v>0</v>
      </c>
      <c r="CS41" s="37">
        <f>IF(ISNA(VLOOKUP(A41,'Données projet'!$A$165:$I$185,7,0)),0%,VLOOKUP(A41,'Données projet'!$A$165:$I$185,7,0))</f>
        <v>0</v>
      </c>
      <c r="CT41" s="45">
        <f>EXP(-LN(2)/35)*CT40+(1-EXP(-LN(2)/35))/(LN(2)/35)*CP41*CQ41*VLOOKUP('Données projet'!$B$9,Paramètres!$A$1:$I$88,3,0)*0.475*44/12</f>
        <v>0</v>
      </c>
      <c r="CU41" s="45">
        <f>EXP(-LN(2)/25)*CU40+(1-EXP(-LN(2)/25))/(LN(2)/25)*Calculateur!CP41*Calculateur!CR41*VLOOKUP('Données projet'!$B$9,Paramètres!$A$1:$I$88,3,0)*0.475*44/12</f>
        <v>0</v>
      </c>
      <c r="CV41" s="45">
        <f>EXP(-LN(2)/2)*CV40+(1-EXP(-LN(2)/2))/(LN(2)/2)*CP41*CS41*VLOOKUP('Données projet'!$B$9,Paramètres!$A$1:$I$88,3,0)*0.475*44/12</f>
        <v>0</v>
      </c>
      <c r="CW41" s="46">
        <f t="shared" si="11"/>
        <v>0</v>
      </c>
      <c r="CX41" s="32" t="e">
        <f>VLOOKUP(A41,'Données projet'!$A$191:$I$211,2,0)</f>
        <v>#N/A</v>
      </c>
      <c r="CY41" s="33" t="e">
        <f>VLOOKUP(A41,'Données projet'!$A$191:$I$211,9,0)</f>
        <v>#N/A</v>
      </c>
      <c r="CZ41" s="33">
        <f t="array" ref="CZ41">INDEX(CY:CY,MIN(IF(ISNUMBER(CY41:CY237),ROW(CY41:CY237),"")))</f>
        <v>0</v>
      </c>
      <c r="DA41" s="33">
        <f t="shared" si="33"/>
        <v>0</v>
      </c>
      <c r="DB41" s="38" t="e">
        <f>DA41*VLOOKUP('Données projet'!$B$15,Paramètres!$A$1:$I$88,3,0)*VLOOKUP('Données projet'!$B$15,Paramètres!$A$1:$I$88,5,0)</f>
        <v>#N/A</v>
      </c>
      <c r="DC41" s="34" t="e">
        <f t="shared" si="34"/>
        <v>#N/A</v>
      </c>
      <c r="DD41" s="44" t="e">
        <f t="shared" si="12"/>
        <v>#N/A</v>
      </c>
      <c r="DE41" s="36">
        <f>IF(ISNA(VLOOKUP(A41,'Données projet'!$A$191:$I$211,3,0)),0,VLOOKUP(A41,'Données projet'!$A$191:$I$211,3,0))</f>
        <v>0</v>
      </c>
      <c r="DF41" s="36">
        <f>IF(ISNA(VLOOKUP(A41,'Données projet'!$A$191:$I$211,4,0)),0,VLOOKUP(A41,'Données projet'!$A$191:$I$211,4,0))</f>
        <v>0</v>
      </c>
      <c r="DG41" s="37">
        <f>IF(ISNA(VLOOKUP(A41,'Données projet'!$A$191:$I$211,5,0)),0%,VLOOKUP(A41,'Données projet'!$A$191:$I$211,5,0)*VLOOKUP('Données projet'!$B$15,Paramètres!$A$1:$I$88,7,0))</f>
        <v>0</v>
      </c>
      <c r="DH41" s="37">
        <f>IF(ISNA(VLOOKUP(A41,'Données projet'!$A$191:$I$211,6,0)),0%,VLOOKUP(A41,'Données projet'!$A$191:$I$211,6,0)*VLOOKUP('Données projet'!$B$15,Paramètres!$A$1:$I$88,7,0))</f>
        <v>0</v>
      </c>
      <c r="DI41" s="37">
        <f>IF(ISNA(VLOOKUP(A41,'Données projet'!$A$191:$I$211,7,0)),0%,VLOOKUP(A41,'Données projet'!$A$191:$I$211,7,0))</f>
        <v>0</v>
      </c>
      <c r="DJ41" s="45">
        <f>EXP(-LN(2)/35)*DJ40+(1-EXP(-LN(2)/35))/(LN(2)/35)*DF41*DG41*VLOOKUP('Données projet'!$B$9,Paramètres!$A$1:$I$88,3,0)*0.475*44/12</f>
        <v>0</v>
      </c>
      <c r="DK41" s="45">
        <f>EXP(-LN(2)/25)*DK40+(1-EXP(-LN(2)/25))/(LN(2)/25)*Calculateur!DF41*Calculateur!DH41*VLOOKUP('Données projet'!$B$9,Paramètres!$A$1:$I$88,3,0)*0.475*44/12</f>
        <v>0</v>
      </c>
      <c r="DL41" s="45">
        <f>EXP(-LN(2)/2)*DL40+(1-EXP(-LN(2)/2))/(LN(2)/2)*DF41*DI41*VLOOKUP('Données projet'!$B$9,Paramètres!$A$1:$I$88,3,0)*0.475*44/12</f>
        <v>0</v>
      </c>
      <c r="DM41" s="46">
        <f t="shared" si="13"/>
        <v>0</v>
      </c>
      <c r="DN41" s="32" t="e">
        <f>VLOOKUP(A41,'Données projet'!$A$217:$I$237,2,0)</f>
        <v>#N/A</v>
      </c>
      <c r="DO41" s="33" t="e">
        <f>VLOOKUP(A41,'Données projet'!$A$217:$I$237,9,0)</f>
        <v>#N/A</v>
      </c>
      <c r="DP41" s="33">
        <f t="array" ref="DP41">INDEX(DO:DO,MIN(IF(ISNUMBER(DO41:DO237),ROW(DO41:DO237),"")))</f>
        <v>0</v>
      </c>
      <c r="DQ41" s="33">
        <f t="shared" si="35"/>
        <v>0</v>
      </c>
      <c r="DR41" s="38" t="e">
        <f>DQ41*VLOOKUP('Données projet'!$B$16,Paramètres!$A$1:$I$88,3,0)*VLOOKUP('Données projet'!$B$16,Paramètres!$A$1:$I$88,5,0)</f>
        <v>#N/A</v>
      </c>
      <c r="DS41" s="34" t="e">
        <f t="shared" si="36"/>
        <v>#N/A</v>
      </c>
      <c r="DT41" s="44" t="e">
        <f t="shared" si="14"/>
        <v>#N/A</v>
      </c>
      <c r="DU41" s="36">
        <f>IF(ISNA(VLOOKUP(A41,'Données projet'!$A$217:$I$237,3,0)),0,VLOOKUP(A41,'Données projet'!$A$217:$I$237,3,0))</f>
        <v>0</v>
      </c>
      <c r="DV41" s="36">
        <f>IF(ISNA(VLOOKUP(A41,'Données projet'!$A$217:$I$237,4,0)),0,VLOOKUP(A41,'Données projet'!$A$217:$I$237,4,0))</f>
        <v>0</v>
      </c>
      <c r="DW41" s="37">
        <f>IF(ISNA(VLOOKUP(A41,'Données projet'!$A$217:$I$237,5,0)),0%,VLOOKUP(A41,'Données projet'!$A$217:$I$237,5,0)*VLOOKUP('Données projet'!$B$16,Paramètres!$A$1:$I$88,7,0))</f>
        <v>0</v>
      </c>
      <c r="DX41" s="37">
        <f>IF(ISNA(VLOOKUP(A41,'Données projet'!$A$217:$I$237,6,0)),0%,VLOOKUP(A41,'Données projet'!$A$217:$I$237,6,0)*VLOOKUP('Données projet'!$B$16,Paramètres!$A$1:$I$88,7,0))</f>
        <v>0</v>
      </c>
      <c r="DY41" s="37">
        <f>IF(ISNA(VLOOKUP(A41,'Données projet'!$A$217:$I$237,7,0)),0%,VLOOKUP(A41,'Données projet'!$A$217:$I$237,7,0))</f>
        <v>0</v>
      </c>
      <c r="DZ41" s="45">
        <f>EXP(-LN(2)/35)*DZ40+(1-EXP(-LN(2)/35))/(LN(2)/35)*DV41*DW41*VLOOKUP('Données projet'!$B$9,Paramètres!$A$1:$I$88,3,0)*0.475*44/12</f>
        <v>0</v>
      </c>
      <c r="EA41" s="45">
        <f>EXP(-LN(2)/25)*EA40+(1-EXP(-LN(2)/25))/(LN(2)/25)*Calculateur!DV41*Calculateur!DX41*VLOOKUP('Données projet'!$B$9,Paramètres!$A$1:$I$88,3,0)*0.475*44/12</f>
        <v>0</v>
      </c>
      <c r="EB41" s="45">
        <f>EXP(-LN(2)/2)*EB40+(1-EXP(-LN(2)/2))/(LN(2)/2)*DV41*DY41*VLOOKUP('Données projet'!$B$9,Paramètres!$A$1:$I$88,3,0)*0.475*44/12</f>
        <v>0</v>
      </c>
      <c r="EC41" s="46">
        <f t="shared" si="15"/>
        <v>0</v>
      </c>
      <c r="ED41" s="32" t="e">
        <f>VLOOKUP(A41,'Données projet'!$A$243:$I$263,2,0)</f>
        <v>#N/A</v>
      </c>
      <c r="EE41" s="33" t="e">
        <f>VLOOKUP(A41,'Données projet'!$A$243:$I$263,9,0)</f>
        <v>#N/A</v>
      </c>
      <c r="EF41" s="33">
        <f t="array" ref="EF41">INDEX(EE:EE,MIN(IF(ISNUMBER(EE41:EE237),ROW(EE41:EE237),"")))</f>
        <v>0</v>
      </c>
      <c r="EG41" s="33">
        <f t="shared" si="37"/>
        <v>0</v>
      </c>
      <c r="EH41" s="38" t="e">
        <f>EG41*VLOOKUP('Données projet'!$B$17,Paramètres!$A$1:$I$88,3,0)*VLOOKUP('Données projet'!$B$17,Paramètres!$A$1:$I$88,5,0)</f>
        <v>#N/A</v>
      </c>
      <c r="EI41" s="34" t="e">
        <f t="shared" si="38"/>
        <v>#N/A</v>
      </c>
      <c r="EJ41" s="44" t="e">
        <f t="shared" si="16"/>
        <v>#N/A</v>
      </c>
      <c r="EK41" s="36">
        <f>IF(ISNA(VLOOKUP(A41,'Données projet'!$A$243:$I$263,3,0)),0,VLOOKUP(A41,'Données projet'!$A$243:$I$263,3,0))</f>
        <v>0</v>
      </c>
      <c r="EL41" s="36">
        <f>IF(ISNA(VLOOKUP(A41,'Données projet'!$A$243:$I$263,4,0)),0,VLOOKUP(A41,'Données projet'!$A$243:$I$263,4,0))</f>
        <v>0</v>
      </c>
      <c r="EM41" s="37">
        <f>IF(ISNA(VLOOKUP(A41,'Données projet'!$A$243:$I$263,5,0)),0%,VLOOKUP(A41,'Données projet'!$A$243:$I$263,5,0)*VLOOKUP('Données projet'!$B$17,Paramètres!$A$1:$I$88,7,0))</f>
        <v>0</v>
      </c>
      <c r="EN41" s="37">
        <f>IF(ISNA(VLOOKUP(A41,'Données projet'!$A$243:$I$263,6,0)),0%,VLOOKUP(A41,'Données projet'!$A$243:$I$263,6,0)*VLOOKUP('Données projet'!$B$17,Paramètres!$A$1:$I$88,7,0))</f>
        <v>0</v>
      </c>
      <c r="EO41" s="37">
        <f>IF(ISNA(VLOOKUP(A41,'Données projet'!$A$243:$I$263,7,0)),0%,VLOOKUP(A41,'Données projet'!$A$243:$I$263,7,0))</f>
        <v>0</v>
      </c>
      <c r="EP41" s="45">
        <f>EXP(-LN(2)/35)*EP40+(1-EXP(-LN(2)/35))/(LN(2)/35)*EL41*EM41*VLOOKUP('Données projet'!$B$9,Paramètres!$A$1:$I$88,3,0)*0.475*44/12</f>
        <v>0</v>
      </c>
      <c r="EQ41" s="45">
        <f>EXP(-LN(2)/25)*EQ40+(1-EXP(-LN(2)/25))/(LN(2)/25)*Calculateur!EL41*Calculateur!EN41*VLOOKUP('Données projet'!$B$9,Paramètres!$A$1:$I$88,3,0)*0.475*44/12</f>
        <v>0</v>
      </c>
      <c r="ER41" s="45">
        <f>EXP(-LN(2)/2)*ER40+(1-EXP(-LN(2)/2))/(LN(2)/2)*EL41*EO41*VLOOKUP('Données projet'!$B$9,Paramètres!$A$1:$I$88,3,0)*0.475*44/12</f>
        <v>0</v>
      </c>
      <c r="ES41" s="46">
        <f t="shared" si="17"/>
        <v>0</v>
      </c>
      <c r="ET41" s="32" t="e">
        <f>VLOOKUP(A41,'Données projet'!$A$269:$I$289,2,0)</f>
        <v>#N/A</v>
      </c>
      <c r="EU41" s="33" t="e">
        <f>VLOOKUP(A41,'Données projet'!$A$269:$I$289,9,0)</f>
        <v>#N/A</v>
      </c>
      <c r="EV41" s="33">
        <f t="array" ref="EV41">INDEX(EU:EU,MIN(IF(ISNUMBER(EU41:EU237),ROW(EU41:EU237),"")))</f>
        <v>0</v>
      </c>
      <c r="EW41" s="33">
        <f t="shared" si="39"/>
        <v>0</v>
      </c>
      <c r="EX41" s="38" t="e">
        <f>EW41*VLOOKUP('Données projet'!$B$18,Paramètres!$A$1:$I$88,3,0)*VLOOKUP('Données projet'!$B$18,Paramètres!$A$1:$I$88,5,0)</f>
        <v>#N/A</v>
      </c>
      <c r="EY41" s="34" t="e">
        <f t="shared" si="40"/>
        <v>#N/A</v>
      </c>
      <c r="EZ41" s="44" t="e">
        <f t="shared" si="18"/>
        <v>#N/A</v>
      </c>
      <c r="FA41" s="36">
        <f>IF(ISNA(VLOOKUP(A41,'Données projet'!$A$269:$I$289,3,0)),0,VLOOKUP(A41,'Données projet'!$A$269:$I$289,3,0))</f>
        <v>0</v>
      </c>
      <c r="FB41" s="36">
        <f>IF(ISNA(VLOOKUP(A41,'Données projet'!$A$269:$I$289,4,0)),0,VLOOKUP(A41,'Données projet'!$A$269:$I$289,4,0))</f>
        <v>0</v>
      </c>
      <c r="FC41" s="37">
        <f>IF(ISNA(VLOOKUP(A41,'Données projet'!$A$269:$I$289,5,0)),0%,VLOOKUP(A41,'Données projet'!$A$269:$I$289,5,0)*VLOOKUP('Données projet'!$B$18,Paramètres!$A$1:$I$88,7,0))</f>
        <v>0</v>
      </c>
      <c r="FD41" s="37">
        <f>IF(ISNA(VLOOKUP(A41,'Données projet'!$A$269:$I$289,6,0)),0%,VLOOKUP(A41,'Données projet'!$A$269:$I$289,6,0)*VLOOKUP('Données projet'!$B$18,Paramètres!$A$1:$I$88,7,0))</f>
        <v>0</v>
      </c>
      <c r="FE41" s="37">
        <f>IF(ISNA(VLOOKUP(A41,'Données projet'!$A$269:$I$289,7,0)),0%,VLOOKUP(A41,'Données projet'!$A$269:$I$289,7,0))</f>
        <v>0</v>
      </c>
      <c r="FF41" s="45">
        <f>EXP(-LN(2)/35)*FF40+(1-EXP(-LN(2)/35))/(LN(2)/35)*FB41*FC41*VLOOKUP('Données projet'!$B$9,Paramètres!$A$1:$I$88,3,0)*0.475*44/12</f>
        <v>0</v>
      </c>
      <c r="FG41" s="45">
        <f>EXP(-LN(2)/25)*FG40+(1-EXP(-LN(2)/25))/(LN(2)/25)*Calculateur!FB41*Calculateur!FD41*VLOOKUP('Données projet'!$B$9,Paramètres!$A$1:$I$88,3,0)*0.475*44/12</f>
        <v>0</v>
      </c>
      <c r="FH41" s="45">
        <f>EXP(-LN(2)/2)*FH40+(1-EXP(-LN(2)/2))/(LN(2)/2)*FB41*FE41*VLOOKUP('Données projet'!$B$9,Paramètres!$A$1:$I$88,3,0)*0.475*44/12</f>
        <v>0</v>
      </c>
      <c r="FI41" s="46">
        <f t="shared" si="19"/>
        <v>0</v>
      </c>
    </row>
    <row r="42" spans="1:165" x14ac:dyDescent="0.25">
      <c r="A42" s="24">
        <f t="shared" si="20"/>
        <v>39</v>
      </c>
      <c r="B42" s="25">
        <f>IF('Scénario référence'!$N$1=1,5,0)</f>
        <v>0</v>
      </c>
      <c r="C42" s="40">
        <f>IF(OR('Scénario référence'!$N$1=2,'Scénario référence'!$N$1=4),C41+1*VLOOKUP('Scénario référence'!$G$14,Paramètres!$A$1:$I$88,3,0)*VLOOKUP('Scénario référence'!$G$14,Paramètres!$A$1:$I$88,5,0),IF(OR('Scénario référence'!$N$1=3,'Scénario référence'!$N$1=5),C41+0.5*VLOOKUP('Scénario référence'!$G$14,Paramètres!$A$1:$I$88,3,0)*VLOOKUP('Scénario référence'!$G$14,Paramètres!$A$1:$I$88,5,0),0))</f>
        <v>21.29399999999999</v>
      </c>
      <c r="D42" s="26">
        <f t="shared" si="21"/>
        <v>6.8738518981865644</v>
      </c>
      <c r="E42" s="27">
        <f>IF('Scénario référence'!$N$1=1,B42*44/12,(C42+D42)*0.475*44/12)</f>
        <v>49.059008722674911</v>
      </c>
      <c r="F42" s="28" t="e">
        <f>VLOOKUP(A42,'Données projet'!$A$35:$I$55,2,0)</f>
        <v>#N/A</v>
      </c>
      <c r="G42" s="28" t="e">
        <f>VLOOKUP(A42,'Données projet'!$A$35:$I$55,9,0)</f>
        <v>#N/A</v>
      </c>
      <c r="H42" s="33">
        <f t="array" ref="H42">INDEX(G:G,MIN(IF(ISNUMBER(G42:G238),ROW(G42:G238),"")))</f>
        <v>7.8</v>
      </c>
      <c r="I42" s="28">
        <f t="shared" si="22"/>
        <v>129.20000000000002</v>
      </c>
      <c r="J42" s="41">
        <f>I42*VLOOKUP('Données projet'!$B$9,Paramètres!$A$1:$I$88,3,0)*VLOOKUP('Données projet'!$B$9,Paramètres!$A$1:$I$88,5,0)</f>
        <v>131.00880000000004</v>
      </c>
      <c r="K42" s="41">
        <f t="shared" si="23"/>
        <v>34.229358418772243</v>
      </c>
      <c r="L42" s="42">
        <f t="shared" si="0"/>
        <v>287.78979257936174</v>
      </c>
      <c r="M42" s="30">
        <f>IF(ISNA(VLOOKUP(A42,'Données projet'!$A$35:$I$55,3,0)),0,VLOOKUP(A42,'Données projet'!$A$35:$I$55,3,0))</f>
        <v>0</v>
      </c>
      <c r="N42" s="30">
        <f>IF(ISNA(VLOOKUP(A42,'Données projet'!$A$35:$I$55,4,0)),0,VLOOKUP(A42,'Données projet'!$A$35:$I$55,4,0))</f>
        <v>0</v>
      </c>
      <c r="O42" s="31">
        <f>IF(ISNA(VLOOKUP(A42,'Données projet'!$A$35:$I$55,5,0)),0%,VLOOKUP(A42,'Données projet'!$A$35:$I$55,5,0)*VLOOKUP('Données projet'!$B$9,Paramètres!$A$1:$I$88,7,0))</f>
        <v>0</v>
      </c>
      <c r="P42" s="31">
        <f>IF(ISNA(VLOOKUP(A42,'Données projet'!$A$35:$I$55,6,0)),0%,VLOOKUP(A42,'Données projet'!$A$35:$I$55,6,0)*VLOOKUP('Données projet'!$B$9,Paramètres!$A$1:$I$88,7,0))</f>
        <v>0</v>
      </c>
      <c r="Q42" s="31">
        <f>IF(ISNA(VLOOKUP(A42,'Données projet'!$A$35:$I$55,7,0)),0%,VLOOKUP(A42,'Données projet'!$A$35:$I$55,7,0))</f>
        <v>0</v>
      </c>
      <c r="R42" s="43">
        <f>EXP(-LN(2)/35)*R41+(1-EXP(-LN(2)/35))/(LN(2)/35)*N42*O42*VLOOKUP('Données projet'!$B$9,Paramètres!$A$1:$I$88,3,0)*0.475*44/12</f>
        <v>0</v>
      </c>
      <c r="S42" s="43">
        <f>EXP(-LN(2)/25)*S41+(1-EXP(-LN(2)/25))/(LN(2)/25)*Calculateur!N42*Calculateur!P42*VLOOKUP('Données projet'!$B$9,Paramètres!$A$1:$I$88,3,0)*0.475*44/12</f>
        <v>0</v>
      </c>
      <c r="T42" s="43">
        <f>EXP(-LN(2)/2)*T41+(1-EXP(-LN(2)/2))/(LN(2)/2)*N42*Q42*VLOOKUP('Données projet'!$B$9,Paramètres!$A$1:$I$88,3,0)*0.475*44/12</f>
        <v>0</v>
      </c>
      <c r="U42" s="43">
        <f t="shared" si="1"/>
        <v>0</v>
      </c>
      <c r="V42" s="32" t="e">
        <f>VLOOKUP(A42,'Données projet'!$A$61:$I$81,2,0)</f>
        <v>#N/A</v>
      </c>
      <c r="W42" s="33" t="e">
        <f>VLOOKUP(A42,'Données projet'!$A$61:$I$81,9,0)</f>
        <v>#N/A</v>
      </c>
      <c r="X42" s="33">
        <f t="array" ref="X42">INDEX(W:W,MIN(IF(ISNUMBER(W42:W238),ROW(W42:W238),"")))</f>
        <v>0</v>
      </c>
      <c r="Y42" s="33">
        <f t="shared" si="24"/>
        <v>0</v>
      </c>
      <c r="Z42" s="34" t="e">
        <f>Y42*VLOOKUP('Données projet'!$B$10,Paramètres!$A$1:$I$88,3,0)*VLOOKUP('Données projet'!$B$10,Paramètres!$A$1:$I$88,5,0)</f>
        <v>#N/A</v>
      </c>
      <c r="AA42" s="34" t="e">
        <f t="shared" si="25"/>
        <v>#N/A</v>
      </c>
      <c r="AB42" s="44" t="e">
        <f t="shared" si="2"/>
        <v>#N/A</v>
      </c>
      <c r="AC42" s="36">
        <f>IF(ISNA(VLOOKUP(A42,'Données projet'!$A$61:$I$81,3,0)),0,VLOOKUP(A42,'Données projet'!$A$61:$I$81,3,0))</f>
        <v>0</v>
      </c>
      <c r="AD42" s="36">
        <f>IF(ISNA(VLOOKUP(A42,'Données projet'!$A$61:$I$81,4,0)),0,VLOOKUP(A42,'Données projet'!$A$61:$I$81,4,0))</f>
        <v>0</v>
      </c>
      <c r="AE42" s="37">
        <f>IF(ISNA(VLOOKUP(A42,'Données projet'!$A$61:$I$81,5,0)),0%,VLOOKUP(A42,'Données projet'!$A$61:$I$81,5,0)*VLOOKUP('Données projet'!$B$10,Paramètres!$A$1:$I$88,7,0))</f>
        <v>0</v>
      </c>
      <c r="AF42" s="37">
        <f>IF(ISNA(VLOOKUP(A42,'Données projet'!$A$61:$I$81,6,0)),0%,VLOOKUP(A42,'Données projet'!$A$61:$I$81,6,0)*VLOOKUP('Données projet'!$B$10,Paramètres!$A$1:$I$88,7,0))</f>
        <v>0</v>
      </c>
      <c r="AG42" s="37">
        <f>IF(ISNA(VLOOKUP(A42,'Données projet'!$A$61:$I$81,7,0)),0%,VLOOKUP(A42,'Données projet'!$A$61:$I$81,7,0))</f>
        <v>0</v>
      </c>
      <c r="AH42" s="45">
        <f>EXP(-LN(2)/35)*AH41+(1-EXP(-LN(2)/35))/(LN(2)/35)*AD42*AE42*VLOOKUP('Données projet'!$B$9,Paramètres!$A$1:$I$88,3,0)*0.475*44/12</f>
        <v>0</v>
      </c>
      <c r="AI42" s="45">
        <f>EXP(-LN(2)/25)*AI41+(1-EXP(-LN(2)/25))/(LN(2)/25)*Calculateur!AD42*Calculateur!AF42*VLOOKUP('Données projet'!$B$9,Paramètres!$A$1:$I$88,3,0)*0.475*44/12</f>
        <v>0</v>
      </c>
      <c r="AJ42" s="45">
        <f>EXP(-LN(2)/2)*AJ41+(1-EXP(-LN(2)/2))/(LN(2)/2)*AD42*AG42*VLOOKUP('Données projet'!$B$9,Paramètres!$A$1:$I$88,3,0)*0.475*44/12</f>
        <v>0</v>
      </c>
      <c r="AK42" s="45">
        <f t="shared" si="3"/>
        <v>0</v>
      </c>
      <c r="AL42" s="32" t="e">
        <f>VLOOKUP(A42,'Données projet'!$A$87:$I$107,2,0)</f>
        <v>#N/A</v>
      </c>
      <c r="AM42" s="33" t="e">
        <f>VLOOKUP(A42,'Données projet'!$A$87:$I$107,9,0)</f>
        <v>#N/A</v>
      </c>
      <c r="AN42" s="33">
        <f t="array" ref="AN42">INDEX(AM:AM,MIN(IF(ISNUMBER(AM42:AM238),ROW(AM42:AM238),"")))</f>
        <v>0</v>
      </c>
      <c r="AO42" s="33">
        <f t="shared" si="26"/>
        <v>0</v>
      </c>
      <c r="AP42" s="34" t="e">
        <f>AO42*VLOOKUP('Données projet'!$B$11,Paramètres!$A$1:$I$88,3,0)*VLOOKUP('Données projet'!$B$11,Paramètres!$A$1:$I$88,5,0)</f>
        <v>#N/A</v>
      </c>
      <c r="AQ42" s="34" t="e">
        <f t="shared" si="27"/>
        <v>#N/A</v>
      </c>
      <c r="AR42" s="44" t="e">
        <f t="shared" si="4"/>
        <v>#N/A</v>
      </c>
      <c r="AS42" s="36">
        <f>IF(ISNA(VLOOKUP(A42,'Données projet'!$A$87:$I$107,3,0)),0,VLOOKUP(A42,'Données projet'!$A$87:$I$107,3,0))</f>
        <v>0</v>
      </c>
      <c r="AT42" s="36">
        <f>IF(ISNA(VLOOKUP(A42,'Données projet'!$A$87:$I$107,4,0)),0,VLOOKUP(A42,'Données projet'!$A$87:$I$107,4,0))</f>
        <v>0</v>
      </c>
      <c r="AU42" s="37">
        <f>IF(ISNA(VLOOKUP(A42,'Données projet'!$A$87:$I$107,5,0)),0%,VLOOKUP(A42,'Données projet'!$A$87:$I$107,5,0)*VLOOKUP('Données projet'!$B$11,Paramètres!$A$1:$I$88,7,0))</f>
        <v>0</v>
      </c>
      <c r="AV42" s="37">
        <f>IF(ISNA(VLOOKUP(A42,'Données projet'!$A$87:$I$107,6,0)),0%,VLOOKUP(A42,'Données projet'!$A$87:$I$107,6,0)*VLOOKUP('Données projet'!$B$11,Paramètres!$A$1:$I$88,7,0))</f>
        <v>0</v>
      </c>
      <c r="AW42" s="37">
        <f>IF(ISNA(VLOOKUP(A42,'Données projet'!$A$87:$I$107,7,0)),0%,VLOOKUP(A42,'Données projet'!$A$87:$I$107,7,0))</f>
        <v>0</v>
      </c>
      <c r="AX42" s="45">
        <f>EXP(-LN(2)/35)*AX41+(1-EXP(-LN(2)/35))/(LN(2)/35)*AT42*AU42*VLOOKUP('Données projet'!$B$9,Paramètres!$A$1:$I$88,3,0)*0.475*44/12</f>
        <v>0</v>
      </c>
      <c r="AY42" s="45">
        <f>EXP(-LN(2)/25)*AY41+(1-EXP(-LN(2)/25))/(LN(2)/25)*Calculateur!AT42*Calculateur!AV42*VLOOKUP('Données projet'!$B$9,Paramètres!$A$1:$I$88,3,0)*0.475*44/12</f>
        <v>0</v>
      </c>
      <c r="AZ42" s="45">
        <f>EXP(-LN(2)/2)*AZ41+(1-EXP(-LN(2)/2))/(LN(2)/2)*AT42*AW42*VLOOKUP('Données projet'!$B$9,Paramètres!$A$1:$I$88,3,0)*0.475*44/12</f>
        <v>0</v>
      </c>
      <c r="BA42" s="46">
        <f t="shared" si="5"/>
        <v>0</v>
      </c>
      <c r="BB42" s="32" t="e">
        <f>VLOOKUP(A42,'Données projet'!$A$113:$I$133,2,0)</f>
        <v>#N/A</v>
      </c>
      <c r="BC42" s="33" t="e">
        <f>VLOOKUP(A42,'Données projet'!$A$113:$I$133,9,0)</f>
        <v>#N/A</v>
      </c>
      <c r="BD42" s="33">
        <f t="array" ref="BD42">INDEX(BC:BC,MIN(IF(ISNUMBER(BC42:BC238),ROW(BC42:BC238),"")))</f>
        <v>0</v>
      </c>
      <c r="BE42" s="33">
        <f t="shared" si="28"/>
        <v>0</v>
      </c>
      <c r="BF42" s="34" t="e">
        <f>BE42*VLOOKUP('Données projet'!$B$12,Paramètres!$A$1:$I$88,3,0)*VLOOKUP('Données projet'!$B$12,Paramètres!$A$1:$I$88,5,0)</f>
        <v>#N/A</v>
      </c>
      <c r="BG42" s="34" t="e">
        <f t="shared" si="29"/>
        <v>#N/A</v>
      </c>
      <c r="BH42" s="44" t="e">
        <f t="shared" si="6"/>
        <v>#N/A</v>
      </c>
      <c r="BI42" s="36">
        <f>IF(ISNA(VLOOKUP(A42,'Données projet'!$A$113:$I$133,3,0)),0,VLOOKUP(A42,'Données projet'!$A$113:$I$133,3,0))</f>
        <v>0</v>
      </c>
      <c r="BJ42" s="36">
        <f>IF(ISNA(VLOOKUP(A42,'Données projet'!$A$113:$I$133,4,0)),0,VLOOKUP(A42,'Données projet'!$A$113:$I$133,4,0))</f>
        <v>0</v>
      </c>
      <c r="BK42" s="37">
        <f>IF(ISNA(VLOOKUP(A42,'Données projet'!$A$113:$I$133,5,0)),0%,VLOOKUP(A42,'Données projet'!$A$113:$I$133,5,0)*VLOOKUP('Données projet'!$B$12,Paramètres!$A$1:$I$88,7,0))</f>
        <v>0</v>
      </c>
      <c r="BL42" s="37">
        <f>IF(ISNA(VLOOKUP(A42,'Données projet'!$A$113:$I$133,6,0)),0%,VLOOKUP(A42,'Données projet'!$A$113:$I$133,6,0)*VLOOKUP('Données projet'!$B$12,Paramètres!$A$1:$I$88,7,0))</f>
        <v>0</v>
      </c>
      <c r="BM42" s="37">
        <f>IF(ISNA(VLOOKUP(A42,'Données projet'!$A$113:$I$133,7,0)),0%,VLOOKUP(A42,'Données projet'!$A$113:$I$133,7,0))</f>
        <v>0</v>
      </c>
      <c r="BN42" s="45">
        <f>EXP(-LN(2)/35)*BN41+(1-EXP(-LN(2)/35))/(LN(2)/35)*BJ42*BK42*VLOOKUP('Données projet'!$B$9,Paramètres!$A$1:$I$88,3,0)*0.475*44/12</f>
        <v>0</v>
      </c>
      <c r="BO42" s="45">
        <f>EXP(-LN(2)/25)*BO41+(1-EXP(-LN(2)/25))/(LN(2)/25)*Calculateur!BJ42*Calculateur!BL42*VLOOKUP('Données projet'!$B$9,Paramètres!$A$1:$I$88,3,0)*0.475*44/12</f>
        <v>0</v>
      </c>
      <c r="BP42" s="45">
        <f>EXP(-LN(2)/2)*BP41+(1-EXP(-LN(2)/2))/(LN(2)/2)*BJ42*BM42*VLOOKUP('Données projet'!$B$9,Paramètres!$A$1:$I$88,3,0)*0.475*44/12</f>
        <v>0</v>
      </c>
      <c r="BQ42" s="46">
        <f t="shared" si="7"/>
        <v>0</v>
      </c>
      <c r="BR42" s="32" t="e">
        <f>VLOOKUP(A42,'Données projet'!$A$139:$I$159,2,0)</f>
        <v>#N/A</v>
      </c>
      <c r="BS42" s="33" t="e">
        <f>VLOOKUP(A42,'Données projet'!$A$139:$I$159,9,0)</f>
        <v>#N/A</v>
      </c>
      <c r="BT42" s="33">
        <f t="array" ref="BT42">INDEX(BS:BS,MIN(IF(ISNUMBER(BS42:BS238),ROW(BS42:BS238),"")))</f>
        <v>0</v>
      </c>
      <c r="BU42" s="33">
        <f t="shared" si="41"/>
        <v>0</v>
      </c>
      <c r="BV42" s="38" t="e">
        <f>BU42*VLOOKUP('Données projet'!$B$13,Paramètres!$A$1:$I$88,3,0)*VLOOKUP('Données projet'!$B$13,Paramètres!$A$1:$I$88,5,0)</f>
        <v>#N/A</v>
      </c>
      <c r="BW42" s="34" t="e">
        <f t="shared" si="30"/>
        <v>#N/A</v>
      </c>
      <c r="BX42" s="44" t="e">
        <f t="shared" si="8"/>
        <v>#N/A</v>
      </c>
      <c r="BY42" s="36">
        <f>IF(ISNA(VLOOKUP(A42,'Données projet'!$A$139:$I$159,3,0)),0,VLOOKUP(A42,'Données projet'!$A$139:$I$159,3,0))</f>
        <v>0</v>
      </c>
      <c r="BZ42" s="36">
        <f>IF(ISNA(VLOOKUP(A42,'Données projet'!$A$139:$I$159,4,0)),0,VLOOKUP(A42,'Données projet'!$A$139:$I$159,4,0))</f>
        <v>0</v>
      </c>
      <c r="CA42" s="37">
        <f>IF(ISNA(VLOOKUP(A42,'Données projet'!$A$139:$I$159,5,0)),0%,VLOOKUP(A42,'Données projet'!$A$139:$I$159,5,0)*VLOOKUP('Données projet'!$B$13,Paramètres!$A$1:$I$88,7,0))</f>
        <v>0</v>
      </c>
      <c r="CB42" s="37">
        <f>IF(ISNA(VLOOKUP(A42,'Données projet'!$A$139:$I$159,6,0)),0%,VLOOKUP(A42,'Données projet'!$A$139:$I$159,6,0)*VLOOKUP('Données projet'!$B$13,Paramètres!$A$1:$I$88,7,0))</f>
        <v>0</v>
      </c>
      <c r="CC42" s="37">
        <f>IF(ISNA(VLOOKUP(A42,'Données projet'!$A$139:$I$159,7,0)),0%,VLOOKUP(A42,'Données projet'!$A$139:$I$159,7,0))</f>
        <v>0</v>
      </c>
      <c r="CD42" s="45">
        <f>EXP(-LN(2)/35)*CD41+(1-EXP(-LN(2)/35))/(LN(2)/35)*BZ42*CA42*VLOOKUP('Données projet'!$B$9,Paramètres!$A$1:$I$88,3,0)*0.475*44/12</f>
        <v>0</v>
      </c>
      <c r="CE42" s="45">
        <f>EXP(-LN(2)/25)*CE41+(1-EXP(-LN(2)/25))/(LN(2)/25)*Calculateur!BZ42*Calculateur!CB42*VLOOKUP('Données projet'!$B$9,Paramètres!$A$1:$I$88,3,0)*0.475*44/12</f>
        <v>0</v>
      </c>
      <c r="CF42" s="45">
        <f>EXP(-LN(2)/2)*CF41+(1-EXP(-LN(2)/2))/(LN(2)/2)*BZ42*CC42*VLOOKUP('Données projet'!$B$9,Paramètres!$A$1:$I$88,3,0)*0.475*44/12</f>
        <v>0</v>
      </c>
      <c r="CG42" s="46">
        <f t="shared" si="9"/>
        <v>0</v>
      </c>
      <c r="CH42" s="32" t="e">
        <f>VLOOKUP(A42,'Données projet'!$A$165:$I$185,2,0)</f>
        <v>#N/A</v>
      </c>
      <c r="CI42" s="33" t="e">
        <f>VLOOKUP(A42,'Données projet'!$A$165:$I$185,9,0)</f>
        <v>#N/A</v>
      </c>
      <c r="CJ42" s="33">
        <f t="array" ref="CJ42">INDEX(CI:CI,MIN(IF(ISNUMBER(CI42:CI238),ROW(CI42:CI238),"")))</f>
        <v>0</v>
      </c>
      <c r="CK42" s="33">
        <f t="shared" si="31"/>
        <v>0</v>
      </c>
      <c r="CL42" s="38" t="e">
        <f>CK42*VLOOKUP('Données projet'!$B$14,Paramètres!$A$1:$I$88,3,0)*VLOOKUP('Données projet'!$B$14,Paramètres!$A$1:$I$88,5,0)</f>
        <v>#N/A</v>
      </c>
      <c r="CM42" s="34" t="e">
        <f t="shared" si="32"/>
        <v>#N/A</v>
      </c>
      <c r="CN42" s="44" t="e">
        <f t="shared" si="10"/>
        <v>#N/A</v>
      </c>
      <c r="CO42" s="36">
        <f>IF(ISNA(VLOOKUP(A42,'Données projet'!$A$165:$I$185,3,0)),0,VLOOKUP(A42,'Données projet'!$A$165:$I$185,3,0))</f>
        <v>0</v>
      </c>
      <c r="CP42" s="36">
        <f>IF(ISNA(VLOOKUP(A42,'Données projet'!$A$165:$I$185,4,0)),0,VLOOKUP(A42,'Données projet'!$A$165:$I$185,4,0))</f>
        <v>0</v>
      </c>
      <c r="CQ42" s="37">
        <f>IF(ISNA(VLOOKUP(A42,'Données projet'!$A$165:$I$185,5,0)),0%,VLOOKUP(A42,'Données projet'!$A$165:$I$185,5,0)*VLOOKUP('Données projet'!$B$14,Paramètres!$A$1:$I$88,7,0))</f>
        <v>0</v>
      </c>
      <c r="CR42" s="37">
        <f>IF(ISNA(VLOOKUP(A42,'Données projet'!$A$165:$I$185,6,0)),0%,VLOOKUP(A42,'Données projet'!$A$165:$I$185,6,0)*VLOOKUP('Données projet'!$B$14,Paramètres!$A$1:$I$88,7,0))</f>
        <v>0</v>
      </c>
      <c r="CS42" s="37">
        <f>IF(ISNA(VLOOKUP(A42,'Données projet'!$A$165:$I$185,7,0)),0%,VLOOKUP(A42,'Données projet'!$A$165:$I$185,7,0))</f>
        <v>0</v>
      </c>
      <c r="CT42" s="45">
        <f>EXP(-LN(2)/35)*CT41+(1-EXP(-LN(2)/35))/(LN(2)/35)*CP42*CQ42*VLOOKUP('Données projet'!$B$9,Paramètres!$A$1:$I$88,3,0)*0.475*44/12</f>
        <v>0</v>
      </c>
      <c r="CU42" s="45">
        <f>EXP(-LN(2)/25)*CU41+(1-EXP(-LN(2)/25))/(LN(2)/25)*Calculateur!CP42*Calculateur!CR42*VLOOKUP('Données projet'!$B$9,Paramètres!$A$1:$I$88,3,0)*0.475*44/12</f>
        <v>0</v>
      </c>
      <c r="CV42" s="45">
        <f>EXP(-LN(2)/2)*CV41+(1-EXP(-LN(2)/2))/(LN(2)/2)*CP42*CS42*VLOOKUP('Données projet'!$B$9,Paramètres!$A$1:$I$88,3,0)*0.475*44/12</f>
        <v>0</v>
      </c>
      <c r="CW42" s="46">
        <f t="shared" si="11"/>
        <v>0</v>
      </c>
      <c r="CX42" s="32" t="e">
        <f>VLOOKUP(A42,'Données projet'!$A$191:$I$211,2,0)</f>
        <v>#N/A</v>
      </c>
      <c r="CY42" s="33" t="e">
        <f>VLOOKUP(A42,'Données projet'!$A$191:$I$211,9,0)</f>
        <v>#N/A</v>
      </c>
      <c r="CZ42" s="33">
        <f t="array" ref="CZ42">INDEX(CY:CY,MIN(IF(ISNUMBER(CY42:CY238),ROW(CY42:CY238),"")))</f>
        <v>0</v>
      </c>
      <c r="DA42" s="33">
        <f t="shared" si="33"/>
        <v>0</v>
      </c>
      <c r="DB42" s="38" t="e">
        <f>DA42*VLOOKUP('Données projet'!$B$15,Paramètres!$A$1:$I$88,3,0)*VLOOKUP('Données projet'!$B$15,Paramètres!$A$1:$I$88,5,0)</f>
        <v>#N/A</v>
      </c>
      <c r="DC42" s="34" t="e">
        <f t="shared" si="34"/>
        <v>#N/A</v>
      </c>
      <c r="DD42" s="44" t="e">
        <f t="shared" si="12"/>
        <v>#N/A</v>
      </c>
      <c r="DE42" s="36">
        <f>IF(ISNA(VLOOKUP(A42,'Données projet'!$A$191:$I$211,3,0)),0,VLOOKUP(A42,'Données projet'!$A$191:$I$211,3,0))</f>
        <v>0</v>
      </c>
      <c r="DF42" s="36">
        <f>IF(ISNA(VLOOKUP(A42,'Données projet'!$A$191:$I$211,4,0)),0,VLOOKUP(A42,'Données projet'!$A$191:$I$211,4,0))</f>
        <v>0</v>
      </c>
      <c r="DG42" s="37">
        <f>IF(ISNA(VLOOKUP(A42,'Données projet'!$A$191:$I$211,5,0)),0%,VLOOKUP(A42,'Données projet'!$A$191:$I$211,5,0)*VLOOKUP('Données projet'!$B$15,Paramètres!$A$1:$I$88,7,0))</f>
        <v>0</v>
      </c>
      <c r="DH42" s="37">
        <f>IF(ISNA(VLOOKUP(A42,'Données projet'!$A$191:$I$211,6,0)),0%,VLOOKUP(A42,'Données projet'!$A$191:$I$211,6,0)*VLOOKUP('Données projet'!$B$15,Paramètres!$A$1:$I$88,7,0))</f>
        <v>0</v>
      </c>
      <c r="DI42" s="37">
        <f>IF(ISNA(VLOOKUP(A42,'Données projet'!$A$191:$I$211,7,0)),0%,VLOOKUP(A42,'Données projet'!$A$191:$I$211,7,0))</f>
        <v>0</v>
      </c>
      <c r="DJ42" s="45">
        <f>EXP(-LN(2)/35)*DJ41+(1-EXP(-LN(2)/35))/(LN(2)/35)*DF42*DG42*VLOOKUP('Données projet'!$B$9,Paramètres!$A$1:$I$88,3,0)*0.475*44/12</f>
        <v>0</v>
      </c>
      <c r="DK42" s="45">
        <f>EXP(-LN(2)/25)*DK41+(1-EXP(-LN(2)/25))/(LN(2)/25)*Calculateur!DF42*Calculateur!DH42*VLOOKUP('Données projet'!$B$9,Paramètres!$A$1:$I$88,3,0)*0.475*44/12</f>
        <v>0</v>
      </c>
      <c r="DL42" s="45">
        <f>EXP(-LN(2)/2)*DL41+(1-EXP(-LN(2)/2))/(LN(2)/2)*DF42*DI42*VLOOKUP('Données projet'!$B$9,Paramètres!$A$1:$I$88,3,0)*0.475*44/12</f>
        <v>0</v>
      </c>
      <c r="DM42" s="46">
        <f t="shared" si="13"/>
        <v>0</v>
      </c>
      <c r="DN42" s="32" t="e">
        <f>VLOOKUP(A42,'Données projet'!$A$217:$I$237,2,0)</f>
        <v>#N/A</v>
      </c>
      <c r="DO42" s="33" t="e">
        <f>VLOOKUP(A42,'Données projet'!$A$217:$I$237,9,0)</f>
        <v>#N/A</v>
      </c>
      <c r="DP42" s="33">
        <f t="array" ref="DP42">INDEX(DO:DO,MIN(IF(ISNUMBER(DO42:DO238),ROW(DO42:DO238),"")))</f>
        <v>0</v>
      </c>
      <c r="DQ42" s="33">
        <f t="shared" si="35"/>
        <v>0</v>
      </c>
      <c r="DR42" s="38" t="e">
        <f>DQ42*VLOOKUP('Données projet'!$B$16,Paramètres!$A$1:$I$88,3,0)*VLOOKUP('Données projet'!$B$16,Paramètres!$A$1:$I$88,5,0)</f>
        <v>#N/A</v>
      </c>
      <c r="DS42" s="34" t="e">
        <f t="shared" si="36"/>
        <v>#N/A</v>
      </c>
      <c r="DT42" s="44" t="e">
        <f t="shared" si="14"/>
        <v>#N/A</v>
      </c>
      <c r="DU42" s="36">
        <f>IF(ISNA(VLOOKUP(A42,'Données projet'!$A$217:$I$237,3,0)),0,VLOOKUP(A42,'Données projet'!$A$217:$I$237,3,0))</f>
        <v>0</v>
      </c>
      <c r="DV42" s="36">
        <f>IF(ISNA(VLOOKUP(A42,'Données projet'!$A$217:$I$237,4,0)),0,VLOOKUP(A42,'Données projet'!$A$217:$I$237,4,0))</f>
        <v>0</v>
      </c>
      <c r="DW42" s="37">
        <f>IF(ISNA(VLOOKUP(A42,'Données projet'!$A$217:$I$237,5,0)),0%,VLOOKUP(A42,'Données projet'!$A$217:$I$237,5,0)*VLOOKUP('Données projet'!$B$16,Paramètres!$A$1:$I$88,7,0))</f>
        <v>0</v>
      </c>
      <c r="DX42" s="37">
        <f>IF(ISNA(VLOOKUP(A42,'Données projet'!$A$217:$I$237,6,0)),0%,VLOOKUP(A42,'Données projet'!$A$217:$I$237,6,0)*VLOOKUP('Données projet'!$B$16,Paramètres!$A$1:$I$88,7,0))</f>
        <v>0</v>
      </c>
      <c r="DY42" s="37">
        <f>IF(ISNA(VLOOKUP(A42,'Données projet'!$A$217:$I$237,7,0)),0%,VLOOKUP(A42,'Données projet'!$A$217:$I$237,7,0))</f>
        <v>0</v>
      </c>
      <c r="DZ42" s="45">
        <f>EXP(-LN(2)/35)*DZ41+(1-EXP(-LN(2)/35))/(LN(2)/35)*DV42*DW42*VLOOKUP('Données projet'!$B$9,Paramètres!$A$1:$I$88,3,0)*0.475*44/12</f>
        <v>0</v>
      </c>
      <c r="EA42" s="45">
        <f>EXP(-LN(2)/25)*EA41+(1-EXP(-LN(2)/25))/(LN(2)/25)*Calculateur!DV42*Calculateur!DX42*VLOOKUP('Données projet'!$B$9,Paramètres!$A$1:$I$88,3,0)*0.475*44/12</f>
        <v>0</v>
      </c>
      <c r="EB42" s="45">
        <f>EXP(-LN(2)/2)*EB41+(1-EXP(-LN(2)/2))/(LN(2)/2)*DV42*DY42*VLOOKUP('Données projet'!$B$9,Paramètres!$A$1:$I$88,3,0)*0.475*44/12</f>
        <v>0</v>
      </c>
      <c r="EC42" s="46">
        <f t="shared" si="15"/>
        <v>0</v>
      </c>
      <c r="ED42" s="32" t="e">
        <f>VLOOKUP(A42,'Données projet'!$A$243:$I$263,2,0)</f>
        <v>#N/A</v>
      </c>
      <c r="EE42" s="33" t="e">
        <f>VLOOKUP(A42,'Données projet'!$A$243:$I$263,9,0)</f>
        <v>#N/A</v>
      </c>
      <c r="EF42" s="33">
        <f t="array" ref="EF42">INDEX(EE:EE,MIN(IF(ISNUMBER(EE42:EE238),ROW(EE42:EE238),"")))</f>
        <v>0</v>
      </c>
      <c r="EG42" s="33">
        <f t="shared" si="37"/>
        <v>0</v>
      </c>
      <c r="EH42" s="38" t="e">
        <f>EG42*VLOOKUP('Données projet'!$B$17,Paramètres!$A$1:$I$88,3,0)*VLOOKUP('Données projet'!$B$17,Paramètres!$A$1:$I$88,5,0)</f>
        <v>#N/A</v>
      </c>
      <c r="EI42" s="34" t="e">
        <f t="shared" si="38"/>
        <v>#N/A</v>
      </c>
      <c r="EJ42" s="44" t="e">
        <f t="shared" si="16"/>
        <v>#N/A</v>
      </c>
      <c r="EK42" s="36">
        <f>IF(ISNA(VLOOKUP(A42,'Données projet'!$A$243:$I$263,3,0)),0,VLOOKUP(A42,'Données projet'!$A$243:$I$263,3,0))</f>
        <v>0</v>
      </c>
      <c r="EL42" s="36">
        <f>IF(ISNA(VLOOKUP(A42,'Données projet'!$A$243:$I$263,4,0)),0,VLOOKUP(A42,'Données projet'!$A$243:$I$263,4,0))</f>
        <v>0</v>
      </c>
      <c r="EM42" s="37">
        <f>IF(ISNA(VLOOKUP(A42,'Données projet'!$A$243:$I$263,5,0)),0%,VLOOKUP(A42,'Données projet'!$A$243:$I$263,5,0)*VLOOKUP('Données projet'!$B$17,Paramètres!$A$1:$I$88,7,0))</f>
        <v>0</v>
      </c>
      <c r="EN42" s="37">
        <f>IF(ISNA(VLOOKUP(A42,'Données projet'!$A$243:$I$263,6,0)),0%,VLOOKUP(A42,'Données projet'!$A$243:$I$263,6,0)*VLOOKUP('Données projet'!$B$17,Paramètres!$A$1:$I$88,7,0))</f>
        <v>0</v>
      </c>
      <c r="EO42" s="37">
        <f>IF(ISNA(VLOOKUP(A42,'Données projet'!$A$243:$I$263,7,0)),0%,VLOOKUP(A42,'Données projet'!$A$243:$I$263,7,0))</f>
        <v>0</v>
      </c>
      <c r="EP42" s="45">
        <f>EXP(-LN(2)/35)*EP41+(1-EXP(-LN(2)/35))/(LN(2)/35)*EL42*EM42*VLOOKUP('Données projet'!$B$9,Paramètres!$A$1:$I$88,3,0)*0.475*44/12</f>
        <v>0</v>
      </c>
      <c r="EQ42" s="45">
        <f>EXP(-LN(2)/25)*EQ41+(1-EXP(-LN(2)/25))/(LN(2)/25)*Calculateur!EL42*Calculateur!EN42*VLOOKUP('Données projet'!$B$9,Paramètres!$A$1:$I$88,3,0)*0.475*44/12</f>
        <v>0</v>
      </c>
      <c r="ER42" s="45">
        <f>EXP(-LN(2)/2)*ER41+(1-EXP(-LN(2)/2))/(LN(2)/2)*EL42*EO42*VLOOKUP('Données projet'!$B$9,Paramètres!$A$1:$I$88,3,0)*0.475*44/12</f>
        <v>0</v>
      </c>
      <c r="ES42" s="46">
        <f t="shared" si="17"/>
        <v>0</v>
      </c>
      <c r="ET42" s="32" t="e">
        <f>VLOOKUP(A42,'Données projet'!$A$269:$I$289,2,0)</f>
        <v>#N/A</v>
      </c>
      <c r="EU42" s="33" t="e">
        <f>VLOOKUP(A42,'Données projet'!$A$269:$I$289,9,0)</f>
        <v>#N/A</v>
      </c>
      <c r="EV42" s="33">
        <f t="array" ref="EV42">INDEX(EU:EU,MIN(IF(ISNUMBER(EU42:EU238),ROW(EU42:EU238),"")))</f>
        <v>0</v>
      </c>
      <c r="EW42" s="33">
        <f t="shared" si="39"/>
        <v>0</v>
      </c>
      <c r="EX42" s="38" t="e">
        <f>EW42*VLOOKUP('Données projet'!$B$18,Paramètres!$A$1:$I$88,3,0)*VLOOKUP('Données projet'!$B$18,Paramètres!$A$1:$I$88,5,0)</f>
        <v>#N/A</v>
      </c>
      <c r="EY42" s="34" t="e">
        <f t="shared" si="40"/>
        <v>#N/A</v>
      </c>
      <c r="EZ42" s="44" t="e">
        <f t="shared" si="18"/>
        <v>#N/A</v>
      </c>
      <c r="FA42" s="36">
        <f>IF(ISNA(VLOOKUP(A42,'Données projet'!$A$269:$I$289,3,0)),0,VLOOKUP(A42,'Données projet'!$A$269:$I$289,3,0))</f>
        <v>0</v>
      </c>
      <c r="FB42" s="36">
        <f>IF(ISNA(VLOOKUP(A42,'Données projet'!$A$269:$I$289,4,0)),0,VLOOKUP(A42,'Données projet'!$A$269:$I$289,4,0))</f>
        <v>0</v>
      </c>
      <c r="FC42" s="37">
        <f>IF(ISNA(VLOOKUP(A42,'Données projet'!$A$269:$I$289,5,0)),0%,VLOOKUP(A42,'Données projet'!$A$269:$I$289,5,0)*VLOOKUP('Données projet'!$B$18,Paramètres!$A$1:$I$88,7,0))</f>
        <v>0</v>
      </c>
      <c r="FD42" s="37">
        <f>IF(ISNA(VLOOKUP(A42,'Données projet'!$A$269:$I$289,6,0)),0%,VLOOKUP(A42,'Données projet'!$A$269:$I$289,6,0)*VLOOKUP('Données projet'!$B$18,Paramètres!$A$1:$I$88,7,0))</f>
        <v>0</v>
      </c>
      <c r="FE42" s="37">
        <f>IF(ISNA(VLOOKUP(A42,'Données projet'!$A$269:$I$289,7,0)),0%,VLOOKUP(A42,'Données projet'!$A$269:$I$289,7,0))</f>
        <v>0</v>
      </c>
      <c r="FF42" s="45">
        <f>EXP(-LN(2)/35)*FF41+(1-EXP(-LN(2)/35))/(LN(2)/35)*FB42*FC42*VLOOKUP('Données projet'!$B$9,Paramètres!$A$1:$I$88,3,0)*0.475*44/12</f>
        <v>0</v>
      </c>
      <c r="FG42" s="45">
        <f>EXP(-LN(2)/25)*FG41+(1-EXP(-LN(2)/25))/(LN(2)/25)*Calculateur!FB42*Calculateur!FD42*VLOOKUP('Données projet'!$B$9,Paramètres!$A$1:$I$88,3,0)*0.475*44/12</f>
        <v>0</v>
      </c>
      <c r="FH42" s="45">
        <f>EXP(-LN(2)/2)*FH41+(1-EXP(-LN(2)/2))/(LN(2)/2)*FB42*FE42*VLOOKUP('Données projet'!$B$9,Paramètres!$A$1:$I$88,3,0)*0.475*44/12</f>
        <v>0</v>
      </c>
      <c r="FI42" s="46">
        <f t="shared" si="19"/>
        <v>0</v>
      </c>
    </row>
    <row r="43" spans="1:165" x14ac:dyDescent="0.25">
      <c r="A43" s="24">
        <f t="shared" si="20"/>
        <v>40</v>
      </c>
      <c r="B43" s="25">
        <f>IF('Scénario référence'!$N$1=1,5,0)</f>
        <v>0</v>
      </c>
      <c r="C43" s="40">
        <f>IF(OR('Scénario référence'!$N$1=2,'Scénario référence'!$N$1=4),C42+1*VLOOKUP('Scénario référence'!$G$14,Paramètres!$A$1:$I$88,3,0)*VLOOKUP('Scénario référence'!$G$14,Paramètres!$A$1:$I$88,5,0),IF(OR('Scénario référence'!$N$1=3,'Scénario référence'!$N$1=5),C42+0.5*VLOOKUP('Scénario référence'!$G$14,Paramètres!$A$1:$I$88,3,0)*VLOOKUP('Scénario référence'!$G$14,Paramètres!$A$1:$I$88,5,0),0))</f>
        <v>21.839999999999989</v>
      </c>
      <c r="D43" s="26">
        <f t="shared" si="21"/>
        <v>7.0293584875852577</v>
      </c>
      <c r="E43" s="27">
        <f>IF('Scénario référence'!$N$1=1,B43*44/12,(C43+D43)*0.475*44/12)</f>
        <v>50.280799365877634</v>
      </c>
      <c r="F43" s="28">
        <f>VLOOKUP(A43,'Données projet'!$A$35:$I$55,2,0)</f>
        <v>137</v>
      </c>
      <c r="G43" s="28">
        <f>VLOOKUP(A43,'Données projet'!$A$35:$I$55,9,0)</f>
        <v>7.8</v>
      </c>
      <c r="H43" s="33">
        <f t="array" ref="H43">INDEX(G:G,MIN(IF(ISNUMBER(G43:G239),ROW(G43:G239),"")))</f>
        <v>7.8</v>
      </c>
      <c r="I43" s="28">
        <f t="shared" si="22"/>
        <v>137.00000000000003</v>
      </c>
      <c r="J43" s="41">
        <f>I43*VLOOKUP('Données projet'!$B$9,Paramètres!$A$1:$I$88,3,0)*VLOOKUP('Données projet'!$B$9,Paramètres!$A$1:$I$88,5,0)</f>
        <v>138.91800000000003</v>
      </c>
      <c r="K43" s="41">
        <f t="shared" si="23"/>
        <v>36.049022673886341</v>
      </c>
      <c r="L43" s="42">
        <f t="shared" si="0"/>
        <v>304.73423115701877</v>
      </c>
      <c r="M43" s="30">
        <f>IF(ISNA(VLOOKUP(A43,'Données projet'!$A$35:$I$55,3,0)),0,VLOOKUP(A43,'Données projet'!$A$35:$I$55,3,0))</f>
        <v>0</v>
      </c>
      <c r="N43" s="30">
        <f>IF(ISNA(VLOOKUP(A43,'Données projet'!$A$35:$I$55,4,0)),0,VLOOKUP(A43,'Données projet'!$A$35:$I$55,4,0))</f>
        <v>0</v>
      </c>
      <c r="O43" s="31">
        <f>IF(ISNA(VLOOKUP(A43,'Données projet'!$A$35:$I$55,5,0)),0%,VLOOKUP(A43,'Données projet'!$A$35:$I$55,5,0)*VLOOKUP('Données projet'!$B$9,Paramètres!$A$1:$I$88,7,0))</f>
        <v>0</v>
      </c>
      <c r="P43" s="31">
        <f>IF(ISNA(VLOOKUP(A43,'Données projet'!$A$35:$I$55,6,0)),0%,VLOOKUP(A43,'Données projet'!$A$35:$I$55,6,0)*VLOOKUP('Données projet'!$B$9,Paramètres!$A$1:$I$88,7,0))</f>
        <v>0</v>
      </c>
      <c r="Q43" s="31">
        <f>IF(ISNA(VLOOKUP(A43,'Données projet'!$A$35:$I$55,7,0)),0%,VLOOKUP(A43,'Données projet'!$A$35:$I$55,7,0))</f>
        <v>0</v>
      </c>
      <c r="R43" s="43">
        <f>EXP(-LN(2)/35)*R42+(1-EXP(-LN(2)/35))/(LN(2)/35)*N43*O43*VLOOKUP('Données projet'!$B$9,Paramètres!$A$1:$I$88,3,0)*0.475*44/12</f>
        <v>0</v>
      </c>
      <c r="S43" s="43">
        <f>EXP(-LN(2)/25)*S42+(1-EXP(-LN(2)/25))/(LN(2)/25)*Calculateur!N43*Calculateur!P43*VLOOKUP('Données projet'!$B$9,Paramètres!$A$1:$I$88,3,0)*0.475*44/12</f>
        <v>0</v>
      </c>
      <c r="T43" s="43">
        <f>EXP(-LN(2)/2)*T42+(1-EXP(-LN(2)/2))/(LN(2)/2)*N43*Q43*VLOOKUP('Données projet'!$B$9,Paramètres!$A$1:$I$88,3,0)*0.475*44/12</f>
        <v>0</v>
      </c>
      <c r="U43" s="43">
        <f t="shared" si="1"/>
        <v>0</v>
      </c>
      <c r="V43" s="32" t="e">
        <f>VLOOKUP(A43,'Données projet'!$A$61:$I$81,2,0)</f>
        <v>#N/A</v>
      </c>
      <c r="W43" s="33" t="e">
        <f>VLOOKUP(A43,'Données projet'!$A$61:$I$81,9,0)</f>
        <v>#N/A</v>
      </c>
      <c r="X43" s="33">
        <f t="array" ref="X43">INDEX(W:W,MIN(IF(ISNUMBER(W43:W239),ROW(W43:W239),"")))</f>
        <v>0</v>
      </c>
      <c r="Y43" s="33">
        <f t="shared" si="24"/>
        <v>0</v>
      </c>
      <c r="Z43" s="34" t="e">
        <f>Y43*VLOOKUP('Données projet'!$B$10,Paramètres!$A$1:$I$88,3,0)*VLOOKUP('Données projet'!$B$10,Paramètres!$A$1:$I$88,5,0)</f>
        <v>#N/A</v>
      </c>
      <c r="AA43" s="34" t="e">
        <f t="shared" si="25"/>
        <v>#N/A</v>
      </c>
      <c r="AB43" s="44" t="e">
        <f t="shared" si="2"/>
        <v>#N/A</v>
      </c>
      <c r="AC43" s="36">
        <f>IF(ISNA(VLOOKUP(A43,'Données projet'!$A$61:$I$81,3,0)),0,VLOOKUP(A43,'Données projet'!$A$61:$I$81,3,0))</f>
        <v>0</v>
      </c>
      <c r="AD43" s="36">
        <f>IF(ISNA(VLOOKUP(A43,'Données projet'!$A$61:$I$81,4,0)),0,VLOOKUP(A43,'Données projet'!$A$61:$I$81,4,0))</f>
        <v>0</v>
      </c>
      <c r="AE43" s="37">
        <f>IF(ISNA(VLOOKUP(A43,'Données projet'!$A$61:$I$81,5,0)),0%,VLOOKUP(A43,'Données projet'!$A$61:$I$81,5,0)*VLOOKUP('Données projet'!$B$10,Paramètres!$A$1:$I$88,7,0))</f>
        <v>0</v>
      </c>
      <c r="AF43" s="37">
        <f>IF(ISNA(VLOOKUP(A43,'Données projet'!$A$61:$I$81,6,0)),0%,VLOOKUP(A43,'Données projet'!$A$61:$I$81,6,0)*VLOOKUP('Données projet'!$B$10,Paramètres!$A$1:$I$88,7,0))</f>
        <v>0</v>
      </c>
      <c r="AG43" s="37">
        <f>IF(ISNA(VLOOKUP(A43,'Données projet'!$A$61:$I$81,7,0)),0%,VLOOKUP(A43,'Données projet'!$A$61:$I$81,7,0))</f>
        <v>0</v>
      </c>
      <c r="AH43" s="45">
        <f>EXP(-LN(2)/35)*AH42+(1-EXP(-LN(2)/35))/(LN(2)/35)*AD43*AE43*VLOOKUP('Données projet'!$B$9,Paramètres!$A$1:$I$88,3,0)*0.475*44/12</f>
        <v>0</v>
      </c>
      <c r="AI43" s="45">
        <f>EXP(-LN(2)/25)*AI42+(1-EXP(-LN(2)/25))/(LN(2)/25)*Calculateur!AD43*Calculateur!AF43*VLOOKUP('Données projet'!$B$9,Paramètres!$A$1:$I$88,3,0)*0.475*44/12</f>
        <v>0</v>
      </c>
      <c r="AJ43" s="45">
        <f>EXP(-LN(2)/2)*AJ42+(1-EXP(-LN(2)/2))/(LN(2)/2)*AD43*AG43*VLOOKUP('Données projet'!$B$9,Paramètres!$A$1:$I$88,3,0)*0.475*44/12</f>
        <v>0</v>
      </c>
      <c r="AK43" s="45">
        <f t="shared" si="3"/>
        <v>0</v>
      </c>
      <c r="AL43" s="32" t="e">
        <f>VLOOKUP(A43,'Données projet'!$A$87:$I$107,2,0)</f>
        <v>#N/A</v>
      </c>
      <c r="AM43" s="33" t="e">
        <f>VLOOKUP(A43,'Données projet'!$A$87:$I$107,9,0)</f>
        <v>#N/A</v>
      </c>
      <c r="AN43" s="33">
        <f t="array" ref="AN43">INDEX(AM:AM,MIN(IF(ISNUMBER(AM43:AM239),ROW(AM43:AM239),"")))</f>
        <v>0</v>
      </c>
      <c r="AO43" s="33">
        <f t="shared" si="26"/>
        <v>0</v>
      </c>
      <c r="AP43" s="34" t="e">
        <f>AO43*VLOOKUP('Données projet'!$B$11,Paramètres!$A$1:$I$88,3,0)*VLOOKUP('Données projet'!$B$11,Paramètres!$A$1:$I$88,5,0)</f>
        <v>#N/A</v>
      </c>
      <c r="AQ43" s="34" t="e">
        <f t="shared" si="27"/>
        <v>#N/A</v>
      </c>
      <c r="AR43" s="44" t="e">
        <f t="shared" si="4"/>
        <v>#N/A</v>
      </c>
      <c r="AS43" s="36">
        <f>IF(ISNA(VLOOKUP(A43,'Données projet'!$A$87:$I$107,3,0)),0,VLOOKUP(A43,'Données projet'!$A$87:$I$107,3,0))</f>
        <v>0</v>
      </c>
      <c r="AT43" s="36">
        <f>IF(ISNA(VLOOKUP(A43,'Données projet'!$A$87:$I$107,4,0)),0,VLOOKUP(A43,'Données projet'!$A$87:$I$107,4,0))</f>
        <v>0</v>
      </c>
      <c r="AU43" s="37">
        <f>IF(ISNA(VLOOKUP(A43,'Données projet'!$A$87:$I$107,5,0)),0%,VLOOKUP(A43,'Données projet'!$A$87:$I$107,5,0)*VLOOKUP('Données projet'!$B$11,Paramètres!$A$1:$I$88,7,0))</f>
        <v>0</v>
      </c>
      <c r="AV43" s="37">
        <f>IF(ISNA(VLOOKUP(A43,'Données projet'!$A$87:$I$107,6,0)),0%,VLOOKUP(A43,'Données projet'!$A$87:$I$107,6,0)*VLOOKUP('Données projet'!$B$11,Paramètres!$A$1:$I$88,7,0))</f>
        <v>0</v>
      </c>
      <c r="AW43" s="37">
        <f>IF(ISNA(VLOOKUP(A43,'Données projet'!$A$87:$I$107,7,0)),0%,VLOOKUP(A43,'Données projet'!$A$87:$I$107,7,0))</f>
        <v>0</v>
      </c>
      <c r="AX43" s="45">
        <f>EXP(-LN(2)/35)*AX42+(1-EXP(-LN(2)/35))/(LN(2)/35)*AT43*AU43*VLOOKUP('Données projet'!$B$9,Paramètres!$A$1:$I$88,3,0)*0.475*44/12</f>
        <v>0</v>
      </c>
      <c r="AY43" s="45">
        <f>EXP(-LN(2)/25)*AY42+(1-EXP(-LN(2)/25))/(LN(2)/25)*Calculateur!AT43*Calculateur!AV43*VLOOKUP('Données projet'!$B$9,Paramètres!$A$1:$I$88,3,0)*0.475*44/12</f>
        <v>0</v>
      </c>
      <c r="AZ43" s="45">
        <f>EXP(-LN(2)/2)*AZ42+(1-EXP(-LN(2)/2))/(LN(2)/2)*AT43*AW43*VLOOKUP('Données projet'!$B$9,Paramètres!$A$1:$I$88,3,0)*0.475*44/12</f>
        <v>0</v>
      </c>
      <c r="BA43" s="46">
        <f t="shared" si="5"/>
        <v>0</v>
      </c>
      <c r="BB43" s="32" t="e">
        <f>VLOOKUP(A43,'Données projet'!$A$113:$I$133,2,0)</f>
        <v>#N/A</v>
      </c>
      <c r="BC43" s="33" t="e">
        <f>VLOOKUP(A43,'Données projet'!$A$113:$I$133,9,0)</f>
        <v>#N/A</v>
      </c>
      <c r="BD43" s="33">
        <f t="array" ref="BD43">INDEX(BC:BC,MIN(IF(ISNUMBER(BC43:BC239),ROW(BC43:BC239),"")))</f>
        <v>0</v>
      </c>
      <c r="BE43" s="33">
        <f t="shared" si="28"/>
        <v>0</v>
      </c>
      <c r="BF43" s="34" t="e">
        <f>BE43*VLOOKUP('Données projet'!$B$12,Paramètres!$A$1:$I$88,3,0)*VLOOKUP('Données projet'!$B$12,Paramètres!$A$1:$I$88,5,0)</f>
        <v>#N/A</v>
      </c>
      <c r="BG43" s="34" t="e">
        <f t="shared" si="29"/>
        <v>#N/A</v>
      </c>
      <c r="BH43" s="44" t="e">
        <f t="shared" si="6"/>
        <v>#N/A</v>
      </c>
      <c r="BI43" s="36">
        <f>IF(ISNA(VLOOKUP(A43,'Données projet'!$A$113:$I$133,3,0)),0,VLOOKUP(A43,'Données projet'!$A$113:$I$133,3,0))</f>
        <v>0</v>
      </c>
      <c r="BJ43" s="36">
        <f>IF(ISNA(VLOOKUP(A43,'Données projet'!$A$113:$I$133,4,0)),0,VLOOKUP(A43,'Données projet'!$A$113:$I$133,4,0))</f>
        <v>0</v>
      </c>
      <c r="BK43" s="37">
        <f>IF(ISNA(VLOOKUP(A43,'Données projet'!$A$113:$I$133,5,0)),0%,VLOOKUP(A43,'Données projet'!$A$113:$I$133,5,0)*VLOOKUP('Données projet'!$B$12,Paramètres!$A$1:$I$88,7,0))</f>
        <v>0</v>
      </c>
      <c r="BL43" s="37">
        <f>IF(ISNA(VLOOKUP(A43,'Données projet'!$A$113:$I$133,6,0)),0%,VLOOKUP(A43,'Données projet'!$A$113:$I$133,6,0)*VLOOKUP('Données projet'!$B$12,Paramètres!$A$1:$I$88,7,0))</f>
        <v>0</v>
      </c>
      <c r="BM43" s="37">
        <f>IF(ISNA(VLOOKUP(A43,'Données projet'!$A$113:$I$133,7,0)),0%,VLOOKUP(A43,'Données projet'!$A$113:$I$133,7,0))</f>
        <v>0</v>
      </c>
      <c r="BN43" s="45">
        <f>EXP(-LN(2)/35)*BN42+(1-EXP(-LN(2)/35))/(LN(2)/35)*BJ43*BK43*VLOOKUP('Données projet'!$B$9,Paramètres!$A$1:$I$88,3,0)*0.475*44/12</f>
        <v>0</v>
      </c>
      <c r="BO43" s="45">
        <f>EXP(-LN(2)/25)*BO42+(1-EXP(-LN(2)/25))/(LN(2)/25)*Calculateur!BJ43*Calculateur!BL43*VLOOKUP('Données projet'!$B$9,Paramètres!$A$1:$I$88,3,0)*0.475*44/12</f>
        <v>0</v>
      </c>
      <c r="BP43" s="45">
        <f>EXP(-LN(2)/2)*BP42+(1-EXP(-LN(2)/2))/(LN(2)/2)*BJ43*BM43*VLOOKUP('Données projet'!$B$9,Paramètres!$A$1:$I$88,3,0)*0.475*44/12</f>
        <v>0</v>
      </c>
      <c r="BQ43" s="46">
        <f t="shared" si="7"/>
        <v>0</v>
      </c>
      <c r="BR43" s="32" t="e">
        <f>VLOOKUP(A43,'Données projet'!$A$139:$I$159,2,0)</f>
        <v>#N/A</v>
      </c>
      <c r="BS43" s="33" t="e">
        <f>VLOOKUP(A43,'Données projet'!$A$139:$I$159,9,0)</f>
        <v>#N/A</v>
      </c>
      <c r="BT43" s="33">
        <f t="array" ref="BT43">INDEX(BS:BS,MIN(IF(ISNUMBER(BS43:BS239),ROW(BS43:BS239),"")))</f>
        <v>0</v>
      </c>
      <c r="BU43" s="33">
        <f t="shared" si="41"/>
        <v>0</v>
      </c>
      <c r="BV43" s="38" t="e">
        <f>BU43*VLOOKUP('Données projet'!$B$13,Paramètres!$A$1:$I$88,3,0)*VLOOKUP('Données projet'!$B$13,Paramètres!$A$1:$I$88,5,0)</f>
        <v>#N/A</v>
      </c>
      <c r="BW43" s="34" t="e">
        <f t="shared" si="30"/>
        <v>#N/A</v>
      </c>
      <c r="BX43" s="44" t="e">
        <f t="shared" si="8"/>
        <v>#N/A</v>
      </c>
      <c r="BY43" s="36">
        <f>IF(ISNA(VLOOKUP(A43,'Données projet'!$A$139:$I$159,3,0)),0,VLOOKUP(A43,'Données projet'!$A$139:$I$159,3,0))</f>
        <v>0</v>
      </c>
      <c r="BZ43" s="36">
        <f>IF(ISNA(VLOOKUP(A43,'Données projet'!$A$139:$I$159,4,0)),0,VLOOKUP(A43,'Données projet'!$A$139:$I$159,4,0))</f>
        <v>0</v>
      </c>
      <c r="CA43" s="37">
        <f>IF(ISNA(VLOOKUP(A43,'Données projet'!$A$139:$I$159,5,0)),0%,VLOOKUP(A43,'Données projet'!$A$139:$I$159,5,0)*VLOOKUP('Données projet'!$B$13,Paramètres!$A$1:$I$88,7,0))</f>
        <v>0</v>
      </c>
      <c r="CB43" s="37">
        <f>IF(ISNA(VLOOKUP(A43,'Données projet'!$A$139:$I$159,6,0)),0%,VLOOKUP(A43,'Données projet'!$A$139:$I$159,6,0)*VLOOKUP('Données projet'!$B$13,Paramètres!$A$1:$I$88,7,0))</f>
        <v>0</v>
      </c>
      <c r="CC43" s="37">
        <f>IF(ISNA(VLOOKUP(A43,'Données projet'!$A$139:$I$159,7,0)),0%,VLOOKUP(A43,'Données projet'!$A$139:$I$159,7,0))</f>
        <v>0</v>
      </c>
      <c r="CD43" s="45">
        <f>EXP(-LN(2)/35)*CD42+(1-EXP(-LN(2)/35))/(LN(2)/35)*BZ43*CA43*VLOOKUP('Données projet'!$B$9,Paramètres!$A$1:$I$88,3,0)*0.475*44/12</f>
        <v>0</v>
      </c>
      <c r="CE43" s="45">
        <f>EXP(-LN(2)/25)*CE42+(1-EXP(-LN(2)/25))/(LN(2)/25)*Calculateur!BZ43*Calculateur!CB43*VLOOKUP('Données projet'!$B$9,Paramètres!$A$1:$I$88,3,0)*0.475*44/12</f>
        <v>0</v>
      </c>
      <c r="CF43" s="45">
        <f>EXP(-LN(2)/2)*CF42+(1-EXP(-LN(2)/2))/(LN(2)/2)*BZ43*CC43*VLOOKUP('Données projet'!$B$9,Paramètres!$A$1:$I$88,3,0)*0.475*44/12</f>
        <v>0</v>
      </c>
      <c r="CG43" s="46">
        <f t="shared" si="9"/>
        <v>0</v>
      </c>
      <c r="CH43" s="32" t="e">
        <f>VLOOKUP(A43,'Données projet'!$A$165:$I$185,2,0)</f>
        <v>#N/A</v>
      </c>
      <c r="CI43" s="33" t="e">
        <f>VLOOKUP(A43,'Données projet'!$A$165:$I$185,9,0)</f>
        <v>#N/A</v>
      </c>
      <c r="CJ43" s="33">
        <f t="array" ref="CJ43">INDEX(CI:CI,MIN(IF(ISNUMBER(CI43:CI239),ROW(CI43:CI239),"")))</f>
        <v>0</v>
      </c>
      <c r="CK43" s="33">
        <f t="shared" si="31"/>
        <v>0</v>
      </c>
      <c r="CL43" s="38" t="e">
        <f>CK43*VLOOKUP('Données projet'!$B$14,Paramètres!$A$1:$I$88,3,0)*VLOOKUP('Données projet'!$B$14,Paramètres!$A$1:$I$88,5,0)</f>
        <v>#N/A</v>
      </c>
      <c r="CM43" s="34" t="e">
        <f t="shared" si="32"/>
        <v>#N/A</v>
      </c>
      <c r="CN43" s="44" t="e">
        <f t="shared" si="10"/>
        <v>#N/A</v>
      </c>
      <c r="CO43" s="36">
        <f>IF(ISNA(VLOOKUP(A43,'Données projet'!$A$165:$I$185,3,0)),0,VLOOKUP(A43,'Données projet'!$A$165:$I$185,3,0))</f>
        <v>0</v>
      </c>
      <c r="CP43" s="36">
        <f>IF(ISNA(VLOOKUP(A43,'Données projet'!$A$165:$I$185,4,0)),0,VLOOKUP(A43,'Données projet'!$A$165:$I$185,4,0))</f>
        <v>0</v>
      </c>
      <c r="CQ43" s="37">
        <f>IF(ISNA(VLOOKUP(A43,'Données projet'!$A$165:$I$185,5,0)),0%,VLOOKUP(A43,'Données projet'!$A$165:$I$185,5,0)*VLOOKUP('Données projet'!$B$14,Paramètres!$A$1:$I$88,7,0))</f>
        <v>0</v>
      </c>
      <c r="CR43" s="37">
        <f>IF(ISNA(VLOOKUP(A43,'Données projet'!$A$165:$I$185,6,0)),0%,VLOOKUP(A43,'Données projet'!$A$165:$I$185,6,0)*VLOOKUP('Données projet'!$B$14,Paramètres!$A$1:$I$88,7,0))</f>
        <v>0</v>
      </c>
      <c r="CS43" s="37">
        <f>IF(ISNA(VLOOKUP(A43,'Données projet'!$A$165:$I$185,7,0)),0%,VLOOKUP(A43,'Données projet'!$A$165:$I$185,7,0))</f>
        <v>0</v>
      </c>
      <c r="CT43" s="45">
        <f>EXP(-LN(2)/35)*CT42+(1-EXP(-LN(2)/35))/(LN(2)/35)*CP43*CQ43*VLOOKUP('Données projet'!$B$9,Paramètres!$A$1:$I$88,3,0)*0.475*44/12</f>
        <v>0</v>
      </c>
      <c r="CU43" s="45">
        <f>EXP(-LN(2)/25)*CU42+(1-EXP(-LN(2)/25))/(LN(2)/25)*Calculateur!CP43*Calculateur!CR43*VLOOKUP('Données projet'!$B$9,Paramètres!$A$1:$I$88,3,0)*0.475*44/12</f>
        <v>0</v>
      </c>
      <c r="CV43" s="45">
        <f>EXP(-LN(2)/2)*CV42+(1-EXP(-LN(2)/2))/(LN(2)/2)*CP43*CS43*VLOOKUP('Données projet'!$B$9,Paramètres!$A$1:$I$88,3,0)*0.475*44/12</f>
        <v>0</v>
      </c>
      <c r="CW43" s="46">
        <f t="shared" si="11"/>
        <v>0</v>
      </c>
      <c r="CX43" s="32" t="e">
        <f>VLOOKUP(A43,'Données projet'!$A$191:$I$211,2,0)</f>
        <v>#N/A</v>
      </c>
      <c r="CY43" s="33" t="e">
        <f>VLOOKUP(A43,'Données projet'!$A$191:$I$211,9,0)</f>
        <v>#N/A</v>
      </c>
      <c r="CZ43" s="33">
        <f t="array" ref="CZ43">INDEX(CY:CY,MIN(IF(ISNUMBER(CY43:CY239),ROW(CY43:CY239),"")))</f>
        <v>0</v>
      </c>
      <c r="DA43" s="33">
        <f t="shared" si="33"/>
        <v>0</v>
      </c>
      <c r="DB43" s="38" t="e">
        <f>DA43*VLOOKUP('Données projet'!$B$15,Paramètres!$A$1:$I$88,3,0)*VLOOKUP('Données projet'!$B$15,Paramètres!$A$1:$I$88,5,0)</f>
        <v>#N/A</v>
      </c>
      <c r="DC43" s="34" t="e">
        <f t="shared" si="34"/>
        <v>#N/A</v>
      </c>
      <c r="DD43" s="44" t="e">
        <f t="shared" si="12"/>
        <v>#N/A</v>
      </c>
      <c r="DE43" s="36">
        <f>IF(ISNA(VLOOKUP(A43,'Données projet'!$A$191:$I$211,3,0)),0,VLOOKUP(A43,'Données projet'!$A$191:$I$211,3,0))</f>
        <v>0</v>
      </c>
      <c r="DF43" s="36">
        <f>IF(ISNA(VLOOKUP(A43,'Données projet'!$A$191:$I$211,4,0)),0,VLOOKUP(A43,'Données projet'!$A$191:$I$211,4,0))</f>
        <v>0</v>
      </c>
      <c r="DG43" s="37">
        <f>IF(ISNA(VLOOKUP(A43,'Données projet'!$A$191:$I$211,5,0)),0%,VLOOKUP(A43,'Données projet'!$A$191:$I$211,5,0)*VLOOKUP('Données projet'!$B$15,Paramètres!$A$1:$I$88,7,0))</f>
        <v>0</v>
      </c>
      <c r="DH43" s="37">
        <f>IF(ISNA(VLOOKUP(A43,'Données projet'!$A$191:$I$211,6,0)),0%,VLOOKUP(A43,'Données projet'!$A$191:$I$211,6,0)*VLOOKUP('Données projet'!$B$15,Paramètres!$A$1:$I$88,7,0))</f>
        <v>0</v>
      </c>
      <c r="DI43" s="37">
        <f>IF(ISNA(VLOOKUP(A43,'Données projet'!$A$191:$I$211,7,0)),0%,VLOOKUP(A43,'Données projet'!$A$191:$I$211,7,0))</f>
        <v>0</v>
      </c>
      <c r="DJ43" s="45">
        <f>EXP(-LN(2)/35)*DJ42+(1-EXP(-LN(2)/35))/(LN(2)/35)*DF43*DG43*VLOOKUP('Données projet'!$B$9,Paramètres!$A$1:$I$88,3,0)*0.475*44/12</f>
        <v>0</v>
      </c>
      <c r="DK43" s="45">
        <f>EXP(-LN(2)/25)*DK42+(1-EXP(-LN(2)/25))/(LN(2)/25)*Calculateur!DF43*Calculateur!DH43*VLOOKUP('Données projet'!$B$9,Paramètres!$A$1:$I$88,3,0)*0.475*44/12</f>
        <v>0</v>
      </c>
      <c r="DL43" s="45">
        <f>EXP(-LN(2)/2)*DL42+(1-EXP(-LN(2)/2))/(LN(2)/2)*DF43*DI43*VLOOKUP('Données projet'!$B$9,Paramètres!$A$1:$I$88,3,0)*0.475*44/12</f>
        <v>0</v>
      </c>
      <c r="DM43" s="46">
        <f t="shared" si="13"/>
        <v>0</v>
      </c>
      <c r="DN43" s="32" t="e">
        <f>VLOOKUP(A43,'Données projet'!$A$217:$I$237,2,0)</f>
        <v>#N/A</v>
      </c>
      <c r="DO43" s="33" t="e">
        <f>VLOOKUP(A43,'Données projet'!$A$217:$I$237,9,0)</f>
        <v>#N/A</v>
      </c>
      <c r="DP43" s="33">
        <f t="array" ref="DP43">INDEX(DO:DO,MIN(IF(ISNUMBER(DO43:DO239),ROW(DO43:DO239),"")))</f>
        <v>0</v>
      </c>
      <c r="DQ43" s="33">
        <f t="shared" si="35"/>
        <v>0</v>
      </c>
      <c r="DR43" s="38" t="e">
        <f>DQ43*VLOOKUP('Données projet'!$B$16,Paramètres!$A$1:$I$88,3,0)*VLOOKUP('Données projet'!$B$16,Paramètres!$A$1:$I$88,5,0)</f>
        <v>#N/A</v>
      </c>
      <c r="DS43" s="34" t="e">
        <f t="shared" si="36"/>
        <v>#N/A</v>
      </c>
      <c r="DT43" s="44" t="e">
        <f t="shared" si="14"/>
        <v>#N/A</v>
      </c>
      <c r="DU43" s="36">
        <f>IF(ISNA(VLOOKUP(A43,'Données projet'!$A$217:$I$237,3,0)),0,VLOOKUP(A43,'Données projet'!$A$217:$I$237,3,0))</f>
        <v>0</v>
      </c>
      <c r="DV43" s="36">
        <f>IF(ISNA(VLOOKUP(A43,'Données projet'!$A$217:$I$237,4,0)),0,VLOOKUP(A43,'Données projet'!$A$217:$I$237,4,0))</f>
        <v>0</v>
      </c>
      <c r="DW43" s="37">
        <f>IF(ISNA(VLOOKUP(A43,'Données projet'!$A$217:$I$237,5,0)),0%,VLOOKUP(A43,'Données projet'!$A$217:$I$237,5,0)*VLOOKUP('Données projet'!$B$16,Paramètres!$A$1:$I$88,7,0))</f>
        <v>0</v>
      </c>
      <c r="DX43" s="37">
        <f>IF(ISNA(VLOOKUP(A43,'Données projet'!$A$217:$I$237,6,0)),0%,VLOOKUP(A43,'Données projet'!$A$217:$I$237,6,0)*VLOOKUP('Données projet'!$B$16,Paramètres!$A$1:$I$88,7,0))</f>
        <v>0</v>
      </c>
      <c r="DY43" s="37">
        <f>IF(ISNA(VLOOKUP(A43,'Données projet'!$A$217:$I$237,7,0)),0%,VLOOKUP(A43,'Données projet'!$A$217:$I$237,7,0))</f>
        <v>0</v>
      </c>
      <c r="DZ43" s="45">
        <f>EXP(-LN(2)/35)*DZ42+(1-EXP(-LN(2)/35))/(LN(2)/35)*DV43*DW43*VLOOKUP('Données projet'!$B$9,Paramètres!$A$1:$I$88,3,0)*0.475*44/12</f>
        <v>0</v>
      </c>
      <c r="EA43" s="45">
        <f>EXP(-LN(2)/25)*EA42+(1-EXP(-LN(2)/25))/(LN(2)/25)*Calculateur!DV43*Calculateur!DX43*VLOOKUP('Données projet'!$B$9,Paramètres!$A$1:$I$88,3,0)*0.475*44/12</f>
        <v>0</v>
      </c>
      <c r="EB43" s="45">
        <f>EXP(-LN(2)/2)*EB42+(1-EXP(-LN(2)/2))/(LN(2)/2)*DV43*DY43*VLOOKUP('Données projet'!$B$9,Paramètres!$A$1:$I$88,3,0)*0.475*44/12</f>
        <v>0</v>
      </c>
      <c r="EC43" s="46">
        <f t="shared" si="15"/>
        <v>0</v>
      </c>
      <c r="ED43" s="32" t="e">
        <f>VLOOKUP(A43,'Données projet'!$A$243:$I$263,2,0)</f>
        <v>#N/A</v>
      </c>
      <c r="EE43" s="33" t="e">
        <f>VLOOKUP(A43,'Données projet'!$A$243:$I$263,9,0)</f>
        <v>#N/A</v>
      </c>
      <c r="EF43" s="33">
        <f t="array" ref="EF43">INDEX(EE:EE,MIN(IF(ISNUMBER(EE43:EE239),ROW(EE43:EE239),"")))</f>
        <v>0</v>
      </c>
      <c r="EG43" s="33">
        <f t="shared" si="37"/>
        <v>0</v>
      </c>
      <c r="EH43" s="38" t="e">
        <f>EG43*VLOOKUP('Données projet'!$B$17,Paramètres!$A$1:$I$88,3,0)*VLOOKUP('Données projet'!$B$17,Paramètres!$A$1:$I$88,5,0)</f>
        <v>#N/A</v>
      </c>
      <c r="EI43" s="34" t="e">
        <f t="shared" si="38"/>
        <v>#N/A</v>
      </c>
      <c r="EJ43" s="44" t="e">
        <f t="shared" si="16"/>
        <v>#N/A</v>
      </c>
      <c r="EK43" s="36">
        <f>IF(ISNA(VLOOKUP(A43,'Données projet'!$A$243:$I$263,3,0)),0,VLOOKUP(A43,'Données projet'!$A$243:$I$263,3,0))</f>
        <v>0</v>
      </c>
      <c r="EL43" s="36">
        <f>IF(ISNA(VLOOKUP(A43,'Données projet'!$A$243:$I$263,4,0)),0,VLOOKUP(A43,'Données projet'!$A$243:$I$263,4,0))</f>
        <v>0</v>
      </c>
      <c r="EM43" s="37">
        <f>IF(ISNA(VLOOKUP(A43,'Données projet'!$A$243:$I$263,5,0)),0%,VLOOKUP(A43,'Données projet'!$A$243:$I$263,5,0)*VLOOKUP('Données projet'!$B$17,Paramètres!$A$1:$I$88,7,0))</f>
        <v>0</v>
      </c>
      <c r="EN43" s="37">
        <f>IF(ISNA(VLOOKUP(A43,'Données projet'!$A$243:$I$263,6,0)),0%,VLOOKUP(A43,'Données projet'!$A$243:$I$263,6,0)*VLOOKUP('Données projet'!$B$17,Paramètres!$A$1:$I$88,7,0))</f>
        <v>0</v>
      </c>
      <c r="EO43" s="37">
        <f>IF(ISNA(VLOOKUP(A43,'Données projet'!$A$243:$I$263,7,0)),0%,VLOOKUP(A43,'Données projet'!$A$243:$I$263,7,0))</f>
        <v>0</v>
      </c>
      <c r="EP43" s="45">
        <f>EXP(-LN(2)/35)*EP42+(1-EXP(-LN(2)/35))/(LN(2)/35)*EL43*EM43*VLOOKUP('Données projet'!$B$9,Paramètres!$A$1:$I$88,3,0)*0.475*44/12</f>
        <v>0</v>
      </c>
      <c r="EQ43" s="45">
        <f>EXP(-LN(2)/25)*EQ42+(1-EXP(-LN(2)/25))/(LN(2)/25)*Calculateur!EL43*Calculateur!EN43*VLOOKUP('Données projet'!$B$9,Paramètres!$A$1:$I$88,3,0)*0.475*44/12</f>
        <v>0</v>
      </c>
      <c r="ER43" s="45">
        <f>EXP(-LN(2)/2)*ER42+(1-EXP(-LN(2)/2))/(LN(2)/2)*EL43*EO43*VLOOKUP('Données projet'!$B$9,Paramètres!$A$1:$I$88,3,0)*0.475*44/12</f>
        <v>0</v>
      </c>
      <c r="ES43" s="46">
        <f t="shared" si="17"/>
        <v>0</v>
      </c>
      <c r="ET43" s="32" t="e">
        <f>VLOOKUP(A43,'Données projet'!$A$269:$I$289,2,0)</f>
        <v>#N/A</v>
      </c>
      <c r="EU43" s="33" t="e">
        <f>VLOOKUP(A43,'Données projet'!$A$269:$I$289,9,0)</f>
        <v>#N/A</v>
      </c>
      <c r="EV43" s="33">
        <f t="array" ref="EV43">INDEX(EU:EU,MIN(IF(ISNUMBER(EU43:EU239),ROW(EU43:EU239),"")))</f>
        <v>0</v>
      </c>
      <c r="EW43" s="33">
        <f t="shared" si="39"/>
        <v>0</v>
      </c>
      <c r="EX43" s="38" t="e">
        <f>EW43*VLOOKUP('Données projet'!$B$18,Paramètres!$A$1:$I$88,3,0)*VLOOKUP('Données projet'!$B$18,Paramètres!$A$1:$I$88,5,0)</f>
        <v>#N/A</v>
      </c>
      <c r="EY43" s="34" t="e">
        <f t="shared" si="40"/>
        <v>#N/A</v>
      </c>
      <c r="EZ43" s="44" t="e">
        <f t="shared" si="18"/>
        <v>#N/A</v>
      </c>
      <c r="FA43" s="36">
        <f>IF(ISNA(VLOOKUP(A43,'Données projet'!$A$269:$I$289,3,0)),0,VLOOKUP(A43,'Données projet'!$A$269:$I$289,3,0))</f>
        <v>0</v>
      </c>
      <c r="FB43" s="36">
        <f>IF(ISNA(VLOOKUP(A43,'Données projet'!$A$269:$I$289,4,0)),0,VLOOKUP(A43,'Données projet'!$A$269:$I$289,4,0))</f>
        <v>0</v>
      </c>
      <c r="FC43" s="37">
        <f>IF(ISNA(VLOOKUP(A43,'Données projet'!$A$269:$I$289,5,0)),0%,VLOOKUP(A43,'Données projet'!$A$269:$I$289,5,0)*VLOOKUP('Données projet'!$B$18,Paramètres!$A$1:$I$88,7,0))</f>
        <v>0</v>
      </c>
      <c r="FD43" s="37">
        <f>IF(ISNA(VLOOKUP(A43,'Données projet'!$A$269:$I$289,6,0)),0%,VLOOKUP(A43,'Données projet'!$A$269:$I$289,6,0)*VLOOKUP('Données projet'!$B$18,Paramètres!$A$1:$I$88,7,0))</f>
        <v>0</v>
      </c>
      <c r="FE43" s="37">
        <f>IF(ISNA(VLOOKUP(A43,'Données projet'!$A$269:$I$289,7,0)),0%,VLOOKUP(A43,'Données projet'!$A$269:$I$289,7,0))</f>
        <v>0</v>
      </c>
      <c r="FF43" s="45">
        <f>EXP(-LN(2)/35)*FF42+(1-EXP(-LN(2)/35))/(LN(2)/35)*FB43*FC43*VLOOKUP('Données projet'!$B$9,Paramètres!$A$1:$I$88,3,0)*0.475*44/12</f>
        <v>0</v>
      </c>
      <c r="FG43" s="45">
        <f>EXP(-LN(2)/25)*FG42+(1-EXP(-LN(2)/25))/(LN(2)/25)*Calculateur!FB43*Calculateur!FD43*VLOOKUP('Données projet'!$B$9,Paramètres!$A$1:$I$88,3,0)*0.475*44/12</f>
        <v>0</v>
      </c>
      <c r="FH43" s="45">
        <f>EXP(-LN(2)/2)*FH42+(1-EXP(-LN(2)/2))/(LN(2)/2)*FB43*FE43*VLOOKUP('Données projet'!$B$9,Paramètres!$A$1:$I$88,3,0)*0.475*44/12</f>
        <v>0</v>
      </c>
      <c r="FI43" s="46">
        <f t="shared" si="19"/>
        <v>0</v>
      </c>
    </row>
    <row r="44" spans="1:165" x14ac:dyDescent="0.25">
      <c r="A44" s="24">
        <f t="shared" si="20"/>
        <v>41</v>
      </c>
      <c r="B44" s="25">
        <f>IF('Scénario référence'!$N$1=1,5,0)</f>
        <v>0</v>
      </c>
      <c r="C44" s="40">
        <f>IF(OR('Scénario référence'!$N$1=2,'Scénario référence'!$N$1=4),C43+1*VLOOKUP('Scénario référence'!$G$14,Paramètres!$A$1:$I$88,3,0)*VLOOKUP('Scénario référence'!$G$14,Paramètres!$A$1:$I$88,5,0),IF(OR('Scénario référence'!$N$1=3,'Scénario référence'!$N$1=5),C43+0.5*VLOOKUP('Scénario référence'!$G$14,Paramètres!$A$1:$I$88,3,0)*VLOOKUP('Scénario référence'!$G$14,Paramètres!$A$1:$I$88,5,0),0))</f>
        <v>22.385999999999989</v>
      </c>
      <c r="D44" s="26">
        <f t="shared" si="21"/>
        <v>7.1844131608438397</v>
      </c>
      <c r="E44" s="27">
        <f>IF('Scénario référence'!$N$1=1,B44*44/12,(C44+D44)*0.475*44/12)</f>
        <v>51.501802921802998</v>
      </c>
      <c r="F44" s="28" t="e">
        <f>VLOOKUP(A44,'Données projet'!$A$35:$I$55,2,0)</f>
        <v>#N/A</v>
      </c>
      <c r="G44" s="28" t="e">
        <f>VLOOKUP(A44,'Données projet'!$A$35:$I$55,9,0)</f>
        <v>#N/A</v>
      </c>
      <c r="H44" s="33">
        <f t="array" ref="H44">INDEX(G:G,MIN(IF(ISNUMBER(G44:G240),ROW(G44:G240),"")))</f>
        <v>8.4</v>
      </c>
      <c r="I44" s="28">
        <f t="shared" si="22"/>
        <v>145.40000000000003</v>
      </c>
      <c r="J44" s="41">
        <f>I44*VLOOKUP('Données projet'!$B$9,Paramètres!$A$1:$I$88,3,0)*VLOOKUP('Données projet'!$B$9,Paramètres!$A$1:$I$88,5,0)</f>
        <v>147.43560000000002</v>
      </c>
      <c r="K44" s="41">
        <f t="shared" si="23"/>
        <v>37.99523294834102</v>
      </c>
      <c r="L44" s="42">
        <f t="shared" si="0"/>
        <v>322.95870071836066</v>
      </c>
      <c r="M44" s="30">
        <f>IF(ISNA(VLOOKUP(A44,'Données projet'!$A$35:$I$55,3,0)),0,VLOOKUP(A44,'Données projet'!$A$35:$I$55,3,0))</f>
        <v>0</v>
      </c>
      <c r="N44" s="30">
        <f>IF(ISNA(VLOOKUP(A44,'Données projet'!$A$35:$I$55,4,0)),0,VLOOKUP(A44,'Données projet'!$A$35:$I$55,4,0))</f>
        <v>0</v>
      </c>
      <c r="O44" s="31">
        <f>IF(ISNA(VLOOKUP(A44,'Données projet'!$A$35:$I$55,5,0)),0%,VLOOKUP(A44,'Données projet'!$A$35:$I$55,5,0)*VLOOKUP('Données projet'!$B$9,Paramètres!$A$1:$I$88,7,0))</f>
        <v>0</v>
      </c>
      <c r="P44" s="31">
        <f>IF(ISNA(VLOOKUP(A44,'Données projet'!$A$35:$I$55,6,0)),0%,VLOOKUP(A44,'Données projet'!$A$35:$I$55,6,0)*VLOOKUP('Données projet'!$B$9,Paramètres!$A$1:$I$88,7,0))</f>
        <v>0</v>
      </c>
      <c r="Q44" s="31">
        <f>IF(ISNA(VLOOKUP(A44,'Données projet'!$A$35:$I$55,7,0)),0%,VLOOKUP(A44,'Données projet'!$A$35:$I$55,7,0))</f>
        <v>0</v>
      </c>
      <c r="R44" s="43">
        <f>EXP(-LN(2)/35)*R43+(1-EXP(-LN(2)/35))/(LN(2)/35)*N44*O44*VLOOKUP('Données projet'!$B$9,Paramètres!$A$1:$I$88,3,0)*0.475*44/12</f>
        <v>0</v>
      </c>
      <c r="S44" s="43">
        <f>EXP(-LN(2)/25)*S43+(1-EXP(-LN(2)/25))/(LN(2)/25)*Calculateur!N44*Calculateur!P44*VLOOKUP('Données projet'!$B$9,Paramètres!$A$1:$I$88,3,0)*0.475*44/12</f>
        <v>0</v>
      </c>
      <c r="T44" s="43">
        <f>EXP(-LN(2)/2)*T43+(1-EXP(-LN(2)/2))/(LN(2)/2)*N44*Q44*VLOOKUP('Données projet'!$B$9,Paramètres!$A$1:$I$88,3,0)*0.475*44/12</f>
        <v>0</v>
      </c>
      <c r="U44" s="43">
        <f t="shared" si="1"/>
        <v>0</v>
      </c>
      <c r="V44" s="32" t="e">
        <f>VLOOKUP(A44,'Données projet'!$A$61:$I$81,2,0)</f>
        <v>#N/A</v>
      </c>
      <c r="W44" s="33" t="e">
        <f>VLOOKUP(A44,'Données projet'!$A$61:$I$81,9,0)</f>
        <v>#N/A</v>
      </c>
      <c r="X44" s="33">
        <f t="array" ref="X44">INDEX(W:W,MIN(IF(ISNUMBER(W44:W240),ROW(W44:W240),"")))</f>
        <v>0</v>
      </c>
      <c r="Y44" s="33">
        <f t="shared" si="24"/>
        <v>0</v>
      </c>
      <c r="Z44" s="34" t="e">
        <f>Y44*VLOOKUP('Données projet'!$B$10,Paramètres!$A$1:$I$88,3,0)*VLOOKUP('Données projet'!$B$10,Paramètres!$A$1:$I$88,5,0)</f>
        <v>#N/A</v>
      </c>
      <c r="AA44" s="34" t="e">
        <f t="shared" si="25"/>
        <v>#N/A</v>
      </c>
      <c r="AB44" s="44" t="e">
        <f t="shared" si="2"/>
        <v>#N/A</v>
      </c>
      <c r="AC44" s="36">
        <f>IF(ISNA(VLOOKUP(A44,'Données projet'!$A$61:$I$81,3,0)),0,VLOOKUP(A44,'Données projet'!$A$61:$I$81,3,0))</f>
        <v>0</v>
      </c>
      <c r="AD44" s="36">
        <f>IF(ISNA(VLOOKUP(A44,'Données projet'!$A$61:$I$81,4,0)),0,VLOOKUP(A44,'Données projet'!$A$61:$I$81,4,0))</f>
        <v>0</v>
      </c>
      <c r="AE44" s="37">
        <f>IF(ISNA(VLOOKUP(A44,'Données projet'!$A$61:$I$81,5,0)),0%,VLOOKUP(A44,'Données projet'!$A$61:$I$81,5,0)*VLOOKUP('Données projet'!$B$10,Paramètres!$A$1:$I$88,7,0))</f>
        <v>0</v>
      </c>
      <c r="AF44" s="37">
        <f>IF(ISNA(VLOOKUP(A44,'Données projet'!$A$61:$I$81,6,0)),0%,VLOOKUP(A44,'Données projet'!$A$61:$I$81,6,0)*VLOOKUP('Données projet'!$B$10,Paramètres!$A$1:$I$88,7,0))</f>
        <v>0</v>
      </c>
      <c r="AG44" s="37">
        <f>IF(ISNA(VLOOKUP(A44,'Données projet'!$A$61:$I$81,7,0)),0%,VLOOKUP(A44,'Données projet'!$A$61:$I$81,7,0))</f>
        <v>0</v>
      </c>
      <c r="AH44" s="45">
        <f>EXP(-LN(2)/35)*AH43+(1-EXP(-LN(2)/35))/(LN(2)/35)*AD44*AE44*VLOOKUP('Données projet'!$B$9,Paramètres!$A$1:$I$88,3,0)*0.475*44/12</f>
        <v>0</v>
      </c>
      <c r="AI44" s="45">
        <f>EXP(-LN(2)/25)*AI43+(1-EXP(-LN(2)/25))/(LN(2)/25)*Calculateur!AD44*Calculateur!AF44*VLOOKUP('Données projet'!$B$9,Paramètres!$A$1:$I$88,3,0)*0.475*44/12</f>
        <v>0</v>
      </c>
      <c r="AJ44" s="45">
        <f>EXP(-LN(2)/2)*AJ43+(1-EXP(-LN(2)/2))/(LN(2)/2)*AD44*AG44*VLOOKUP('Données projet'!$B$9,Paramètres!$A$1:$I$88,3,0)*0.475*44/12</f>
        <v>0</v>
      </c>
      <c r="AK44" s="45">
        <f t="shared" si="3"/>
        <v>0</v>
      </c>
      <c r="AL44" s="32" t="e">
        <f>VLOOKUP(A44,'Données projet'!$A$87:$I$107,2,0)</f>
        <v>#N/A</v>
      </c>
      <c r="AM44" s="33" t="e">
        <f>VLOOKUP(A44,'Données projet'!$A$87:$I$107,9,0)</f>
        <v>#N/A</v>
      </c>
      <c r="AN44" s="33">
        <f t="array" ref="AN44">INDEX(AM:AM,MIN(IF(ISNUMBER(AM44:AM240),ROW(AM44:AM240),"")))</f>
        <v>0</v>
      </c>
      <c r="AO44" s="33">
        <f t="shared" si="26"/>
        <v>0</v>
      </c>
      <c r="AP44" s="34" t="e">
        <f>AO44*VLOOKUP('Données projet'!$B$11,Paramètres!$A$1:$I$88,3,0)*VLOOKUP('Données projet'!$B$11,Paramètres!$A$1:$I$88,5,0)</f>
        <v>#N/A</v>
      </c>
      <c r="AQ44" s="34" t="e">
        <f t="shared" si="27"/>
        <v>#N/A</v>
      </c>
      <c r="AR44" s="44" t="e">
        <f t="shared" si="4"/>
        <v>#N/A</v>
      </c>
      <c r="AS44" s="36">
        <f>IF(ISNA(VLOOKUP(A44,'Données projet'!$A$87:$I$107,3,0)),0,VLOOKUP(A44,'Données projet'!$A$87:$I$107,3,0))</f>
        <v>0</v>
      </c>
      <c r="AT44" s="36">
        <f>IF(ISNA(VLOOKUP(A44,'Données projet'!$A$87:$I$107,4,0)),0,VLOOKUP(A44,'Données projet'!$A$87:$I$107,4,0))</f>
        <v>0</v>
      </c>
      <c r="AU44" s="37">
        <f>IF(ISNA(VLOOKUP(A44,'Données projet'!$A$87:$I$107,5,0)),0%,VLOOKUP(A44,'Données projet'!$A$87:$I$107,5,0)*VLOOKUP('Données projet'!$B$11,Paramètres!$A$1:$I$88,7,0))</f>
        <v>0</v>
      </c>
      <c r="AV44" s="37">
        <f>IF(ISNA(VLOOKUP(A44,'Données projet'!$A$87:$I$107,6,0)),0%,VLOOKUP(A44,'Données projet'!$A$87:$I$107,6,0)*VLOOKUP('Données projet'!$B$11,Paramètres!$A$1:$I$88,7,0))</f>
        <v>0</v>
      </c>
      <c r="AW44" s="37">
        <f>IF(ISNA(VLOOKUP(A44,'Données projet'!$A$87:$I$107,7,0)),0%,VLOOKUP(A44,'Données projet'!$A$87:$I$107,7,0))</f>
        <v>0</v>
      </c>
      <c r="AX44" s="45">
        <f>EXP(-LN(2)/35)*AX43+(1-EXP(-LN(2)/35))/(LN(2)/35)*AT44*AU44*VLOOKUP('Données projet'!$B$9,Paramètres!$A$1:$I$88,3,0)*0.475*44/12</f>
        <v>0</v>
      </c>
      <c r="AY44" s="45">
        <f>EXP(-LN(2)/25)*AY43+(1-EXP(-LN(2)/25))/(LN(2)/25)*Calculateur!AT44*Calculateur!AV44*VLOOKUP('Données projet'!$B$9,Paramètres!$A$1:$I$88,3,0)*0.475*44/12</f>
        <v>0</v>
      </c>
      <c r="AZ44" s="45">
        <f>EXP(-LN(2)/2)*AZ43+(1-EXP(-LN(2)/2))/(LN(2)/2)*AT44*AW44*VLOOKUP('Données projet'!$B$9,Paramètres!$A$1:$I$88,3,0)*0.475*44/12</f>
        <v>0</v>
      </c>
      <c r="BA44" s="46">
        <f t="shared" si="5"/>
        <v>0</v>
      </c>
      <c r="BB44" s="32" t="e">
        <f>VLOOKUP(A44,'Données projet'!$A$113:$I$133,2,0)</f>
        <v>#N/A</v>
      </c>
      <c r="BC44" s="33" t="e">
        <f>VLOOKUP(A44,'Données projet'!$A$113:$I$133,9,0)</f>
        <v>#N/A</v>
      </c>
      <c r="BD44" s="33">
        <f t="array" ref="BD44">INDEX(BC:BC,MIN(IF(ISNUMBER(BC44:BC240),ROW(BC44:BC240),"")))</f>
        <v>0</v>
      </c>
      <c r="BE44" s="33">
        <f t="shared" si="28"/>
        <v>0</v>
      </c>
      <c r="BF44" s="34" t="e">
        <f>BE44*VLOOKUP('Données projet'!$B$12,Paramètres!$A$1:$I$88,3,0)*VLOOKUP('Données projet'!$B$12,Paramètres!$A$1:$I$88,5,0)</f>
        <v>#N/A</v>
      </c>
      <c r="BG44" s="34" t="e">
        <f t="shared" si="29"/>
        <v>#N/A</v>
      </c>
      <c r="BH44" s="44" t="e">
        <f t="shared" si="6"/>
        <v>#N/A</v>
      </c>
      <c r="BI44" s="36">
        <f>IF(ISNA(VLOOKUP(A44,'Données projet'!$A$113:$I$133,3,0)),0,VLOOKUP(A44,'Données projet'!$A$113:$I$133,3,0))</f>
        <v>0</v>
      </c>
      <c r="BJ44" s="36">
        <f>IF(ISNA(VLOOKUP(A44,'Données projet'!$A$113:$I$133,4,0)),0,VLOOKUP(A44,'Données projet'!$A$113:$I$133,4,0))</f>
        <v>0</v>
      </c>
      <c r="BK44" s="37">
        <f>IF(ISNA(VLOOKUP(A44,'Données projet'!$A$113:$I$133,5,0)),0%,VLOOKUP(A44,'Données projet'!$A$113:$I$133,5,0)*VLOOKUP('Données projet'!$B$12,Paramètres!$A$1:$I$88,7,0))</f>
        <v>0</v>
      </c>
      <c r="BL44" s="37">
        <f>IF(ISNA(VLOOKUP(A44,'Données projet'!$A$113:$I$133,6,0)),0%,VLOOKUP(A44,'Données projet'!$A$113:$I$133,6,0)*VLOOKUP('Données projet'!$B$12,Paramètres!$A$1:$I$88,7,0))</f>
        <v>0</v>
      </c>
      <c r="BM44" s="37">
        <f>IF(ISNA(VLOOKUP(A44,'Données projet'!$A$113:$I$133,7,0)),0%,VLOOKUP(A44,'Données projet'!$A$113:$I$133,7,0))</f>
        <v>0</v>
      </c>
      <c r="BN44" s="45">
        <f>EXP(-LN(2)/35)*BN43+(1-EXP(-LN(2)/35))/(LN(2)/35)*BJ44*BK44*VLOOKUP('Données projet'!$B$9,Paramètres!$A$1:$I$88,3,0)*0.475*44/12</f>
        <v>0</v>
      </c>
      <c r="BO44" s="45">
        <f>EXP(-LN(2)/25)*BO43+(1-EXP(-LN(2)/25))/(LN(2)/25)*Calculateur!BJ44*Calculateur!BL44*VLOOKUP('Données projet'!$B$9,Paramètres!$A$1:$I$88,3,0)*0.475*44/12</f>
        <v>0</v>
      </c>
      <c r="BP44" s="45">
        <f>EXP(-LN(2)/2)*BP43+(1-EXP(-LN(2)/2))/(LN(2)/2)*BJ44*BM44*VLOOKUP('Données projet'!$B$9,Paramètres!$A$1:$I$88,3,0)*0.475*44/12</f>
        <v>0</v>
      </c>
      <c r="BQ44" s="46">
        <f t="shared" si="7"/>
        <v>0</v>
      </c>
      <c r="BR44" s="32" t="e">
        <f>VLOOKUP(A44,'Données projet'!$A$139:$I$159,2,0)</f>
        <v>#N/A</v>
      </c>
      <c r="BS44" s="33" t="e">
        <f>VLOOKUP(A44,'Données projet'!$A$139:$I$159,9,0)</f>
        <v>#N/A</v>
      </c>
      <c r="BT44" s="33">
        <f t="array" ref="BT44">INDEX(BS:BS,MIN(IF(ISNUMBER(BS44:BS240),ROW(BS44:BS240),"")))</f>
        <v>0</v>
      </c>
      <c r="BU44" s="33">
        <f t="shared" si="41"/>
        <v>0</v>
      </c>
      <c r="BV44" s="38" t="e">
        <f>BU44*VLOOKUP('Données projet'!$B$13,Paramètres!$A$1:$I$88,3,0)*VLOOKUP('Données projet'!$B$13,Paramètres!$A$1:$I$88,5,0)</f>
        <v>#N/A</v>
      </c>
      <c r="BW44" s="34" t="e">
        <f t="shared" si="30"/>
        <v>#N/A</v>
      </c>
      <c r="BX44" s="44" t="e">
        <f t="shared" si="8"/>
        <v>#N/A</v>
      </c>
      <c r="BY44" s="36">
        <f>IF(ISNA(VLOOKUP(A44,'Données projet'!$A$139:$I$159,3,0)),0,VLOOKUP(A44,'Données projet'!$A$139:$I$159,3,0))</f>
        <v>0</v>
      </c>
      <c r="BZ44" s="36">
        <f>IF(ISNA(VLOOKUP(A44,'Données projet'!$A$139:$I$159,4,0)),0,VLOOKUP(A44,'Données projet'!$A$139:$I$159,4,0))</f>
        <v>0</v>
      </c>
      <c r="CA44" s="37">
        <f>IF(ISNA(VLOOKUP(A44,'Données projet'!$A$139:$I$159,5,0)),0%,VLOOKUP(A44,'Données projet'!$A$139:$I$159,5,0)*VLOOKUP('Données projet'!$B$13,Paramètres!$A$1:$I$88,7,0))</f>
        <v>0</v>
      </c>
      <c r="CB44" s="37">
        <f>IF(ISNA(VLOOKUP(A44,'Données projet'!$A$139:$I$159,6,0)),0%,VLOOKUP(A44,'Données projet'!$A$139:$I$159,6,0)*VLOOKUP('Données projet'!$B$13,Paramètres!$A$1:$I$88,7,0))</f>
        <v>0</v>
      </c>
      <c r="CC44" s="37">
        <f>IF(ISNA(VLOOKUP(A44,'Données projet'!$A$139:$I$159,7,0)),0%,VLOOKUP(A44,'Données projet'!$A$139:$I$159,7,0))</f>
        <v>0</v>
      </c>
      <c r="CD44" s="45">
        <f>EXP(-LN(2)/35)*CD43+(1-EXP(-LN(2)/35))/(LN(2)/35)*BZ44*CA44*VLOOKUP('Données projet'!$B$9,Paramètres!$A$1:$I$88,3,0)*0.475*44/12</f>
        <v>0</v>
      </c>
      <c r="CE44" s="45">
        <f>EXP(-LN(2)/25)*CE43+(1-EXP(-LN(2)/25))/(LN(2)/25)*Calculateur!BZ44*Calculateur!CB44*VLOOKUP('Données projet'!$B$9,Paramètres!$A$1:$I$88,3,0)*0.475*44/12</f>
        <v>0</v>
      </c>
      <c r="CF44" s="45">
        <f>EXP(-LN(2)/2)*CF43+(1-EXP(-LN(2)/2))/(LN(2)/2)*BZ44*CC44*VLOOKUP('Données projet'!$B$9,Paramètres!$A$1:$I$88,3,0)*0.475*44/12</f>
        <v>0</v>
      </c>
      <c r="CG44" s="46">
        <f t="shared" si="9"/>
        <v>0</v>
      </c>
      <c r="CH44" s="32" t="e">
        <f>VLOOKUP(A44,'Données projet'!$A$165:$I$185,2,0)</f>
        <v>#N/A</v>
      </c>
      <c r="CI44" s="33" t="e">
        <f>VLOOKUP(A44,'Données projet'!$A$165:$I$185,9,0)</f>
        <v>#N/A</v>
      </c>
      <c r="CJ44" s="33">
        <f t="array" ref="CJ44">INDEX(CI:CI,MIN(IF(ISNUMBER(CI44:CI240),ROW(CI44:CI240),"")))</f>
        <v>0</v>
      </c>
      <c r="CK44" s="33">
        <f t="shared" si="31"/>
        <v>0</v>
      </c>
      <c r="CL44" s="38" t="e">
        <f>CK44*VLOOKUP('Données projet'!$B$14,Paramètres!$A$1:$I$88,3,0)*VLOOKUP('Données projet'!$B$14,Paramètres!$A$1:$I$88,5,0)</f>
        <v>#N/A</v>
      </c>
      <c r="CM44" s="34" t="e">
        <f t="shared" si="32"/>
        <v>#N/A</v>
      </c>
      <c r="CN44" s="44" t="e">
        <f t="shared" si="10"/>
        <v>#N/A</v>
      </c>
      <c r="CO44" s="36">
        <f>IF(ISNA(VLOOKUP(A44,'Données projet'!$A$165:$I$185,3,0)),0,VLOOKUP(A44,'Données projet'!$A$165:$I$185,3,0))</f>
        <v>0</v>
      </c>
      <c r="CP44" s="36">
        <f>IF(ISNA(VLOOKUP(A44,'Données projet'!$A$165:$I$185,4,0)),0,VLOOKUP(A44,'Données projet'!$A$165:$I$185,4,0))</f>
        <v>0</v>
      </c>
      <c r="CQ44" s="37">
        <f>IF(ISNA(VLOOKUP(A44,'Données projet'!$A$165:$I$185,5,0)),0%,VLOOKUP(A44,'Données projet'!$A$165:$I$185,5,0)*VLOOKUP('Données projet'!$B$14,Paramètres!$A$1:$I$88,7,0))</f>
        <v>0</v>
      </c>
      <c r="CR44" s="37">
        <f>IF(ISNA(VLOOKUP(A44,'Données projet'!$A$165:$I$185,6,0)),0%,VLOOKUP(A44,'Données projet'!$A$165:$I$185,6,0)*VLOOKUP('Données projet'!$B$14,Paramètres!$A$1:$I$88,7,0))</f>
        <v>0</v>
      </c>
      <c r="CS44" s="37">
        <f>IF(ISNA(VLOOKUP(A44,'Données projet'!$A$165:$I$185,7,0)),0%,VLOOKUP(A44,'Données projet'!$A$165:$I$185,7,0))</f>
        <v>0</v>
      </c>
      <c r="CT44" s="45">
        <f>EXP(-LN(2)/35)*CT43+(1-EXP(-LN(2)/35))/(LN(2)/35)*CP44*CQ44*VLOOKUP('Données projet'!$B$9,Paramètres!$A$1:$I$88,3,0)*0.475*44/12</f>
        <v>0</v>
      </c>
      <c r="CU44" s="45">
        <f>EXP(-LN(2)/25)*CU43+(1-EXP(-LN(2)/25))/(LN(2)/25)*Calculateur!CP44*Calculateur!CR44*VLOOKUP('Données projet'!$B$9,Paramètres!$A$1:$I$88,3,0)*0.475*44/12</f>
        <v>0</v>
      </c>
      <c r="CV44" s="45">
        <f>EXP(-LN(2)/2)*CV43+(1-EXP(-LN(2)/2))/(LN(2)/2)*CP44*CS44*VLOOKUP('Données projet'!$B$9,Paramètres!$A$1:$I$88,3,0)*0.475*44/12</f>
        <v>0</v>
      </c>
      <c r="CW44" s="46">
        <f t="shared" si="11"/>
        <v>0</v>
      </c>
      <c r="CX44" s="32" t="e">
        <f>VLOOKUP(A44,'Données projet'!$A$191:$I$211,2,0)</f>
        <v>#N/A</v>
      </c>
      <c r="CY44" s="33" t="e">
        <f>VLOOKUP(A44,'Données projet'!$A$191:$I$211,9,0)</f>
        <v>#N/A</v>
      </c>
      <c r="CZ44" s="33">
        <f t="array" ref="CZ44">INDEX(CY:CY,MIN(IF(ISNUMBER(CY44:CY240),ROW(CY44:CY240),"")))</f>
        <v>0</v>
      </c>
      <c r="DA44" s="33">
        <f t="shared" si="33"/>
        <v>0</v>
      </c>
      <c r="DB44" s="38" t="e">
        <f>DA44*VLOOKUP('Données projet'!$B$15,Paramètres!$A$1:$I$88,3,0)*VLOOKUP('Données projet'!$B$15,Paramètres!$A$1:$I$88,5,0)</f>
        <v>#N/A</v>
      </c>
      <c r="DC44" s="34" t="e">
        <f t="shared" si="34"/>
        <v>#N/A</v>
      </c>
      <c r="DD44" s="44" t="e">
        <f t="shared" si="12"/>
        <v>#N/A</v>
      </c>
      <c r="DE44" s="36">
        <f>IF(ISNA(VLOOKUP(A44,'Données projet'!$A$191:$I$211,3,0)),0,VLOOKUP(A44,'Données projet'!$A$191:$I$211,3,0))</f>
        <v>0</v>
      </c>
      <c r="DF44" s="36">
        <f>IF(ISNA(VLOOKUP(A44,'Données projet'!$A$191:$I$211,4,0)),0,VLOOKUP(A44,'Données projet'!$A$191:$I$211,4,0))</f>
        <v>0</v>
      </c>
      <c r="DG44" s="37">
        <f>IF(ISNA(VLOOKUP(A44,'Données projet'!$A$191:$I$211,5,0)),0%,VLOOKUP(A44,'Données projet'!$A$191:$I$211,5,0)*VLOOKUP('Données projet'!$B$15,Paramètres!$A$1:$I$88,7,0))</f>
        <v>0</v>
      </c>
      <c r="DH44" s="37">
        <f>IF(ISNA(VLOOKUP(A44,'Données projet'!$A$191:$I$211,6,0)),0%,VLOOKUP(A44,'Données projet'!$A$191:$I$211,6,0)*VLOOKUP('Données projet'!$B$15,Paramètres!$A$1:$I$88,7,0))</f>
        <v>0</v>
      </c>
      <c r="DI44" s="37">
        <f>IF(ISNA(VLOOKUP(A44,'Données projet'!$A$191:$I$211,7,0)),0%,VLOOKUP(A44,'Données projet'!$A$191:$I$211,7,0))</f>
        <v>0</v>
      </c>
      <c r="DJ44" s="45">
        <f>EXP(-LN(2)/35)*DJ43+(1-EXP(-LN(2)/35))/(LN(2)/35)*DF44*DG44*VLOOKUP('Données projet'!$B$9,Paramètres!$A$1:$I$88,3,0)*0.475*44/12</f>
        <v>0</v>
      </c>
      <c r="DK44" s="45">
        <f>EXP(-LN(2)/25)*DK43+(1-EXP(-LN(2)/25))/(LN(2)/25)*Calculateur!DF44*Calculateur!DH44*VLOOKUP('Données projet'!$B$9,Paramètres!$A$1:$I$88,3,0)*0.475*44/12</f>
        <v>0</v>
      </c>
      <c r="DL44" s="45">
        <f>EXP(-LN(2)/2)*DL43+(1-EXP(-LN(2)/2))/(LN(2)/2)*DF44*DI44*VLOOKUP('Données projet'!$B$9,Paramètres!$A$1:$I$88,3,0)*0.475*44/12</f>
        <v>0</v>
      </c>
      <c r="DM44" s="46">
        <f t="shared" si="13"/>
        <v>0</v>
      </c>
      <c r="DN44" s="32" t="e">
        <f>VLOOKUP(A44,'Données projet'!$A$217:$I$237,2,0)</f>
        <v>#N/A</v>
      </c>
      <c r="DO44" s="33" t="e">
        <f>VLOOKUP(A44,'Données projet'!$A$217:$I$237,9,0)</f>
        <v>#N/A</v>
      </c>
      <c r="DP44" s="33">
        <f t="array" ref="DP44">INDEX(DO:DO,MIN(IF(ISNUMBER(DO44:DO240),ROW(DO44:DO240),"")))</f>
        <v>0</v>
      </c>
      <c r="DQ44" s="33">
        <f t="shared" si="35"/>
        <v>0</v>
      </c>
      <c r="DR44" s="38" t="e">
        <f>DQ44*VLOOKUP('Données projet'!$B$16,Paramètres!$A$1:$I$88,3,0)*VLOOKUP('Données projet'!$B$16,Paramètres!$A$1:$I$88,5,0)</f>
        <v>#N/A</v>
      </c>
      <c r="DS44" s="34" t="e">
        <f t="shared" si="36"/>
        <v>#N/A</v>
      </c>
      <c r="DT44" s="44" t="e">
        <f t="shared" si="14"/>
        <v>#N/A</v>
      </c>
      <c r="DU44" s="36">
        <f>IF(ISNA(VLOOKUP(A44,'Données projet'!$A$217:$I$237,3,0)),0,VLOOKUP(A44,'Données projet'!$A$217:$I$237,3,0))</f>
        <v>0</v>
      </c>
      <c r="DV44" s="36">
        <f>IF(ISNA(VLOOKUP(A44,'Données projet'!$A$217:$I$237,4,0)),0,VLOOKUP(A44,'Données projet'!$A$217:$I$237,4,0))</f>
        <v>0</v>
      </c>
      <c r="DW44" s="37">
        <f>IF(ISNA(VLOOKUP(A44,'Données projet'!$A$217:$I$237,5,0)),0%,VLOOKUP(A44,'Données projet'!$A$217:$I$237,5,0)*VLOOKUP('Données projet'!$B$16,Paramètres!$A$1:$I$88,7,0))</f>
        <v>0</v>
      </c>
      <c r="DX44" s="37">
        <f>IF(ISNA(VLOOKUP(A44,'Données projet'!$A$217:$I$237,6,0)),0%,VLOOKUP(A44,'Données projet'!$A$217:$I$237,6,0)*VLOOKUP('Données projet'!$B$16,Paramètres!$A$1:$I$88,7,0))</f>
        <v>0</v>
      </c>
      <c r="DY44" s="37">
        <f>IF(ISNA(VLOOKUP(A44,'Données projet'!$A$217:$I$237,7,0)),0%,VLOOKUP(A44,'Données projet'!$A$217:$I$237,7,0))</f>
        <v>0</v>
      </c>
      <c r="DZ44" s="45">
        <f>EXP(-LN(2)/35)*DZ43+(1-EXP(-LN(2)/35))/(LN(2)/35)*DV44*DW44*VLOOKUP('Données projet'!$B$9,Paramètres!$A$1:$I$88,3,0)*0.475*44/12</f>
        <v>0</v>
      </c>
      <c r="EA44" s="45">
        <f>EXP(-LN(2)/25)*EA43+(1-EXP(-LN(2)/25))/(LN(2)/25)*Calculateur!DV44*Calculateur!DX44*VLOOKUP('Données projet'!$B$9,Paramètres!$A$1:$I$88,3,0)*0.475*44/12</f>
        <v>0</v>
      </c>
      <c r="EB44" s="45">
        <f>EXP(-LN(2)/2)*EB43+(1-EXP(-LN(2)/2))/(LN(2)/2)*DV44*DY44*VLOOKUP('Données projet'!$B$9,Paramètres!$A$1:$I$88,3,0)*0.475*44/12</f>
        <v>0</v>
      </c>
      <c r="EC44" s="46">
        <f t="shared" si="15"/>
        <v>0</v>
      </c>
      <c r="ED44" s="32" t="e">
        <f>VLOOKUP(A44,'Données projet'!$A$243:$I$263,2,0)</f>
        <v>#N/A</v>
      </c>
      <c r="EE44" s="33" t="e">
        <f>VLOOKUP(A44,'Données projet'!$A$243:$I$263,9,0)</f>
        <v>#N/A</v>
      </c>
      <c r="EF44" s="33">
        <f t="array" ref="EF44">INDEX(EE:EE,MIN(IF(ISNUMBER(EE44:EE240),ROW(EE44:EE240),"")))</f>
        <v>0</v>
      </c>
      <c r="EG44" s="33">
        <f t="shared" si="37"/>
        <v>0</v>
      </c>
      <c r="EH44" s="38" t="e">
        <f>EG44*VLOOKUP('Données projet'!$B$17,Paramètres!$A$1:$I$88,3,0)*VLOOKUP('Données projet'!$B$17,Paramètres!$A$1:$I$88,5,0)</f>
        <v>#N/A</v>
      </c>
      <c r="EI44" s="34" t="e">
        <f t="shared" si="38"/>
        <v>#N/A</v>
      </c>
      <c r="EJ44" s="44" t="e">
        <f t="shared" si="16"/>
        <v>#N/A</v>
      </c>
      <c r="EK44" s="36">
        <f>IF(ISNA(VLOOKUP(A44,'Données projet'!$A$243:$I$263,3,0)),0,VLOOKUP(A44,'Données projet'!$A$243:$I$263,3,0))</f>
        <v>0</v>
      </c>
      <c r="EL44" s="36">
        <f>IF(ISNA(VLOOKUP(A44,'Données projet'!$A$243:$I$263,4,0)),0,VLOOKUP(A44,'Données projet'!$A$243:$I$263,4,0))</f>
        <v>0</v>
      </c>
      <c r="EM44" s="37">
        <f>IF(ISNA(VLOOKUP(A44,'Données projet'!$A$243:$I$263,5,0)),0%,VLOOKUP(A44,'Données projet'!$A$243:$I$263,5,0)*VLOOKUP('Données projet'!$B$17,Paramètres!$A$1:$I$88,7,0))</f>
        <v>0</v>
      </c>
      <c r="EN44" s="37">
        <f>IF(ISNA(VLOOKUP(A44,'Données projet'!$A$243:$I$263,6,0)),0%,VLOOKUP(A44,'Données projet'!$A$243:$I$263,6,0)*VLOOKUP('Données projet'!$B$17,Paramètres!$A$1:$I$88,7,0))</f>
        <v>0</v>
      </c>
      <c r="EO44" s="37">
        <f>IF(ISNA(VLOOKUP(A44,'Données projet'!$A$243:$I$263,7,0)),0%,VLOOKUP(A44,'Données projet'!$A$243:$I$263,7,0))</f>
        <v>0</v>
      </c>
      <c r="EP44" s="45">
        <f>EXP(-LN(2)/35)*EP43+(1-EXP(-LN(2)/35))/(LN(2)/35)*EL44*EM44*VLOOKUP('Données projet'!$B$9,Paramètres!$A$1:$I$88,3,0)*0.475*44/12</f>
        <v>0</v>
      </c>
      <c r="EQ44" s="45">
        <f>EXP(-LN(2)/25)*EQ43+(1-EXP(-LN(2)/25))/(LN(2)/25)*Calculateur!EL44*Calculateur!EN44*VLOOKUP('Données projet'!$B$9,Paramètres!$A$1:$I$88,3,0)*0.475*44/12</f>
        <v>0</v>
      </c>
      <c r="ER44" s="45">
        <f>EXP(-LN(2)/2)*ER43+(1-EXP(-LN(2)/2))/(LN(2)/2)*EL44*EO44*VLOOKUP('Données projet'!$B$9,Paramètres!$A$1:$I$88,3,0)*0.475*44/12</f>
        <v>0</v>
      </c>
      <c r="ES44" s="46">
        <f t="shared" si="17"/>
        <v>0</v>
      </c>
      <c r="ET44" s="32" t="e">
        <f>VLOOKUP(A44,'Données projet'!$A$269:$I$289,2,0)</f>
        <v>#N/A</v>
      </c>
      <c r="EU44" s="33" t="e">
        <f>VLOOKUP(A44,'Données projet'!$A$269:$I$289,9,0)</f>
        <v>#N/A</v>
      </c>
      <c r="EV44" s="33">
        <f t="array" ref="EV44">INDEX(EU:EU,MIN(IF(ISNUMBER(EU44:EU240),ROW(EU44:EU240),"")))</f>
        <v>0</v>
      </c>
      <c r="EW44" s="33">
        <f t="shared" si="39"/>
        <v>0</v>
      </c>
      <c r="EX44" s="38" t="e">
        <f>EW44*VLOOKUP('Données projet'!$B$18,Paramètres!$A$1:$I$88,3,0)*VLOOKUP('Données projet'!$B$18,Paramètres!$A$1:$I$88,5,0)</f>
        <v>#N/A</v>
      </c>
      <c r="EY44" s="34" t="e">
        <f t="shared" si="40"/>
        <v>#N/A</v>
      </c>
      <c r="EZ44" s="44" t="e">
        <f t="shared" si="18"/>
        <v>#N/A</v>
      </c>
      <c r="FA44" s="36">
        <f>IF(ISNA(VLOOKUP(A44,'Données projet'!$A$269:$I$289,3,0)),0,VLOOKUP(A44,'Données projet'!$A$269:$I$289,3,0))</f>
        <v>0</v>
      </c>
      <c r="FB44" s="36">
        <f>IF(ISNA(VLOOKUP(A44,'Données projet'!$A$269:$I$289,4,0)),0,VLOOKUP(A44,'Données projet'!$A$269:$I$289,4,0))</f>
        <v>0</v>
      </c>
      <c r="FC44" s="37">
        <f>IF(ISNA(VLOOKUP(A44,'Données projet'!$A$269:$I$289,5,0)),0%,VLOOKUP(A44,'Données projet'!$A$269:$I$289,5,0)*VLOOKUP('Données projet'!$B$18,Paramètres!$A$1:$I$88,7,0))</f>
        <v>0</v>
      </c>
      <c r="FD44" s="37">
        <f>IF(ISNA(VLOOKUP(A44,'Données projet'!$A$269:$I$289,6,0)),0%,VLOOKUP(A44,'Données projet'!$A$269:$I$289,6,0)*VLOOKUP('Données projet'!$B$18,Paramètres!$A$1:$I$88,7,0))</f>
        <v>0</v>
      </c>
      <c r="FE44" s="37">
        <f>IF(ISNA(VLOOKUP(A44,'Données projet'!$A$269:$I$289,7,0)),0%,VLOOKUP(A44,'Données projet'!$A$269:$I$289,7,0))</f>
        <v>0</v>
      </c>
      <c r="FF44" s="45">
        <f>EXP(-LN(2)/35)*FF43+(1-EXP(-LN(2)/35))/(LN(2)/35)*FB44*FC44*VLOOKUP('Données projet'!$B$9,Paramètres!$A$1:$I$88,3,0)*0.475*44/12</f>
        <v>0</v>
      </c>
      <c r="FG44" s="45">
        <f>EXP(-LN(2)/25)*FG43+(1-EXP(-LN(2)/25))/(LN(2)/25)*Calculateur!FB44*Calculateur!FD44*VLOOKUP('Données projet'!$B$9,Paramètres!$A$1:$I$88,3,0)*0.475*44/12</f>
        <v>0</v>
      </c>
      <c r="FH44" s="45">
        <f>EXP(-LN(2)/2)*FH43+(1-EXP(-LN(2)/2))/(LN(2)/2)*FB44*FE44*VLOOKUP('Données projet'!$B$9,Paramètres!$A$1:$I$88,3,0)*0.475*44/12</f>
        <v>0</v>
      </c>
      <c r="FI44" s="46">
        <f t="shared" si="19"/>
        <v>0</v>
      </c>
    </row>
    <row r="45" spans="1:165" x14ac:dyDescent="0.25">
      <c r="A45" s="24">
        <f t="shared" si="20"/>
        <v>42</v>
      </c>
      <c r="B45" s="25">
        <f>IF('Scénario référence'!$N$1=1,5,0)</f>
        <v>0</v>
      </c>
      <c r="C45" s="40">
        <f>IF(OR('Scénario référence'!$N$1=2,'Scénario référence'!$N$1=4),C44+1*VLOOKUP('Scénario référence'!$G$14,Paramètres!$A$1:$I$88,3,0)*VLOOKUP('Scénario référence'!$G$14,Paramètres!$A$1:$I$88,5,0),IF(OR('Scénario référence'!$N$1=3,'Scénario référence'!$N$1=5),C44+0.5*VLOOKUP('Scénario référence'!$G$14,Paramètres!$A$1:$I$88,3,0)*VLOOKUP('Scénario référence'!$G$14,Paramètres!$A$1:$I$88,5,0),0))</f>
        <v>22.931999999999988</v>
      </c>
      <c r="D45" s="26">
        <f t="shared" si="21"/>
        <v>7.3390282083215048</v>
      </c>
      <c r="E45" s="27">
        <f>IF('Scénario référence'!$N$1=1,B45*44/12,(C45+D45)*0.475*44/12)</f>
        <v>52.722040796159924</v>
      </c>
      <c r="F45" s="28" t="e">
        <f>VLOOKUP(A45,'Données projet'!$A$35:$I$55,2,0)</f>
        <v>#N/A</v>
      </c>
      <c r="G45" s="28" t="e">
        <f>VLOOKUP(A45,'Données projet'!$A$35:$I$55,9,0)</f>
        <v>#N/A</v>
      </c>
      <c r="H45" s="33">
        <f t="array" ref="H45">INDEX(G:G,MIN(IF(ISNUMBER(G45:G241),ROW(G45:G241),"")))</f>
        <v>8.4</v>
      </c>
      <c r="I45" s="28">
        <f t="shared" si="22"/>
        <v>153.80000000000004</v>
      </c>
      <c r="J45" s="41">
        <f>I45*VLOOKUP('Données projet'!$B$9,Paramètres!$A$1:$I$88,3,0)*VLOOKUP('Données projet'!$B$9,Paramètres!$A$1:$I$88,5,0)</f>
        <v>155.95320000000004</v>
      </c>
      <c r="K45" s="41">
        <f t="shared" si="23"/>
        <v>39.928391937903875</v>
      </c>
      <c r="L45" s="42">
        <f t="shared" si="0"/>
        <v>341.16043929184929</v>
      </c>
      <c r="M45" s="30">
        <f>IF(ISNA(VLOOKUP(A45,'Données projet'!$A$35:$I$55,3,0)),0,VLOOKUP(A45,'Données projet'!$A$35:$I$55,3,0))</f>
        <v>0</v>
      </c>
      <c r="N45" s="30">
        <f>IF(ISNA(VLOOKUP(A45,'Données projet'!$A$35:$I$55,4,0)),0,VLOOKUP(A45,'Données projet'!$A$35:$I$55,4,0))</f>
        <v>0</v>
      </c>
      <c r="O45" s="31">
        <f>IF(ISNA(VLOOKUP(A45,'Données projet'!$A$35:$I$55,5,0)),0%,VLOOKUP(A45,'Données projet'!$A$35:$I$55,5,0)*VLOOKUP('Données projet'!$B$9,Paramètres!$A$1:$I$88,7,0))</f>
        <v>0</v>
      </c>
      <c r="P45" s="31">
        <f>IF(ISNA(VLOOKUP(A45,'Données projet'!$A$35:$I$55,6,0)),0%,VLOOKUP(A45,'Données projet'!$A$35:$I$55,6,0)*VLOOKUP('Données projet'!$B$9,Paramètres!$A$1:$I$88,7,0))</f>
        <v>0</v>
      </c>
      <c r="Q45" s="31">
        <f>IF(ISNA(VLOOKUP(A45,'Données projet'!$A$35:$I$55,7,0)),0%,VLOOKUP(A45,'Données projet'!$A$35:$I$55,7,0))</f>
        <v>0</v>
      </c>
      <c r="R45" s="43">
        <f>EXP(-LN(2)/35)*R44+(1-EXP(-LN(2)/35))/(LN(2)/35)*N45*O45*VLOOKUP('Données projet'!$B$9,Paramètres!$A$1:$I$88,3,0)*0.475*44/12</f>
        <v>0</v>
      </c>
      <c r="S45" s="43">
        <f>EXP(-LN(2)/25)*S44+(1-EXP(-LN(2)/25))/(LN(2)/25)*Calculateur!N45*Calculateur!P45*VLOOKUP('Données projet'!$B$9,Paramètres!$A$1:$I$88,3,0)*0.475*44/12</f>
        <v>0</v>
      </c>
      <c r="T45" s="43">
        <f>EXP(-LN(2)/2)*T44+(1-EXP(-LN(2)/2))/(LN(2)/2)*N45*Q45*VLOOKUP('Données projet'!$B$9,Paramètres!$A$1:$I$88,3,0)*0.475*44/12</f>
        <v>0</v>
      </c>
      <c r="U45" s="43">
        <f t="shared" si="1"/>
        <v>0</v>
      </c>
      <c r="V45" s="32" t="e">
        <f>VLOOKUP(A45,'Données projet'!$A$61:$I$81,2,0)</f>
        <v>#N/A</v>
      </c>
      <c r="W45" s="33" t="e">
        <f>VLOOKUP(A45,'Données projet'!$A$61:$I$81,9,0)</f>
        <v>#N/A</v>
      </c>
      <c r="X45" s="33">
        <f t="array" ref="X45">INDEX(W:W,MIN(IF(ISNUMBER(W45:W241),ROW(W45:W241),"")))</f>
        <v>0</v>
      </c>
      <c r="Y45" s="33">
        <f t="shared" si="24"/>
        <v>0</v>
      </c>
      <c r="Z45" s="34" t="e">
        <f>Y45*VLOOKUP('Données projet'!$B$10,Paramètres!$A$1:$I$88,3,0)*VLOOKUP('Données projet'!$B$10,Paramètres!$A$1:$I$88,5,0)</f>
        <v>#N/A</v>
      </c>
      <c r="AA45" s="34" t="e">
        <f t="shared" si="25"/>
        <v>#N/A</v>
      </c>
      <c r="AB45" s="44" t="e">
        <f t="shared" si="2"/>
        <v>#N/A</v>
      </c>
      <c r="AC45" s="36">
        <f>IF(ISNA(VLOOKUP(A45,'Données projet'!$A$61:$I$81,3,0)),0,VLOOKUP(A45,'Données projet'!$A$61:$I$81,3,0))</f>
        <v>0</v>
      </c>
      <c r="AD45" s="36">
        <f>IF(ISNA(VLOOKUP(A45,'Données projet'!$A$61:$I$81,4,0)),0,VLOOKUP(A45,'Données projet'!$A$61:$I$81,4,0))</f>
        <v>0</v>
      </c>
      <c r="AE45" s="37">
        <f>IF(ISNA(VLOOKUP(A45,'Données projet'!$A$61:$I$81,5,0)),0%,VLOOKUP(A45,'Données projet'!$A$61:$I$81,5,0)*VLOOKUP('Données projet'!$B$10,Paramètres!$A$1:$I$88,7,0))</f>
        <v>0</v>
      </c>
      <c r="AF45" s="37">
        <f>IF(ISNA(VLOOKUP(A45,'Données projet'!$A$61:$I$81,6,0)),0%,VLOOKUP(A45,'Données projet'!$A$61:$I$81,6,0)*VLOOKUP('Données projet'!$B$10,Paramètres!$A$1:$I$88,7,0))</f>
        <v>0</v>
      </c>
      <c r="AG45" s="37">
        <f>IF(ISNA(VLOOKUP(A45,'Données projet'!$A$61:$I$81,7,0)),0%,VLOOKUP(A45,'Données projet'!$A$61:$I$81,7,0))</f>
        <v>0</v>
      </c>
      <c r="AH45" s="45">
        <f>EXP(-LN(2)/35)*AH44+(1-EXP(-LN(2)/35))/(LN(2)/35)*AD45*AE45*VLOOKUP('Données projet'!$B$9,Paramètres!$A$1:$I$88,3,0)*0.475*44/12</f>
        <v>0</v>
      </c>
      <c r="AI45" s="45">
        <f>EXP(-LN(2)/25)*AI44+(1-EXP(-LN(2)/25))/(LN(2)/25)*Calculateur!AD45*Calculateur!AF45*VLOOKUP('Données projet'!$B$9,Paramètres!$A$1:$I$88,3,0)*0.475*44/12</f>
        <v>0</v>
      </c>
      <c r="AJ45" s="45">
        <f>EXP(-LN(2)/2)*AJ44+(1-EXP(-LN(2)/2))/(LN(2)/2)*AD45*AG45*VLOOKUP('Données projet'!$B$9,Paramètres!$A$1:$I$88,3,0)*0.475*44/12</f>
        <v>0</v>
      </c>
      <c r="AK45" s="45">
        <f t="shared" si="3"/>
        <v>0</v>
      </c>
      <c r="AL45" s="32" t="e">
        <f>VLOOKUP(A45,'Données projet'!$A$87:$I$107,2,0)</f>
        <v>#N/A</v>
      </c>
      <c r="AM45" s="33" t="e">
        <f>VLOOKUP(A45,'Données projet'!$A$87:$I$107,9,0)</f>
        <v>#N/A</v>
      </c>
      <c r="AN45" s="33">
        <f t="array" ref="AN45">INDEX(AM:AM,MIN(IF(ISNUMBER(AM45:AM241),ROW(AM45:AM241),"")))</f>
        <v>0</v>
      </c>
      <c r="AO45" s="33">
        <f t="shared" si="26"/>
        <v>0</v>
      </c>
      <c r="AP45" s="34" t="e">
        <f>AO45*VLOOKUP('Données projet'!$B$11,Paramètres!$A$1:$I$88,3,0)*VLOOKUP('Données projet'!$B$11,Paramètres!$A$1:$I$88,5,0)</f>
        <v>#N/A</v>
      </c>
      <c r="AQ45" s="34" t="e">
        <f t="shared" si="27"/>
        <v>#N/A</v>
      </c>
      <c r="AR45" s="44" t="e">
        <f t="shared" si="4"/>
        <v>#N/A</v>
      </c>
      <c r="AS45" s="36">
        <f>IF(ISNA(VLOOKUP(A45,'Données projet'!$A$87:$I$107,3,0)),0,VLOOKUP(A45,'Données projet'!$A$87:$I$107,3,0))</f>
        <v>0</v>
      </c>
      <c r="AT45" s="36">
        <f>IF(ISNA(VLOOKUP(A45,'Données projet'!$A$87:$I$107,4,0)),0,VLOOKUP(A45,'Données projet'!$A$87:$I$107,4,0))</f>
        <v>0</v>
      </c>
      <c r="AU45" s="37">
        <f>IF(ISNA(VLOOKUP(A45,'Données projet'!$A$87:$I$107,5,0)),0%,VLOOKUP(A45,'Données projet'!$A$87:$I$107,5,0)*VLOOKUP('Données projet'!$B$11,Paramètres!$A$1:$I$88,7,0))</f>
        <v>0</v>
      </c>
      <c r="AV45" s="37">
        <f>IF(ISNA(VLOOKUP(A45,'Données projet'!$A$87:$I$107,6,0)),0%,VLOOKUP(A45,'Données projet'!$A$87:$I$107,6,0)*VLOOKUP('Données projet'!$B$11,Paramètres!$A$1:$I$88,7,0))</f>
        <v>0</v>
      </c>
      <c r="AW45" s="37">
        <f>IF(ISNA(VLOOKUP(A45,'Données projet'!$A$87:$I$107,7,0)),0%,VLOOKUP(A45,'Données projet'!$A$87:$I$107,7,0))</f>
        <v>0</v>
      </c>
      <c r="AX45" s="45">
        <f>EXP(-LN(2)/35)*AX44+(1-EXP(-LN(2)/35))/(LN(2)/35)*AT45*AU45*VLOOKUP('Données projet'!$B$9,Paramètres!$A$1:$I$88,3,0)*0.475*44/12</f>
        <v>0</v>
      </c>
      <c r="AY45" s="45">
        <f>EXP(-LN(2)/25)*AY44+(1-EXP(-LN(2)/25))/(LN(2)/25)*Calculateur!AT45*Calculateur!AV45*VLOOKUP('Données projet'!$B$9,Paramètres!$A$1:$I$88,3,0)*0.475*44/12</f>
        <v>0</v>
      </c>
      <c r="AZ45" s="45">
        <f>EXP(-LN(2)/2)*AZ44+(1-EXP(-LN(2)/2))/(LN(2)/2)*AT45*AW45*VLOOKUP('Données projet'!$B$9,Paramètres!$A$1:$I$88,3,0)*0.475*44/12</f>
        <v>0</v>
      </c>
      <c r="BA45" s="46">
        <f t="shared" si="5"/>
        <v>0</v>
      </c>
      <c r="BB45" s="32" t="e">
        <f>VLOOKUP(A45,'Données projet'!$A$113:$I$133,2,0)</f>
        <v>#N/A</v>
      </c>
      <c r="BC45" s="33" t="e">
        <f>VLOOKUP(A45,'Données projet'!$A$113:$I$133,9,0)</f>
        <v>#N/A</v>
      </c>
      <c r="BD45" s="33">
        <f t="array" ref="BD45">INDEX(BC:BC,MIN(IF(ISNUMBER(BC45:BC241),ROW(BC45:BC241),"")))</f>
        <v>0</v>
      </c>
      <c r="BE45" s="33">
        <f t="shared" si="28"/>
        <v>0</v>
      </c>
      <c r="BF45" s="34" t="e">
        <f>BE45*VLOOKUP('Données projet'!$B$12,Paramètres!$A$1:$I$88,3,0)*VLOOKUP('Données projet'!$B$12,Paramètres!$A$1:$I$88,5,0)</f>
        <v>#N/A</v>
      </c>
      <c r="BG45" s="34" t="e">
        <f t="shared" si="29"/>
        <v>#N/A</v>
      </c>
      <c r="BH45" s="44" t="e">
        <f t="shared" si="6"/>
        <v>#N/A</v>
      </c>
      <c r="BI45" s="36">
        <f>IF(ISNA(VLOOKUP(A45,'Données projet'!$A$113:$I$133,3,0)),0,VLOOKUP(A45,'Données projet'!$A$113:$I$133,3,0))</f>
        <v>0</v>
      </c>
      <c r="BJ45" s="36">
        <f>IF(ISNA(VLOOKUP(A45,'Données projet'!$A$113:$I$133,4,0)),0,VLOOKUP(A45,'Données projet'!$A$113:$I$133,4,0))</f>
        <v>0</v>
      </c>
      <c r="BK45" s="37">
        <f>IF(ISNA(VLOOKUP(A45,'Données projet'!$A$113:$I$133,5,0)),0%,VLOOKUP(A45,'Données projet'!$A$113:$I$133,5,0)*VLOOKUP('Données projet'!$B$12,Paramètres!$A$1:$I$88,7,0))</f>
        <v>0</v>
      </c>
      <c r="BL45" s="37">
        <f>IF(ISNA(VLOOKUP(A45,'Données projet'!$A$113:$I$133,6,0)),0%,VLOOKUP(A45,'Données projet'!$A$113:$I$133,6,0)*VLOOKUP('Données projet'!$B$12,Paramètres!$A$1:$I$88,7,0))</f>
        <v>0</v>
      </c>
      <c r="BM45" s="37">
        <f>IF(ISNA(VLOOKUP(A45,'Données projet'!$A$113:$I$133,7,0)),0%,VLOOKUP(A45,'Données projet'!$A$113:$I$133,7,0))</f>
        <v>0</v>
      </c>
      <c r="BN45" s="45">
        <f>EXP(-LN(2)/35)*BN44+(1-EXP(-LN(2)/35))/(LN(2)/35)*BJ45*BK45*VLOOKUP('Données projet'!$B$9,Paramètres!$A$1:$I$88,3,0)*0.475*44/12</f>
        <v>0</v>
      </c>
      <c r="BO45" s="45">
        <f>EXP(-LN(2)/25)*BO44+(1-EXP(-LN(2)/25))/(LN(2)/25)*Calculateur!BJ45*Calculateur!BL45*VLOOKUP('Données projet'!$B$9,Paramètres!$A$1:$I$88,3,0)*0.475*44/12</f>
        <v>0</v>
      </c>
      <c r="BP45" s="45">
        <f>EXP(-LN(2)/2)*BP44+(1-EXP(-LN(2)/2))/(LN(2)/2)*BJ45*BM45*VLOOKUP('Données projet'!$B$9,Paramètres!$A$1:$I$88,3,0)*0.475*44/12</f>
        <v>0</v>
      </c>
      <c r="BQ45" s="46">
        <f t="shared" si="7"/>
        <v>0</v>
      </c>
      <c r="BR45" s="32" t="e">
        <f>VLOOKUP(A45,'Données projet'!$A$139:$I$159,2,0)</f>
        <v>#N/A</v>
      </c>
      <c r="BS45" s="33" t="e">
        <f>VLOOKUP(A45,'Données projet'!$A$139:$I$159,9,0)</f>
        <v>#N/A</v>
      </c>
      <c r="BT45" s="33">
        <f t="array" ref="BT45">INDEX(BS:BS,MIN(IF(ISNUMBER(BS45:BS241),ROW(BS45:BS241),"")))</f>
        <v>0</v>
      </c>
      <c r="BU45" s="33">
        <f t="shared" si="41"/>
        <v>0</v>
      </c>
      <c r="BV45" s="38" t="e">
        <f>BU45*VLOOKUP('Données projet'!$B$13,Paramètres!$A$1:$I$88,3,0)*VLOOKUP('Données projet'!$B$13,Paramètres!$A$1:$I$88,5,0)</f>
        <v>#N/A</v>
      </c>
      <c r="BW45" s="34" t="e">
        <f t="shared" si="30"/>
        <v>#N/A</v>
      </c>
      <c r="BX45" s="44" t="e">
        <f t="shared" si="8"/>
        <v>#N/A</v>
      </c>
      <c r="BY45" s="36">
        <f>IF(ISNA(VLOOKUP(A45,'Données projet'!$A$139:$I$159,3,0)),0,VLOOKUP(A45,'Données projet'!$A$139:$I$159,3,0))</f>
        <v>0</v>
      </c>
      <c r="BZ45" s="36">
        <f>IF(ISNA(VLOOKUP(A45,'Données projet'!$A$139:$I$159,4,0)),0,VLOOKUP(A45,'Données projet'!$A$139:$I$159,4,0))</f>
        <v>0</v>
      </c>
      <c r="CA45" s="37">
        <f>IF(ISNA(VLOOKUP(A45,'Données projet'!$A$139:$I$159,5,0)),0%,VLOOKUP(A45,'Données projet'!$A$139:$I$159,5,0)*VLOOKUP('Données projet'!$B$13,Paramètres!$A$1:$I$88,7,0))</f>
        <v>0</v>
      </c>
      <c r="CB45" s="37">
        <f>IF(ISNA(VLOOKUP(A45,'Données projet'!$A$139:$I$159,6,0)),0%,VLOOKUP(A45,'Données projet'!$A$139:$I$159,6,0)*VLOOKUP('Données projet'!$B$13,Paramètres!$A$1:$I$88,7,0))</f>
        <v>0</v>
      </c>
      <c r="CC45" s="37">
        <f>IF(ISNA(VLOOKUP(A45,'Données projet'!$A$139:$I$159,7,0)),0%,VLOOKUP(A45,'Données projet'!$A$139:$I$159,7,0))</f>
        <v>0</v>
      </c>
      <c r="CD45" s="45">
        <f>EXP(-LN(2)/35)*CD44+(1-EXP(-LN(2)/35))/(LN(2)/35)*BZ45*CA45*VLOOKUP('Données projet'!$B$9,Paramètres!$A$1:$I$88,3,0)*0.475*44/12</f>
        <v>0</v>
      </c>
      <c r="CE45" s="45">
        <f>EXP(-LN(2)/25)*CE44+(1-EXP(-LN(2)/25))/(LN(2)/25)*Calculateur!BZ45*Calculateur!CB45*VLOOKUP('Données projet'!$B$9,Paramètres!$A$1:$I$88,3,0)*0.475*44/12</f>
        <v>0</v>
      </c>
      <c r="CF45" s="45">
        <f>EXP(-LN(2)/2)*CF44+(1-EXP(-LN(2)/2))/(LN(2)/2)*BZ45*CC45*VLOOKUP('Données projet'!$B$9,Paramètres!$A$1:$I$88,3,0)*0.475*44/12</f>
        <v>0</v>
      </c>
      <c r="CG45" s="46">
        <f t="shared" si="9"/>
        <v>0</v>
      </c>
      <c r="CH45" s="32" t="e">
        <f>VLOOKUP(A45,'Données projet'!$A$165:$I$185,2,0)</f>
        <v>#N/A</v>
      </c>
      <c r="CI45" s="33" t="e">
        <f>VLOOKUP(A45,'Données projet'!$A$165:$I$185,9,0)</f>
        <v>#N/A</v>
      </c>
      <c r="CJ45" s="33">
        <f t="array" ref="CJ45">INDEX(CI:CI,MIN(IF(ISNUMBER(CI45:CI241),ROW(CI45:CI241),"")))</f>
        <v>0</v>
      </c>
      <c r="CK45" s="33">
        <f t="shared" si="31"/>
        <v>0</v>
      </c>
      <c r="CL45" s="38" t="e">
        <f>CK45*VLOOKUP('Données projet'!$B$14,Paramètres!$A$1:$I$88,3,0)*VLOOKUP('Données projet'!$B$14,Paramètres!$A$1:$I$88,5,0)</f>
        <v>#N/A</v>
      </c>
      <c r="CM45" s="34" t="e">
        <f t="shared" si="32"/>
        <v>#N/A</v>
      </c>
      <c r="CN45" s="44" t="e">
        <f t="shared" si="10"/>
        <v>#N/A</v>
      </c>
      <c r="CO45" s="36">
        <f>IF(ISNA(VLOOKUP(A45,'Données projet'!$A$165:$I$185,3,0)),0,VLOOKUP(A45,'Données projet'!$A$165:$I$185,3,0))</f>
        <v>0</v>
      </c>
      <c r="CP45" s="36">
        <f>IF(ISNA(VLOOKUP(A45,'Données projet'!$A$165:$I$185,4,0)),0,VLOOKUP(A45,'Données projet'!$A$165:$I$185,4,0))</f>
        <v>0</v>
      </c>
      <c r="CQ45" s="37">
        <f>IF(ISNA(VLOOKUP(A45,'Données projet'!$A$165:$I$185,5,0)),0%,VLOOKUP(A45,'Données projet'!$A$165:$I$185,5,0)*VLOOKUP('Données projet'!$B$14,Paramètres!$A$1:$I$88,7,0))</f>
        <v>0</v>
      </c>
      <c r="CR45" s="37">
        <f>IF(ISNA(VLOOKUP(A45,'Données projet'!$A$165:$I$185,6,0)),0%,VLOOKUP(A45,'Données projet'!$A$165:$I$185,6,0)*VLOOKUP('Données projet'!$B$14,Paramètres!$A$1:$I$88,7,0))</f>
        <v>0</v>
      </c>
      <c r="CS45" s="37">
        <f>IF(ISNA(VLOOKUP(A45,'Données projet'!$A$165:$I$185,7,0)),0%,VLOOKUP(A45,'Données projet'!$A$165:$I$185,7,0))</f>
        <v>0</v>
      </c>
      <c r="CT45" s="45">
        <f>EXP(-LN(2)/35)*CT44+(1-EXP(-LN(2)/35))/(LN(2)/35)*CP45*CQ45*VLOOKUP('Données projet'!$B$9,Paramètres!$A$1:$I$88,3,0)*0.475*44/12</f>
        <v>0</v>
      </c>
      <c r="CU45" s="45">
        <f>EXP(-LN(2)/25)*CU44+(1-EXP(-LN(2)/25))/(LN(2)/25)*Calculateur!CP45*Calculateur!CR45*VLOOKUP('Données projet'!$B$9,Paramètres!$A$1:$I$88,3,0)*0.475*44/12</f>
        <v>0</v>
      </c>
      <c r="CV45" s="45">
        <f>EXP(-LN(2)/2)*CV44+(1-EXP(-LN(2)/2))/(LN(2)/2)*CP45*CS45*VLOOKUP('Données projet'!$B$9,Paramètres!$A$1:$I$88,3,0)*0.475*44/12</f>
        <v>0</v>
      </c>
      <c r="CW45" s="46">
        <f t="shared" si="11"/>
        <v>0</v>
      </c>
      <c r="CX45" s="32" t="e">
        <f>VLOOKUP(A45,'Données projet'!$A$191:$I$211,2,0)</f>
        <v>#N/A</v>
      </c>
      <c r="CY45" s="33" t="e">
        <f>VLOOKUP(A45,'Données projet'!$A$191:$I$211,9,0)</f>
        <v>#N/A</v>
      </c>
      <c r="CZ45" s="33">
        <f t="array" ref="CZ45">INDEX(CY:CY,MIN(IF(ISNUMBER(CY45:CY241),ROW(CY45:CY241),"")))</f>
        <v>0</v>
      </c>
      <c r="DA45" s="33">
        <f t="shared" si="33"/>
        <v>0</v>
      </c>
      <c r="DB45" s="38" t="e">
        <f>DA45*VLOOKUP('Données projet'!$B$15,Paramètres!$A$1:$I$88,3,0)*VLOOKUP('Données projet'!$B$15,Paramètres!$A$1:$I$88,5,0)</f>
        <v>#N/A</v>
      </c>
      <c r="DC45" s="34" t="e">
        <f t="shared" si="34"/>
        <v>#N/A</v>
      </c>
      <c r="DD45" s="44" t="e">
        <f t="shared" si="12"/>
        <v>#N/A</v>
      </c>
      <c r="DE45" s="36">
        <f>IF(ISNA(VLOOKUP(A45,'Données projet'!$A$191:$I$211,3,0)),0,VLOOKUP(A45,'Données projet'!$A$191:$I$211,3,0))</f>
        <v>0</v>
      </c>
      <c r="DF45" s="36">
        <f>IF(ISNA(VLOOKUP(A45,'Données projet'!$A$191:$I$211,4,0)),0,VLOOKUP(A45,'Données projet'!$A$191:$I$211,4,0))</f>
        <v>0</v>
      </c>
      <c r="DG45" s="37">
        <f>IF(ISNA(VLOOKUP(A45,'Données projet'!$A$191:$I$211,5,0)),0%,VLOOKUP(A45,'Données projet'!$A$191:$I$211,5,0)*VLOOKUP('Données projet'!$B$15,Paramètres!$A$1:$I$88,7,0))</f>
        <v>0</v>
      </c>
      <c r="DH45" s="37">
        <f>IF(ISNA(VLOOKUP(A45,'Données projet'!$A$191:$I$211,6,0)),0%,VLOOKUP(A45,'Données projet'!$A$191:$I$211,6,0)*VLOOKUP('Données projet'!$B$15,Paramètres!$A$1:$I$88,7,0))</f>
        <v>0</v>
      </c>
      <c r="DI45" s="37">
        <f>IF(ISNA(VLOOKUP(A45,'Données projet'!$A$191:$I$211,7,0)),0%,VLOOKUP(A45,'Données projet'!$A$191:$I$211,7,0))</f>
        <v>0</v>
      </c>
      <c r="DJ45" s="45">
        <f>EXP(-LN(2)/35)*DJ44+(1-EXP(-LN(2)/35))/(LN(2)/35)*DF45*DG45*VLOOKUP('Données projet'!$B$9,Paramètres!$A$1:$I$88,3,0)*0.475*44/12</f>
        <v>0</v>
      </c>
      <c r="DK45" s="45">
        <f>EXP(-LN(2)/25)*DK44+(1-EXP(-LN(2)/25))/(LN(2)/25)*Calculateur!DF45*Calculateur!DH45*VLOOKUP('Données projet'!$B$9,Paramètres!$A$1:$I$88,3,0)*0.475*44/12</f>
        <v>0</v>
      </c>
      <c r="DL45" s="45">
        <f>EXP(-LN(2)/2)*DL44+(1-EXP(-LN(2)/2))/(LN(2)/2)*DF45*DI45*VLOOKUP('Données projet'!$B$9,Paramètres!$A$1:$I$88,3,0)*0.475*44/12</f>
        <v>0</v>
      </c>
      <c r="DM45" s="46">
        <f t="shared" si="13"/>
        <v>0</v>
      </c>
      <c r="DN45" s="32" t="e">
        <f>VLOOKUP(A45,'Données projet'!$A$217:$I$237,2,0)</f>
        <v>#N/A</v>
      </c>
      <c r="DO45" s="33" t="e">
        <f>VLOOKUP(A45,'Données projet'!$A$217:$I$237,9,0)</f>
        <v>#N/A</v>
      </c>
      <c r="DP45" s="33">
        <f t="array" ref="DP45">INDEX(DO:DO,MIN(IF(ISNUMBER(DO45:DO241),ROW(DO45:DO241),"")))</f>
        <v>0</v>
      </c>
      <c r="DQ45" s="33">
        <f t="shared" si="35"/>
        <v>0</v>
      </c>
      <c r="DR45" s="38" t="e">
        <f>DQ45*VLOOKUP('Données projet'!$B$16,Paramètres!$A$1:$I$88,3,0)*VLOOKUP('Données projet'!$B$16,Paramètres!$A$1:$I$88,5,0)</f>
        <v>#N/A</v>
      </c>
      <c r="DS45" s="34" t="e">
        <f t="shared" si="36"/>
        <v>#N/A</v>
      </c>
      <c r="DT45" s="44" t="e">
        <f t="shared" si="14"/>
        <v>#N/A</v>
      </c>
      <c r="DU45" s="36">
        <f>IF(ISNA(VLOOKUP(A45,'Données projet'!$A$217:$I$237,3,0)),0,VLOOKUP(A45,'Données projet'!$A$217:$I$237,3,0))</f>
        <v>0</v>
      </c>
      <c r="DV45" s="36">
        <f>IF(ISNA(VLOOKUP(A45,'Données projet'!$A$217:$I$237,4,0)),0,VLOOKUP(A45,'Données projet'!$A$217:$I$237,4,0))</f>
        <v>0</v>
      </c>
      <c r="DW45" s="37">
        <f>IF(ISNA(VLOOKUP(A45,'Données projet'!$A$217:$I$237,5,0)),0%,VLOOKUP(A45,'Données projet'!$A$217:$I$237,5,0)*VLOOKUP('Données projet'!$B$16,Paramètres!$A$1:$I$88,7,0))</f>
        <v>0</v>
      </c>
      <c r="DX45" s="37">
        <f>IF(ISNA(VLOOKUP(A45,'Données projet'!$A$217:$I$237,6,0)),0%,VLOOKUP(A45,'Données projet'!$A$217:$I$237,6,0)*VLOOKUP('Données projet'!$B$16,Paramètres!$A$1:$I$88,7,0))</f>
        <v>0</v>
      </c>
      <c r="DY45" s="37">
        <f>IF(ISNA(VLOOKUP(A45,'Données projet'!$A$217:$I$237,7,0)),0%,VLOOKUP(A45,'Données projet'!$A$217:$I$237,7,0))</f>
        <v>0</v>
      </c>
      <c r="DZ45" s="45">
        <f>EXP(-LN(2)/35)*DZ44+(1-EXP(-LN(2)/35))/(LN(2)/35)*DV45*DW45*VLOOKUP('Données projet'!$B$9,Paramètres!$A$1:$I$88,3,0)*0.475*44/12</f>
        <v>0</v>
      </c>
      <c r="EA45" s="45">
        <f>EXP(-LN(2)/25)*EA44+(1-EXP(-LN(2)/25))/(LN(2)/25)*Calculateur!DV45*Calculateur!DX45*VLOOKUP('Données projet'!$B$9,Paramètres!$A$1:$I$88,3,0)*0.475*44/12</f>
        <v>0</v>
      </c>
      <c r="EB45" s="45">
        <f>EXP(-LN(2)/2)*EB44+(1-EXP(-LN(2)/2))/(LN(2)/2)*DV45*DY45*VLOOKUP('Données projet'!$B$9,Paramètres!$A$1:$I$88,3,0)*0.475*44/12</f>
        <v>0</v>
      </c>
      <c r="EC45" s="46">
        <f t="shared" si="15"/>
        <v>0</v>
      </c>
      <c r="ED45" s="32" t="e">
        <f>VLOOKUP(A45,'Données projet'!$A$243:$I$263,2,0)</f>
        <v>#N/A</v>
      </c>
      <c r="EE45" s="33" t="e">
        <f>VLOOKUP(A45,'Données projet'!$A$243:$I$263,9,0)</f>
        <v>#N/A</v>
      </c>
      <c r="EF45" s="33">
        <f t="array" ref="EF45">INDEX(EE:EE,MIN(IF(ISNUMBER(EE45:EE241),ROW(EE45:EE241),"")))</f>
        <v>0</v>
      </c>
      <c r="EG45" s="33">
        <f t="shared" si="37"/>
        <v>0</v>
      </c>
      <c r="EH45" s="38" t="e">
        <f>EG45*VLOOKUP('Données projet'!$B$17,Paramètres!$A$1:$I$88,3,0)*VLOOKUP('Données projet'!$B$17,Paramètres!$A$1:$I$88,5,0)</f>
        <v>#N/A</v>
      </c>
      <c r="EI45" s="34" t="e">
        <f t="shared" si="38"/>
        <v>#N/A</v>
      </c>
      <c r="EJ45" s="44" t="e">
        <f t="shared" si="16"/>
        <v>#N/A</v>
      </c>
      <c r="EK45" s="36">
        <f>IF(ISNA(VLOOKUP(A45,'Données projet'!$A$243:$I$263,3,0)),0,VLOOKUP(A45,'Données projet'!$A$243:$I$263,3,0))</f>
        <v>0</v>
      </c>
      <c r="EL45" s="36">
        <f>IF(ISNA(VLOOKUP(A45,'Données projet'!$A$243:$I$263,4,0)),0,VLOOKUP(A45,'Données projet'!$A$243:$I$263,4,0))</f>
        <v>0</v>
      </c>
      <c r="EM45" s="37">
        <f>IF(ISNA(VLOOKUP(A45,'Données projet'!$A$243:$I$263,5,0)),0%,VLOOKUP(A45,'Données projet'!$A$243:$I$263,5,0)*VLOOKUP('Données projet'!$B$17,Paramètres!$A$1:$I$88,7,0))</f>
        <v>0</v>
      </c>
      <c r="EN45" s="37">
        <f>IF(ISNA(VLOOKUP(A45,'Données projet'!$A$243:$I$263,6,0)),0%,VLOOKUP(A45,'Données projet'!$A$243:$I$263,6,0)*VLOOKUP('Données projet'!$B$17,Paramètres!$A$1:$I$88,7,0))</f>
        <v>0</v>
      </c>
      <c r="EO45" s="37">
        <f>IF(ISNA(VLOOKUP(A45,'Données projet'!$A$243:$I$263,7,0)),0%,VLOOKUP(A45,'Données projet'!$A$243:$I$263,7,0))</f>
        <v>0</v>
      </c>
      <c r="EP45" s="45">
        <f>EXP(-LN(2)/35)*EP44+(1-EXP(-LN(2)/35))/(LN(2)/35)*EL45*EM45*VLOOKUP('Données projet'!$B$9,Paramètres!$A$1:$I$88,3,0)*0.475*44/12</f>
        <v>0</v>
      </c>
      <c r="EQ45" s="45">
        <f>EXP(-LN(2)/25)*EQ44+(1-EXP(-LN(2)/25))/(LN(2)/25)*Calculateur!EL45*Calculateur!EN45*VLOOKUP('Données projet'!$B$9,Paramètres!$A$1:$I$88,3,0)*0.475*44/12</f>
        <v>0</v>
      </c>
      <c r="ER45" s="45">
        <f>EXP(-LN(2)/2)*ER44+(1-EXP(-LN(2)/2))/(LN(2)/2)*EL45*EO45*VLOOKUP('Données projet'!$B$9,Paramètres!$A$1:$I$88,3,0)*0.475*44/12</f>
        <v>0</v>
      </c>
      <c r="ES45" s="46">
        <f t="shared" si="17"/>
        <v>0</v>
      </c>
      <c r="ET45" s="32" t="e">
        <f>VLOOKUP(A45,'Données projet'!$A$269:$I$289,2,0)</f>
        <v>#N/A</v>
      </c>
      <c r="EU45" s="33" t="e">
        <f>VLOOKUP(A45,'Données projet'!$A$269:$I$289,9,0)</f>
        <v>#N/A</v>
      </c>
      <c r="EV45" s="33">
        <f t="array" ref="EV45">INDEX(EU:EU,MIN(IF(ISNUMBER(EU45:EU241),ROW(EU45:EU241),"")))</f>
        <v>0</v>
      </c>
      <c r="EW45" s="33">
        <f t="shared" si="39"/>
        <v>0</v>
      </c>
      <c r="EX45" s="38" t="e">
        <f>EW45*VLOOKUP('Données projet'!$B$18,Paramètres!$A$1:$I$88,3,0)*VLOOKUP('Données projet'!$B$18,Paramètres!$A$1:$I$88,5,0)</f>
        <v>#N/A</v>
      </c>
      <c r="EY45" s="34" t="e">
        <f t="shared" si="40"/>
        <v>#N/A</v>
      </c>
      <c r="EZ45" s="44" t="e">
        <f t="shared" si="18"/>
        <v>#N/A</v>
      </c>
      <c r="FA45" s="36">
        <f>IF(ISNA(VLOOKUP(A45,'Données projet'!$A$269:$I$289,3,0)),0,VLOOKUP(A45,'Données projet'!$A$269:$I$289,3,0))</f>
        <v>0</v>
      </c>
      <c r="FB45" s="36">
        <f>IF(ISNA(VLOOKUP(A45,'Données projet'!$A$269:$I$289,4,0)),0,VLOOKUP(A45,'Données projet'!$A$269:$I$289,4,0))</f>
        <v>0</v>
      </c>
      <c r="FC45" s="37">
        <f>IF(ISNA(VLOOKUP(A45,'Données projet'!$A$269:$I$289,5,0)),0%,VLOOKUP(A45,'Données projet'!$A$269:$I$289,5,0)*VLOOKUP('Données projet'!$B$18,Paramètres!$A$1:$I$88,7,0))</f>
        <v>0</v>
      </c>
      <c r="FD45" s="37">
        <f>IF(ISNA(VLOOKUP(A45,'Données projet'!$A$269:$I$289,6,0)),0%,VLOOKUP(A45,'Données projet'!$A$269:$I$289,6,0)*VLOOKUP('Données projet'!$B$18,Paramètres!$A$1:$I$88,7,0))</f>
        <v>0</v>
      </c>
      <c r="FE45" s="37">
        <f>IF(ISNA(VLOOKUP(A45,'Données projet'!$A$269:$I$289,7,0)),0%,VLOOKUP(A45,'Données projet'!$A$269:$I$289,7,0))</f>
        <v>0</v>
      </c>
      <c r="FF45" s="45">
        <f>EXP(-LN(2)/35)*FF44+(1-EXP(-LN(2)/35))/(LN(2)/35)*FB45*FC45*VLOOKUP('Données projet'!$B$9,Paramètres!$A$1:$I$88,3,0)*0.475*44/12</f>
        <v>0</v>
      </c>
      <c r="FG45" s="45">
        <f>EXP(-LN(2)/25)*FG44+(1-EXP(-LN(2)/25))/(LN(2)/25)*Calculateur!FB45*Calculateur!FD45*VLOOKUP('Données projet'!$B$9,Paramètres!$A$1:$I$88,3,0)*0.475*44/12</f>
        <v>0</v>
      </c>
      <c r="FH45" s="45">
        <f>EXP(-LN(2)/2)*FH44+(1-EXP(-LN(2)/2))/(LN(2)/2)*FB45*FE45*VLOOKUP('Données projet'!$B$9,Paramètres!$A$1:$I$88,3,0)*0.475*44/12</f>
        <v>0</v>
      </c>
      <c r="FI45" s="46">
        <f t="shared" si="19"/>
        <v>0</v>
      </c>
    </row>
    <row r="46" spans="1:165" x14ac:dyDescent="0.25">
      <c r="A46" s="24">
        <f t="shared" si="20"/>
        <v>43</v>
      </c>
      <c r="B46" s="25">
        <f>IF('Scénario référence'!$N$1=1,5,0)</f>
        <v>0</v>
      </c>
      <c r="C46" s="40">
        <f>IF(OR('Scénario référence'!$N$1=2,'Scénario référence'!$N$1=4),C45+1*VLOOKUP('Scénario référence'!$G$14,Paramètres!$A$1:$I$88,3,0)*VLOOKUP('Scénario référence'!$G$14,Paramètres!$A$1:$I$88,5,0),IF(OR('Scénario référence'!$N$1=3,'Scénario référence'!$N$1=5),C45+0.5*VLOOKUP('Scénario référence'!$G$14,Paramètres!$A$1:$I$88,3,0)*VLOOKUP('Scénario référence'!$G$14,Paramètres!$A$1:$I$88,5,0),0))</f>
        <v>23.477999999999987</v>
      </c>
      <c r="D46" s="26">
        <f t="shared" si="21"/>
        <v>7.4932153017418166</v>
      </c>
      <c r="E46" s="27">
        <f>IF('Scénario référence'!$N$1=1,B46*44/12,(C46+D46)*0.475*44/12)</f>
        <v>53.941533317200303</v>
      </c>
      <c r="F46" s="28" t="e">
        <f>VLOOKUP(A46,'Données projet'!$A$35:$I$55,2,0)</f>
        <v>#N/A</v>
      </c>
      <c r="G46" s="28" t="e">
        <f>VLOOKUP(A46,'Données projet'!$A$35:$I$55,9,0)</f>
        <v>#N/A</v>
      </c>
      <c r="H46" s="33">
        <f t="array" ref="H46">INDEX(G:G,MIN(IF(ISNUMBER(G46:G242),ROW(G46:G242),"")))</f>
        <v>8.4</v>
      </c>
      <c r="I46" s="28">
        <f t="shared" si="22"/>
        <v>162.20000000000005</v>
      </c>
      <c r="J46" s="41">
        <f>I46*VLOOKUP('Données projet'!$B$9,Paramètres!$A$1:$I$88,3,0)*VLOOKUP('Données projet'!$B$9,Paramètres!$A$1:$I$88,5,0)</f>
        <v>164.47080000000005</v>
      </c>
      <c r="K46" s="41">
        <f t="shared" si="23"/>
        <v>41.849293714451377</v>
      </c>
      <c r="L46" s="42">
        <f t="shared" si="0"/>
        <v>359.34082988600289</v>
      </c>
      <c r="M46" s="30">
        <f>IF(ISNA(VLOOKUP(A46,'Données projet'!$A$35:$I$55,3,0)),0,VLOOKUP(A46,'Données projet'!$A$35:$I$55,3,0))</f>
        <v>0</v>
      </c>
      <c r="N46" s="30">
        <f>IF(ISNA(VLOOKUP(A46,'Données projet'!$A$35:$I$55,4,0)),0,VLOOKUP(A46,'Données projet'!$A$35:$I$55,4,0))</f>
        <v>0</v>
      </c>
      <c r="O46" s="31">
        <f>IF(ISNA(VLOOKUP(A46,'Données projet'!$A$35:$I$55,5,0)),0%,VLOOKUP(A46,'Données projet'!$A$35:$I$55,5,0)*VLOOKUP('Données projet'!$B$9,Paramètres!$A$1:$I$88,7,0))</f>
        <v>0</v>
      </c>
      <c r="P46" s="31">
        <f>IF(ISNA(VLOOKUP(A46,'Données projet'!$A$35:$I$55,6,0)),0%,VLOOKUP(A46,'Données projet'!$A$35:$I$55,6,0)*VLOOKUP('Données projet'!$B$9,Paramètres!$A$1:$I$88,7,0))</f>
        <v>0</v>
      </c>
      <c r="Q46" s="31">
        <f>IF(ISNA(VLOOKUP(A46,'Données projet'!$A$35:$I$55,7,0)),0%,VLOOKUP(A46,'Données projet'!$A$35:$I$55,7,0))</f>
        <v>0</v>
      </c>
      <c r="R46" s="43">
        <f>EXP(-LN(2)/35)*R45+(1-EXP(-LN(2)/35))/(LN(2)/35)*N46*O46*VLOOKUP('Données projet'!$B$9,Paramètres!$A$1:$I$88,3,0)*0.475*44/12</f>
        <v>0</v>
      </c>
      <c r="S46" s="43">
        <f>EXP(-LN(2)/25)*S45+(1-EXP(-LN(2)/25))/(LN(2)/25)*Calculateur!N46*Calculateur!P46*VLOOKUP('Données projet'!$B$9,Paramètres!$A$1:$I$88,3,0)*0.475*44/12</f>
        <v>0</v>
      </c>
      <c r="T46" s="43">
        <f>EXP(-LN(2)/2)*T45+(1-EXP(-LN(2)/2))/(LN(2)/2)*N46*Q46*VLOOKUP('Données projet'!$B$9,Paramètres!$A$1:$I$88,3,0)*0.475*44/12</f>
        <v>0</v>
      </c>
      <c r="U46" s="43">
        <f t="shared" si="1"/>
        <v>0</v>
      </c>
      <c r="V46" s="32" t="e">
        <f>VLOOKUP(A46,'Données projet'!$A$61:$I$81,2,0)</f>
        <v>#N/A</v>
      </c>
      <c r="W46" s="33" t="e">
        <f>VLOOKUP(A46,'Données projet'!$A$61:$I$81,9,0)</f>
        <v>#N/A</v>
      </c>
      <c r="X46" s="33">
        <f t="array" ref="X46">INDEX(W:W,MIN(IF(ISNUMBER(W46:W242),ROW(W46:W242),"")))</f>
        <v>0</v>
      </c>
      <c r="Y46" s="33">
        <f t="shared" si="24"/>
        <v>0</v>
      </c>
      <c r="Z46" s="34" t="e">
        <f>Y46*VLOOKUP('Données projet'!$B$10,Paramètres!$A$1:$I$88,3,0)*VLOOKUP('Données projet'!$B$10,Paramètres!$A$1:$I$88,5,0)</f>
        <v>#N/A</v>
      </c>
      <c r="AA46" s="34" t="e">
        <f t="shared" si="25"/>
        <v>#N/A</v>
      </c>
      <c r="AB46" s="44" t="e">
        <f t="shared" si="2"/>
        <v>#N/A</v>
      </c>
      <c r="AC46" s="36">
        <f>IF(ISNA(VLOOKUP(A46,'Données projet'!$A$61:$I$81,3,0)),0,VLOOKUP(A46,'Données projet'!$A$61:$I$81,3,0))</f>
        <v>0</v>
      </c>
      <c r="AD46" s="36">
        <f>IF(ISNA(VLOOKUP(A46,'Données projet'!$A$61:$I$81,4,0)),0,VLOOKUP(A46,'Données projet'!$A$61:$I$81,4,0))</f>
        <v>0</v>
      </c>
      <c r="AE46" s="37">
        <f>IF(ISNA(VLOOKUP(A46,'Données projet'!$A$61:$I$81,5,0)),0%,VLOOKUP(A46,'Données projet'!$A$61:$I$81,5,0)*VLOOKUP('Données projet'!$B$10,Paramètres!$A$1:$I$88,7,0))</f>
        <v>0</v>
      </c>
      <c r="AF46" s="37">
        <f>IF(ISNA(VLOOKUP(A46,'Données projet'!$A$61:$I$81,6,0)),0%,VLOOKUP(A46,'Données projet'!$A$61:$I$81,6,0)*VLOOKUP('Données projet'!$B$10,Paramètres!$A$1:$I$88,7,0))</f>
        <v>0</v>
      </c>
      <c r="AG46" s="37">
        <f>IF(ISNA(VLOOKUP(A46,'Données projet'!$A$61:$I$81,7,0)),0%,VLOOKUP(A46,'Données projet'!$A$61:$I$81,7,0))</f>
        <v>0</v>
      </c>
      <c r="AH46" s="45">
        <f>EXP(-LN(2)/35)*AH45+(1-EXP(-LN(2)/35))/(LN(2)/35)*AD46*AE46*VLOOKUP('Données projet'!$B$9,Paramètres!$A$1:$I$88,3,0)*0.475*44/12</f>
        <v>0</v>
      </c>
      <c r="AI46" s="45">
        <f>EXP(-LN(2)/25)*AI45+(1-EXP(-LN(2)/25))/(LN(2)/25)*Calculateur!AD46*Calculateur!AF46*VLOOKUP('Données projet'!$B$9,Paramètres!$A$1:$I$88,3,0)*0.475*44/12</f>
        <v>0</v>
      </c>
      <c r="AJ46" s="45">
        <f>EXP(-LN(2)/2)*AJ45+(1-EXP(-LN(2)/2))/(LN(2)/2)*AD46*AG46*VLOOKUP('Données projet'!$B$9,Paramètres!$A$1:$I$88,3,0)*0.475*44/12</f>
        <v>0</v>
      </c>
      <c r="AK46" s="45">
        <f t="shared" si="3"/>
        <v>0</v>
      </c>
      <c r="AL46" s="32" t="e">
        <f>VLOOKUP(A46,'Données projet'!$A$87:$I$107,2,0)</f>
        <v>#N/A</v>
      </c>
      <c r="AM46" s="33" t="e">
        <f>VLOOKUP(A46,'Données projet'!$A$87:$I$107,9,0)</f>
        <v>#N/A</v>
      </c>
      <c r="AN46" s="33">
        <f t="array" ref="AN46">INDEX(AM:AM,MIN(IF(ISNUMBER(AM46:AM242),ROW(AM46:AM242),"")))</f>
        <v>0</v>
      </c>
      <c r="AO46" s="33">
        <f t="shared" si="26"/>
        <v>0</v>
      </c>
      <c r="AP46" s="34" t="e">
        <f>AO46*VLOOKUP('Données projet'!$B$11,Paramètres!$A$1:$I$88,3,0)*VLOOKUP('Données projet'!$B$11,Paramètres!$A$1:$I$88,5,0)</f>
        <v>#N/A</v>
      </c>
      <c r="AQ46" s="34" t="e">
        <f t="shared" si="27"/>
        <v>#N/A</v>
      </c>
      <c r="AR46" s="44" t="e">
        <f t="shared" si="4"/>
        <v>#N/A</v>
      </c>
      <c r="AS46" s="36">
        <f>IF(ISNA(VLOOKUP(A46,'Données projet'!$A$87:$I$107,3,0)),0,VLOOKUP(A46,'Données projet'!$A$87:$I$107,3,0))</f>
        <v>0</v>
      </c>
      <c r="AT46" s="36">
        <f>IF(ISNA(VLOOKUP(A46,'Données projet'!$A$87:$I$107,4,0)),0,VLOOKUP(A46,'Données projet'!$A$87:$I$107,4,0))</f>
        <v>0</v>
      </c>
      <c r="AU46" s="37">
        <f>IF(ISNA(VLOOKUP(A46,'Données projet'!$A$87:$I$107,5,0)),0%,VLOOKUP(A46,'Données projet'!$A$87:$I$107,5,0)*VLOOKUP('Données projet'!$B$11,Paramètres!$A$1:$I$88,7,0))</f>
        <v>0</v>
      </c>
      <c r="AV46" s="37">
        <f>IF(ISNA(VLOOKUP(A46,'Données projet'!$A$87:$I$107,6,0)),0%,VLOOKUP(A46,'Données projet'!$A$87:$I$107,6,0)*VLOOKUP('Données projet'!$B$11,Paramètres!$A$1:$I$88,7,0))</f>
        <v>0</v>
      </c>
      <c r="AW46" s="37">
        <f>IF(ISNA(VLOOKUP(A46,'Données projet'!$A$87:$I$107,7,0)),0%,VLOOKUP(A46,'Données projet'!$A$87:$I$107,7,0))</f>
        <v>0</v>
      </c>
      <c r="AX46" s="45">
        <f>EXP(-LN(2)/35)*AX45+(1-EXP(-LN(2)/35))/(LN(2)/35)*AT46*AU46*VLOOKUP('Données projet'!$B$9,Paramètres!$A$1:$I$88,3,0)*0.475*44/12</f>
        <v>0</v>
      </c>
      <c r="AY46" s="45">
        <f>EXP(-LN(2)/25)*AY45+(1-EXP(-LN(2)/25))/(LN(2)/25)*Calculateur!AT46*Calculateur!AV46*VLOOKUP('Données projet'!$B$9,Paramètres!$A$1:$I$88,3,0)*0.475*44/12</f>
        <v>0</v>
      </c>
      <c r="AZ46" s="45">
        <f>EXP(-LN(2)/2)*AZ45+(1-EXP(-LN(2)/2))/(LN(2)/2)*AT46*AW46*VLOOKUP('Données projet'!$B$9,Paramètres!$A$1:$I$88,3,0)*0.475*44/12</f>
        <v>0</v>
      </c>
      <c r="BA46" s="46">
        <f t="shared" si="5"/>
        <v>0</v>
      </c>
      <c r="BB46" s="32" t="e">
        <f>VLOOKUP(A46,'Données projet'!$A$113:$I$133,2,0)</f>
        <v>#N/A</v>
      </c>
      <c r="BC46" s="33" t="e">
        <f>VLOOKUP(A46,'Données projet'!$A$113:$I$133,9,0)</f>
        <v>#N/A</v>
      </c>
      <c r="BD46" s="33">
        <f t="array" ref="BD46">INDEX(BC:BC,MIN(IF(ISNUMBER(BC46:BC242),ROW(BC46:BC242),"")))</f>
        <v>0</v>
      </c>
      <c r="BE46" s="33">
        <f t="shared" si="28"/>
        <v>0</v>
      </c>
      <c r="BF46" s="34" t="e">
        <f>BE46*VLOOKUP('Données projet'!$B$12,Paramètres!$A$1:$I$88,3,0)*VLOOKUP('Données projet'!$B$12,Paramètres!$A$1:$I$88,5,0)</f>
        <v>#N/A</v>
      </c>
      <c r="BG46" s="34" t="e">
        <f t="shared" si="29"/>
        <v>#N/A</v>
      </c>
      <c r="BH46" s="44" t="e">
        <f t="shared" si="6"/>
        <v>#N/A</v>
      </c>
      <c r="BI46" s="36">
        <f>IF(ISNA(VLOOKUP(A46,'Données projet'!$A$113:$I$133,3,0)),0,VLOOKUP(A46,'Données projet'!$A$113:$I$133,3,0))</f>
        <v>0</v>
      </c>
      <c r="BJ46" s="36">
        <f>IF(ISNA(VLOOKUP(A46,'Données projet'!$A$113:$I$133,4,0)),0,VLOOKUP(A46,'Données projet'!$A$113:$I$133,4,0))</f>
        <v>0</v>
      </c>
      <c r="BK46" s="37">
        <f>IF(ISNA(VLOOKUP(A46,'Données projet'!$A$113:$I$133,5,0)),0%,VLOOKUP(A46,'Données projet'!$A$113:$I$133,5,0)*VLOOKUP('Données projet'!$B$12,Paramètres!$A$1:$I$88,7,0))</f>
        <v>0</v>
      </c>
      <c r="BL46" s="37">
        <f>IF(ISNA(VLOOKUP(A46,'Données projet'!$A$113:$I$133,6,0)),0%,VLOOKUP(A46,'Données projet'!$A$113:$I$133,6,0)*VLOOKUP('Données projet'!$B$12,Paramètres!$A$1:$I$88,7,0))</f>
        <v>0</v>
      </c>
      <c r="BM46" s="37">
        <f>IF(ISNA(VLOOKUP(A46,'Données projet'!$A$113:$I$133,7,0)),0%,VLOOKUP(A46,'Données projet'!$A$113:$I$133,7,0))</f>
        <v>0</v>
      </c>
      <c r="BN46" s="45">
        <f>EXP(-LN(2)/35)*BN45+(1-EXP(-LN(2)/35))/(LN(2)/35)*BJ46*BK46*VLOOKUP('Données projet'!$B$9,Paramètres!$A$1:$I$88,3,0)*0.475*44/12</f>
        <v>0</v>
      </c>
      <c r="BO46" s="45">
        <f>EXP(-LN(2)/25)*BO45+(1-EXP(-LN(2)/25))/(LN(2)/25)*Calculateur!BJ46*Calculateur!BL46*VLOOKUP('Données projet'!$B$9,Paramètres!$A$1:$I$88,3,0)*0.475*44/12</f>
        <v>0</v>
      </c>
      <c r="BP46" s="45">
        <f>EXP(-LN(2)/2)*BP45+(1-EXP(-LN(2)/2))/(LN(2)/2)*BJ46*BM46*VLOOKUP('Données projet'!$B$9,Paramètres!$A$1:$I$88,3,0)*0.475*44/12</f>
        <v>0</v>
      </c>
      <c r="BQ46" s="46">
        <f t="shared" si="7"/>
        <v>0</v>
      </c>
      <c r="BR46" s="32" t="e">
        <f>VLOOKUP(A46,'Données projet'!$A$139:$I$159,2,0)</f>
        <v>#N/A</v>
      </c>
      <c r="BS46" s="33" t="e">
        <f>VLOOKUP(A46,'Données projet'!$A$139:$I$159,9,0)</f>
        <v>#N/A</v>
      </c>
      <c r="BT46" s="33">
        <f t="array" ref="BT46">INDEX(BS:BS,MIN(IF(ISNUMBER(BS46:BS242),ROW(BS46:BS242),"")))</f>
        <v>0</v>
      </c>
      <c r="BU46" s="33">
        <f t="shared" si="41"/>
        <v>0</v>
      </c>
      <c r="BV46" s="38" t="e">
        <f>BU46*VLOOKUP('Données projet'!$B$13,Paramètres!$A$1:$I$88,3,0)*VLOOKUP('Données projet'!$B$13,Paramètres!$A$1:$I$88,5,0)</f>
        <v>#N/A</v>
      </c>
      <c r="BW46" s="34" t="e">
        <f t="shared" si="30"/>
        <v>#N/A</v>
      </c>
      <c r="BX46" s="44" t="e">
        <f t="shared" si="8"/>
        <v>#N/A</v>
      </c>
      <c r="BY46" s="36">
        <f>IF(ISNA(VLOOKUP(A46,'Données projet'!$A$139:$I$159,3,0)),0,VLOOKUP(A46,'Données projet'!$A$139:$I$159,3,0))</f>
        <v>0</v>
      </c>
      <c r="BZ46" s="36">
        <f>IF(ISNA(VLOOKUP(A46,'Données projet'!$A$139:$I$159,4,0)),0,VLOOKUP(A46,'Données projet'!$A$139:$I$159,4,0))</f>
        <v>0</v>
      </c>
      <c r="CA46" s="37">
        <f>IF(ISNA(VLOOKUP(A46,'Données projet'!$A$139:$I$159,5,0)),0%,VLOOKUP(A46,'Données projet'!$A$139:$I$159,5,0)*VLOOKUP('Données projet'!$B$13,Paramètres!$A$1:$I$88,7,0))</f>
        <v>0</v>
      </c>
      <c r="CB46" s="37">
        <f>IF(ISNA(VLOOKUP(A46,'Données projet'!$A$139:$I$159,6,0)),0%,VLOOKUP(A46,'Données projet'!$A$139:$I$159,6,0)*VLOOKUP('Données projet'!$B$13,Paramètres!$A$1:$I$88,7,0))</f>
        <v>0</v>
      </c>
      <c r="CC46" s="37">
        <f>IF(ISNA(VLOOKUP(A46,'Données projet'!$A$139:$I$159,7,0)),0%,VLOOKUP(A46,'Données projet'!$A$139:$I$159,7,0))</f>
        <v>0</v>
      </c>
      <c r="CD46" s="45">
        <f>EXP(-LN(2)/35)*CD45+(1-EXP(-LN(2)/35))/(LN(2)/35)*BZ46*CA46*VLOOKUP('Données projet'!$B$9,Paramètres!$A$1:$I$88,3,0)*0.475*44/12</f>
        <v>0</v>
      </c>
      <c r="CE46" s="45">
        <f>EXP(-LN(2)/25)*CE45+(1-EXP(-LN(2)/25))/(LN(2)/25)*Calculateur!BZ46*Calculateur!CB46*VLOOKUP('Données projet'!$B$9,Paramètres!$A$1:$I$88,3,0)*0.475*44/12</f>
        <v>0</v>
      </c>
      <c r="CF46" s="45">
        <f>EXP(-LN(2)/2)*CF45+(1-EXP(-LN(2)/2))/(LN(2)/2)*BZ46*CC46*VLOOKUP('Données projet'!$B$9,Paramètres!$A$1:$I$88,3,0)*0.475*44/12</f>
        <v>0</v>
      </c>
      <c r="CG46" s="46">
        <f t="shared" si="9"/>
        <v>0</v>
      </c>
      <c r="CH46" s="32" t="e">
        <f>VLOOKUP(A46,'Données projet'!$A$165:$I$185,2,0)</f>
        <v>#N/A</v>
      </c>
      <c r="CI46" s="33" t="e">
        <f>VLOOKUP(A46,'Données projet'!$A$165:$I$185,9,0)</f>
        <v>#N/A</v>
      </c>
      <c r="CJ46" s="33">
        <f t="array" ref="CJ46">INDEX(CI:CI,MIN(IF(ISNUMBER(CI46:CI242),ROW(CI46:CI242),"")))</f>
        <v>0</v>
      </c>
      <c r="CK46" s="33">
        <f t="shared" si="31"/>
        <v>0</v>
      </c>
      <c r="CL46" s="38" t="e">
        <f>CK46*VLOOKUP('Données projet'!$B$14,Paramètres!$A$1:$I$88,3,0)*VLOOKUP('Données projet'!$B$14,Paramètres!$A$1:$I$88,5,0)</f>
        <v>#N/A</v>
      </c>
      <c r="CM46" s="34" t="e">
        <f t="shared" si="32"/>
        <v>#N/A</v>
      </c>
      <c r="CN46" s="44" t="e">
        <f t="shared" si="10"/>
        <v>#N/A</v>
      </c>
      <c r="CO46" s="36">
        <f>IF(ISNA(VLOOKUP(A46,'Données projet'!$A$165:$I$185,3,0)),0,VLOOKUP(A46,'Données projet'!$A$165:$I$185,3,0))</f>
        <v>0</v>
      </c>
      <c r="CP46" s="36">
        <f>IF(ISNA(VLOOKUP(A46,'Données projet'!$A$165:$I$185,4,0)),0,VLOOKUP(A46,'Données projet'!$A$165:$I$185,4,0))</f>
        <v>0</v>
      </c>
      <c r="CQ46" s="37">
        <f>IF(ISNA(VLOOKUP(A46,'Données projet'!$A$165:$I$185,5,0)),0%,VLOOKUP(A46,'Données projet'!$A$165:$I$185,5,0)*VLOOKUP('Données projet'!$B$14,Paramètres!$A$1:$I$88,7,0))</f>
        <v>0</v>
      </c>
      <c r="CR46" s="37">
        <f>IF(ISNA(VLOOKUP(A46,'Données projet'!$A$165:$I$185,6,0)),0%,VLOOKUP(A46,'Données projet'!$A$165:$I$185,6,0)*VLOOKUP('Données projet'!$B$14,Paramètres!$A$1:$I$88,7,0))</f>
        <v>0</v>
      </c>
      <c r="CS46" s="37">
        <f>IF(ISNA(VLOOKUP(A46,'Données projet'!$A$165:$I$185,7,0)),0%,VLOOKUP(A46,'Données projet'!$A$165:$I$185,7,0))</f>
        <v>0</v>
      </c>
      <c r="CT46" s="45">
        <f>EXP(-LN(2)/35)*CT45+(1-EXP(-LN(2)/35))/(LN(2)/35)*CP46*CQ46*VLOOKUP('Données projet'!$B$9,Paramètres!$A$1:$I$88,3,0)*0.475*44/12</f>
        <v>0</v>
      </c>
      <c r="CU46" s="45">
        <f>EXP(-LN(2)/25)*CU45+(1-EXP(-LN(2)/25))/(LN(2)/25)*Calculateur!CP46*Calculateur!CR46*VLOOKUP('Données projet'!$B$9,Paramètres!$A$1:$I$88,3,0)*0.475*44/12</f>
        <v>0</v>
      </c>
      <c r="CV46" s="45">
        <f>EXP(-LN(2)/2)*CV45+(1-EXP(-LN(2)/2))/(LN(2)/2)*CP46*CS46*VLOOKUP('Données projet'!$B$9,Paramètres!$A$1:$I$88,3,0)*0.475*44/12</f>
        <v>0</v>
      </c>
      <c r="CW46" s="46">
        <f t="shared" si="11"/>
        <v>0</v>
      </c>
      <c r="CX46" s="32" t="e">
        <f>VLOOKUP(A46,'Données projet'!$A$191:$I$211,2,0)</f>
        <v>#N/A</v>
      </c>
      <c r="CY46" s="33" t="e">
        <f>VLOOKUP(A46,'Données projet'!$A$191:$I$211,9,0)</f>
        <v>#N/A</v>
      </c>
      <c r="CZ46" s="33">
        <f t="array" ref="CZ46">INDEX(CY:CY,MIN(IF(ISNUMBER(CY46:CY242),ROW(CY46:CY242),"")))</f>
        <v>0</v>
      </c>
      <c r="DA46" s="33">
        <f t="shared" si="33"/>
        <v>0</v>
      </c>
      <c r="DB46" s="38" t="e">
        <f>DA46*VLOOKUP('Données projet'!$B$15,Paramètres!$A$1:$I$88,3,0)*VLOOKUP('Données projet'!$B$15,Paramètres!$A$1:$I$88,5,0)</f>
        <v>#N/A</v>
      </c>
      <c r="DC46" s="34" t="e">
        <f t="shared" si="34"/>
        <v>#N/A</v>
      </c>
      <c r="DD46" s="44" t="e">
        <f t="shared" si="12"/>
        <v>#N/A</v>
      </c>
      <c r="DE46" s="36">
        <f>IF(ISNA(VLOOKUP(A46,'Données projet'!$A$191:$I$211,3,0)),0,VLOOKUP(A46,'Données projet'!$A$191:$I$211,3,0))</f>
        <v>0</v>
      </c>
      <c r="DF46" s="36">
        <f>IF(ISNA(VLOOKUP(A46,'Données projet'!$A$191:$I$211,4,0)),0,VLOOKUP(A46,'Données projet'!$A$191:$I$211,4,0))</f>
        <v>0</v>
      </c>
      <c r="DG46" s="37">
        <f>IF(ISNA(VLOOKUP(A46,'Données projet'!$A$191:$I$211,5,0)),0%,VLOOKUP(A46,'Données projet'!$A$191:$I$211,5,0)*VLOOKUP('Données projet'!$B$15,Paramètres!$A$1:$I$88,7,0))</f>
        <v>0</v>
      </c>
      <c r="DH46" s="37">
        <f>IF(ISNA(VLOOKUP(A46,'Données projet'!$A$191:$I$211,6,0)),0%,VLOOKUP(A46,'Données projet'!$A$191:$I$211,6,0)*VLOOKUP('Données projet'!$B$15,Paramètres!$A$1:$I$88,7,0))</f>
        <v>0</v>
      </c>
      <c r="DI46" s="37">
        <f>IF(ISNA(VLOOKUP(A46,'Données projet'!$A$191:$I$211,7,0)),0%,VLOOKUP(A46,'Données projet'!$A$191:$I$211,7,0))</f>
        <v>0</v>
      </c>
      <c r="DJ46" s="45">
        <f>EXP(-LN(2)/35)*DJ45+(1-EXP(-LN(2)/35))/(LN(2)/35)*DF46*DG46*VLOOKUP('Données projet'!$B$9,Paramètres!$A$1:$I$88,3,0)*0.475*44/12</f>
        <v>0</v>
      </c>
      <c r="DK46" s="45">
        <f>EXP(-LN(2)/25)*DK45+(1-EXP(-LN(2)/25))/(LN(2)/25)*Calculateur!DF46*Calculateur!DH46*VLOOKUP('Données projet'!$B$9,Paramètres!$A$1:$I$88,3,0)*0.475*44/12</f>
        <v>0</v>
      </c>
      <c r="DL46" s="45">
        <f>EXP(-LN(2)/2)*DL45+(1-EXP(-LN(2)/2))/(LN(2)/2)*DF46*DI46*VLOOKUP('Données projet'!$B$9,Paramètres!$A$1:$I$88,3,0)*0.475*44/12</f>
        <v>0</v>
      </c>
      <c r="DM46" s="46">
        <f t="shared" si="13"/>
        <v>0</v>
      </c>
      <c r="DN46" s="32" t="e">
        <f>VLOOKUP(A46,'Données projet'!$A$217:$I$237,2,0)</f>
        <v>#N/A</v>
      </c>
      <c r="DO46" s="33" t="e">
        <f>VLOOKUP(A46,'Données projet'!$A$217:$I$237,9,0)</f>
        <v>#N/A</v>
      </c>
      <c r="DP46" s="33">
        <f t="array" ref="DP46">INDEX(DO:DO,MIN(IF(ISNUMBER(DO46:DO242),ROW(DO46:DO242),"")))</f>
        <v>0</v>
      </c>
      <c r="DQ46" s="33">
        <f t="shared" si="35"/>
        <v>0</v>
      </c>
      <c r="DR46" s="38" t="e">
        <f>DQ46*VLOOKUP('Données projet'!$B$16,Paramètres!$A$1:$I$88,3,0)*VLOOKUP('Données projet'!$B$16,Paramètres!$A$1:$I$88,5,0)</f>
        <v>#N/A</v>
      </c>
      <c r="DS46" s="34" t="e">
        <f t="shared" si="36"/>
        <v>#N/A</v>
      </c>
      <c r="DT46" s="44" t="e">
        <f t="shared" si="14"/>
        <v>#N/A</v>
      </c>
      <c r="DU46" s="36">
        <f>IF(ISNA(VLOOKUP(A46,'Données projet'!$A$217:$I$237,3,0)),0,VLOOKUP(A46,'Données projet'!$A$217:$I$237,3,0))</f>
        <v>0</v>
      </c>
      <c r="DV46" s="36">
        <f>IF(ISNA(VLOOKUP(A46,'Données projet'!$A$217:$I$237,4,0)),0,VLOOKUP(A46,'Données projet'!$A$217:$I$237,4,0))</f>
        <v>0</v>
      </c>
      <c r="DW46" s="37">
        <f>IF(ISNA(VLOOKUP(A46,'Données projet'!$A$217:$I$237,5,0)),0%,VLOOKUP(A46,'Données projet'!$A$217:$I$237,5,0)*VLOOKUP('Données projet'!$B$16,Paramètres!$A$1:$I$88,7,0))</f>
        <v>0</v>
      </c>
      <c r="DX46" s="37">
        <f>IF(ISNA(VLOOKUP(A46,'Données projet'!$A$217:$I$237,6,0)),0%,VLOOKUP(A46,'Données projet'!$A$217:$I$237,6,0)*VLOOKUP('Données projet'!$B$16,Paramètres!$A$1:$I$88,7,0))</f>
        <v>0</v>
      </c>
      <c r="DY46" s="37">
        <f>IF(ISNA(VLOOKUP(A46,'Données projet'!$A$217:$I$237,7,0)),0%,VLOOKUP(A46,'Données projet'!$A$217:$I$237,7,0))</f>
        <v>0</v>
      </c>
      <c r="DZ46" s="45">
        <f>EXP(-LN(2)/35)*DZ45+(1-EXP(-LN(2)/35))/(LN(2)/35)*DV46*DW46*VLOOKUP('Données projet'!$B$9,Paramètres!$A$1:$I$88,3,0)*0.475*44/12</f>
        <v>0</v>
      </c>
      <c r="EA46" s="45">
        <f>EXP(-LN(2)/25)*EA45+(1-EXP(-LN(2)/25))/(LN(2)/25)*Calculateur!DV46*Calculateur!DX46*VLOOKUP('Données projet'!$B$9,Paramètres!$A$1:$I$88,3,0)*0.475*44/12</f>
        <v>0</v>
      </c>
      <c r="EB46" s="45">
        <f>EXP(-LN(2)/2)*EB45+(1-EXP(-LN(2)/2))/(LN(2)/2)*DV46*DY46*VLOOKUP('Données projet'!$B$9,Paramètres!$A$1:$I$88,3,0)*0.475*44/12</f>
        <v>0</v>
      </c>
      <c r="EC46" s="46">
        <f t="shared" si="15"/>
        <v>0</v>
      </c>
      <c r="ED46" s="32" t="e">
        <f>VLOOKUP(A46,'Données projet'!$A$243:$I$263,2,0)</f>
        <v>#N/A</v>
      </c>
      <c r="EE46" s="33" t="e">
        <f>VLOOKUP(A46,'Données projet'!$A$243:$I$263,9,0)</f>
        <v>#N/A</v>
      </c>
      <c r="EF46" s="33">
        <f t="array" ref="EF46">INDEX(EE:EE,MIN(IF(ISNUMBER(EE46:EE242),ROW(EE46:EE242),"")))</f>
        <v>0</v>
      </c>
      <c r="EG46" s="33">
        <f t="shared" si="37"/>
        <v>0</v>
      </c>
      <c r="EH46" s="38" t="e">
        <f>EG46*VLOOKUP('Données projet'!$B$17,Paramètres!$A$1:$I$88,3,0)*VLOOKUP('Données projet'!$B$17,Paramètres!$A$1:$I$88,5,0)</f>
        <v>#N/A</v>
      </c>
      <c r="EI46" s="34" t="e">
        <f t="shared" si="38"/>
        <v>#N/A</v>
      </c>
      <c r="EJ46" s="44" t="e">
        <f t="shared" si="16"/>
        <v>#N/A</v>
      </c>
      <c r="EK46" s="36">
        <f>IF(ISNA(VLOOKUP(A46,'Données projet'!$A$243:$I$263,3,0)),0,VLOOKUP(A46,'Données projet'!$A$243:$I$263,3,0))</f>
        <v>0</v>
      </c>
      <c r="EL46" s="36">
        <f>IF(ISNA(VLOOKUP(A46,'Données projet'!$A$243:$I$263,4,0)),0,VLOOKUP(A46,'Données projet'!$A$243:$I$263,4,0))</f>
        <v>0</v>
      </c>
      <c r="EM46" s="37">
        <f>IF(ISNA(VLOOKUP(A46,'Données projet'!$A$243:$I$263,5,0)),0%,VLOOKUP(A46,'Données projet'!$A$243:$I$263,5,0)*VLOOKUP('Données projet'!$B$17,Paramètres!$A$1:$I$88,7,0))</f>
        <v>0</v>
      </c>
      <c r="EN46" s="37">
        <f>IF(ISNA(VLOOKUP(A46,'Données projet'!$A$243:$I$263,6,0)),0%,VLOOKUP(A46,'Données projet'!$A$243:$I$263,6,0)*VLOOKUP('Données projet'!$B$17,Paramètres!$A$1:$I$88,7,0))</f>
        <v>0</v>
      </c>
      <c r="EO46" s="37">
        <f>IF(ISNA(VLOOKUP(A46,'Données projet'!$A$243:$I$263,7,0)),0%,VLOOKUP(A46,'Données projet'!$A$243:$I$263,7,0))</f>
        <v>0</v>
      </c>
      <c r="EP46" s="45">
        <f>EXP(-LN(2)/35)*EP45+(1-EXP(-LN(2)/35))/(LN(2)/35)*EL46*EM46*VLOOKUP('Données projet'!$B$9,Paramètres!$A$1:$I$88,3,0)*0.475*44/12</f>
        <v>0</v>
      </c>
      <c r="EQ46" s="45">
        <f>EXP(-LN(2)/25)*EQ45+(1-EXP(-LN(2)/25))/(LN(2)/25)*Calculateur!EL46*Calculateur!EN46*VLOOKUP('Données projet'!$B$9,Paramètres!$A$1:$I$88,3,0)*0.475*44/12</f>
        <v>0</v>
      </c>
      <c r="ER46" s="45">
        <f>EXP(-LN(2)/2)*ER45+(1-EXP(-LN(2)/2))/(LN(2)/2)*EL46*EO46*VLOOKUP('Données projet'!$B$9,Paramètres!$A$1:$I$88,3,0)*0.475*44/12</f>
        <v>0</v>
      </c>
      <c r="ES46" s="46">
        <f t="shared" si="17"/>
        <v>0</v>
      </c>
      <c r="ET46" s="32" t="e">
        <f>VLOOKUP(A46,'Données projet'!$A$269:$I$289,2,0)</f>
        <v>#N/A</v>
      </c>
      <c r="EU46" s="33" t="e">
        <f>VLOOKUP(A46,'Données projet'!$A$269:$I$289,9,0)</f>
        <v>#N/A</v>
      </c>
      <c r="EV46" s="33">
        <f t="array" ref="EV46">INDEX(EU:EU,MIN(IF(ISNUMBER(EU46:EU242),ROW(EU46:EU242),"")))</f>
        <v>0</v>
      </c>
      <c r="EW46" s="33">
        <f t="shared" si="39"/>
        <v>0</v>
      </c>
      <c r="EX46" s="38" t="e">
        <f>EW46*VLOOKUP('Données projet'!$B$18,Paramètres!$A$1:$I$88,3,0)*VLOOKUP('Données projet'!$B$18,Paramètres!$A$1:$I$88,5,0)</f>
        <v>#N/A</v>
      </c>
      <c r="EY46" s="34" t="e">
        <f t="shared" si="40"/>
        <v>#N/A</v>
      </c>
      <c r="EZ46" s="44" t="e">
        <f t="shared" si="18"/>
        <v>#N/A</v>
      </c>
      <c r="FA46" s="36">
        <f>IF(ISNA(VLOOKUP(A46,'Données projet'!$A$269:$I$289,3,0)),0,VLOOKUP(A46,'Données projet'!$A$269:$I$289,3,0))</f>
        <v>0</v>
      </c>
      <c r="FB46" s="36">
        <f>IF(ISNA(VLOOKUP(A46,'Données projet'!$A$269:$I$289,4,0)),0,VLOOKUP(A46,'Données projet'!$A$269:$I$289,4,0))</f>
        <v>0</v>
      </c>
      <c r="FC46" s="37">
        <f>IF(ISNA(VLOOKUP(A46,'Données projet'!$A$269:$I$289,5,0)),0%,VLOOKUP(A46,'Données projet'!$A$269:$I$289,5,0)*VLOOKUP('Données projet'!$B$18,Paramètres!$A$1:$I$88,7,0))</f>
        <v>0</v>
      </c>
      <c r="FD46" s="37">
        <f>IF(ISNA(VLOOKUP(A46,'Données projet'!$A$269:$I$289,6,0)),0%,VLOOKUP(A46,'Données projet'!$A$269:$I$289,6,0)*VLOOKUP('Données projet'!$B$18,Paramètres!$A$1:$I$88,7,0))</f>
        <v>0</v>
      </c>
      <c r="FE46" s="37">
        <f>IF(ISNA(VLOOKUP(A46,'Données projet'!$A$269:$I$289,7,0)),0%,VLOOKUP(A46,'Données projet'!$A$269:$I$289,7,0))</f>
        <v>0</v>
      </c>
      <c r="FF46" s="45">
        <f>EXP(-LN(2)/35)*FF45+(1-EXP(-LN(2)/35))/(LN(2)/35)*FB46*FC46*VLOOKUP('Données projet'!$B$9,Paramètres!$A$1:$I$88,3,0)*0.475*44/12</f>
        <v>0</v>
      </c>
      <c r="FG46" s="45">
        <f>EXP(-LN(2)/25)*FG45+(1-EXP(-LN(2)/25))/(LN(2)/25)*Calculateur!FB46*Calculateur!FD46*VLOOKUP('Données projet'!$B$9,Paramètres!$A$1:$I$88,3,0)*0.475*44/12</f>
        <v>0</v>
      </c>
      <c r="FH46" s="45">
        <f>EXP(-LN(2)/2)*FH45+(1-EXP(-LN(2)/2))/(LN(2)/2)*FB46*FE46*VLOOKUP('Données projet'!$B$9,Paramètres!$A$1:$I$88,3,0)*0.475*44/12</f>
        <v>0</v>
      </c>
      <c r="FI46" s="46">
        <f t="shared" si="19"/>
        <v>0</v>
      </c>
    </row>
    <row r="47" spans="1:165" x14ac:dyDescent="0.25">
      <c r="A47" s="24">
        <f t="shared" si="20"/>
        <v>44</v>
      </c>
      <c r="B47" s="25">
        <f>IF('Scénario référence'!$N$1=1,5,0)</f>
        <v>0</v>
      </c>
      <c r="C47" s="40">
        <f>IF(OR('Scénario référence'!$N$1=2,'Scénario référence'!$N$1=4),C46+1*VLOOKUP('Scénario référence'!$G$14,Paramètres!$A$1:$I$88,3,0)*VLOOKUP('Scénario référence'!$G$14,Paramètres!$A$1:$I$88,5,0),IF(OR('Scénario référence'!$N$1=3,'Scénario référence'!$N$1=5),C46+0.5*VLOOKUP('Scénario référence'!$G$14,Paramètres!$A$1:$I$88,3,0)*VLOOKUP('Scénario référence'!$G$14,Paramètres!$A$1:$I$88,5,0),0))</f>
        <v>24.023999999999987</v>
      </c>
      <c r="D47" s="26">
        <f t="shared" si="21"/>
        <v>7.6469855389835546</v>
      </c>
      <c r="E47" s="27">
        <f>IF('Scénario référence'!$N$1=1,B47*44/12,(C47+D47)*0.475*44/12)</f>
        <v>55.160299813729665</v>
      </c>
      <c r="F47" s="28" t="e">
        <f>VLOOKUP(A47,'Données projet'!$A$35:$I$55,2,0)</f>
        <v>#N/A</v>
      </c>
      <c r="G47" s="28" t="e">
        <f>VLOOKUP(A47,'Données projet'!$A$35:$I$55,9,0)</f>
        <v>#N/A</v>
      </c>
      <c r="H47" s="33">
        <f t="array" ref="H47">INDEX(G:G,MIN(IF(ISNUMBER(G47:G243),ROW(G47:G243),"")))</f>
        <v>8.4</v>
      </c>
      <c r="I47" s="28">
        <f t="shared" si="22"/>
        <v>170.60000000000005</v>
      </c>
      <c r="J47" s="41">
        <f>I47*VLOOKUP('Données projet'!$B$9,Paramètres!$A$1:$I$88,3,0)*VLOOKUP('Données projet'!$B$9,Paramètres!$A$1:$I$88,5,0)</f>
        <v>172.98840000000007</v>
      </c>
      <c r="K47" s="41">
        <f t="shared" si="23"/>
        <v>43.758645457754092</v>
      </c>
      <c r="L47" s="42">
        <f t="shared" si="0"/>
        <v>377.50110417225511</v>
      </c>
      <c r="M47" s="30">
        <f>IF(ISNA(VLOOKUP(A47,'Données projet'!$A$35:$I$55,3,0)),0,VLOOKUP(A47,'Données projet'!$A$35:$I$55,3,0))</f>
        <v>0</v>
      </c>
      <c r="N47" s="30">
        <f>IF(ISNA(VLOOKUP(A47,'Données projet'!$A$35:$I$55,4,0)),0,VLOOKUP(A47,'Données projet'!$A$35:$I$55,4,0))</f>
        <v>0</v>
      </c>
      <c r="O47" s="31">
        <f>IF(ISNA(VLOOKUP(A47,'Données projet'!$A$35:$I$55,5,0)),0%,VLOOKUP(A47,'Données projet'!$A$35:$I$55,5,0)*VLOOKUP('Données projet'!$B$9,Paramètres!$A$1:$I$88,7,0))</f>
        <v>0</v>
      </c>
      <c r="P47" s="31">
        <f>IF(ISNA(VLOOKUP(A47,'Données projet'!$A$35:$I$55,6,0)),0%,VLOOKUP(A47,'Données projet'!$A$35:$I$55,6,0)*VLOOKUP('Données projet'!$B$9,Paramètres!$A$1:$I$88,7,0))</f>
        <v>0</v>
      </c>
      <c r="Q47" s="31">
        <f>IF(ISNA(VLOOKUP(A47,'Données projet'!$A$35:$I$55,7,0)),0%,VLOOKUP(A47,'Données projet'!$A$35:$I$55,7,0))</f>
        <v>0</v>
      </c>
      <c r="R47" s="43">
        <f>EXP(-LN(2)/35)*R46+(1-EXP(-LN(2)/35))/(LN(2)/35)*N47*O47*VLOOKUP('Données projet'!$B$9,Paramètres!$A$1:$I$88,3,0)*0.475*44/12</f>
        <v>0</v>
      </c>
      <c r="S47" s="43">
        <f>EXP(-LN(2)/25)*S46+(1-EXP(-LN(2)/25))/(LN(2)/25)*Calculateur!N47*Calculateur!P47*VLOOKUP('Données projet'!$B$9,Paramètres!$A$1:$I$88,3,0)*0.475*44/12</f>
        <v>0</v>
      </c>
      <c r="T47" s="43">
        <f>EXP(-LN(2)/2)*T46+(1-EXP(-LN(2)/2))/(LN(2)/2)*N47*Q47*VLOOKUP('Données projet'!$B$9,Paramètres!$A$1:$I$88,3,0)*0.475*44/12</f>
        <v>0</v>
      </c>
      <c r="U47" s="43">
        <f t="shared" si="1"/>
        <v>0</v>
      </c>
      <c r="V47" s="32" t="e">
        <f>VLOOKUP(A47,'Données projet'!$A$61:$I$81,2,0)</f>
        <v>#N/A</v>
      </c>
      <c r="W47" s="33" t="e">
        <f>VLOOKUP(A47,'Données projet'!$A$61:$I$81,9,0)</f>
        <v>#N/A</v>
      </c>
      <c r="X47" s="33">
        <f t="array" ref="X47">INDEX(W:W,MIN(IF(ISNUMBER(W47:W243),ROW(W47:W243),"")))</f>
        <v>0</v>
      </c>
      <c r="Y47" s="33">
        <f t="shared" si="24"/>
        <v>0</v>
      </c>
      <c r="Z47" s="34" t="e">
        <f>Y47*VLOOKUP('Données projet'!$B$10,Paramètres!$A$1:$I$88,3,0)*VLOOKUP('Données projet'!$B$10,Paramètres!$A$1:$I$88,5,0)</f>
        <v>#N/A</v>
      </c>
      <c r="AA47" s="34" t="e">
        <f t="shared" si="25"/>
        <v>#N/A</v>
      </c>
      <c r="AB47" s="44" t="e">
        <f t="shared" si="2"/>
        <v>#N/A</v>
      </c>
      <c r="AC47" s="36">
        <f>IF(ISNA(VLOOKUP(A47,'Données projet'!$A$61:$I$81,3,0)),0,VLOOKUP(A47,'Données projet'!$A$61:$I$81,3,0))</f>
        <v>0</v>
      </c>
      <c r="AD47" s="36">
        <f>IF(ISNA(VLOOKUP(A47,'Données projet'!$A$61:$I$81,4,0)),0,VLOOKUP(A47,'Données projet'!$A$61:$I$81,4,0))</f>
        <v>0</v>
      </c>
      <c r="AE47" s="37">
        <f>IF(ISNA(VLOOKUP(A47,'Données projet'!$A$61:$I$81,5,0)),0%,VLOOKUP(A47,'Données projet'!$A$61:$I$81,5,0)*VLOOKUP('Données projet'!$B$10,Paramètres!$A$1:$I$88,7,0))</f>
        <v>0</v>
      </c>
      <c r="AF47" s="37">
        <f>IF(ISNA(VLOOKUP(A47,'Données projet'!$A$61:$I$81,6,0)),0%,VLOOKUP(A47,'Données projet'!$A$61:$I$81,6,0)*VLOOKUP('Données projet'!$B$10,Paramètres!$A$1:$I$88,7,0))</f>
        <v>0</v>
      </c>
      <c r="AG47" s="37">
        <f>IF(ISNA(VLOOKUP(A47,'Données projet'!$A$61:$I$81,7,0)),0%,VLOOKUP(A47,'Données projet'!$A$61:$I$81,7,0))</f>
        <v>0</v>
      </c>
      <c r="AH47" s="45">
        <f>EXP(-LN(2)/35)*AH46+(1-EXP(-LN(2)/35))/(LN(2)/35)*AD47*AE47*VLOOKUP('Données projet'!$B$9,Paramètres!$A$1:$I$88,3,0)*0.475*44/12</f>
        <v>0</v>
      </c>
      <c r="AI47" s="45">
        <f>EXP(-LN(2)/25)*AI46+(1-EXP(-LN(2)/25))/(LN(2)/25)*Calculateur!AD47*Calculateur!AF47*VLOOKUP('Données projet'!$B$9,Paramètres!$A$1:$I$88,3,0)*0.475*44/12</f>
        <v>0</v>
      </c>
      <c r="AJ47" s="45">
        <f>EXP(-LN(2)/2)*AJ46+(1-EXP(-LN(2)/2))/(LN(2)/2)*AD47*AG47*VLOOKUP('Données projet'!$B$9,Paramètres!$A$1:$I$88,3,0)*0.475*44/12</f>
        <v>0</v>
      </c>
      <c r="AK47" s="45">
        <f t="shared" si="3"/>
        <v>0</v>
      </c>
      <c r="AL47" s="32" t="e">
        <f>VLOOKUP(A47,'Données projet'!$A$87:$I$107,2,0)</f>
        <v>#N/A</v>
      </c>
      <c r="AM47" s="33" t="e">
        <f>VLOOKUP(A47,'Données projet'!$A$87:$I$107,9,0)</f>
        <v>#N/A</v>
      </c>
      <c r="AN47" s="33">
        <f t="array" ref="AN47">INDEX(AM:AM,MIN(IF(ISNUMBER(AM47:AM243),ROW(AM47:AM243),"")))</f>
        <v>0</v>
      </c>
      <c r="AO47" s="33">
        <f t="shared" si="26"/>
        <v>0</v>
      </c>
      <c r="AP47" s="34" t="e">
        <f>AO47*VLOOKUP('Données projet'!$B$11,Paramètres!$A$1:$I$88,3,0)*VLOOKUP('Données projet'!$B$11,Paramètres!$A$1:$I$88,5,0)</f>
        <v>#N/A</v>
      </c>
      <c r="AQ47" s="34" t="e">
        <f t="shared" si="27"/>
        <v>#N/A</v>
      </c>
      <c r="AR47" s="44" t="e">
        <f t="shared" si="4"/>
        <v>#N/A</v>
      </c>
      <c r="AS47" s="36">
        <f>IF(ISNA(VLOOKUP(A47,'Données projet'!$A$87:$I$107,3,0)),0,VLOOKUP(A47,'Données projet'!$A$87:$I$107,3,0))</f>
        <v>0</v>
      </c>
      <c r="AT47" s="36">
        <f>IF(ISNA(VLOOKUP(A47,'Données projet'!$A$87:$I$107,4,0)),0,VLOOKUP(A47,'Données projet'!$A$87:$I$107,4,0))</f>
        <v>0</v>
      </c>
      <c r="AU47" s="37">
        <f>IF(ISNA(VLOOKUP(A47,'Données projet'!$A$87:$I$107,5,0)),0%,VLOOKUP(A47,'Données projet'!$A$87:$I$107,5,0)*VLOOKUP('Données projet'!$B$11,Paramètres!$A$1:$I$88,7,0))</f>
        <v>0</v>
      </c>
      <c r="AV47" s="37">
        <f>IF(ISNA(VLOOKUP(A47,'Données projet'!$A$87:$I$107,6,0)),0%,VLOOKUP(A47,'Données projet'!$A$87:$I$107,6,0)*VLOOKUP('Données projet'!$B$11,Paramètres!$A$1:$I$88,7,0))</f>
        <v>0</v>
      </c>
      <c r="AW47" s="37">
        <f>IF(ISNA(VLOOKUP(A47,'Données projet'!$A$87:$I$107,7,0)),0%,VLOOKUP(A47,'Données projet'!$A$87:$I$107,7,0))</f>
        <v>0</v>
      </c>
      <c r="AX47" s="45">
        <f>EXP(-LN(2)/35)*AX46+(1-EXP(-LN(2)/35))/(LN(2)/35)*AT47*AU47*VLOOKUP('Données projet'!$B$9,Paramètres!$A$1:$I$88,3,0)*0.475*44/12</f>
        <v>0</v>
      </c>
      <c r="AY47" s="45">
        <f>EXP(-LN(2)/25)*AY46+(1-EXP(-LN(2)/25))/(LN(2)/25)*Calculateur!AT47*Calculateur!AV47*VLOOKUP('Données projet'!$B$9,Paramètres!$A$1:$I$88,3,0)*0.475*44/12</f>
        <v>0</v>
      </c>
      <c r="AZ47" s="45">
        <f>EXP(-LN(2)/2)*AZ46+(1-EXP(-LN(2)/2))/(LN(2)/2)*AT47*AW47*VLOOKUP('Données projet'!$B$9,Paramètres!$A$1:$I$88,3,0)*0.475*44/12</f>
        <v>0</v>
      </c>
      <c r="BA47" s="46">
        <f t="shared" si="5"/>
        <v>0</v>
      </c>
      <c r="BB47" s="32" t="e">
        <f>VLOOKUP(A47,'Données projet'!$A$113:$I$133,2,0)</f>
        <v>#N/A</v>
      </c>
      <c r="BC47" s="33" t="e">
        <f>VLOOKUP(A47,'Données projet'!$A$113:$I$133,9,0)</f>
        <v>#N/A</v>
      </c>
      <c r="BD47" s="33">
        <f t="array" ref="BD47">INDEX(BC:BC,MIN(IF(ISNUMBER(BC47:BC243),ROW(BC47:BC243),"")))</f>
        <v>0</v>
      </c>
      <c r="BE47" s="33">
        <f t="shared" si="28"/>
        <v>0</v>
      </c>
      <c r="BF47" s="34" t="e">
        <f>BE47*VLOOKUP('Données projet'!$B$12,Paramètres!$A$1:$I$88,3,0)*VLOOKUP('Données projet'!$B$12,Paramètres!$A$1:$I$88,5,0)</f>
        <v>#N/A</v>
      </c>
      <c r="BG47" s="34" t="e">
        <f t="shared" si="29"/>
        <v>#N/A</v>
      </c>
      <c r="BH47" s="44" t="e">
        <f t="shared" si="6"/>
        <v>#N/A</v>
      </c>
      <c r="BI47" s="36">
        <f>IF(ISNA(VLOOKUP(A47,'Données projet'!$A$113:$I$133,3,0)),0,VLOOKUP(A47,'Données projet'!$A$113:$I$133,3,0))</f>
        <v>0</v>
      </c>
      <c r="BJ47" s="36">
        <f>IF(ISNA(VLOOKUP(A47,'Données projet'!$A$113:$I$133,4,0)),0,VLOOKUP(A47,'Données projet'!$A$113:$I$133,4,0))</f>
        <v>0</v>
      </c>
      <c r="BK47" s="37">
        <f>IF(ISNA(VLOOKUP(A47,'Données projet'!$A$113:$I$133,5,0)),0%,VLOOKUP(A47,'Données projet'!$A$113:$I$133,5,0)*VLOOKUP('Données projet'!$B$12,Paramètres!$A$1:$I$88,7,0))</f>
        <v>0</v>
      </c>
      <c r="BL47" s="37">
        <f>IF(ISNA(VLOOKUP(A47,'Données projet'!$A$113:$I$133,6,0)),0%,VLOOKUP(A47,'Données projet'!$A$113:$I$133,6,0)*VLOOKUP('Données projet'!$B$12,Paramètres!$A$1:$I$88,7,0))</f>
        <v>0</v>
      </c>
      <c r="BM47" s="37">
        <f>IF(ISNA(VLOOKUP(A47,'Données projet'!$A$113:$I$133,7,0)),0%,VLOOKUP(A47,'Données projet'!$A$113:$I$133,7,0))</f>
        <v>0</v>
      </c>
      <c r="BN47" s="45">
        <f>EXP(-LN(2)/35)*BN46+(1-EXP(-LN(2)/35))/(LN(2)/35)*BJ47*BK47*VLOOKUP('Données projet'!$B$9,Paramètres!$A$1:$I$88,3,0)*0.475*44/12</f>
        <v>0</v>
      </c>
      <c r="BO47" s="45">
        <f>EXP(-LN(2)/25)*BO46+(1-EXP(-LN(2)/25))/(LN(2)/25)*Calculateur!BJ47*Calculateur!BL47*VLOOKUP('Données projet'!$B$9,Paramètres!$A$1:$I$88,3,0)*0.475*44/12</f>
        <v>0</v>
      </c>
      <c r="BP47" s="45">
        <f>EXP(-LN(2)/2)*BP46+(1-EXP(-LN(2)/2))/(LN(2)/2)*BJ47*BM47*VLOOKUP('Données projet'!$B$9,Paramètres!$A$1:$I$88,3,0)*0.475*44/12</f>
        <v>0</v>
      </c>
      <c r="BQ47" s="46">
        <f t="shared" si="7"/>
        <v>0</v>
      </c>
      <c r="BR47" s="32" t="e">
        <f>VLOOKUP(A47,'Données projet'!$A$139:$I$159,2,0)</f>
        <v>#N/A</v>
      </c>
      <c r="BS47" s="33" t="e">
        <f>VLOOKUP(A47,'Données projet'!$A$139:$I$159,9,0)</f>
        <v>#N/A</v>
      </c>
      <c r="BT47" s="33">
        <f t="array" ref="BT47">INDEX(BS:BS,MIN(IF(ISNUMBER(BS47:BS243),ROW(BS47:BS243),"")))</f>
        <v>0</v>
      </c>
      <c r="BU47" s="33">
        <f t="shared" si="41"/>
        <v>0</v>
      </c>
      <c r="BV47" s="38" t="e">
        <f>BU47*VLOOKUP('Données projet'!$B$13,Paramètres!$A$1:$I$88,3,0)*VLOOKUP('Données projet'!$B$13,Paramètres!$A$1:$I$88,5,0)</f>
        <v>#N/A</v>
      </c>
      <c r="BW47" s="34" t="e">
        <f t="shared" si="30"/>
        <v>#N/A</v>
      </c>
      <c r="BX47" s="44" t="e">
        <f t="shared" si="8"/>
        <v>#N/A</v>
      </c>
      <c r="BY47" s="36">
        <f>IF(ISNA(VLOOKUP(A47,'Données projet'!$A$139:$I$159,3,0)),0,VLOOKUP(A47,'Données projet'!$A$139:$I$159,3,0))</f>
        <v>0</v>
      </c>
      <c r="BZ47" s="36">
        <f>IF(ISNA(VLOOKUP(A47,'Données projet'!$A$139:$I$159,4,0)),0,VLOOKUP(A47,'Données projet'!$A$139:$I$159,4,0))</f>
        <v>0</v>
      </c>
      <c r="CA47" s="37">
        <f>IF(ISNA(VLOOKUP(A47,'Données projet'!$A$139:$I$159,5,0)),0%,VLOOKUP(A47,'Données projet'!$A$139:$I$159,5,0)*VLOOKUP('Données projet'!$B$13,Paramètres!$A$1:$I$88,7,0))</f>
        <v>0</v>
      </c>
      <c r="CB47" s="37">
        <f>IF(ISNA(VLOOKUP(A47,'Données projet'!$A$139:$I$159,6,0)),0%,VLOOKUP(A47,'Données projet'!$A$139:$I$159,6,0)*VLOOKUP('Données projet'!$B$13,Paramètres!$A$1:$I$88,7,0))</f>
        <v>0</v>
      </c>
      <c r="CC47" s="37">
        <f>IF(ISNA(VLOOKUP(A47,'Données projet'!$A$139:$I$159,7,0)),0%,VLOOKUP(A47,'Données projet'!$A$139:$I$159,7,0))</f>
        <v>0</v>
      </c>
      <c r="CD47" s="45">
        <f>EXP(-LN(2)/35)*CD46+(1-EXP(-LN(2)/35))/(LN(2)/35)*BZ47*CA47*VLOOKUP('Données projet'!$B$9,Paramètres!$A$1:$I$88,3,0)*0.475*44/12</f>
        <v>0</v>
      </c>
      <c r="CE47" s="45">
        <f>EXP(-LN(2)/25)*CE46+(1-EXP(-LN(2)/25))/(LN(2)/25)*Calculateur!BZ47*Calculateur!CB47*VLOOKUP('Données projet'!$B$9,Paramètres!$A$1:$I$88,3,0)*0.475*44/12</f>
        <v>0</v>
      </c>
      <c r="CF47" s="45">
        <f>EXP(-LN(2)/2)*CF46+(1-EXP(-LN(2)/2))/(LN(2)/2)*BZ47*CC47*VLOOKUP('Données projet'!$B$9,Paramètres!$A$1:$I$88,3,0)*0.475*44/12</f>
        <v>0</v>
      </c>
      <c r="CG47" s="46">
        <f t="shared" si="9"/>
        <v>0</v>
      </c>
      <c r="CH47" s="32" t="e">
        <f>VLOOKUP(A47,'Données projet'!$A$165:$I$185,2,0)</f>
        <v>#N/A</v>
      </c>
      <c r="CI47" s="33" t="e">
        <f>VLOOKUP(A47,'Données projet'!$A$165:$I$185,9,0)</f>
        <v>#N/A</v>
      </c>
      <c r="CJ47" s="33">
        <f t="array" ref="CJ47">INDEX(CI:CI,MIN(IF(ISNUMBER(CI47:CI243),ROW(CI47:CI243),"")))</f>
        <v>0</v>
      </c>
      <c r="CK47" s="33">
        <f t="shared" si="31"/>
        <v>0</v>
      </c>
      <c r="CL47" s="38" t="e">
        <f>CK47*VLOOKUP('Données projet'!$B$14,Paramètres!$A$1:$I$88,3,0)*VLOOKUP('Données projet'!$B$14,Paramètres!$A$1:$I$88,5,0)</f>
        <v>#N/A</v>
      </c>
      <c r="CM47" s="34" t="e">
        <f t="shared" si="32"/>
        <v>#N/A</v>
      </c>
      <c r="CN47" s="44" t="e">
        <f t="shared" si="10"/>
        <v>#N/A</v>
      </c>
      <c r="CO47" s="36">
        <f>IF(ISNA(VLOOKUP(A47,'Données projet'!$A$165:$I$185,3,0)),0,VLOOKUP(A47,'Données projet'!$A$165:$I$185,3,0))</f>
        <v>0</v>
      </c>
      <c r="CP47" s="36">
        <f>IF(ISNA(VLOOKUP(A47,'Données projet'!$A$165:$I$185,4,0)),0,VLOOKUP(A47,'Données projet'!$A$165:$I$185,4,0))</f>
        <v>0</v>
      </c>
      <c r="CQ47" s="37">
        <f>IF(ISNA(VLOOKUP(A47,'Données projet'!$A$165:$I$185,5,0)),0%,VLOOKUP(A47,'Données projet'!$A$165:$I$185,5,0)*VLOOKUP('Données projet'!$B$14,Paramètres!$A$1:$I$88,7,0))</f>
        <v>0</v>
      </c>
      <c r="CR47" s="37">
        <f>IF(ISNA(VLOOKUP(A47,'Données projet'!$A$165:$I$185,6,0)),0%,VLOOKUP(A47,'Données projet'!$A$165:$I$185,6,0)*VLOOKUP('Données projet'!$B$14,Paramètres!$A$1:$I$88,7,0))</f>
        <v>0</v>
      </c>
      <c r="CS47" s="37">
        <f>IF(ISNA(VLOOKUP(A47,'Données projet'!$A$165:$I$185,7,0)),0%,VLOOKUP(A47,'Données projet'!$A$165:$I$185,7,0))</f>
        <v>0</v>
      </c>
      <c r="CT47" s="45">
        <f>EXP(-LN(2)/35)*CT46+(1-EXP(-LN(2)/35))/(LN(2)/35)*CP47*CQ47*VLOOKUP('Données projet'!$B$9,Paramètres!$A$1:$I$88,3,0)*0.475*44/12</f>
        <v>0</v>
      </c>
      <c r="CU47" s="45">
        <f>EXP(-LN(2)/25)*CU46+(1-EXP(-LN(2)/25))/(LN(2)/25)*Calculateur!CP47*Calculateur!CR47*VLOOKUP('Données projet'!$B$9,Paramètres!$A$1:$I$88,3,0)*0.475*44/12</f>
        <v>0</v>
      </c>
      <c r="CV47" s="45">
        <f>EXP(-LN(2)/2)*CV46+(1-EXP(-LN(2)/2))/(LN(2)/2)*CP47*CS47*VLOOKUP('Données projet'!$B$9,Paramètres!$A$1:$I$88,3,0)*0.475*44/12</f>
        <v>0</v>
      </c>
      <c r="CW47" s="46">
        <f t="shared" si="11"/>
        <v>0</v>
      </c>
      <c r="CX47" s="32" t="e">
        <f>VLOOKUP(A47,'Données projet'!$A$191:$I$211,2,0)</f>
        <v>#N/A</v>
      </c>
      <c r="CY47" s="33" t="e">
        <f>VLOOKUP(A47,'Données projet'!$A$191:$I$211,9,0)</f>
        <v>#N/A</v>
      </c>
      <c r="CZ47" s="33">
        <f t="array" ref="CZ47">INDEX(CY:CY,MIN(IF(ISNUMBER(CY47:CY243),ROW(CY47:CY243),"")))</f>
        <v>0</v>
      </c>
      <c r="DA47" s="33">
        <f t="shared" si="33"/>
        <v>0</v>
      </c>
      <c r="DB47" s="38" t="e">
        <f>DA47*VLOOKUP('Données projet'!$B$15,Paramètres!$A$1:$I$88,3,0)*VLOOKUP('Données projet'!$B$15,Paramètres!$A$1:$I$88,5,0)</f>
        <v>#N/A</v>
      </c>
      <c r="DC47" s="34" t="e">
        <f t="shared" si="34"/>
        <v>#N/A</v>
      </c>
      <c r="DD47" s="44" t="e">
        <f t="shared" si="12"/>
        <v>#N/A</v>
      </c>
      <c r="DE47" s="36">
        <f>IF(ISNA(VLOOKUP(A47,'Données projet'!$A$191:$I$211,3,0)),0,VLOOKUP(A47,'Données projet'!$A$191:$I$211,3,0))</f>
        <v>0</v>
      </c>
      <c r="DF47" s="36">
        <f>IF(ISNA(VLOOKUP(A47,'Données projet'!$A$191:$I$211,4,0)),0,VLOOKUP(A47,'Données projet'!$A$191:$I$211,4,0))</f>
        <v>0</v>
      </c>
      <c r="DG47" s="37">
        <f>IF(ISNA(VLOOKUP(A47,'Données projet'!$A$191:$I$211,5,0)),0%,VLOOKUP(A47,'Données projet'!$A$191:$I$211,5,0)*VLOOKUP('Données projet'!$B$15,Paramètres!$A$1:$I$88,7,0))</f>
        <v>0</v>
      </c>
      <c r="DH47" s="37">
        <f>IF(ISNA(VLOOKUP(A47,'Données projet'!$A$191:$I$211,6,0)),0%,VLOOKUP(A47,'Données projet'!$A$191:$I$211,6,0)*VLOOKUP('Données projet'!$B$15,Paramètres!$A$1:$I$88,7,0))</f>
        <v>0</v>
      </c>
      <c r="DI47" s="37">
        <f>IF(ISNA(VLOOKUP(A47,'Données projet'!$A$191:$I$211,7,0)),0%,VLOOKUP(A47,'Données projet'!$A$191:$I$211,7,0))</f>
        <v>0</v>
      </c>
      <c r="DJ47" s="45">
        <f>EXP(-LN(2)/35)*DJ46+(1-EXP(-LN(2)/35))/(LN(2)/35)*DF47*DG47*VLOOKUP('Données projet'!$B$9,Paramètres!$A$1:$I$88,3,0)*0.475*44/12</f>
        <v>0</v>
      </c>
      <c r="DK47" s="45">
        <f>EXP(-LN(2)/25)*DK46+(1-EXP(-LN(2)/25))/(LN(2)/25)*Calculateur!DF47*Calculateur!DH47*VLOOKUP('Données projet'!$B$9,Paramètres!$A$1:$I$88,3,0)*0.475*44/12</f>
        <v>0</v>
      </c>
      <c r="DL47" s="45">
        <f>EXP(-LN(2)/2)*DL46+(1-EXP(-LN(2)/2))/(LN(2)/2)*DF47*DI47*VLOOKUP('Données projet'!$B$9,Paramètres!$A$1:$I$88,3,0)*0.475*44/12</f>
        <v>0</v>
      </c>
      <c r="DM47" s="46">
        <f t="shared" si="13"/>
        <v>0</v>
      </c>
      <c r="DN47" s="32" t="e">
        <f>VLOOKUP(A47,'Données projet'!$A$217:$I$237,2,0)</f>
        <v>#N/A</v>
      </c>
      <c r="DO47" s="33" t="e">
        <f>VLOOKUP(A47,'Données projet'!$A$217:$I$237,9,0)</f>
        <v>#N/A</v>
      </c>
      <c r="DP47" s="33">
        <f t="array" ref="DP47">INDEX(DO:DO,MIN(IF(ISNUMBER(DO47:DO243),ROW(DO47:DO243),"")))</f>
        <v>0</v>
      </c>
      <c r="DQ47" s="33">
        <f t="shared" si="35"/>
        <v>0</v>
      </c>
      <c r="DR47" s="38" t="e">
        <f>DQ47*VLOOKUP('Données projet'!$B$16,Paramètres!$A$1:$I$88,3,0)*VLOOKUP('Données projet'!$B$16,Paramètres!$A$1:$I$88,5,0)</f>
        <v>#N/A</v>
      </c>
      <c r="DS47" s="34" t="e">
        <f t="shared" si="36"/>
        <v>#N/A</v>
      </c>
      <c r="DT47" s="44" t="e">
        <f t="shared" si="14"/>
        <v>#N/A</v>
      </c>
      <c r="DU47" s="36">
        <f>IF(ISNA(VLOOKUP(A47,'Données projet'!$A$217:$I$237,3,0)),0,VLOOKUP(A47,'Données projet'!$A$217:$I$237,3,0))</f>
        <v>0</v>
      </c>
      <c r="DV47" s="36">
        <f>IF(ISNA(VLOOKUP(A47,'Données projet'!$A$217:$I$237,4,0)),0,VLOOKUP(A47,'Données projet'!$A$217:$I$237,4,0))</f>
        <v>0</v>
      </c>
      <c r="DW47" s="37">
        <f>IF(ISNA(VLOOKUP(A47,'Données projet'!$A$217:$I$237,5,0)),0%,VLOOKUP(A47,'Données projet'!$A$217:$I$237,5,0)*VLOOKUP('Données projet'!$B$16,Paramètres!$A$1:$I$88,7,0))</f>
        <v>0</v>
      </c>
      <c r="DX47" s="37">
        <f>IF(ISNA(VLOOKUP(A47,'Données projet'!$A$217:$I$237,6,0)),0%,VLOOKUP(A47,'Données projet'!$A$217:$I$237,6,0)*VLOOKUP('Données projet'!$B$16,Paramètres!$A$1:$I$88,7,0))</f>
        <v>0</v>
      </c>
      <c r="DY47" s="37">
        <f>IF(ISNA(VLOOKUP(A47,'Données projet'!$A$217:$I$237,7,0)),0%,VLOOKUP(A47,'Données projet'!$A$217:$I$237,7,0))</f>
        <v>0</v>
      </c>
      <c r="DZ47" s="45">
        <f>EXP(-LN(2)/35)*DZ46+(1-EXP(-LN(2)/35))/(LN(2)/35)*DV47*DW47*VLOOKUP('Données projet'!$B$9,Paramètres!$A$1:$I$88,3,0)*0.475*44/12</f>
        <v>0</v>
      </c>
      <c r="EA47" s="45">
        <f>EXP(-LN(2)/25)*EA46+(1-EXP(-LN(2)/25))/(LN(2)/25)*Calculateur!DV47*Calculateur!DX47*VLOOKUP('Données projet'!$B$9,Paramètres!$A$1:$I$88,3,0)*0.475*44/12</f>
        <v>0</v>
      </c>
      <c r="EB47" s="45">
        <f>EXP(-LN(2)/2)*EB46+(1-EXP(-LN(2)/2))/(LN(2)/2)*DV47*DY47*VLOOKUP('Données projet'!$B$9,Paramètres!$A$1:$I$88,3,0)*0.475*44/12</f>
        <v>0</v>
      </c>
      <c r="EC47" s="46">
        <f t="shared" si="15"/>
        <v>0</v>
      </c>
      <c r="ED47" s="32" t="e">
        <f>VLOOKUP(A47,'Données projet'!$A$243:$I$263,2,0)</f>
        <v>#N/A</v>
      </c>
      <c r="EE47" s="33" t="e">
        <f>VLOOKUP(A47,'Données projet'!$A$243:$I$263,9,0)</f>
        <v>#N/A</v>
      </c>
      <c r="EF47" s="33">
        <f t="array" ref="EF47">INDEX(EE:EE,MIN(IF(ISNUMBER(EE47:EE243),ROW(EE47:EE243),"")))</f>
        <v>0</v>
      </c>
      <c r="EG47" s="33">
        <f t="shared" si="37"/>
        <v>0</v>
      </c>
      <c r="EH47" s="38" t="e">
        <f>EG47*VLOOKUP('Données projet'!$B$17,Paramètres!$A$1:$I$88,3,0)*VLOOKUP('Données projet'!$B$17,Paramètres!$A$1:$I$88,5,0)</f>
        <v>#N/A</v>
      </c>
      <c r="EI47" s="34" t="e">
        <f t="shared" si="38"/>
        <v>#N/A</v>
      </c>
      <c r="EJ47" s="44" t="e">
        <f t="shared" si="16"/>
        <v>#N/A</v>
      </c>
      <c r="EK47" s="36">
        <f>IF(ISNA(VLOOKUP(A47,'Données projet'!$A$243:$I$263,3,0)),0,VLOOKUP(A47,'Données projet'!$A$243:$I$263,3,0))</f>
        <v>0</v>
      </c>
      <c r="EL47" s="36">
        <f>IF(ISNA(VLOOKUP(A47,'Données projet'!$A$243:$I$263,4,0)),0,VLOOKUP(A47,'Données projet'!$A$243:$I$263,4,0))</f>
        <v>0</v>
      </c>
      <c r="EM47" s="37">
        <f>IF(ISNA(VLOOKUP(A47,'Données projet'!$A$243:$I$263,5,0)),0%,VLOOKUP(A47,'Données projet'!$A$243:$I$263,5,0)*VLOOKUP('Données projet'!$B$17,Paramètres!$A$1:$I$88,7,0))</f>
        <v>0</v>
      </c>
      <c r="EN47" s="37">
        <f>IF(ISNA(VLOOKUP(A47,'Données projet'!$A$243:$I$263,6,0)),0%,VLOOKUP(A47,'Données projet'!$A$243:$I$263,6,0)*VLOOKUP('Données projet'!$B$17,Paramètres!$A$1:$I$88,7,0))</f>
        <v>0</v>
      </c>
      <c r="EO47" s="37">
        <f>IF(ISNA(VLOOKUP(A47,'Données projet'!$A$243:$I$263,7,0)),0%,VLOOKUP(A47,'Données projet'!$A$243:$I$263,7,0))</f>
        <v>0</v>
      </c>
      <c r="EP47" s="45">
        <f>EXP(-LN(2)/35)*EP46+(1-EXP(-LN(2)/35))/(LN(2)/35)*EL47*EM47*VLOOKUP('Données projet'!$B$9,Paramètres!$A$1:$I$88,3,0)*0.475*44/12</f>
        <v>0</v>
      </c>
      <c r="EQ47" s="45">
        <f>EXP(-LN(2)/25)*EQ46+(1-EXP(-LN(2)/25))/(LN(2)/25)*Calculateur!EL47*Calculateur!EN47*VLOOKUP('Données projet'!$B$9,Paramètres!$A$1:$I$88,3,0)*0.475*44/12</f>
        <v>0</v>
      </c>
      <c r="ER47" s="45">
        <f>EXP(-LN(2)/2)*ER46+(1-EXP(-LN(2)/2))/(LN(2)/2)*EL47*EO47*VLOOKUP('Données projet'!$B$9,Paramètres!$A$1:$I$88,3,0)*0.475*44/12</f>
        <v>0</v>
      </c>
      <c r="ES47" s="46">
        <f t="shared" si="17"/>
        <v>0</v>
      </c>
      <c r="ET47" s="32" t="e">
        <f>VLOOKUP(A47,'Données projet'!$A$269:$I$289,2,0)</f>
        <v>#N/A</v>
      </c>
      <c r="EU47" s="33" t="e">
        <f>VLOOKUP(A47,'Données projet'!$A$269:$I$289,9,0)</f>
        <v>#N/A</v>
      </c>
      <c r="EV47" s="33">
        <f t="array" ref="EV47">INDEX(EU:EU,MIN(IF(ISNUMBER(EU47:EU243),ROW(EU47:EU243),"")))</f>
        <v>0</v>
      </c>
      <c r="EW47" s="33">
        <f t="shared" si="39"/>
        <v>0</v>
      </c>
      <c r="EX47" s="38" t="e">
        <f>EW47*VLOOKUP('Données projet'!$B$18,Paramètres!$A$1:$I$88,3,0)*VLOOKUP('Données projet'!$B$18,Paramètres!$A$1:$I$88,5,0)</f>
        <v>#N/A</v>
      </c>
      <c r="EY47" s="34" t="e">
        <f t="shared" si="40"/>
        <v>#N/A</v>
      </c>
      <c r="EZ47" s="44" t="e">
        <f t="shared" si="18"/>
        <v>#N/A</v>
      </c>
      <c r="FA47" s="36">
        <f>IF(ISNA(VLOOKUP(A47,'Données projet'!$A$269:$I$289,3,0)),0,VLOOKUP(A47,'Données projet'!$A$269:$I$289,3,0))</f>
        <v>0</v>
      </c>
      <c r="FB47" s="36">
        <f>IF(ISNA(VLOOKUP(A47,'Données projet'!$A$269:$I$289,4,0)),0,VLOOKUP(A47,'Données projet'!$A$269:$I$289,4,0))</f>
        <v>0</v>
      </c>
      <c r="FC47" s="37">
        <f>IF(ISNA(VLOOKUP(A47,'Données projet'!$A$269:$I$289,5,0)),0%,VLOOKUP(A47,'Données projet'!$A$269:$I$289,5,0)*VLOOKUP('Données projet'!$B$18,Paramètres!$A$1:$I$88,7,0))</f>
        <v>0</v>
      </c>
      <c r="FD47" s="37">
        <f>IF(ISNA(VLOOKUP(A47,'Données projet'!$A$269:$I$289,6,0)),0%,VLOOKUP(A47,'Données projet'!$A$269:$I$289,6,0)*VLOOKUP('Données projet'!$B$18,Paramètres!$A$1:$I$88,7,0))</f>
        <v>0</v>
      </c>
      <c r="FE47" s="37">
        <f>IF(ISNA(VLOOKUP(A47,'Données projet'!$A$269:$I$289,7,0)),0%,VLOOKUP(A47,'Données projet'!$A$269:$I$289,7,0))</f>
        <v>0</v>
      </c>
      <c r="FF47" s="45">
        <f>EXP(-LN(2)/35)*FF46+(1-EXP(-LN(2)/35))/(LN(2)/35)*FB47*FC47*VLOOKUP('Données projet'!$B$9,Paramètres!$A$1:$I$88,3,0)*0.475*44/12</f>
        <v>0</v>
      </c>
      <c r="FG47" s="45">
        <f>EXP(-LN(2)/25)*FG46+(1-EXP(-LN(2)/25))/(LN(2)/25)*Calculateur!FB47*Calculateur!FD47*VLOOKUP('Données projet'!$B$9,Paramètres!$A$1:$I$88,3,0)*0.475*44/12</f>
        <v>0</v>
      </c>
      <c r="FH47" s="45">
        <f>EXP(-LN(2)/2)*FH46+(1-EXP(-LN(2)/2))/(LN(2)/2)*FB47*FE47*VLOOKUP('Données projet'!$B$9,Paramètres!$A$1:$I$88,3,0)*0.475*44/12</f>
        <v>0</v>
      </c>
      <c r="FI47" s="46">
        <f t="shared" si="19"/>
        <v>0</v>
      </c>
    </row>
    <row r="48" spans="1:165" x14ac:dyDescent="0.25">
      <c r="A48" s="24">
        <f t="shared" si="20"/>
        <v>45</v>
      </c>
      <c r="B48" s="25">
        <f>IF('Scénario référence'!$N$1=1,5,0)</f>
        <v>0</v>
      </c>
      <c r="C48" s="40">
        <f>IF(OR('Scénario référence'!$N$1=2,'Scénario référence'!$N$1=4),C47+1*VLOOKUP('Scénario référence'!$G$14,Paramètres!$A$1:$I$88,3,0)*VLOOKUP('Scénario référence'!$G$14,Paramètres!$A$1:$I$88,5,0),IF(OR('Scénario référence'!$N$1=3,'Scénario référence'!$N$1=5),C47+0.5*VLOOKUP('Scénario référence'!$G$14,Paramètres!$A$1:$I$88,3,0)*VLOOKUP('Scénario référence'!$G$14,Paramètres!$A$1:$I$88,5,0),0))</f>
        <v>24.569999999999986</v>
      </c>
      <c r="D48" s="26">
        <f t="shared" si="21"/>
        <v>7.8003494846849248</v>
      </c>
      <c r="E48" s="27">
        <f>IF('Scénario référence'!$N$1=1,B48*44/12,(C48+D48)*0.475*44/12)</f>
        <v>56.378358685826214</v>
      </c>
      <c r="F48" s="28">
        <f>VLOOKUP(A48,'Données projet'!$A$35:$I$55,2,0)</f>
        <v>179</v>
      </c>
      <c r="G48" s="28">
        <f>VLOOKUP(A48,'Données projet'!$A$35:$I$55,9,0)</f>
        <v>8.4</v>
      </c>
      <c r="H48" s="33">
        <f t="array" ref="H48">INDEX(G:G,MIN(IF(ISNUMBER(G48:G244),ROW(G48:G244),"")))</f>
        <v>8.4</v>
      </c>
      <c r="I48" s="28">
        <f t="shared" si="22"/>
        <v>179.00000000000006</v>
      </c>
      <c r="J48" s="41">
        <f>I48*VLOOKUP('Données projet'!$B$9,Paramètres!$A$1:$I$88,3,0)*VLOOKUP('Données projet'!$B$9,Paramètres!$A$1:$I$88,5,0)</f>
        <v>181.50600000000006</v>
      </c>
      <c r="K48" s="41">
        <f t="shared" si="23"/>
        <v>45.657080773122978</v>
      </c>
      <c r="L48" s="42">
        <f t="shared" si="0"/>
        <v>395.64236567985591</v>
      </c>
      <c r="M48" s="30">
        <f>IF(ISNA(VLOOKUP(A48,'Données projet'!$A$35:$I$55,3,0)),0,VLOOKUP(A48,'Données projet'!$A$35:$I$55,3,0))</f>
        <v>3</v>
      </c>
      <c r="N48" s="30">
        <f>IF(ISNA(VLOOKUP(A48,'Données projet'!$A$35:$I$55,4,0)),0,VLOOKUP(A48,'Données projet'!$A$35:$I$55,4,0))</f>
        <v>42</v>
      </c>
      <c r="O48" s="31">
        <f>IF(ISNA(VLOOKUP(A48,'Données projet'!$A$35:$I$55,5,0)),0%,VLOOKUP(A48,'Données projet'!$A$35:$I$55,5,0)*VLOOKUP('Données projet'!$B$9,Paramètres!$A$1:$I$88,7,0))</f>
        <v>0</v>
      </c>
      <c r="P48" s="31">
        <f>IF(ISNA(VLOOKUP(A48,'Données projet'!$A$35:$I$55,6,0)),0%,VLOOKUP(A48,'Données projet'!$A$35:$I$55,6,0)*VLOOKUP('Données projet'!$B$9,Paramètres!$A$1:$I$88,7,0))</f>
        <v>0</v>
      </c>
      <c r="Q48" s="31">
        <f>IF(ISNA(VLOOKUP(A48,'Données projet'!$A$35:$I$55,7,0)),0%,VLOOKUP(A48,'Données projet'!$A$35:$I$55,7,0))</f>
        <v>0</v>
      </c>
      <c r="R48" s="43">
        <f>EXP(-LN(2)/35)*R47+(1-EXP(-LN(2)/35))/(LN(2)/35)*N48*O48*VLOOKUP('Données projet'!$B$9,Paramètres!$A$1:$I$88,3,0)*0.475*44/12</f>
        <v>0</v>
      </c>
      <c r="S48" s="43">
        <f>EXP(-LN(2)/25)*S47+(1-EXP(-LN(2)/25))/(LN(2)/25)*Calculateur!N48*Calculateur!P48*VLOOKUP('Données projet'!$B$9,Paramètres!$A$1:$I$88,3,0)*0.475*44/12</f>
        <v>0</v>
      </c>
      <c r="T48" s="43">
        <f>EXP(-LN(2)/2)*T47+(1-EXP(-LN(2)/2))/(LN(2)/2)*N48*Q48*VLOOKUP('Données projet'!$B$9,Paramètres!$A$1:$I$88,3,0)*0.475*44/12</f>
        <v>0</v>
      </c>
      <c r="U48" s="43">
        <f t="shared" si="1"/>
        <v>0</v>
      </c>
      <c r="V48" s="32" t="e">
        <f>VLOOKUP(A48,'Données projet'!$A$61:$I$81,2,0)</f>
        <v>#N/A</v>
      </c>
      <c r="W48" s="33" t="e">
        <f>VLOOKUP(A48,'Données projet'!$A$61:$I$81,9,0)</f>
        <v>#N/A</v>
      </c>
      <c r="X48" s="33">
        <f t="array" ref="X48">INDEX(W:W,MIN(IF(ISNUMBER(W48:W244),ROW(W48:W244),"")))</f>
        <v>0</v>
      </c>
      <c r="Y48" s="33">
        <f t="shared" si="24"/>
        <v>0</v>
      </c>
      <c r="Z48" s="34" t="e">
        <f>Y48*VLOOKUP('Données projet'!$B$10,Paramètres!$A$1:$I$88,3,0)*VLOOKUP('Données projet'!$B$10,Paramètres!$A$1:$I$88,5,0)</f>
        <v>#N/A</v>
      </c>
      <c r="AA48" s="34" t="e">
        <f t="shared" si="25"/>
        <v>#N/A</v>
      </c>
      <c r="AB48" s="44" t="e">
        <f t="shared" si="2"/>
        <v>#N/A</v>
      </c>
      <c r="AC48" s="36">
        <f>IF(ISNA(VLOOKUP(A48,'Données projet'!$A$61:$I$81,3,0)),0,VLOOKUP(A48,'Données projet'!$A$61:$I$81,3,0))</f>
        <v>0</v>
      </c>
      <c r="AD48" s="36">
        <f>IF(ISNA(VLOOKUP(A48,'Données projet'!$A$61:$I$81,4,0)),0,VLOOKUP(A48,'Données projet'!$A$61:$I$81,4,0))</f>
        <v>0</v>
      </c>
      <c r="AE48" s="37">
        <f>IF(ISNA(VLOOKUP(A48,'Données projet'!$A$61:$I$81,5,0)),0%,VLOOKUP(A48,'Données projet'!$A$61:$I$81,5,0)*VLOOKUP('Données projet'!$B$10,Paramètres!$A$1:$I$88,7,0))</f>
        <v>0</v>
      </c>
      <c r="AF48" s="37">
        <f>IF(ISNA(VLOOKUP(A48,'Données projet'!$A$61:$I$81,6,0)),0%,VLOOKUP(A48,'Données projet'!$A$61:$I$81,6,0)*VLOOKUP('Données projet'!$B$10,Paramètres!$A$1:$I$88,7,0))</f>
        <v>0</v>
      </c>
      <c r="AG48" s="37">
        <f>IF(ISNA(VLOOKUP(A48,'Données projet'!$A$61:$I$81,7,0)),0%,VLOOKUP(A48,'Données projet'!$A$61:$I$81,7,0))</f>
        <v>0</v>
      </c>
      <c r="AH48" s="45">
        <f>EXP(-LN(2)/35)*AH47+(1-EXP(-LN(2)/35))/(LN(2)/35)*AD48*AE48*VLOOKUP('Données projet'!$B$9,Paramètres!$A$1:$I$88,3,0)*0.475*44/12</f>
        <v>0</v>
      </c>
      <c r="AI48" s="45">
        <f>EXP(-LN(2)/25)*AI47+(1-EXP(-LN(2)/25))/(LN(2)/25)*Calculateur!AD48*Calculateur!AF48*VLOOKUP('Données projet'!$B$9,Paramètres!$A$1:$I$88,3,0)*0.475*44/12</f>
        <v>0</v>
      </c>
      <c r="AJ48" s="45">
        <f>EXP(-LN(2)/2)*AJ47+(1-EXP(-LN(2)/2))/(LN(2)/2)*AD48*AG48*VLOOKUP('Données projet'!$B$9,Paramètres!$A$1:$I$88,3,0)*0.475*44/12</f>
        <v>0</v>
      </c>
      <c r="AK48" s="45">
        <f t="shared" si="3"/>
        <v>0</v>
      </c>
      <c r="AL48" s="32" t="e">
        <f>VLOOKUP(A48,'Données projet'!$A$87:$I$107,2,0)</f>
        <v>#N/A</v>
      </c>
      <c r="AM48" s="33" t="e">
        <f>VLOOKUP(A48,'Données projet'!$A$87:$I$107,9,0)</f>
        <v>#N/A</v>
      </c>
      <c r="AN48" s="33">
        <f t="array" ref="AN48">INDEX(AM:AM,MIN(IF(ISNUMBER(AM48:AM244),ROW(AM48:AM244),"")))</f>
        <v>0</v>
      </c>
      <c r="AO48" s="33">
        <f t="shared" si="26"/>
        <v>0</v>
      </c>
      <c r="AP48" s="34" t="e">
        <f>AO48*VLOOKUP('Données projet'!$B$11,Paramètres!$A$1:$I$88,3,0)*VLOOKUP('Données projet'!$B$11,Paramètres!$A$1:$I$88,5,0)</f>
        <v>#N/A</v>
      </c>
      <c r="AQ48" s="34" t="e">
        <f t="shared" si="27"/>
        <v>#N/A</v>
      </c>
      <c r="AR48" s="44" t="e">
        <f t="shared" si="4"/>
        <v>#N/A</v>
      </c>
      <c r="AS48" s="36">
        <f>IF(ISNA(VLOOKUP(A48,'Données projet'!$A$87:$I$107,3,0)),0,VLOOKUP(A48,'Données projet'!$A$87:$I$107,3,0))</f>
        <v>0</v>
      </c>
      <c r="AT48" s="36">
        <f>IF(ISNA(VLOOKUP(A48,'Données projet'!$A$87:$I$107,4,0)),0,VLOOKUP(A48,'Données projet'!$A$87:$I$107,4,0))</f>
        <v>0</v>
      </c>
      <c r="AU48" s="37">
        <f>IF(ISNA(VLOOKUP(A48,'Données projet'!$A$87:$I$107,5,0)),0%,VLOOKUP(A48,'Données projet'!$A$87:$I$107,5,0)*VLOOKUP('Données projet'!$B$11,Paramètres!$A$1:$I$88,7,0))</f>
        <v>0</v>
      </c>
      <c r="AV48" s="37">
        <f>IF(ISNA(VLOOKUP(A48,'Données projet'!$A$87:$I$107,6,0)),0%,VLOOKUP(A48,'Données projet'!$A$87:$I$107,6,0)*VLOOKUP('Données projet'!$B$11,Paramètres!$A$1:$I$88,7,0))</f>
        <v>0</v>
      </c>
      <c r="AW48" s="37">
        <f>IF(ISNA(VLOOKUP(A48,'Données projet'!$A$87:$I$107,7,0)),0%,VLOOKUP(A48,'Données projet'!$A$87:$I$107,7,0))</f>
        <v>0</v>
      </c>
      <c r="AX48" s="45">
        <f>EXP(-LN(2)/35)*AX47+(1-EXP(-LN(2)/35))/(LN(2)/35)*AT48*AU48*VLOOKUP('Données projet'!$B$9,Paramètres!$A$1:$I$88,3,0)*0.475*44/12</f>
        <v>0</v>
      </c>
      <c r="AY48" s="45">
        <f>EXP(-LN(2)/25)*AY47+(1-EXP(-LN(2)/25))/(LN(2)/25)*Calculateur!AT48*Calculateur!AV48*VLOOKUP('Données projet'!$B$9,Paramètres!$A$1:$I$88,3,0)*0.475*44/12</f>
        <v>0</v>
      </c>
      <c r="AZ48" s="45">
        <f>EXP(-LN(2)/2)*AZ47+(1-EXP(-LN(2)/2))/(LN(2)/2)*AT48*AW48*VLOOKUP('Données projet'!$B$9,Paramètres!$A$1:$I$88,3,0)*0.475*44/12</f>
        <v>0</v>
      </c>
      <c r="BA48" s="46">
        <f t="shared" si="5"/>
        <v>0</v>
      </c>
      <c r="BB48" s="32" t="e">
        <f>VLOOKUP(A48,'Données projet'!$A$113:$I$133,2,0)</f>
        <v>#N/A</v>
      </c>
      <c r="BC48" s="33" t="e">
        <f>VLOOKUP(A48,'Données projet'!$A$113:$I$133,9,0)</f>
        <v>#N/A</v>
      </c>
      <c r="BD48" s="33">
        <f t="array" ref="BD48">INDEX(BC:BC,MIN(IF(ISNUMBER(BC48:BC244),ROW(BC48:BC244),"")))</f>
        <v>0</v>
      </c>
      <c r="BE48" s="33">
        <f t="shared" si="28"/>
        <v>0</v>
      </c>
      <c r="BF48" s="34" t="e">
        <f>BE48*VLOOKUP('Données projet'!$B$12,Paramètres!$A$1:$I$88,3,0)*VLOOKUP('Données projet'!$B$12,Paramètres!$A$1:$I$88,5,0)</f>
        <v>#N/A</v>
      </c>
      <c r="BG48" s="34" t="e">
        <f t="shared" si="29"/>
        <v>#N/A</v>
      </c>
      <c r="BH48" s="44" t="e">
        <f t="shared" si="6"/>
        <v>#N/A</v>
      </c>
      <c r="BI48" s="36">
        <f>IF(ISNA(VLOOKUP(A48,'Données projet'!$A$113:$I$133,3,0)),0,VLOOKUP(A48,'Données projet'!$A$113:$I$133,3,0))</f>
        <v>0</v>
      </c>
      <c r="BJ48" s="36">
        <f>IF(ISNA(VLOOKUP(A48,'Données projet'!$A$113:$I$133,4,0)),0,VLOOKUP(A48,'Données projet'!$A$113:$I$133,4,0))</f>
        <v>0</v>
      </c>
      <c r="BK48" s="37">
        <f>IF(ISNA(VLOOKUP(A48,'Données projet'!$A$113:$I$133,5,0)),0%,VLOOKUP(A48,'Données projet'!$A$113:$I$133,5,0)*VLOOKUP('Données projet'!$B$12,Paramètres!$A$1:$I$88,7,0))</f>
        <v>0</v>
      </c>
      <c r="BL48" s="37">
        <f>IF(ISNA(VLOOKUP(A48,'Données projet'!$A$113:$I$133,6,0)),0%,VLOOKUP(A48,'Données projet'!$A$113:$I$133,6,0)*VLOOKUP('Données projet'!$B$12,Paramètres!$A$1:$I$88,7,0))</f>
        <v>0</v>
      </c>
      <c r="BM48" s="37">
        <f>IF(ISNA(VLOOKUP(A48,'Données projet'!$A$113:$I$133,7,0)),0%,VLOOKUP(A48,'Données projet'!$A$113:$I$133,7,0))</f>
        <v>0</v>
      </c>
      <c r="BN48" s="45">
        <f>EXP(-LN(2)/35)*BN47+(1-EXP(-LN(2)/35))/(LN(2)/35)*BJ48*BK48*VLOOKUP('Données projet'!$B$9,Paramètres!$A$1:$I$88,3,0)*0.475*44/12</f>
        <v>0</v>
      </c>
      <c r="BO48" s="45">
        <f>EXP(-LN(2)/25)*BO47+(1-EXP(-LN(2)/25))/(LN(2)/25)*Calculateur!BJ48*Calculateur!BL48*VLOOKUP('Données projet'!$B$9,Paramètres!$A$1:$I$88,3,0)*0.475*44/12</f>
        <v>0</v>
      </c>
      <c r="BP48" s="45">
        <f>EXP(-LN(2)/2)*BP47+(1-EXP(-LN(2)/2))/(LN(2)/2)*BJ48*BM48*VLOOKUP('Données projet'!$B$9,Paramètres!$A$1:$I$88,3,0)*0.475*44/12</f>
        <v>0</v>
      </c>
      <c r="BQ48" s="46">
        <f t="shared" si="7"/>
        <v>0</v>
      </c>
      <c r="BR48" s="32" t="e">
        <f>VLOOKUP(A48,'Données projet'!$A$139:$I$159,2,0)</f>
        <v>#N/A</v>
      </c>
      <c r="BS48" s="33" t="e">
        <f>VLOOKUP(A48,'Données projet'!$A$139:$I$159,9,0)</f>
        <v>#N/A</v>
      </c>
      <c r="BT48" s="33">
        <f t="array" ref="BT48">INDEX(BS:BS,MIN(IF(ISNUMBER(BS48:BS244),ROW(BS48:BS244),"")))</f>
        <v>0</v>
      </c>
      <c r="BU48" s="33">
        <f t="shared" si="41"/>
        <v>0</v>
      </c>
      <c r="BV48" s="38" t="e">
        <f>BU48*VLOOKUP('Données projet'!$B$13,Paramètres!$A$1:$I$88,3,0)*VLOOKUP('Données projet'!$B$13,Paramètres!$A$1:$I$88,5,0)</f>
        <v>#N/A</v>
      </c>
      <c r="BW48" s="34" t="e">
        <f t="shared" si="30"/>
        <v>#N/A</v>
      </c>
      <c r="BX48" s="44" t="e">
        <f t="shared" si="8"/>
        <v>#N/A</v>
      </c>
      <c r="BY48" s="36">
        <f>IF(ISNA(VLOOKUP(A48,'Données projet'!$A$139:$I$159,3,0)),0,VLOOKUP(A48,'Données projet'!$A$139:$I$159,3,0))</f>
        <v>0</v>
      </c>
      <c r="BZ48" s="36">
        <f>IF(ISNA(VLOOKUP(A48,'Données projet'!$A$139:$I$159,4,0)),0,VLOOKUP(A48,'Données projet'!$A$139:$I$159,4,0))</f>
        <v>0</v>
      </c>
      <c r="CA48" s="37">
        <f>IF(ISNA(VLOOKUP(A48,'Données projet'!$A$139:$I$159,5,0)),0%,VLOOKUP(A48,'Données projet'!$A$139:$I$159,5,0)*VLOOKUP('Données projet'!$B$13,Paramètres!$A$1:$I$88,7,0))</f>
        <v>0</v>
      </c>
      <c r="CB48" s="37">
        <f>IF(ISNA(VLOOKUP(A48,'Données projet'!$A$139:$I$159,6,0)),0%,VLOOKUP(A48,'Données projet'!$A$139:$I$159,6,0)*VLOOKUP('Données projet'!$B$13,Paramètres!$A$1:$I$88,7,0))</f>
        <v>0</v>
      </c>
      <c r="CC48" s="37">
        <f>IF(ISNA(VLOOKUP(A48,'Données projet'!$A$139:$I$159,7,0)),0%,VLOOKUP(A48,'Données projet'!$A$139:$I$159,7,0))</f>
        <v>0</v>
      </c>
      <c r="CD48" s="45">
        <f>EXP(-LN(2)/35)*CD47+(1-EXP(-LN(2)/35))/(LN(2)/35)*BZ48*CA48*VLOOKUP('Données projet'!$B$9,Paramètres!$A$1:$I$88,3,0)*0.475*44/12</f>
        <v>0</v>
      </c>
      <c r="CE48" s="45">
        <f>EXP(-LN(2)/25)*CE47+(1-EXP(-LN(2)/25))/(LN(2)/25)*Calculateur!BZ48*Calculateur!CB48*VLOOKUP('Données projet'!$B$9,Paramètres!$A$1:$I$88,3,0)*0.475*44/12</f>
        <v>0</v>
      </c>
      <c r="CF48" s="45">
        <f>EXP(-LN(2)/2)*CF47+(1-EXP(-LN(2)/2))/(LN(2)/2)*BZ48*CC48*VLOOKUP('Données projet'!$B$9,Paramètres!$A$1:$I$88,3,0)*0.475*44/12</f>
        <v>0</v>
      </c>
      <c r="CG48" s="46">
        <f t="shared" si="9"/>
        <v>0</v>
      </c>
      <c r="CH48" s="32" t="e">
        <f>VLOOKUP(A48,'Données projet'!$A$165:$I$185,2,0)</f>
        <v>#N/A</v>
      </c>
      <c r="CI48" s="33" t="e">
        <f>VLOOKUP(A48,'Données projet'!$A$165:$I$185,9,0)</f>
        <v>#N/A</v>
      </c>
      <c r="CJ48" s="33">
        <f t="array" ref="CJ48">INDEX(CI:CI,MIN(IF(ISNUMBER(CI48:CI244),ROW(CI48:CI244),"")))</f>
        <v>0</v>
      </c>
      <c r="CK48" s="33">
        <f t="shared" si="31"/>
        <v>0</v>
      </c>
      <c r="CL48" s="38" t="e">
        <f>CK48*VLOOKUP('Données projet'!$B$14,Paramètres!$A$1:$I$88,3,0)*VLOOKUP('Données projet'!$B$14,Paramètres!$A$1:$I$88,5,0)</f>
        <v>#N/A</v>
      </c>
      <c r="CM48" s="34" t="e">
        <f t="shared" si="32"/>
        <v>#N/A</v>
      </c>
      <c r="CN48" s="44" t="e">
        <f t="shared" si="10"/>
        <v>#N/A</v>
      </c>
      <c r="CO48" s="36">
        <f>IF(ISNA(VLOOKUP(A48,'Données projet'!$A$165:$I$185,3,0)),0,VLOOKUP(A48,'Données projet'!$A$165:$I$185,3,0))</f>
        <v>0</v>
      </c>
      <c r="CP48" s="36">
        <f>IF(ISNA(VLOOKUP(A48,'Données projet'!$A$165:$I$185,4,0)),0,VLOOKUP(A48,'Données projet'!$A$165:$I$185,4,0))</f>
        <v>0</v>
      </c>
      <c r="CQ48" s="37">
        <f>IF(ISNA(VLOOKUP(A48,'Données projet'!$A$165:$I$185,5,0)),0%,VLOOKUP(A48,'Données projet'!$A$165:$I$185,5,0)*VLOOKUP('Données projet'!$B$14,Paramètres!$A$1:$I$88,7,0))</f>
        <v>0</v>
      </c>
      <c r="CR48" s="37">
        <f>IF(ISNA(VLOOKUP(A48,'Données projet'!$A$165:$I$185,6,0)),0%,VLOOKUP(A48,'Données projet'!$A$165:$I$185,6,0)*VLOOKUP('Données projet'!$B$14,Paramètres!$A$1:$I$88,7,0))</f>
        <v>0</v>
      </c>
      <c r="CS48" s="37">
        <f>IF(ISNA(VLOOKUP(A48,'Données projet'!$A$165:$I$185,7,0)),0%,VLOOKUP(A48,'Données projet'!$A$165:$I$185,7,0))</f>
        <v>0</v>
      </c>
      <c r="CT48" s="45">
        <f>EXP(-LN(2)/35)*CT47+(1-EXP(-LN(2)/35))/(LN(2)/35)*CP48*CQ48*VLOOKUP('Données projet'!$B$9,Paramètres!$A$1:$I$88,3,0)*0.475*44/12</f>
        <v>0</v>
      </c>
      <c r="CU48" s="45">
        <f>EXP(-LN(2)/25)*CU47+(1-EXP(-LN(2)/25))/(LN(2)/25)*Calculateur!CP48*Calculateur!CR48*VLOOKUP('Données projet'!$B$9,Paramètres!$A$1:$I$88,3,0)*0.475*44/12</f>
        <v>0</v>
      </c>
      <c r="CV48" s="45">
        <f>EXP(-LN(2)/2)*CV47+(1-EXP(-LN(2)/2))/(LN(2)/2)*CP48*CS48*VLOOKUP('Données projet'!$B$9,Paramètres!$A$1:$I$88,3,0)*0.475*44/12</f>
        <v>0</v>
      </c>
      <c r="CW48" s="46">
        <f t="shared" si="11"/>
        <v>0</v>
      </c>
      <c r="CX48" s="32" t="e">
        <f>VLOOKUP(A48,'Données projet'!$A$191:$I$211,2,0)</f>
        <v>#N/A</v>
      </c>
      <c r="CY48" s="33" t="e">
        <f>VLOOKUP(A48,'Données projet'!$A$191:$I$211,9,0)</f>
        <v>#N/A</v>
      </c>
      <c r="CZ48" s="33">
        <f t="array" ref="CZ48">INDEX(CY:CY,MIN(IF(ISNUMBER(CY48:CY244),ROW(CY48:CY244),"")))</f>
        <v>0</v>
      </c>
      <c r="DA48" s="33">
        <f t="shared" si="33"/>
        <v>0</v>
      </c>
      <c r="DB48" s="38" t="e">
        <f>DA48*VLOOKUP('Données projet'!$B$15,Paramètres!$A$1:$I$88,3,0)*VLOOKUP('Données projet'!$B$15,Paramètres!$A$1:$I$88,5,0)</f>
        <v>#N/A</v>
      </c>
      <c r="DC48" s="34" t="e">
        <f t="shared" si="34"/>
        <v>#N/A</v>
      </c>
      <c r="DD48" s="44" t="e">
        <f t="shared" si="12"/>
        <v>#N/A</v>
      </c>
      <c r="DE48" s="36">
        <f>IF(ISNA(VLOOKUP(A48,'Données projet'!$A$191:$I$211,3,0)),0,VLOOKUP(A48,'Données projet'!$A$191:$I$211,3,0))</f>
        <v>0</v>
      </c>
      <c r="DF48" s="36">
        <f>IF(ISNA(VLOOKUP(A48,'Données projet'!$A$191:$I$211,4,0)),0,VLOOKUP(A48,'Données projet'!$A$191:$I$211,4,0))</f>
        <v>0</v>
      </c>
      <c r="DG48" s="37">
        <f>IF(ISNA(VLOOKUP(A48,'Données projet'!$A$191:$I$211,5,0)),0%,VLOOKUP(A48,'Données projet'!$A$191:$I$211,5,0)*VLOOKUP('Données projet'!$B$15,Paramètres!$A$1:$I$88,7,0))</f>
        <v>0</v>
      </c>
      <c r="DH48" s="37">
        <f>IF(ISNA(VLOOKUP(A48,'Données projet'!$A$191:$I$211,6,0)),0%,VLOOKUP(A48,'Données projet'!$A$191:$I$211,6,0)*VLOOKUP('Données projet'!$B$15,Paramètres!$A$1:$I$88,7,0))</f>
        <v>0</v>
      </c>
      <c r="DI48" s="37">
        <f>IF(ISNA(VLOOKUP(A48,'Données projet'!$A$191:$I$211,7,0)),0%,VLOOKUP(A48,'Données projet'!$A$191:$I$211,7,0))</f>
        <v>0</v>
      </c>
      <c r="DJ48" s="45">
        <f>EXP(-LN(2)/35)*DJ47+(1-EXP(-LN(2)/35))/(LN(2)/35)*DF48*DG48*VLOOKUP('Données projet'!$B$9,Paramètres!$A$1:$I$88,3,0)*0.475*44/12</f>
        <v>0</v>
      </c>
      <c r="DK48" s="45">
        <f>EXP(-LN(2)/25)*DK47+(1-EXP(-LN(2)/25))/(LN(2)/25)*Calculateur!DF48*Calculateur!DH48*VLOOKUP('Données projet'!$B$9,Paramètres!$A$1:$I$88,3,0)*0.475*44/12</f>
        <v>0</v>
      </c>
      <c r="DL48" s="45">
        <f>EXP(-LN(2)/2)*DL47+(1-EXP(-LN(2)/2))/(LN(2)/2)*DF48*DI48*VLOOKUP('Données projet'!$B$9,Paramètres!$A$1:$I$88,3,0)*0.475*44/12</f>
        <v>0</v>
      </c>
      <c r="DM48" s="46">
        <f t="shared" si="13"/>
        <v>0</v>
      </c>
      <c r="DN48" s="32" t="e">
        <f>VLOOKUP(A48,'Données projet'!$A$217:$I$237,2,0)</f>
        <v>#N/A</v>
      </c>
      <c r="DO48" s="33" t="e">
        <f>VLOOKUP(A48,'Données projet'!$A$217:$I$237,9,0)</f>
        <v>#N/A</v>
      </c>
      <c r="DP48" s="33">
        <f t="array" ref="DP48">INDEX(DO:DO,MIN(IF(ISNUMBER(DO48:DO244),ROW(DO48:DO244),"")))</f>
        <v>0</v>
      </c>
      <c r="DQ48" s="33">
        <f t="shared" si="35"/>
        <v>0</v>
      </c>
      <c r="DR48" s="38" t="e">
        <f>DQ48*VLOOKUP('Données projet'!$B$16,Paramètres!$A$1:$I$88,3,0)*VLOOKUP('Données projet'!$B$16,Paramètres!$A$1:$I$88,5,0)</f>
        <v>#N/A</v>
      </c>
      <c r="DS48" s="34" t="e">
        <f t="shared" si="36"/>
        <v>#N/A</v>
      </c>
      <c r="DT48" s="44" t="e">
        <f t="shared" si="14"/>
        <v>#N/A</v>
      </c>
      <c r="DU48" s="36">
        <f>IF(ISNA(VLOOKUP(A48,'Données projet'!$A$217:$I$237,3,0)),0,VLOOKUP(A48,'Données projet'!$A$217:$I$237,3,0))</f>
        <v>0</v>
      </c>
      <c r="DV48" s="36">
        <f>IF(ISNA(VLOOKUP(A48,'Données projet'!$A$217:$I$237,4,0)),0,VLOOKUP(A48,'Données projet'!$A$217:$I$237,4,0))</f>
        <v>0</v>
      </c>
      <c r="DW48" s="37">
        <f>IF(ISNA(VLOOKUP(A48,'Données projet'!$A$217:$I$237,5,0)),0%,VLOOKUP(A48,'Données projet'!$A$217:$I$237,5,0)*VLOOKUP('Données projet'!$B$16,Paramètres!$A$1:$I$88,7,0))</f>
        <v>0</v>
      </c>
      <c r="DX48" s="37">
        <f>IF(ISNA(VLOOKUP(A48,'Données projet'!$A$217:$I$237,6,0)),0%,VLOOKUP(A48,'Données projet'!$A$217:$I$237,6,0)*VLOOKUP('Données projet'!$B$16,Paramètres!$A$1:$I$88,7,0))</f>
        <v>0</v>
      </c>
      <c r="DY48" s="37">
        <f>IF(ISNA(VLOOKUP(A48,'Données projet'!$A$217:$I$237,7,0)),0%,VLOOKUP(A48,'Données projet'!$A$217:$I$237,7,0))</f>
        <v>0</v>
      </c>
      <c r="DZ48" s="45">
        <f>EXP(-LN(2)/35)*DZ47+(1-EXP(-LN(2)/35))/(LN(2)/35)*DV48*DW48*VLOOKUP('Données projet'!$B$9,Paramètres!$A$1:$I$88,3,0)*0.475*44/12</f>
        <v>0</v>
      </c>
      <c r="EA48" s="45">
        <f>EXP(-LN(2)/25)*EA47+(1-EXP(-LN(2)/25))/(LN(2)/25)*Calculateur!DV48*Calculateur!DX48*VLOOKUP('Données projet'!$B$9,Paramètres!$A$1:$I$88,3,0)*0.475*44/12</f>
        <v>0</v>
      </c>
      <c r="EB48" s="45">
        <f>EXP(-LN(2)/2)*EB47+(1-EXP(-LN(2)/2))/(LN(2)/2)*DV48*DY48*VLOOKUP('Données projet'!$B$9,Paramètres!$A$1:$I$88,3,0)*0.475*44/12</f>
        <v>0</v>
      </c>
      <c r="EC48" s="46">
        <f t="shared" si="15"/>
        <v>0</v>
      </c>
      <c r="ED48" s="32" t="e">
        <f>VLOOKUP(A48,'Données projet'!$A$243:$I$263,2,0)</f>
        <v>#N/A</v>
      </c>
      <c r="EE48" s="33" t="e">
        <f>VLOOKUP(A48,'Données projet'!$A$243:$I$263,9,0)</f>
        <v>#N/A</v>
      </c>
      <c r="EF48" s="33">
        <f t="array" ref="EF48">INDEX(EE:EE,MIN(IF(ISNUMBER(EE48:EE244),ROW(EE48:EE244),"")))</f>
        <v>0</v>
      </c>
      <c r="EG48" s="33">
        <f t="shared" si="37"/>
        <v>0</v>
      </c>
      <c r="EH48" s="38" t="e">
        <f>EG48*VLOOKUP('Données projet'!$B$17,Paramètres!$A$1:$I$88,3,0)*VLOOKUP('Données projet'!$B$17,Paramètres!$A$1:$I$88,5,0)</f>
        <v>#N/A</v>
      </c>
      <c r="EI48" s="34" t="e">
        <f t="shared" si="38"/>
        <v>#N/A</v>
      </c>
      <c r="EJ48" s="44" t="e">
        <f t="shared" si="16"/>
        <v>#N/A</v>
      </c>
      <c r="EK48" s="36">
        <f>IF(ISNA(VLOOKUP(A48,'Données projet'!$A$243:$I$263,3,0)),0,VLOOKUP(A48,'Données projet'!$A$243:$I$263,3,0))</f>
        <v>0</v>
      </c>
      <c r="EL48" s="36">
        <f>IF(ISNA(VLOOKUP(A48,'Données projet'!$A$243:$I$263,4,0)),0,VLOOKUP(A48,'Données projet'!$A$243:$I$263,4,0))</f>
        <v>0</v>
      </c>
      <c r="EM48" s="37">
        <f>IF(ISNA(VLOOKUP(A48,'Données projet'!$A$243:$I$263,5,0)),0%,VLOOKUP(A48,'Données projet'!$A$243:$I$263,5,0)*VLOOKUP('Données projet'!$B$17,Paramètres!$A$1:$I$88,7,0))</f>
        <v>0</v>
      </c>
      <c r="EN48" s="37">
        <f>IF(ISNA(VLOOKUP(A48,'Données projet'!$A$243:$I$263,6,0)),0%,VLOOKUP(A48,'Données projet'!$A$243:$I$263,6,0)*VLOOKUP('Données projet'!$B$17,Paramètres!$A$1:$I$88,7,0))</f>
        <v>0</v>
      </c>
      <c r="EO48" s="37">
        <f>IF(ISNA(VLOOKUP(A48,'Données projet'!$A$243:$I$263,7,0)),0%,VLOOKUP(A48,'Données projet'!$A$243:$I$263,7,0))</f>
        <v>0</v>
      </c>
      <c r="EP48" s="45">
        <f>EXP(-LN(2)/35)*EP47+(1-EXP(-LN(2)/35))/(LN(2)/35)*EL48*EM48*VLOOKUP('Données projet'!$B$9,Paramètres!$A$1:$I$88,3,0)*0.475*44/12</f>
        <v>0</v>
      </c>
      <c r="EQ48" s="45">
        <f>EXP(-LN(2)/25)*EQ47+(1-EXP(-LN(2)/25))/(LN(2)/25)*Calculateur!EL48*Calculateur!EN48*VLOOKUP('Données projet'!$B$9,Paramètres!$A$1:$I$88,3,0)*0.475*44/12</f>
        <v>0</v>
      </c>
      <c r="ER48" s="45">
        <f>EXP(-LN(2)/2)*ER47+(1-EXP(-LN(2)/2))/(LN(2)/2)*EL48*EO48*VLOOKUP('Données projet'!$B$9,Paramètres!$A$1:$I$88,3,0)*0.475*44/12</f>
        <v>0</v>
      </c>
      <c r="ES48" s="46">
        <f t="shared" si="17"/>
        <v>0</v>
      </c>
      <c r="ET48" s="32" t="e">
        <f>VLOOKUP(A48,'Données projet'!$A$269:$I$289,2,0)</f>
        <v>#N/A</v>
      </c>
      <c r="EU48" s="33" t="e">
        <f>VLOOKUP(A48,'Données projet'!$A$269:$I$289,9,0)</f>
        <v>#N/A</v>
      </c>
      <c r="EV48" s="33">
        <f t="array" ref="EV48">INDEX(EU:EU,MIN(IF(ISNUMBER(EU48:EU244),ROW(EU48:EU244),"")))</f>
        <v>0</v>
      </c>
      <c r="EW48" s="33">
        <f t="shared" si="39"/>
        <v>0</v>
      </c>
      <c r="EX48" s="38" t="e">
        <f>EW48*VLOOKUP('Données projet'!$B$18,Paramètres!$A$1:$I$88,3,0)*VLOOKUP('Données projet'!$B$18,Paramètres!$A$1:$I$88,5,0)</f>
        <v>#N/A</v>
      </c>
      <c r="EY48" s="34" t="e">
        <f t="shared" si="40"/>
        <v>#N/A</v>
      </c>
      <c r="EZ48" s="44" t="e">
        <f t="shared" si="18"/>
        <v>#N/A</v>
      </c>
      <c r="FA48" s="36">
        <f>IF(ISNA(VLOOKUP(A48,'Données projet'!$A$269:$I$289,3,0)),0,VLOOKUP(A48,'Données projet'!$A$269:$I$289,3,0))</f>
        <v>0</v>
      </c>
      <c r="FB48" s="36">
        <f>IF(ISNA(VLOOKUP(A48,'Données projet'!$A$269:$I$289,4,0)),0,VLOOKUP(A48,'Données projet'!$A$269:$I$289,4,0))</f>
        <v>0</v>
      </c>
      <c r="FC48" s="37">
        <f>IF(ISNA(VLOOKUP(A48,'Données projet'!$A$269:$I$289,5,0)),0%,VLOOKUP(A48,'Données projet'!$A$269:$I$289,5,0)*VLOOKUP('Données projet'!$B$18,Paramètres!$A$1:$I$88,7,0))</f>
        <v>0</v>
      </c>
      <c r="FD48" s="37">
        <f>IF(ISNA(VLOOKUP(A48,'Données projet'!$A$269:$I$289,6,0)),0%,VLOOKUP(A48,'Données projet'!$A$269:$I$289,6,0)*VLOOKUP('Données projet'!$B$18,Paramètres!$A$1:$I$88,7,0))</f>
        <v>0</v>
      </c>
      <c r="FE48" s="37">
        <f>IF(ISNA(VLOOKUP(A48,'Données projet'!$A$269:$I$289,7,0)),0%,VLOOKUP(A48,'Données projet'!$A$269:$I$289,7,0))</f>
        <v>0</v>
      </c>
      <c r="FF48" s="45">
        <f>EXP(-LN(2)/35)*FF47+(1-EXP(-LN(2)/35))/(LN(2)/35)*FB48*FC48*VLOOKUP('Données projet'!$B$9,Paramètres!$A$1:$I$88,3,0)*0.475*44/12</f>
        <v>0</v>
      </c>
      <c r="FG48" s="45">
        <f>EXP(-LN(2)/25)*FG47+(1-EXP(-LN(2)/25))/(LN(2)/25)*Calculateur!FB48*Calculateur!FD48*VLOOKUP('Données projet'!$B$9,Paramètres!$A$1:$I$88,3,0)*0.475*44/12</f>
        <v>0</v>
      </c>
      <c r="FH48" s="45">
        <f>EXP(-LN(2)/2)*FH47+(1-EXP(-LN(2)/2))/(LN(2)/2)*FB48*FE48*VLOOKUP('Données projet'!$B$9,Paramètres!$A$1:$I$88,3,0)*0.475*44/12</f>
        <v>0</v>
      </c>
      <c r="FI48" s="46">
        <f t="shared" si="19"/>
        <v>0</v>
      </c>
    </row>
    <row r="49" spans="1:165" x14ac:dyDescent="0.25">
      <c r="A49" s="24">
        <f t="shared" si="20"/>
        <v>46</v>
      </c>
      <c r="B49" s="25">
        <f>IF('Scénario référence'!$N$1=1,5,0)</f>
        <v>0</v>
      </c>
      <c r="C49" s="40">
        <f>IF(OR('Scénario référence'!$N$1=2,'Scénario référence'!$N$1=4),C48+1*VLOOKUP('Scénario référence'!$G$14,Paramètres!$A$1:$I$88,3,0)*VLOOKUP('Scénario référence'!$G$14,Paramètres!$A$1:$I$88,5,0),IF(OR('Scénario référence'!$N$1=3,'Scénario référence'!$N$1=5),C48+0.5*VLOOKUP('Scénario référence'!$G$14,Paramètres!$A$1:$I$88,3,0)*VLOOKUP('Scénario référence'!$G$14,Paramètres!$A$1:$I$88,5,0),0))</f>
        <v>25.115999999999985</v>
      </c>
      <c r="D49" s="26">
        <f t="shared" si="21"/>
        <v>7.9533172071366991</v>
      </c>
      <c r="E49" s="27">
        <f>IF('Scénario référence'!$N$1=1,B49*44/12,(C49+D49)*0.475*44/12)</f>
        <v>57.595727469096396</v>
      </c>
      <c r="F49" s="28" t="e">
        <f>VLOOKUP(A49,'Données projet'!$A$35:$I$55,2,0)</f>
        <v>#N/A</v>
      </c>
      <c r="G49" s="28" t="e">
        <f>VLOOKUP(A49,'Données projet'!$A$35:$I$55,9,0)</f>
        <v>#N/A</v>
      </c>
      <c r="H49" s="33">
        <f t="array" ref="H49">INDEX(G:G,MIN(IF(ISNUMBER(G49:G245),ROW(G49:G245),"")))</f>
        <v>8.1999999999999993</v>
      </c>
      <c r="I49" s="28">
        <f t="shared" si="22"/>
        <v>145.20000000000005</v>
      </c>
      <c r="J49" s="41">
        <f>I49*VLOOKUP('Données projet'!$B$9,Paramètres!$A$1:$I$88,3,0)*VLOOKUP('Données projet'!$B$9,Paramètres!$A$1:$I$88,5,0)</f>
        <v>147.23280000000005</v>
      </c>
      <c r="K49" s="41">
        <f t="shared" si="23"/>
        <v>37.949049623906205</v>
      </c>
      <c r="L49" s="42">
        <f t="shared" si="0"/>
        <v>322.52505476163668</v>
      </c>
      <c r="M49" s="30">
        <f>IF(ISNA(VLOOKUP(A49,'Données projet'!$A$35:$I$55,3,0)),0,VLOOKUP(A49,'Données projet'!$A$35:$I$55,3,0))</f>
        <v>0</v>
      </c>
      <c r="N49" s="30">
        <f>IF(ISNA(VLOOKUP(A49,'Données projet'!$A$35:$I$55,4,0)),0,VLOOKUP(A49,'Données projet'!$A$35:$I$55,4,0))</f>
        <v>0</v>
      </c>
      <c r="O49" s="31">
        <f>IF(ISNA(VLOOKUP(A49,'Données projet'!$A$35:$I$55,5,0)),0%,VLOOKUP(A49,'Données projet'!$A$35:$I$55,5,0)*VLOOKUP('Données projet'!$B$9,Paramètres!$A$1:$I$88,7,0))</f>
        <v>0</v>
      </c>
      <c r="P49" s="31">
        <f>IF(ISNA(VLOOKUP(A49,'Données projet'!$A$35:$I$55,6,0)),0%,VLOOKUP(A49,'Données projet'!$A$35:$I$55,6,0)*VLOOKUP('Données projet'!$B$9,Paramètres!$A$1:$I$88,7,0))</f>
        <v>0</v>
      </c>
      <c r="Q49" s="31">
        <f>IF(ISNA(VLOOKUP(A49,'Données projet'!$A$35:$I$55,7,0)),0%,VLOOKUP(A49,'Données projet'!$A$35:$I$55,7,0))</f>
        <v>0</v>
      </c>
      <c r="R49" s="43">
        <f>EXP(-LN(2)/35)*R48+(1-EXP(-LN(2)/35))/(LN(2)/35)*N49*O49*VLOOKUP('Données projet'!$B$9,Paramètres!$A$1:$I$88,3,0)*0.475*44/12</f>
        <v>0</v>
      </c>
      <c r="S49" s="43">
        <f>EXP(-LN(2)/25)*S48+(1-EXP(-LN(2)/25))/(LN(2)/25)*Calculateur!N49*Calculateur!P49*VLOOKUP('Données projet'!$B$9,Paramètres!$A$1:$I$88,3,0)*0.475*44/12</f>
        <v>0</v>
      </c>
      <c r="T49" s="43">
        <f>EXP(-LN(2)/2)*T48+(1-EXP(-LN(2)/2))/(LN(2)/2)*N49*Q49*VLOOKUP('Données projet'!$B$9,Paramètres!$A$1:$I$88,3,0)*0.475*44/12</f>
        <v>0</v>
      </c>
      <c r="U49" s="43">
        <f t="shared" si="1"/>
        <v>0</v>
      </c>
      <c r="V49" s="32" t="e">
        <f>VLOOKUP(A49,'Données projet'!$A$61:$I$81,2,0)</f>
        <v>#N/A</v>
      </c>
      <c r="W49" s="33" t="e">
        <f>VLOOKUP(A49,'Données projet'!$A$61:$I$81,9,0)</f>
        <v>#N/A</v>
      </c>
      <c r="X49" s="33">
        <f t="array" ref="X49">INDEX(W:W,MIN(IF(ISNUMBER(W49:W245),ROW(W49:W245),"")))</f>
        <v>0</v>
      </c>
      <c r="Y49" s="33">
        <f t="shared" si="24"/>
        <v>0</v>
      </c>
      <c r="Z49" s="34" t="e">
        <f>Y49*VLOOKUP('Données projet'!$B$10,Paramètres!$A$1:$I$88,3,0)*VLOOKUP('Données projet'!$B$10,Paramètres!$A$1:$I$88,5,0)</f>
        <v>#N/A</v>
      </c>
      <c r="AA49" s="34" t="e">
        <f t="shared" si="25"/>
        <v>#N/A</v>
      </c>
      <c r="AB49" s="44" t="e">
        <f t="shared" si="2"/>
        <v>#N/A</v>
      </c>
      <c r="AC49" s="36">
        <f>IF(ISNA(VLOOKUP(A49,'Données projet'!$A$61:$I$81,3,0)),0,VLOOKUP(A49,'Données projet'!$A$61:$I$81,3,0))</f>
        <v>0</v>
      </c>
      <c r="AD49" s="36">
        <f>IF(ISNA(VLOOKUP(A49,'Données projet'!$A$61:$I$81,4,0)),0,VLOOKUP(A49,'Données projet'!$A$61:$I$81,4,0))</f>
        <v>0</v>
      </c>
      <c r="AE49" s="37">
        <f>IF(ISNA(VLOOKUP(A49,'Données projet'!$A$61:$I$81,5,0)),0%,VLOOKUP(A49,'Données projet'!$A$61:$I$81,5,0)*VLOOKUP('Données projet'!$B$10,Paramètres!$A$1:$I$88,7,0))</f>
        <v>0</v>
      </c>
      <c r="AF49" s="37">
        <f>IF(ISNA(VLOOKUP(A49,'Données projet'!$A$61:$I$81,6,0)),0%,VLOOKUP(A49,'Données projet'!$A$61:$I$81,6,0)*VLOOKUP('Données projet'!$B$10,Paramètres!$A$1:$I$88,7,0))</f>
        <v>0</v>
      </c>
      <c r="AG49" s="37">
        <f>IF(ISNA(VLOOKUP(A49,'Données projet'!$A$61:$I$81,7,0)),0%,VLOOKUP(A49,'Données projet'!$A$61:$I$81,7,0))</f>
        <v>0</v>
      </c>
      <c r="AH49" s="45">
        <f>EXP(-LN(2)/35)*AH48+(1-EXP(-LN(2)/35))/(LN(2)/35)*AD49*AE49*VLOOKUP('Données projet'!$B$9,Paramètres!$A$1:$I$88,3,0)*0.475*44/12</f>
        <v>0</v>
      </c>
      <c r="AI49" s="45">
        <f>EXP(-LN(2)/25)*AI48+(1-EXP(-LN(2)/25))/(LN(2)/25)*Calculateur!AD49*Calculateur!AF49*VLOOKUP('Données projet'!$B$9,Paramètres!$A$1:$I$88,3,0)*0.475*44/12</f>
        <v>0</v>
      </c>
      <c r="AJ49" s="45">
        <f>EXP(-LN(2)/2)*AJ48+(1-EXP(-LN(2)/2))/(LN(2)/2)*AD49*AG49*VLOOKUP('Données projet'!$B$9,Paramètres!$A$1:$I$88,3,0)*0.475*44/12</f>
        <v>0</v>
      </c>
      <c r="AK49" s="45">
        <f t="shared" si="3"/>
        <v>0</v>
      </c>
      <c r="AL49" s="32" t="e">
        <f>VLOOKUP(A49,'Données projet'!$A$87:$I$107,2,0)</f>
        <v>#N/A</v>
      </c>
      <c r="AM49" s="33" t="e">
        <f>VLOOKUP(A49,'Données projet'!$A$87:$I$107,9,0)</f>
        <v>#N/A</v>
      </c>
      <c r="AN49" s="33">
        <f t="array" ref="AN49">INDEX(AM:AM,MIN(IF(ISNUMBER(AM49:AM245),ROW(AM49:AM245),"")))</f>
        <v>0</v>
      </c>
      <c r="AO49" s="33">
        <f t="shared" si="26"/>
        <v>0</v>
      </c>
      <c r="AP49" s="34" t="e">
        <f>AO49*VLOOKUP('Données projet'!$B$11,Paramètres!$A$1:$I$88,3,0)*VLOOKUP('Données projet'!$B$11,Paramètres!$A$1:$I$88,5,0)</f>
        <v>#N/A</v>
      </c>
      <c r="AQ49" s="34" t="e">
        <f t="shared" si="27"/>
        <v>#N/A</v>
      </c>
      <c r="AR49" s="44" t="e">
        <f t="shared" si="4"/>
        <v>#N/A</v>
      </c>
      <c r="AS49" s="36">
        <f>IF(ISNA(VLOOKUP(A49,'Données projet'!$A$87:$I$107,3,0)),0,VLOOKUP(A49,'Données projet'!$A$87:$I$107,3,0))</f>
        <v>0</v>
      </c>
      <c r="AT49" s="36">
        <f>IF(ISNA(VLOOKUP(A49,'Données projet'!$A$87:$I$107,4,0)),0,VLOOKUP(A49,'Données projet'!$A$87:$I$107,4,0))</f>
        <v>0</v>
      </c>
      <c r="AU49" s="37">
        <f>IF(ISNA(VLOOKUP(A49,'Données projet'!$A$87:$I$107,5,0)),0%,VLOOKUP(A49,'Données projet'!$A$87:$I$107,5,0)*VLOOKUP('Données projet'!$B$11,Paramètres!$A$1:$I$88,7,0))</f>
        <v>0</v>
      </c>
      <c r="AV49" s="37">
        <f>IF(ISNA(VLOOKUP(A49,'Données projet'!$A$87:$I$107,6,0)),0%,VLOOKUP(A49,'Données projet'!$A$87:$I$107,6,0)*VLOOKUP('Données projet'!$B$11,Paramètres!$A$1:$I$88,7,0))</f>
        <v>0</v>
      </c>
      <c r="AW49" s="37">
        <f>IF(ISNA(VLOOKUP(A49,'Données projet'!$A$87:$I$107,7,0)),0%,VLOOKUP(A49,'Données projet'!$A$87:$I$107,7,0))</f>
        <v>0</v>
      </c>
      <c r="AX49" s="45">
        <f>EXP(-LN(2)/35)*AX48+(1-EXP(-LN(2)/35))/(LN(2)/35)*AT49*AU49*VLOOKUP('Données projet'!$B$9,Paramètres!$A$1:$I$88,3,0)*0.475*44/12</f>
        <v>0</v>
      </c>
      <c r="AY49" s="45">
        <f>EXP(-LN(2)/25)*AY48+(1-EXP(-LN(2)/25))/(LN(2)/25)*Calculateur!AT49*Calculateur!AV49*VLOOKUP('Données projet'!$B$9,Paramètres!$A$1:$I$88,3,0)*0.475*44/12</f>
        <v>0</v>
      </c>
      <c r="AZ49" s="45">
        <f>EXP(-LN(2)/2)*AZ48+(1-EXP(-LN(2)/2))/(LN(2)/2)*AT49*AW49*VLOOKUP('Données projet'!$B$9,Paramètres!$A$1:$I$88,3,0)*0.475*44/12</f>
        <v>0</v>
      </c>
      <c r="BA49" s="46">
        <f t="shared" si="5"/>
        <v>0</v>
      </c>
      <c r="BB49" s="32" t="e">
        <f>VLOOKUP(A49,'Données projet'!$A$113:$I$133,2,0)</f>
        <v>#N/A</v>
      </c>
      <c r="BC49" s="33" t="e">
        <f>VLOOKUP(A49,'Données projet'!$A$113:$I$133,9,0)</f>
        <v>#N/A</v>
      </c>
      <c r="BD49" s="33">
        <f t="array" ref="BD49">INDEX(BC:BC,MIN(IF(ISNUMBER(BC49:BC245),ROW(BC49:BC245),"")))</f>
        <v>0</v>
      </c>
      <c r="BE49" s="33">
        <f t="shared" si="28"/>
        <v>0</v>
      </c>
      <c r="BF49" s="34" t="e">
        <f>BE49*VLOOKUP('Données projet'!$B$12,Paramètres!$A$1:$I$88,3,0)*VLOOKUP('Données projet'!$B$12,Paramètres!$A$1:$I$88,5,0)</f>
        <v>#N/A</v>
      </c>
      <c r="BG49" s="34" t="e">
        <f t="shared" si="29"/>
        <v>#N/A</v>
      </c>
      <c r="BH49" s="44" t="e">
        <f t="shared" si="6"/>
        <v>#N/A</v>
      </c>
      <c r="BI49" s="36">
        <f>IF(ISNA(VLOOKUP(A49,'Données projet'!$A$113:$I$133,3,0)),0,VLOOKUP(A49,'Données projet'!$A$113:$I$133,3,0))</f>
        <v>0</v>
      </c>
      <c r="BJ49" s="36">
        <f>IF(ISNA(VLOOKUP(A49,'Données projet'!$A$113:$I$133,4,0)),0,VLOOKUP(A49,'Données projet'!$A$113:$I$133,4,0))</f>
        <v>0</v>
      </c>
      <c r="BK49" s="37">
        <f>IF(ISNA(VLOOKUP(A49,'Données projet'!$A$113:$I$133,5,0)),0%,VLOOKUP(A49,'Données projet'!$A$113:$I$133,5,0)*VLOOKUP('Données projet'!$B$12,Paramètres!$A$1:$I$88,7,0))</f>
        <v>0</v>
      </c>
      <c r="BL49" s="37">
        <f>IF(ISNA(VLOOKUP(A49,'Données projet'!$A$113:$I$133,6,0)),0%,VLOOKUP(A49,'Données projet'!$A$113:$I$133,6,0)*VLOOKUP('Données projet'!$B$12,Paramètres!$A$1:$I$88,7,0))</f>
        <v>0</v>
      </c>
      <c r="BM49" s="37">
        <f>IF(ISNA(VLOOKUP(A49,'Données projet'!$A$113:$I$133,7,0)),0%,VLOOKUP(A49,'Données projet'!$A$113:$I$133,7,0))</f>
        <v>0</v>
      </c>
      <c r="BN49" s="45">
        <f>EXP(-LN(2)/35)*BN48+(1-EXP(-LN(2)/35))/(LN(2)/35)*BJ49*BK49*VLOOKUP('Données projet'!$B$9,Paramètres!$A$1:$I$88,3,0)*0.475*44/12</f>
        <v>0</v>
      </c>
      <c r="BO49" s="45">
        <f>EXP(-LN(2)/25)*BO48+(1-EXP(-LN(2)/25))/(LN(2)/25)*Calculateur!BJ49*Calculateur!BL49*VLOOKUP('Données projet'!$B$9,Paramètres!$A$1:$I$88,3,0)*0.475*44/12</f>
        <v>0</v>
      </c>
      <c r="BP49" s="45">
        <f>EXP(-LN(2)/2)*BP48+(1-EXP(-LN(2)/2))/(LN(2)/2)*BJ49*BM49*VLOOKUP('Données projet'!$B$9,Paramètres!$A$1:$I$88,3,0)*0.475*44/12</f>
        <v>0</v>
      </c>
      <c r="BQ49" s="46">
        <f t="shared" si="7"/>
        <v>0</v>
      </c>
      <c r="BR49" s="32" t="e">
        <f>VLOOKUP(A49,'Données projet'!$A$139:$I$159,2,0)</f>
        <v>#N/A</v>
      </c>
      <c r="BS49" s="33" t="e">
        <f>VLOOKUP(A49,'Données projet'!$A$139:$I$159,9,0)</f>
        <v>#N/A</v>
      </c>
      <c r="BT49" s="33">
        <f t="array" ref="BT49">INDEX(BS:BS,MIN(IF(ISNUMBER(BS49:BS245),ROW(BS49:BS245),"")))</f>
        <v>0</v>
      </c>
      <c r="BU49" s="33">
        <f t="shared" si="41"/>
        <v>0</v>
      </c>
      <c r="BV49" s="38" t="e">
        <f>BU49*VLOOKUP('Données projet'!$B$13,Paramètres!$A$1:$I$88,3,0)*VLOOKUP('Données projet'!$B$13,Paramètres!$A$1:$I$88,5,0)</f>
        <v>#N/A</v>
      </c>
      <c r="BW49" s="34" t="e">
        <f t="shared" si="30"/>
        <v>#N/A</v>
      </c>
      <c r="BX49" s="44" t="e">
        <f t="shared" si="8"/>
        <v>#N/A</v>
      </c>
      <c r="BY49" s="36">
        <f>IF(ISNA(VLOOKUP(A49,'Données projet'!$A$139:$I$159,3,0)),0,VLOOKUP(A49,'Données projet'!$A$139:$I$159,3,0))</f>
        <v>0</v>
      </c>
      <c r="BZ49" s="36">
        <f>IF(ISNA(VLOOKUP(A49,'Données projet'!$A$139:$I$159,4,0)),0,VLOOKUP(A49,'Données projet'!$A$139:$I$159,4,0))</f>
        <v>0</v>
      </c>
      <c r="CA49" s="37">
        <f>IF(ISNA(VLOOKUP(A49,'Données projet'!$A$139:$I$159,5,0)),0%,VLOOKUP(A49,'Données projet'!$A$139:$I$159,5,0)*VLOOKUP('Données projet'!$B$13,Paramètres!$A$1:$I$88,7,0))</f>
        <v>0</v>
      </c>
      <c r="CB49" s="37">
        <f>IF(ISNA(VLOOKUP(A49,'Données projet'!$A$139:$I$159,6,0)),0%,VLOOKUP(A49,'Données projet'!$A$139:$I$159,6,0)*VLOOKUP('Données projet'!$B$13,Paramètres!$A$1:$I$88,7,0))</f>
        <v>0</v>
      </c>
      <c r="CC49" s="37">
        <f>IF(ISNA(VLOOKUP(A49,'Données projet'!$A$139:$I$159,7,0)),0%,VLOOKUP(A49,'Données projet'!$A$139:$I$159,7,0))</f>
        <v>0</v>
      </c>
      <c r="CD49" s="45">
        <f>EXP(-LN(2)/35)*CD48+(1-EXP(-LN(2)/35))/(LN(2)/35)*BZ49*CA49*VLOOKUP('Données projet'!$B$9,Paramètres!$A$1:$I$88,3,0)*0.475*44/12</f>
        <v>0</v>
      </c>
      <c r="CE49" s="45">
        <f>EXP(-LN(2)/25)*CE48+(1-EXP(-LN(2)/25))/(LN(2)/25)*Calculateur!BZ49*Calculateur!CB49*VLOOKUP('Données projet'!$B$9,Paramètres!$A$1:$I$88,3,0)*0.475*44/12</f>
        <v>0</v>
      </c>
      <c r="CF49" s="45">
        <f>EXP(-LN(2)/2)*CF48+(1-EXP(-LN(2)/2))/(LN(2)/2)*BZ49*CC49*VLOOKUP('Données projet'!$B$9,Paramètres!$A$1:$I$88,3,0)*0.475*44/12</f>
        <v>0</v>
      </c>
      <c r="CG49" s="46">
        <f t="shared" si="9"/>
        <v>0</v>
      </c>
      <c r="CH49" s="32" t="e">
        <f>VLOOKUP(A49,'Données projet'!$A$165:$I$185,2,0)</f>
        <v>#N/A</v>
      </c>
      <c r="CI49" s="33" t="e">
        <f>VLOOKUP(A49,'Données projet'!$A$165:$I$185,9,0)</f>
        <v>#N/A</v>
      </c>
      <c r="CJ49" s="33">
        <f t="array" ref="CJ49">INDEX(CI:CI,MIN(IF(ISNUMBER(CI49:CI245),ROW(CI49:CI245),"")))</f>
        <v>0</v>
      </c>
      <c r="CK49" s="33">
        <f t="shared" si="31"/>
        <v>0</v>
      </c>
      <c r="CL49" s="38" t="e">
        <f>CK49*VLOOKUP('Données projet'!$B$14,Paramètres!$A$1:$I$88,3,0)*VLOOKUP('Données projet'!$B$14,Paramètres!$A$1:$I$88,5,0)</f>
        <v>#N/A</v>
      </c>
      <c r="CM49" s="34" t="e">
        <f t="shared" si="32"/>
        <v>#N/A</v>
      </c>
      <c r="CN49" s="44" t="e">
        <f t="shared" si="10"/>
        <v>#N/A</v>
      </c>
      <c r="CO49" s="36">
        <f>IF(ISNA(VLOOKUP(A49,'Données projet'!$A$165:$I$185,3,0)),0,VLOOKUP(A49,'Données projet'!$A$165:$I$185,3,0))</f>
        <v>0</v>
      </c>
      <c r="CP49" s="36">
        <f>IF(ISNA(VLOOKUP(A49,'Données projet'!$A$165:$I$185,4,0)),0,VLOOKUP(A49,'Données projet'!$A$165:$I$185,4,0))</f>
        <v>0</v>
      </c>
      <c r="CQ49" s="37">
        <f>IF(ISNA(VLOOKUP(A49,'Données projet'!$A$165:$I$185,5,0)),0%,VLOOKUP(A49,'Données projet'!$A$165:$I$185,5,0)*VLOOKUP('Données projet'!$B$14,Paramètres!$A$1:$I$88,7,0))</f>
        <v>0</v>
      </c>
      <c r="CR49" s="37">
        <f>IF(ISNA(VLOOKUP(A49,'Données projet'!$A$165:$I$185,6,0)),0%,VLOOKUP(A49,'Données projet'!$A$165:$I$185,6,0)*VLOOKUP('Données projet'!$B$14,Paramètres!$A$1:$I$88,7,0))</f>
        <v>0</v>
      </c>
      <c r="CS49" s="37">
        <f>IF(ISNA(VLOOKUP(A49,'Données projet'!$A$165:$I$185,7,0)),0%,VLOOKUP(A49,'Données projet'!$A$165:$I$185,7,0))</f>
        <v>0</v>
      </c>
      <c r="CT49" s="45">
        <f>EXP(-LN(2)/35)*CT48+(1-EXP(-LN(2)/35))/(LN(2)/35)*CP49*CQ49*VLOOKUP('Données projet'!$B$9,Paramètres!$A$1:$I$88,3,0)*0.475*44/12</f>
        <v>0</v>
      </c>
      <c r="CU49" s="45">
        <f>EXP(-LN(2)/25)*CU48+(1-EXP(-LN(2)/25))/(LN(2)/25)*Calculateur!CP49*Calculateur!CR49*VLOOKUP('Données projet'!$B$9,Paramètres!$A$1:$I$88,3,0)*0.475*44/12</f>
        <v>0</v>
      </c>
      <c r="CV49" s="45">
        <f>EXP(-LN(2)/2)*CV48+(1-EXP(-LN(2)/2))/(LN(2)/2)*CP49*CS49*VLOOKUP('Données projet'!$B$9,Paramètres!$A$1:$I$88,3,0)*0.475*44/12</f>
        <v>0</v>
      </c>
      <c r="CW49" s="46">
        <f t="shared" si="11"/>
        <v>0</v>
      </c>
      <c r="CX49" s="32" t="e">
        <f>VLOOKUP(A49,'Données projet'!$A$191:$I$211,2,0)</f>
        <v>#N/A</v>
      </c>
      <c r="CY49" s="33" t="e">
        <f>VLOOKUP(A49,'Données projet'!$A$191:$I$211,9,0)</f>
        <v>#N/A</v>
      </c>
      <c r="CZ49" s="33">
        <f t="array" ref="CZ49">INDEX(CY:CY,MIN(IF(ISNUMBER(CY49:CY245),ROW(CY49:CY245),"")))</f>
        <v>0</v>
      </c>
      <c r="DA49" s="33">
        <f t="shared" si="33"/>
        <v>0</v>
      </c>
      <c r="DB49" s="38" t="e">
        <f>DA49*VLOOKUP('Données projet'!$B$15,Paramètres!$A$1:$I$88,3,0)*VLOOKUP('Données projet'!$B$15,Paramètres!$A$1:$I$88,5,0)</f>
        <v>#N/A</v>
      </c>
      <c r="DC49" s="34" t="e">
        <f t="shared" si="34"/>
        <v>#N/A</v>
      </c>
      <c r="DD49" s="44" t="e">
        <f t="shared" si="12"/>
        <v>#N/A</v>
      </c>
      <c r="DE49" s="36">
        <f>IF(ISNA(VLOOKUP(A49,'Données projet'!$A$191:$I$211,3,0)),0,VLOOKUP(A49,'Données projet'!$A$191:$I$211,3,0))</f>
        <v>0</v>
      </c>
      <c r="DF49" s="36">
        <f>IF(ISNA(VLOOKUP(A49,'Données projet'!$A$191:$I$211,4,0)),0,VLOOKUP(A49,'Données projet'!$A$191:$I$211,4,0))</f>
        <v>0</v>
      </c>
      <c r="DG49" s="37">
        <f>IF(ISNA(VLOOKUP(A49,'Données projet'!$A$191:$I$211,5,0)),0%,VLOOKUP(A49,'Données projet'!$A$191:$I$211,5,0)*VLOOKUP('Données projet'!$B$15,Paramètres!$A$1:$I$88,7,0))</f>
        <v>0</v>
      </c>
      <c r="DH49" s="37">
        <f>IF(ISNA(VLOOKUP(A49,'Données projet'!$A$191:$I$211,6,0)),0%,VLOOKUP(A49,'Données projet'!$A$191:$I$211,6,0)*VLOOKUP('Données projet'!$B$15,Paramètres!$A$1:$I$88,7,0))</f>
        <v>0</v>
      </c>
      <c r="DI49" s="37">
        <f>IF(ISNA(VLOOKUP(A49,'Données projet'!$A$191:$I$211,7,0)),0%,VLOOKUP(A49,'Données projet'!$A$191:$I$211,7,0))</f>
        <v>0</v>
      </c>
      <c r="DJ49" s="45">
        <f>EXP(-LN(2)/35)*DJ48+(1-EXP(-LN(2)/35))/(LN(2)/35)*DF49*DG49*VLOOKUP('Données projet'!$B$9,Paramètres!$A$1:$I$88,3,0)*0.475*44/12</f>
        <v>0</v>
      </c>
      <c r="DK49" s="45">
        <f>EXP(-LN(2)/25)*DK48+(1-EXP(-LN(2)/25))/(LN(2)/25)*Calculateur!DF49*Calculateur!DH49*VLOOKUP('Données projet'!$B$9,Paramètres!$A$1:$I$88,3,0)*0.475*44/12</f>
        <v>0</v>
      </c>
      <c r="DL49" s="45">
        <f>EXP(-LN(2)/2)*DL48+(1-EXP(-LN(2)/2))/(LN(2)/2)*DF49*DI49*VLOOKUP('Données projet'!$B$9,Paramètres!$A$1:$I$88,3,0)*0.475*44/12</f>
        <v>0</v>
      </c>
      <c r="DM49" s="46">
        <f t="shared" si="13"/>
        <v>0</v>
      </c>
      <c r="DN49" s="32" t="e">
        <f>VLOOKUP(A49,'Données projet'!$A$217:$I$237,2,0)</f>
        <v>#N/A</v>
      </c>
      <c r="DO49" s="33" t="e">
        <f>VLOOKUP(A49,'Données projet'!$A$217:$I$237,9,0)</f>
        <v>#N/A</v>
      </c>
      <c r="DP49" s="33">
        <f t="array" ref="DP49">INDEX(DO:DO,MIN(IF(ISNUMBER(DO49:DO245),ROW(DO49:DO245),"")))</f>
        <v>0</v>
      </c>
      <c r="DQ49" s="33">
        <f t="shared" si="35"/>
        <v>0</v>
      </c>
      <c r="DR49" s="38" t="e">
        <f>DQ49*VLOOKUP('Données projet'!$B$16,Paramètres!$A$1:$I$88,3,0)*VLOOKUP('Données projet'!$B$16,Paramètres!$A$1:$I$88,5,0)</f>
        <v>#N/A</v>
      </c>
      <c r="DS49" s="34" t="e">
        <f t="shared" si="36"/>
        <v>#N/A</v>
      </c>
      <c r="DT49" s="44" t="e">
        <f t="shared" si="14"/>
        <v>#N/A</v>
      </c>
      <c r="DU49" s="36">
        <f>IF(ISNA(VLOOKUP(A49,'Données projet'!$A$217:$I$237,3,0)),0,VLOOKUP(A49,'Données projet'!$A$217:$I$237,3,0))</f>
        <v>0</v>
      </c>
      <c r="DV49" s="36">
        <f>IF(ISNA(VLOOKUP(A49,'Données projet'!$A$217:$I$237,4,0)),0,VLOOKUP(A49,'Données projet'!$A$217:$I$237,4,0))</f>
        <v>0</v>
      </c>
      <c r="DW49" s="37">
        <f>IF(ISNA(VLOOKUP(A49,'Données projet'!$A$217:$I$237,5,0)),0%,VLOOKUP(A49,'Données projet'!$A$217:$I$237,5,0)*VLOOKUP('Données projet'!$B$16,Paramètres!$A$1:$I$88,7,0))</f>
        <v>0</v>
      </c>
      <c r="DX49" s="37">
        <f>IF(ISNA(VLOOKUP(A49,'Données projet'!$A$217:$I$237,6,0)),0%,VLOOKUP(A49,'Données projet'!$A$217:$I$237,6,0)*VLOOKUP('Données projet'!$B$16,Paramètres!$A$1:$I$88,7,0))</f>
        <v>0</v>
      </c>
      <c r="DY49" s="37">
        <f>IF(ISNA(VLOOKUP(A49,'Données projet'!$A$217:$I$237,7,0)),0%,VLOOKUP(A49,'Données projet'!$A$217:$I$237,7,0))</f>
        <v>0</v>
      </c>
      <c r="DZ49" s="45">
        <f>EXP(-LN(2)/35)*DZ48+(1-EXP(-LN(2)/35))/(LN(2)/35)*DV49*DW49*VLOOKUP('Données projet'!$B$9,Paramètres!$A$1:$I$88,3,0)*0.475*44/12</f>
        <v>0</v>
      </c>
      <c r="EA49" s="45">
        <f>EXP(-LN(2)/25)*EA48+(1-EXP(-LN(2)/25))/(LN(2)/25)*Calculateur!DV49*Calculateur!DX49*VLOOKUP('Données projet'!$B$9,Paramètres!$A$1:$I$88,3,0)*0.475*44/12</f>
        <v>0</v>
      </c>
      <c r="EB49" s="45">
        <f>EXP(-LN(2)/2)*EB48+(1-EXP(-LN(2)/2))/(LN(2)/2)*DV49*DY49*VLOOKUP('Données projet'!$B$9,Paramètres!$A$1:$I$88,3,0)*0.475*44/12</f>
        <v>0</v>
      </c>
      <c r="EC49" s="46">
        <f t="shared" si="15"/>
        <v>0</v>
      </c>
      <c r="ED49" s="32" t="e">
        <f>VLOOKUP(A49,'Données projet'!$A$243:$I$263,2,0)</f>
        <v>#N/A</v>
      </c>
      <c r="EE49" s="33" t="e">
        <f>VLOOKUP(A49,'Données projet'!$A$243:$I$263,9,0)</f>
        <v>#N/A</v>
      </c>
      <c r="EF49" s="33">
        <f t="array" ref="EF49">INDEX(EE:EE,MIN(IF(ISNUMBER(EE49:EE245),ROW(EE49:EE245),"")))</f>
        <v>0</v>
      </c>
      <c r="EG49" s="33">
        <f t="shared" si="37"/>
        <v>0</v>
      </c>
      <c r="EH49" s="38" t="e">
        <f>EG49*VLOOKUP('Données projet'!$B$17,Paramètres!$A$1:$I$88,3,0)*VLOOKUP('Données projet'!$B$17,Paramètres!$A$1:$I$88,5,0)</f>
        <v>#N/A</v>
      </c>
      <c r="EI49" s="34" t="e">
        <f t="shared" si="38"/>
        <v>#N/A</v>
      </c>
      <c r="EJ49" s="44" t="e">
        <f t="shared" si="16"/>
        <v>#N/A</v>
      </c>
      <c r="EK49" s="36">
        <f>IF(ISNA(VLOOKUP(A49,'Données projet'!$A$243:$I$263,3,0)),0,VLOOKUP(A49,'Données projet'!$A$243:$I$263,3,0))</f>
        <v>0</v>
      </c>
      <c r="EL49" s="36">
        <f>IF(ISNA(VLOOKUP(A49,'Données projet'!$A$243:$I$263,4,0)),0,VLOOKUP(A49,'Données projet'!$A$243:$I$263,4,0))</f>
        <v>0</v>
      </c>
      <c r="EM49" s="37">
        <f>IF(ISNA(VLOOKUP(A49,'Données projet'!$A$243:$I$263,5,0)),0%,VLOOKUP(A49,'Données projet'!$A$243:$I$263,5,0)*VLOOKUP('Données projet'!$B$17,Paramètres!$A$1:$I$88,7,0))</f>
        <v>0</v>
      </c>
      <c r="EN49" s="37">
        <f>IF(ISNA(VLOOKUP(A49,'Données projet'!$A$243:$I$263,6,0)),0%,VLOOKUP(A49,'Données projet'!$A$243:$I$263,6,0)*VLOOKUP('Données projet'!$B$17,Paramètres!$A$1:$I$88,7,0))</f>
        <v>0</v>
      </c>
      <c r="EO49" s="37">
        <f>IF(ISNA(VLOOKUP(A49,'Données projet'!$A$243:$I$263,7,0)),0%,VLOOKUP(A49,'Données projet'!$A$243:$I$263,7,0))</f>
        <v>0</v>
      </c>
      <c r="EP49" s="45">
        <f>EXP(-LN(2)/35)*EP48+(1-EXP(-LN(2)/35))/(LN(2)/35)*EL49*EM49*VLOOKUP('Données projet'!$B$9,Paramètres!$A$1:$I$88,3,0)*0.475*44/12</f>
        <v>0</v>
      </c>
      <c r="EQ49" s="45">
        <f>EXP(-LN(2)/25)*EQ48+(1-EXP(-LN(2)/25))/(LN(2)/25)*Calculateur!EL49*Calculateur!EN49*VLOOKUP('Données projet'!$B$9,Paramètres!$A$1:$I$88,3,0)*0.475*44/12</f>
        <v>0</v>
      </c>
      <c r="ER49" s="45">
        <f>EXP(-LN(2)/2)*ER48+(1-EXP(-LN(2)/2))/(LN(2)/2)*EL49*EO49*VLOOKUP('Données projet'!$B$9,Paramètres!$A$1:$I$88,3,0)*0.475*44/12</f>
        <v>0</v>
      </c>
      <c r="ES49" s="46">
        <f t="shared" si="17"/>
        <v>0</v>
      </c>
      <c r="ET49" s="32" t="e">
        <f>VLOOKUP(A49,'Données projet'!$A$269:$I$289,2,0)</f>
        <v>#N/A</v>
      </c>
      <c r="EU49" s="33" t="e">
        <f>VLOOKUP(A49,'Données projet'!$A$269:$I$289,9,0)</f>
        <v>#N/A</v>
      </c>
      <c r="EV49" s="33">
        <f t="array" ref="EV49">INDEX(EU:EU,MIN(IF(ISNUMBER(EU49:EU245),ROW(EU49:EU245),"")))</f>
        <v>0</v>
      </c>
      <c r="EW49" s="33">
        <f t="shared" si="39"/>
        <v>0</v>
      </c>
      <c r="EX49" s="38" t="e">
        <f>EW49*VLOOKUP('Données projet'!$B$18,Paramètres!$A$1:$I$88,3,0)*VLOOKUP('Données projet'!$B$18,Paramètres!$A$1:$I$88,5,0)</f>
        <v>#N/A</v>
      </c>
      <c r="EY49" s="34" t="e">
        <f t="shared" si="40"/>
        <v>#N/A</v>
      </c>
      <c r="EZ49" s="44" t="e">
        <f t="shared" si="18"/>
        <v>#N/A</v>
      </c>
      <c r="FA49" s="36">
        <f>IF(ISNA(VLOOKUP(A49,'Données projet'!$A$269:$I$289,3,0)),0,VLOOKUP(A49,'Données projet'!$A$269:$I$289,3,0))</f>
        <v>0</v>
      </c>
      <c r="FB49" s="36">
        <f>IF(ISNA(VLOOKUP(A49,'Données projet'!$A$269:$I$289,4,0)),0,VLOOKUP(A49,'Données projet'!$A$269:$I$289,4,0))</f>
        <v>0</v>
      </c>
      <c r="FC49" s="37">
        <f>IF(ISNA(VLOOKUP(A49,'Données projet'!$A$269:$I$289,5,0)),0%,VLOOKUP(A49,'Données projet'!$A$269:$I$289,5,0)*VLOOKUP('Données projet'!$B$18,Paramètres!$A$1:$I$88,7,0))</f>
        <v>0</v>
      </c>
      <c r="FD49" s="37">
        <f>IF(ISNA(VLOOKUP(A49,'Données projet'!$A$269:$I$289,6,0)),0%,VLOOKUP(A49,'Données projet'!$A$269:$I$289,6,0)*VLOOKUP('Données projet'!$B$18,Paramètres!$A$1:$I$88,7,0))</f>
        <v>0</v>
      </c>
      <c r="FE49" s="37">
        <f>IF(ISNA(VLOOKUP(A49,'Données projet'!$A$269:$I$289,7,0)),0%,VLOOKUP(A49,'Données projet'!$A$269:$I$289,7,0))</f>
        <v>0</v>
      </c>
      <c r="FF49" s="45">
        <f>EXP(-LN(2)/35)*FF48+(1-EXP(-LN(2)/35))/(LN(2)/35)*FB49*FC49*VLOOKUP('Données projet'!$B$9,Paramètres!$A$1:$I$88,3,0)*0.475*44/12</f>
        <v>0</v>
      </c>
      <c r="FG49" s="45">
        <f>EXP(-LN(2)/25)*FG48+(1-EXP(-LN(2)/25))/(LN(2)/25)*Calculateur!FB49*Calculateur!FD49*VLOOKUP('Données projet'!$B$9,Paramètres!$A$1:$I$88,3,0)*0.475*44/12</f>
        <v>0</v>
      </c>
      <c r="FH49" s="45">
        <f>EXP(-LN(2)/2)*FH48+(1-EXP(-LN(2)/2))/(LN(2)/2)*FB49*FE49*VLOOKUP('Données projet'!$B$9,Paramètres!$A$1:$I$88,3,0)*0.475*44/12</f>
        <v>0</v>
      </c>
      <c r="FI49" s="46">
        <f t="shared" si="19"/>
        <v>0</v>
      </c>
    </row>
    <row r="50" spans="1:165" x14ac:dyDescent="0.25">
      <c r="A50" s="24">
        <f t="shared" si="20"/>
        <v>47</v>
      </c>
      <c r="B50" s="25">
        <f>IF('Scénario référence'!$N$1=1,5,0)</f>
        <v>0</v>
      </c>
      <c r="C50" s="40">
        <f>IF(OR('Scénario référence'!$N$1=2,'Scénario référence'!$N$1=4),C49+1*VLOOKUP('Scénario référence'!$G$14,Paramètres!$A$1:$I$88,3,0)*VLOOKUP('Scénario référence'!$G$14,Paramètres!$A$1:$I$88,5,0),IF(OR('Scénario référence'!$N$1=3,'Scénario référence'!$N$1=5),C49+0.5*VLOOKUP('Scénario référence'!$G$14,Paramètres!$A$1:$I$88,3,0)*VLOOKUP('Scénario référence'!$G$14,Paramètres!$A$1:$I$88,5,0),0))</f>
        <v>25.661999999999985</v>
      </c>
      <c r="D50" s="26">
        <f t="shared" si="21"/>
        <v>8.1058983118768051</v>
      </c>
      <c r="E50" s="27">
        <f>IF('Scénario référence'!$N$1=1,B50*44/12,(C50+D50)*0.475*44/12)</f>
        <v>58.812422893185413</v>
      </c>
      <c r="F50" s="28" t="e">
        <f>VLOOKUP(A50,'Données projet'!$A$35:$I$55,2,0)</f>
        <v>#N/A</v>
      </c>
      <c r="G50" s="28" t="e">
        <f>VLOOKUP(A50,'Données projet'!$A$35:$I$55,9,0)</f>
        <v>#N/A</v>
      </c>
      <c r="H50" s="33">
        <f t="array" ref="H50">INDEX(G:G,MIN(IF(ISNUMBER(G50:G246),ROW(G50:G246),"")))</f>
        <v>8.1999999999999993</v>
      </c>
      <c r="I50" s="28">
        <f t="shared" si="22"/>
        <v>153.40000000000003</v>
      </c>
      <c r="J50" s="41">
        <f>I50*VLOOKUP('Données projet'!$B$9,Paramètres!$A$1:$I$88,3,0)*VLOOKUP('Données projet'!$B$9,Paramètres!$A$1:$I$88,5,0)</f>
        <v>155.54760000000005</v>
      </c>
      <c r="K50" s="41">
        <f t="shared" si="23"/>
        <v>39.836620617816237</v>
      </c>
      <c r="L50" s="42">
        <f t="shared" si="0"/>
        <v>340.29418424269664</v>
      </c>
      <c r="M50" s="30">
        <f>IF(ISNA(VLOOKUP(A50,'Données projet'!$A$35:$I$55,3,0)),0,VLOOKUP(A50,'Données projet'!$A$35:$I$55,3,0))</f>
        <v>0</v>
      </c>
      <c r="N50" s="30">
        <f>IF(ISNA(VLOOKUP(A50,'Données projet'!$A$35:$I$55,4,0)),0,VLOOKUP(A50,'Données projet'!$A$35:$I$55,4,0))</f>
        <v>0</v>
      </c>
      <c r="O50" s="31">
        <f>IF(ISNA(VLOOKUP(A50,'Données projet'!$A$35:$I$55,5,0)),0%,VLOOKUP(A50,'Données projet'!$A$35:$I$55,5,0)*VLOOKUP('Données projet'!$B$9,Paramètres!$A$1:$I$88,7,0))</f>
        <v>0</v>
      </c>
      <c r="P50" s="31">
        <f>IF(ISNA(VLOOKUP(A50,'Données projet'!$A$35:$I$55,6,0)),0%,VLOOKUP(A50,'Données projet'!$A$35:$I$55,6,0)*VLOOKUP('Données projet'!$B$9,Paramètres!$A$1:$I$88,7,0))</f>
        <v>0</v>
      </c>
      <c r="Q50" s="31">
        <f>IF(ISNA(VLOOKUP(A50,'Données projet'!$A$35:$I$55,7,0)),0%,VLOOKUP(A50,'Données projet'!$A$35:$I$55,7,0))</f>
        <v>0</v>
      </c>
      <c r="R50" s="43">
        <f>EXP(-LN(2)/35)*R49+(1-EXP(-LN(2)/35))/(LN(2)/35)*N50*O50*VLOOKUP('Données projet'!$B$9,Paramètres!$A$1:$I$88,3,0)*0.475*44/12</f>
        <v>0</v>
      </c>
      <c r="S50" s="43">
        <f>EXP(-LN(2)/25)*S49+(1-EXP(-LN(2)/25))/(LN(2)/25)*Calculateur!N50*Calculateur!P50*VLOOKUP('Données projet'!$B$9,Paramètres!$A$1:$I$88,3,0)*0.475*44/12</f>
        <v>0</v>
      </c>
      <c r="T50" s="43">
        <f>EXP(-LN(2)/2)*T49+(1-EXP(-LN(2)/2))/(LN(2)/2)*N50*Q50*VLOOKUP('Données projet'!$B$9,Paramètres!$A$1:$I$88,3,0)*0.475*44/12</f>
        <v>0</v>
      </c>
      <c r="U50" s="43">
        <f t="shared" si="1"/>
        <v>0</v>
      </c>
      <c r="V50" s="32" t="e">
        <f>VLOOKUP(A50,'Données projet'!$A$61:$I$81,2,0)</f>
        <v>#N/A</v>
      </c>
      <c r="W50" s="33" t="e">
        <f>VLOOKUP(A50,'Données projet'!$A$61:$I$81,9,0)</f>
        <v>#N/A</v>
      </c>
      <c r="X50" s="33">
        <f t="array" ref="X50">INDEX(W:W,MIN(IF(ISNUMBER(W50:W246),ROW(W50:W246),"")))</f>
        <v>0</v>
      </c>
      <c r="Y50" s="33">
        <f t="shared" si="24"/>
        <v>0</v>
      </c>
      <c r="Z50" s="34" t="e">
        <f>Y50*VLOOKUP('Données projet'!$B$10,Paramètres!$A$1:$I$88,3,0)*VLOOKUP('Données projet'!$B$10,Paramètres!$A$1:$I$88,5,0)</f>
        <v>#N/A</v>
      </c>
      <c r="AA50" s="34" t="e">
        <f t="shared" si="25"/>
        <v>#N/A</v>
      </c>
      <c r="AB50" s="44" t="e">
        <f t="shared" si="2"/>
        <v>#N/A</v>
      </c>
      <c r="AC50" s="36">
        <f>IF(ISNA(VLOOKUP(A50,'Données projet'!$A$61:$I$81,3,0)),0,VLOOKUP(A50,'Données projet'!$A$61:$I$81,3,0))</f>
        <v>0</v>
      </c>
      <c r="AD50" s="36">
        <f>IF(ISNA(VLOOKUP(A50,'Données projet'!$A$61:$I$81,4,0)),0,VLOOKUP(A50,'Données projet'!$A$61:$I$81,4,0))</f>
        <v>0</v>
      </c>
      <c r="AE50" s="37">
        <f>IF(ISNA(VLOOKUP(A50,'Données projet'!$A$61:$I$81,5,0)),0%,VLOOKUP(A50,'Données projet'!$A$61:$I$81,5,0)*VLOOKUP('Données projet'!$B$10,Paramètres!$A$1:$I$88,7,0))</f>
        <v>0</v>
      </c>
      <c r="AF50" s="37">
        <f>IF(ISNA(VLOOKUP(A50,'Données projet'!$A$61:$I$81,6,0)),0%,VLOOKUP(A50,'Données projet'!$A$61:$I$81,6,0)*VLOOKUP('Données projet'!$B$10,Paramètres!$A$1:$I$88,7,0))</f>
        <v>0</v>
      </c>
      <c r="AG50" s="37">
        <f>IF(ISNA(VLOOKUP(A50,'Données projet'!$A$61:$I$81,7,0)),0%,VLOOKUP(A50,'Données projet'!$A$61:$I$81,7,0))</f>
        <v>0</v>
      </c>
      <c r="AH50" s="45">
        <f>EXP(-LN(2)/35)*AH49+(1-EXP(-LN(2)/35))/(LN(2)/35)*AD50*AE50*VLOOKUP('Données projet'!$B$9,Paramètres!$A$1:$I$88,3,0)*0.475*44/12</f>
        <v>0</v>
      </c>
      <c r="AI50" s="45">
        <f>EXP(-LN(2)/25)*AI49+(1-EXP(-LN(2)/25))/(LN(2)/25)*Calculateur!AD50*Calculateur!AF50*VLOOKUP('Données projet'!$B$9,Paramètres!$A$1:$I$88,3,0)*0.475*44/12</f>
        <v>0</v>
      </c>
      <c r="AJ50" s="45">
        <f>EXP(-LN(2)/2)*AJ49+(1-EXP(-LN(2)/2))/(LN(2)/2)*AD50*AG50*VLOOKUP('Données projet'!$B$9,Paramètres!$A$1:$I$88,3,0)*0.475*44/12</f>
        <v>0</v>
      </c>
      <c r="AK50" s="45">
        <f t="shared" si="3"/>
        <v>0</v>
      </c>
      <c r="AL50" s="32" t="e">
        <f>VLOOKUP(A50,'Données projet'!$A$87:$I$107,2,0)</f>
        <v>#N/A</v>
      </c>
      <c r="AM50" s="33" t="e">
        <f>VLOOKUP(A50,'Données projet'!$A$87:$I$107,9,0)</f>
        <v>#N/A</v>
      </c>
      <c r="AN50" s="33">
        <f t="array" ref="AN50">INDEX(AM:AM,MIN(IF(ISNUMBER(AM50:AM246),ROW(AM50:AM246),"")))</f>
        <v>0</v>
      </c>
      <c r="AO50" s="33">
        <f t="shared" si="26"/>
        <v>0</v>
      </c>
      <c r="AP50" s="34" t="e">
        <f>AO50*VLOOKUP('Données projet'!$B$11,Paramètres!$A$1:$I$88,3,0)*VLOOKUP('Données projet'!$B$11,Paramètres!$A$1:$I$88,5,0)</f>
        <v>#N/A</v>
      </c>
      <c r="AQ50" s="34" t="e">
        <f t="shared" si="27"/>
        <v>#N/A</v>
      </c>
      <c r="AR50" s="44" t="e">
        <f t="shared" si="4"/>
        <v>#N/A</v>
      </c>
      <c r="AS50" s="36">
        <f>IF(ISNA(VLOOKUP(A50,'Données projet'!$A$87:$I$107,3,0)),0,VLOOKUP(A50,'Données projet'!$A$87:$I$107,3,0))</f>
        <v>0</v>
      </c>
      <c r="AT50" s="36">
        <f>IF(ISNA(VLOOKUP(A50,'Données projet'!$A$87:$I$107,4,0)),0,VLOOKUP(A50,'Données projet'!$A$87:$I$107,4,0))</f>
        <v>0</v>
      </c>
      <c r="AU50" s="37">
        <f>IF(ISNA(VLOOKUP(A50,'Données projet'!$A$87:$I$107,5,0)),0%,VLOOKUP(A50,'Données projet'!$A$87:$I$107,5,0)*VLOOKUP('Données projet'!$B$11,Paramètres!$A$1:$I$88,7,0))</f>
        <v>0</v>
      </c>
      <c r="AV50" s="37">
        <f>IF(ISNA(VLOOKUP(A50,'Données projet'!$A$87:$I$107,6,0)),0%,VLOOKUP(A50,'Données projet'!$A$87:$I$107,6,0)*VLOOKUP('Données projet'!$B$11,Paramètres!$A$1:$I$88,7,0))</f>
        <v>0</v>
      </c>
      <c r="AW50" s="37">
        <f>IF(ISNA(VLOOKUP(A50,'Données projet'!$A$87:$I$107,7,0)),0%,VLOOKUP(A50,'Données projet'!$A$87:$I$107,7,0))</f>
        <v>0</v>
      </c>
      <c r="AX50" s="45">
        <f>EXP(-LN(2)/35)*AX49+(1-EXP(-LN(2)/35))/(LN(2)/35)*AT50*AU50*VLOOKUP('Données projet'!$B$9,Paramètres!$A$1:$I$88,3,0)*0.475*44/12</f>
        <v>0</v>
      </c>
      <c r="AY50" s="45">
        <f>EXP(-LN(2)/25)*AY49+(1-EXP(-LN(2)/25))/(LN(2)/25)*Calculateur!AT50*Calculateur!AV50*VLOOKUP('Données projet'!$B$9,Paramètres!$A$1:$I$88,3,0)*0.475*44/12</f>
        <v>0</v>
      </c>
      <c r="AZ50" s="45">
        <f>EXP(-LN(2)/2)*AZ49+(1-EXP(-LN(2)/2))/(LN(2)/2)*AT50*AW50*VLOOKUP('Données projet'!$B$9,Paramètres!$A$1:$I$88,3,0)*0.475*44/12</f>
        <v>0</v>
      </c>
      <c r="BA50" s="46">
        <f t="shared" si="5"/>
        <v>0</v>
      </c>
      <c r="BB50" s="32" t="e">
        <f>VLOOKUP(A50,'Données projet'!$A$113:$I$133,2,0)</f>
        <v>#N/A</v>
      </c>
      <c r="BC50" s="33" t="e">
        <f>VLOOKUP(A50,'Données projet'!$A$113:$I$133,9,0)</f>
        <v>#N/A</v>
      </c>
      <c r="BD50" s="33">
        <f t="array" ref="BD50">INDEX(BC:BC,MIN(IF(ISNUMBER(BC50:BC246),ROW(BC50:BC246),"")))</f>
        <v>0</v>
      </c>
      <c r="BE50" s="33">
        <f t="shared" si="28"/>
        <v>0</v>
      </c>
      <c r="BF50" s="34" t="e">
        <f>BE50*VLOOKUP('Données projet'!$B$12,Paramètres!$A$1:$I$88,3,0)*VLOOKUP('Données projet'!$B$12,Paramètres!$A$1:$I$88,5,0)</f>
        <v>#N/A</v>
      </c>
      <c r="BG50" s="34" t="e">
        <f t="shared" si="29"/>
        <v>#N/A</v>
      </c>
      <c r="BH50" s="44" t="e">
        <f t="shared" si="6"/>
        <v>#N/A</v>
      </c>
      <c r="BI50" s="36">
        <f>IF(ISNA(VLOOKUP(A50,'Données projet'!$A$113:$I$133,3,0)),0,VLOOKUP(A50,'Données projet'!$A$113:$I$133,3,0))</f>
        <v>0</v>
      </c>
      <c r="BJ50" s="36">
        <f>IF(ISNA(VLOOKUP(A50,'Données projet'!$A$113:$I$133,4,0)),0,VLOOKUP(A50,'Données projet'!$A$113:$I$133,4,0))</f>
        <v>0</v>
      </c>
      <c r="BK50" s="37">
        <f>IF(ISNA(VLOOKUP(A50,'Données projet'!$A$113:$I$133,5,0)),0%,VLOOKUP(A50,'Données projet'!$A$113:$I$133,5,0)*VLOOKUP('Données projet'!$B$12,Paramètres!$A$1:$I$88,7,0))</f>
        <v>0</v>
      </c>
      <c r="BL50" s="37">
        <f>IF(ISNA(VLOOKUP(A50,'Données projet'!$A$113:$I$133,6,0)),0%,VLOOKUP(A50,'Données projet'!$A$113:$I$133,6,0)*VLOOKUP('Données projet'!$B$12,Paramètres!$A$1:$I$88,7,0))</f>
        <v>0</v>
      </c>
      <c r="BM50" s="37">
        <f>IF(ISNA(VLOOKUP(A50,'Données projet'!$A$113:$I$133,7,0)),0%,VLOOKUP(A50,'Données projet'!$A$113:$I$133,7,0))</f>
        <v>0</v>
      </c>
      <c r="BN50" s="45">
        <f>EXP(-LN(2)/35)*BN49+(1-EXP(-LN(2)/35))/(LN(2)/35)*BJ50*BK50*VLOOKUP('Données projet'!$B$9,Paramètres!$A$1:$I$88,3,0)*0.475*44/12</f>
        <v>0</v>
      </c>
      <c r="BO50" s="45">
        <f>EXP(-LN(2)/25)*BO49+(1-EXP(-LN(2)/25))/(LN(2)/25)*Calculateur!BJ50*Calculateur!BL50*VLOOKUP('Données projet'!$B$9,Paramètres!$A$1:$I$88,3,0)*0.475*44/12</f>
        <v>0</v>
      </c>
      <c r="BP50" s="45">
        <f>EXP(-LN(2)/2)*BP49+(1-EXP(-LN(2)/2))/(LN(2)/2)*BJ50*BM50*VLOOKUP('Données projet'!$B$9,Paramètres!$A$1:$I$88,3,0)*0.475*44/12</f>
        <v>0</v>
      </c>
      <c r="BQ50" s="46">
        <f t="shared" si="7"/>
        <v>0</v>
      </c>
      <c r="BR50" s="32" t="e">
        <f>VLOOKUP(A50,'Données projet'!$A$139:$I$159,2,0)</f>
        <v>#N/A</v>
      </c>
      <c r="BS50" s="33" t="e">
        <f>VLOOKUP(A50,'Données projet'!$A$139:$I$159,9,0)</f>
        <v>#N/A</v>
      </c>
      <c r="BT50" s="33">
        <f t="array" ref="BT50">INDEX(BS:BS,MIN(IF(ISNUMBER(BS50:BS246),ROW(BS50:BS246),"")))</f>
        <v>0</v>
      </c>
      <c r="BU50" s="33">
        <f t="shared" si="41"/>
        <v>0</v>
      </c>
      <c r="BV50" s="38" t="e">
        <f>BU50*VLOOKUP('Données projet'!$B$13,Paramètres!$A$1:$I$88,3,0)*VLOOKUP('Données projet'!$B$13,Paramètres!$A$1:$I$88,5,0)</f>
        <v>#N/A</v>
      </c>
      <c r="BW50" s="34" t="e">
        <f t="shared" si="30"/>
        <v>#N/A</v>
      </c>
      <c r="BX50" s="44" t="e">
        <f t="shared" si="8"/>
        <v>#N/A</v>
      </c>
      <c r="BY50" s="36">
        <f>IF(ISNA(VLOOKUP(A50,'Données projet'!$A$139:$I$159,3,0)),0,VLOOKUP(A50,'Données projet'!$A$139:$I$159,3,0))</f>
        <v>0</v>
      </c>
      <c r="BZ50" s="36">
        <f>IF(ISNA(VLOOKUP(A50,'Données projet'!$A$139:$I$159,4,0)),0,VLOOKUP(A50,'Données projet'!$A$139:$I$159,4,0))</f>
        <v>0</v>
      </c>
      <c r="CA50" s="37">
        <f>IF(ISNA(VLOOKUP(A50,'Données projet'!$A$139:$I$159,5,0)),0%,VLOOKUP(A50,'Données projet'!$A$139:$I$159,5,0)*VLOOKUP('Données projet'!$B$13,Paramètres!$A$1:$I$88,7,0))</f>
        <v>0</v>
      </c>
      <c r="CB50" s="37">
        <f>IF(ISNA(VLOOKUP(A50,'Données projet'!$A$139:$I$159,6,0)),0%,VLOOKUP(A50,'Données projet'!$A$139:$I$159,6,0)*VLOOKUP('Données projet'!$B$13,Paramètres!$A$1:$I$88,7,0))</f>
        <v>0</v>
      </c>
      <c r="CC50" s="37">
        <f>IF(ISNA(VLOOKUP(A50,'Données projet'!$A$139:$I$159,7,0)),0%,VLOOKUP(A50,'Données projet'!$A$139:$I$159,7,0))</f>
        <v>0</v>
      </c>
      <c r="CD50" s="45">
        <f>EXP(-LN(2)/35)*CD49+(1-EXP(-LN(2)/35))/(LN(2)/35)*BZ50*CA50*VLOOKUP('Données projet'!$B$9,Paramètres!$A$1:$I$88,3,0)*0.475*44/12</f>
        <v>0</v>
      </c>
      <c r="CE50" s="45">
        <f>EXP(-LN(2)/25)*CE49+(1-EXP(-LN(2)/25))/(LN(2)/25)*Calculateur!BZ50*Calculateur!CB50*VLOOKUP('Données projet'!$B$9,Paramètres!$A$1:$I$88,3,0)*0.475*44/12</f>
        <v>0</v>
      </c>
      <c r="CF50" s="45">
        <f>EXP(-LN(2)/2)*CF49+(1-EXP(-LN(2)/2))/(LN(2)/2)*BZ50*CC50*VLOOKUP('Données projet'!$B$9,Paramètres!$A$1:$I$88,3,0)*0.475*44/12</f>
        <v>0</v>
      </c>
      <c r="CG50" s="46">
        <f t="shared" si="9"/>
        <v>0</v>
      </c>
      <c r="CH50" s="32" t="e">
        <f>VLOOKUP(A50,'Données projet'!$A$165:$I$185,2,0)</f>
        <v>#N/A</v>
      </c>
      <c r="CI50" s="33" t="e">
        <f>VLOOKUP(A50,'Données projet'!$A$165:$I$185,9,0)</f>
        <v>#N/A</v>
      </c>
      <c r="CJ50" s="33">
        <f t="array" ref="CJ50">INDEX(CI:CI,MIN(IF(ISNUMBER(CI50:CI246),ROW(CI50:CI246),"")))</f>
        <v>0</v>
      </c>
      <c r="CK50" s="33">
        <f t="shared" si="31"/>
        <v>0</v>
      </c>
      <c r="CL50" s="38" t="e">
        <f>CK50*VLOOKUP('Données projet'!$B$14,Paramètres!$A$1:$I$88,3,0)*VLOOKUP('Données projet'!$B$14,Paramètres!$A$1:$I$88,5,0)</f>
        <v>#N/A</v>
      </c>
      <c r="CM50" s="34" t="e">
        <f t="shared" si="32"/>
        <v>#N/A</v>
      </c>
      <c r="CN50" s="44" t="e">
        <f t="shared" si="10"/>
        <v>#N/A</v>
      </c>
      <c r="CO50" s="36">
        <f>IF(ISNA(VLOOKUP(A50,'Données projet'!$A$165:$I$185,3,0)),0,VLOOKUP(A50,'Données projet'!$A$165:$I$185,3,0))</f>
        <v>0</v>
      </c>
      <c r="CP50" s="36">
        <f>IF(ISNA(VLOOKUP(A50,'Données projet'!$A$165:$I$185,4,0)),0,VLOOKUP(A50,'Données projet'!$A$165:$I$185,4,0))</f>
        <v>0</v>
      </c>
      <c r="CQ50" s="37">
        <f>IF(ISNA(VLOOKUP(A50,'Données projet'!$A$165:$I$185,5,0)),0%,VLOOKUP(A50,'Données projet'!$A$165:$I$185,5,0)*VLOOKUP('Données projet'!$B$14,Paramètres!$A$1:$I$88,7,0))</f>
        <v>0</v>
      </c>
      <c r="CR50" s="37">
        <f>IF(ISNA(VLOOKUP(A50,'Données projet'!$A$165:$I$185,6,0)),0%,VLOOKUP(A50,'Données projet'!$A$165:$I$185,6,0)*VLOOKUP('Données projet'!$B$14,Paramètres!$A$1:$I$88,7,0))</f>
        <v>0</v>
      </c>
      <c r="CS50" s="37">
        <f>IF(ISNA(VLOOKUP(A50,'Données projet'!$A$165:$I$185,7,0)),0%,VLOOKUP(A50,'Données projet'!$A$165:$I$185,7,0))</f>
        <v>0</v>
      </c>
      <c r="CT50" s="45">
        <f>EXP(-LN(2)/35)*CT49+(1-EXP(-LN(2)/35))/(LN(2)/35)*CP50*CQ50*VLOOKUP('Données projet'!$B$9,Paramètres!$A$1:$I$88,3,0)*0.475*44/12</f>
        <v>0</v>
      </c>
      <c r="CU50" s="45">
        <f>EXP(-LN(2)/25)*CU49+(1-EXP(-LN(2)/25))/(LN(2)/25)*Calculateur!CP50*Calculateur!CR50*VLOOKUP('Données projet'!$B$9,Paramètres!$A$1:$I$88,3,0)*0.475*44/12</f>
        <v>0</v>
      </c>
      <c r="CV50" s="45">
        <f>EXP(-LN(2)/2)*CV49+(1-EXP(-LN(2)/2))/(LN(2)/2)*CP50*CS50*VLOOKUP('Données projet'!$B$9,Paramètres!$A$1:$I$88,3,0)*0.475*44/12</f>
        <v>0</v>
      </c>
      <c r="CW50" s="46">
        <f t="shared" si="11"/>
        <v>0</v>
      </c>
      <c r="CX50" s="32" t="e">
        <f>VLOOKUP(A50,'Données projet'!$A$191:$I$211,2,0)</f>
        <v>#N/A</v>
      </c>
      <c r="CY50" s="33" t="e">
        <f>VLOOKUP(A50,'Données projet'!$A$191:$I$211,9,0)</f>
        <v>#N/A</v>
      </c>
      <c r="CZ50" s="33">
        <f t="array" ref="CZ50">INDEX(CY:CY,MIN(IF(ISNUMBER(CY50:CY246),ROW(CY50:CY246),"")))</f>
        <v>0</v>
      </c>
      <c r="DA50" s="33">
        <f t="shared" si="33"/>
        <v>0</v>
      </c>
      <c r="DB50" s="38" t="e">
        <f>DA50*VLOOKUP('Données projet'!$B$15,Paramètres!$A$1:$I$88,3,0)*VLOOKUP('Données projet'!$B$15,Paramètres!$A$1:$I$88,5,0)</f>
        <v>#N/A</v>
      </c>
      <c r="DC50" s="34" t="e">
        <f t="shared" si="34"/>
        <v>#N/A</v>
      </c>
      <c r="DD50" s="44" t="e">
        <f t="shared" si="12"/>
        <v>#N/A</v>
      </c>
      <c r="DE50" s="36">
        <f>IF(ISNA(VLOOKUP(A50,'Données projet'!$A$191:$I$211,3,0)),0,VLOOKUP(A50,'Données projet'!$A$191:$I$211,3,0))</f>
        <v>0</v>
      </c>
      <c r="DF50" s="36">
        <f>IF(ISNA(VLOOKUP(A50,'Données projet'!$A$191:$I$211,4,0)),0,VLOOKUP(A50,'Données projet'!$A$191:$I$211,4,0))</f>
        <v>0</v>
      </c>
      <c r="DG50" s="37">
        <f>IF(ISNA(VLOOKUP(A50,'Données projet'!$A$191:$I$211,5,0)),0%,VLOOKUP(A50,'Données projet'!$A$191:$I$211,5,0)*VLOOKUP('Données projet'!$B$15,Paramètres!$A$1:$I$88,7,0))</f>
        <v>0</v>
      </c>
      <c r="DH50" s="37">
        <f>IF(ISNA(VLOOKUP(A50,'Données projet'!$A$191:$I$211,6,0)),0%,VLOOKUP(A50,'Données projet'!$A$191:$I$211,6,0)*VLOOKUP('Données projet'!$B$15,Paramètres!$A$1:$I$88,7,0))</f>
        <v>0</v>
      </c>
      <c r="DI50" s="37">
        <f>IF(ISNA(VLOOKUP(A50,'Données projet'!$A$191:$I$211,7,0)),0%,VLOOKUP(A50,'Données projet'!$A$191:$I$211,7,0))</f>
        <v>0</v>
      </c>
      <c r="DJ50" s="45">
        <f>EXP(-LN(2)/35)*DJ49+(1-EXP(-LN(2)/35))/(LN(2)/35)*DF50*DG50*VLOOKUP('Données projet'!$B$9,Paramètres!$A$1:$I$88,3,0)*0.475*44/12</f>
        <v>0</v>
      </c>
      <c r="DK50" s="45">
        <f>EXP(-LN(2)/25)*DK49+(1-EXP(-LN(2)/25))/(LN(2)/25)*Calculateur!DF50*Calculateur!DH50*VLOOKUP('Données projet'!$B$9,Paramètres!$A$1:$I$88,3,0)*0.475*44/12</f>
        <v>0</v>
      </c>
      <c r="DL50" s="45">
        <f>EXP(-LN(2)/2)*DL49+(1-EXP(-LN(2)/2))/(LN(2)/2)*DF50*DI50*VLOOKUP('Données projet'!$B$9,Paramètres!$A$1:$I$88,3,0)*0.475*44/12</f>
        <v>0</v>
      </c>
      <c r="DM50" s="46">
        <f t="shared" si="13"/>
        <v>0</v>
      </c>
      <c r="DN50" s="32" t="e">
        <f>VLOOKUP(A50,'Données projet'!$A$217:$I$237,2,0)</f>
        <v>#N/A</v>
      </c>
      <c r="DO50" s="33" t="e">
        <f>VLOOKUP(A50,'Données projet'!$A$217:$I$237,9,0)</f>
        <v>#N/A</v>
      </c>
      <c r="DP50" s="33">
        <f t="array" ref="DP50">INDEX(DO:DO,MIN(IF(ISNUMBER(DO50:DO246),ROW(DO50:DO246),"")))</f>
        <v>0</v>
      </c>
      <c r="DQ50" s="33">
        <f t="shared" si="35"/>
        <v>0</v>
      </c>
      <c r="DR50" s="38" t="e">
        <f>DQ50*VLOOKUP('Données projet'!$B$16,Paramètres!$A$1:$I$88,3,0)*VLOOKUP('Données projet'!$B$16,Paramètres!$A$1:$I$88,5,0)</f>
        <v>#N/A</v>
      </c>
      <c r="DS50" s="34" t="e">
        <f t="shared" si="36"/>
        <v>#N/A</v>
      </c>
      <c r="DT50" s="44" t="e">
        <f t="shared" si="14"/>
        <v>#N/A</v>
      </c>
      <c r="DU50" s="36">
        <f>IF(ISNA(VLOOKUP(A50,'Données projet'!$A$217:$I$237,3,0)),0,VLOOKUP(A50,'Données projet'!$A$217:$I$237,3,0))</f>
        <v>0</v>
      </c>
      <c r="DV50" s="36">
        <f>IF(ISNA(VLOOKUP(A50,'Données projet'!$A$217:$I$237,4,0)),0,VLOOKUP(A50,'Données projet'!$A$217:$I$237,4,0))</f>
        <v>0</v>
      </c>
      <c r="DW50" s="37">
        <f>IF(ISNA(VLOOKUP(A50,'Données projet'!$A$217:$I$237,5,0)),0%,VLOOKUP(A50,'Données projet'!$A$217:$I$237,5,0)*VLOOKUP('Données projet'!$B$16,Paramètres!$A$1:$I$88,7,0))</f>
        <v>0</v>
      </c>
      <c r="DX50" s="37">
        <f>IF(ISNA(VLOOKUP(A50,'Données projet'!$A$217:$I$237,6,0)),0%,VLOOKUP(A50,'Données projet'!$A$217:$I$237,6,0)*VLOOKUP('Données projet'!$B$16,Paramètres!$A$1:$I$88,7,0))</f>
        <v>0</v>
      </c>
      <c r="DY50" s="37">
        <f>IF(ISNA(VLOOKUP(A50,'Données projet'!$A$217:$I$237,7,0)),0%,VLOOKUP(A50,'Données projet'!$A$217:$I$237,7,0))</f>
        <v>0</v>
      </c>
      <c r="DZ50" s="45">
        <f>EXP(-LN(2)/35)*DZ49+(1-EXP(-LN(2)/35))/(LN(2)/35)*DV50*DW50*VLOOKUP('Données projet'!$B$9,Paramètres!$A$1:$I$88,3,0)*0.475*44/12</f>
        <v>0</v>
      </c>
      <c r="EA50" s="45">
        <f>EXP(-LN(2)/25)*EA49+(1-EXP(-LN(2)/25))/(LN(2)/25)*Calculateur!DV50*Calculateur!DX50*VLOOKUP('Données projet'!$B$9,Paramètres!$A$1:$I$88,3,0)*0.475*44/12</f>
        <v>0</v>
      </c>
      <c r="EB50" s="45">
        <f>EXP(-LN(2)/2)*EB49+(1-EXP(-LN(2)/2))/(LN(2)/2)*DV50*DY50*VLOOKUP('Données projet'!$B$9,Paramètres!$A$1:$I$88,3,0)*0.475*44/12</f>
        <v>0</v>
      </c>
      <c r="EC50" s="46">
        <f t="shared" si="15"/>
        <v>0</v>
      </c>
      <c r="ED50" s="32" t="e">
        <f>VLOOKUP(A50,'Données projet'!$A$243:$I$263,2,0)</f>
        <v>#N/A</v>
      </c>
      <c r="EE50" s="33" t="e">
        <f>VLOOKUP(A50,'Données projet'!$A$243:$I$263,9,0)</f>
        <v>#N/A</v>
      </c>
      <c r="EF50" s="33">
        <f t="array" ref="EF50">INDEX(EE:EE,MIN(IF(ISNUMBER(EE50:EE246),ROW(EE50:EE246),"")))</f>
        <v>0</v>
      </c>
      <c r="EG50" s="33">
        <f t="shared" si="37"/>
        <v>0</v>
      </c>
      <c r="EH50" s="38" t="e">
        <f>EG50*VLOOKUP('Données projet'!$B$17,Paramètres!$A$1:$I$88,3,0)*VLOOKUP('Données projet'!$B$17,Paramètres!$A$1:$I$88,5,0)</f>
        <v>#N/A</v>
      </c>
      <c r="EI50" s="34" t="e">
        <f t="shared" si="38"/>
        <v>#N/A</v>
      </c>
      <c r="EJ50" s="44" t="e">
        <f t="shared" si="16"/>
        <v>#N/A</v>
      </c>
      <c r="EK50" s="36">
        <f>IF(ISNA(VLOOKUP(A50,'Données projet'!$A$243:$I$263,3,0)),0,VLOOKUP(A50,'Données projet'!$A$243:$I$263,3,0))</f>
        <v>0</v>
      </c>
      <c r="EL50" s="36">
        <f>IF(ISNA(VLOOKUP(A50,'Données projet'!$A$243:$I$263,4,0)),0,VLOOKUP(A50,'Données projet'!$A$243:$I$263,4,0))</f>
        <v>0</v>
      </c>
      <c r="EM50" s="37">
        <f>IF(ISNA(VLOOKUP(A50,'Données projet'!$A$243:$I$263,5,0)),0%,VLOOKUP(A50,'Données projet'!$A$243:$I$263,5,0)*VLOOKUP('Données projet'!$B$17,Paramètres!$A$1:$I$88,7,0))</f>
        <v>0</v>
      </c>
      <c r="EN50" s="37">
        <f>IF(ISNA(VLOOKUP(A50,'Données projet'!$A$243:$I$263,6,0)),0%,VLOOKUP(A50,'Données projet'!$A$243:$I$263,6,0)*VLOOKUP('Données projet'!$B$17,Paramètres!$A$1:$I$88,7,0))</f>
        <v>0</v>
      </c>
      <c r="EO50" s="37">
        <f>IF(ISNA(VLOOKUP(A50,'Données projet'!$A$243:$I$263,7,0)),0%,VLOOKUP(A50,'Données projet'!$A$243:$I$263,7,0))</f>
        <v>0</v>
      </c>
      <c r="EP50" s="45">
        <f>EXP(-LN(2)/35)*EP49+(1-EXP(-LN(2)/35))/(LN(2)/35)*EL50*EM50*VLOOKUP('Données projet'!$B$9,Paramètres!$A$1:$I$88,3,0)*0.475*44/12</f>
        <v>0</v>
      </c>
      <c r="EQ50" s="45">
        <f>EXP(-LN(2)/25)*EQ49+(1-EXP(-LN(2)/25))/(LN(2)/25)*Calculateur!EL50*Calculateur!EN50*VLOOKUP('Données projet'!$B$9,Paramètres!$A$1:$I$88,3,0)*0.475*44/12</f>
        <v>0</v>
      </c>
      <c r="ER50" s="45">
        <f>EXP(-LN(2)/2)*ER49+(1-EXP(-LN(2)/2))/(LN(2)/2)*EL50*EO50*VLOOKUP('Données projet'!$B$9,Paramètres!$A$1:$I$88,3,0)*0.475*44/12</f>
        <v>0</v>
      </c>
      <c r="ES50" s="46">
        <f t="shared" si="17"/>
        <v>0</v>
      </c>
      <c r="ET50" s="32" t="e">
        <f>VLOOKUP(A50,'Données projet'!$A$269:$I$289,2,0)</f>
        <v>#N/A</v>
      </c>
      <c r="EU50" s="33" t="e">
        <f>VLOOKUP(A50,'Données projet'!$A$269:$I$289,9,0)</f>
        <v>#N/A</v>
      </c>
      <c r="EV50" s="33">
        <f t="array" ref="EV50">INDEX(EU:EU,MIN(IF(ISNUMBER(EU50:EU246),ROW(EU50:EU246),"")))</f>
        <v>0</v>
      </c>
      <c r="EW50" s="33">
        <f t="shared" si="39"/>
        <v>0</v>
      </c>
      <c r="EX50" s="38" t="e">
        <f>EW50*VLOOKUP('Données projet'!$B$18,Paramètres!$A$1:$I$88,3,0)*VLOOKUP('Données projet'!$B$18,Paramètres!$A$1:$I$88,5,0)</f>
        <v>#N/A</v>
      </c>
      <c r="EY50" s="34" t="e">
        <f t="shared" si="40"/>
        <v>#N/A</v>
      </c>
      <c r="EZ50" s="44" t="e">
        <f t="shared" si="18"/>
        <v>#N/A</v>
      </c>
      <c r="FA50" s="36">
        <f>IF(ISNA(VLOOKUP(A50,'Données projet'!$A$269:$I$289,3,0)),0,VLOOKUP(A50,'Données projet'!$A$269:$I$289,3,0))</f>
        <v>0</v>
      </c>
      <c r="FB50" s="36">
        <f>IF(ISNA(VLOOKUP(A50,'Données projet'!$A$269:$I$289,4,0)),0,VLOOKUP(A50,'Données projet'!$A$269:$I$289,4,0))</f>
        <v>0</v>
      </c>
      <c r="FC50" s="37">
        <f>IF(ISNA(VLOOKUP(A50,'Données projet'!$A$269:$I$289,5,0)),0%,VLOOKUP(A50,'Données projet'!$A$269:$I$289,5,0)*VLOOKUP('Données projet'!$B$18,Paramètres!$A$1:$I$88,7,0))</f>
        <v>0</v>
      </c>
      <c r="FD50" s="37">
        <f>IF(ISNA(VLOOKUP(A50,'Données projet'!$A$269:$I$289,6,0)),0%,VLOOKUP(A50,'Données projet'!$A$269:$I$289,6,0)*VLOOKUP('Données projet'!$B$18,Paramètres!$A$1:$I$88,7,0))</f>
        <v>0</v>
      </c>
      <c r="FE50" s="37">
        <f>IF(ISNA(VLOOKUP(A50,'Données projet'!$A$269:$I$289,7,0)),0%,VLOOKUP(A50,'Données projet'!$A$269:$I$289,7,0))</f>
        <v>0</v>
      </c>
      <c r="FF50" s="45">
        <f>EXP(-LN(2)/35)*FF49+(1-EXP(-LN(2)/35))/(LN(2)/35)*FB50*FC50*VLOOKUP('Données projet'!$B$9,Paramètres!$A$1:$I$88,3,0)*0.475*44/12</f>
        <v>0</v>
      </c>
      <c r="FG50" s="45">
        <f>EXP(-LN(2)/25)*FG49+(1-EXP(-LN(2)/25))/(LN(2)/25)*Calculateur!FB50*Calculateur!FD50*VLOOKUP('Données projet'!$B$9,Paramètres!$A$1:$I$88,3,0)*0.475*44/12</f>
        <v>0</v>
      </c>
      <c r="FH50" s="45">
        <f>EXP(-LN(2)/2)*FH49+(1-EXP(-LN(2)/2))/(LN(2)/2)*FB50*FE50*VLOOKUP('Données projet'!$B$9,Paramètres!$A$1:$I$88,3,0)*0.475*44/12</f>
        <v>0</v>
      </c>
      <c r="FI50" s="46">
        <f t="shared" si="19"/>
        <v>0</v>
      </c>
    </row>
    <row r="51" spans="1:165" x14ac:dyDescent="0.25">
      <c r="A51" s="24">
        <f t="shared" si="20"/>
        <v>48</v>
      </c>
      <c r="B51" s="25">
        <f>IF('Scénario référence'!$N$1=1,5,0)</f>
        <v>0</v>
      </c>
      <c r="C51" s="40">
        <f>IF(OR('Scénario référence'!$N$1=2,'Scénario référence'!$N$1=4),C50+1*VLOOKUP('Scénario référence'!$G$14,Paramètres!$A$1:$I$88,3,0)*VLOOKUP('Scénario référence'!$G$14,Paramètres!$A$1:$I$88,5,0),IF(OR('Scénario référence'!$N$1=3,'Scénario référence'!$N$1=5),C50+0.5*VLOOKUP('Scénario référence'!$G$14,Paramètres!$A$1:$I$88,3,0)*VLOOKUP('Scénario référence'!$G$14,Paramètres!$A$1:$I$88,5,0),0))</f>
        <v>26.207999999999984</v>
      </c>
      <c r="D51" s="26">
        <f t="shared" si="21"/>
        <v>8.2581019723450915</v>
      </c>
      <c r="E51" s="27">
        <f>IF('Scénario référence'!$N$1=1,B51*44/12,(C51+D51)*0.475*44/12)</f>
        <v>60.028460935167665</v>
      </c>
      <c r="F51" s="28" t="e">
        <f>VLOOKUP(A51,'Données projet'!$A$35:$I$55,2,0)</f>
        <v>#N/A</v>
      </c>
      <c r="G51" s="28" t="e">
        <f>VLOOKUP(A51,'Données projet'!$A$35:$I$55,9,0)</f>
        <v>#N/A</v>
      </c>
      <c r="H51" s="33">
        <f t="array" ref="H51">INDEX(G:G,MIN(IF(ISNUMBER(G51:G247),ROW(G51:G247),"")))</f>
        <v>8.1999999999999993</v>
      </c>
      <c r="I51" s="28">
        <f t="shared" si="22"/>
        <v>161.60000000000002</v>
      </c>
      <c r="J51" s="41">
        <f>I51*VLOOKUP('Données projet'!$B$9,Paramètres!$A$1:$I$88,3,0)*VLOOKUP('Données projet'!$B$9,Paramètres!$A$1:$I$88,5,0)</f>
        <v>163.86240000000004</v>
      </c>
      <c r="K51" s="41">
        <f t="shared" si="23"/>
        <v>41.712477409029084</v>
      </c>
      <c r="L51" s="42">
        <f t="shared" si="0"/>
        <v>358.0429114873923</v>
      </c>
      <c r="M51" s="30">
        <f>IF(ISNA(VLOOKUP(A51,'Données projet'!$A$35:$I$55,3,0)),0,VLOOKUP(A51,'Données projet'!$A$35:$I$55,3,0))</f>
        <v>0</v>
      </c>
      <c r="N51" s="30">
        <f>IF(ISNA(VLOOKUP(A51,'Données projet'!$A$35:$I$55,4,0)),0,VLOOKUP(A51,'Données projet'!$A$35:$I$55,4,0))</f>
        <v>0</v>
      </c>
      <c r="O51" s="31">
        <f>IF(ISNA(VLOOKUP(A51,'Données projet'!$A$35:$I$55,5,0)),0%,VLOOKUP(A51,'Données projet'!$A$35:$I$55,5,0)*VLOOKUP('Données projet'!$B$9,Paramètres!$A$1:$I$88,7,0))</f>
        <v>0</v>
      </c>
      <c r="P51" s="31">
        <f>IF(ISNA(VLOOKUP(A51,'Données projet'!$A$35:$I$55,6,0)),0%,VLOOKUP(A51,'Données projet'!$A$35:$I$55,6,0)*VLOOKUP('Données projet'!$B$9,Paramètres!$A$1:$I$88,7,0))</f>
        <v>0</v>
      </c>
      <c r="Q51" s="31">
        <f>IF(ISNA(VLOOKUP(A51,'Données projet'!$A$35:$I$55,7,0)),0%,VLOOKUP(A51,'Données projet'!$A$35:$I$55,7,0))</f>
        <v>0</v>
      </c>
      <c r="R51" s="43">
        <f>EXP(-LN(2)/35)*R50+(1-EXP(-LN(2)/35))/(LN(2)/35)*N51*O51*VLOOKUP('Données projet'!$B$9,Paramètres!$A$1:$I$88,3,0)*0.475*44/12</f>
        <v>0</v>
      </c>
      <c r="S51" s="43">
        <f>EXP(-LN(2)/25)*S50+(1-EXP(-LN(2)/25))/(LN(2)/25)*Calculateur!N51*Calculateur!P51*VLOOKUP('Données projet'!$B$9,Paramètres!$A$1:$I$88,3,0)*0.475*44/12</f>
        <v>0</v>
      </c>
      <c r="T51" s="43">
        <f>EXP(-LN(2)/2)*T50+(1-EXP(-LN(2)/2))/(LN(2)/2)*N51*Q51*VLOOKUP('Données projet'!$B$9,Paramètres!$A$1:$I$88,3,0)*0.475*44/12</f>
        <v>0</v>
      </c>
      <c r="U51" s="43">
        <f t="shared" si="1"/>
        <v>0</v>
      </c>
      <c r="V51" s="32" t="e">
        <f>VLOOKUP(A51,'Données projet'!$A$61:$I$81,2,0)</f>
        <v>#N/A</v>
      </c>
      <c r="W51" s="33" t="e">
        <f>VLOOKUP(A51,'Données projet'!$A$61:$I$81,9,0)</f>
        <v>#N/A</v>
      </c>
      <c r="X51" s="33">
        <f t="array" ref="X51">INDEX(W:W,MIN(IF(ISNUMBER(W51:W247),ROW(W51:W247),"")))</f>
        <v>0</v>
      </c>
      <c r="Y51" s="33">
        <f t="shared" si="24"/>
        <v>0</v>
      </c>
      <c r="Z51" s="34" t="e">
        <f>Y51*VLOOKUP('Données projet'!$B$10,Paramètres!$A$1:$I$88,3,0)*VLOOKUP('Données projet'!$B$10,Paramètres!$A$1:$I$88,5,0)</f>
        <v>#N/A</v>
      </c>
      <c r="AA51" s="34" t="e">
        <f t="shared" si="25"/>
        <v>#N/A</v>
      </c>
      <c r="AB51" s="44" t="e">
        <f t="shared" si="2"/>
        <v>#N/A</v>
      </c>
      <c r="AC51" s="36">
        <f>IF(ISNA(VLOOKUP(A51,'Données projet'!$A$61:$I$81,3,0)),0,VLOOKUP(A51,'Données projet'!$A$61:$I$81,3,0))</f>
        <v>0</v>
      </c>
      <c r="AD51" s="36">
        <f>IF(ISNA(VLOOKUP(A51,'Données projet'!$A$61:$I$81,4,0)),0,VLOOKUP(A51,'Données projet'!$A$61:$I$81,4,0))</f>
        <v>0</v>
      </c>
      <c r="AE51" s="37">
        <f>IF(ISNA(VLOOKUP(A51,'Données projet'!$A$61:$I$81,5,0)),0%,VLOOKUP(A51,'Données projet'!$A$61:$I$81,5,0)*VLOOKUP('Données projet'!$B$10,Paramètres!$A$1:$I$88,7,0))</f>
        <v>0</v>
      </c>
      <c r="AF51" s="37">
        <f>IF(ISNA(VLOOKUP(A51,'Données projet'!$A$61:$I$81,6,0)),0%,VLOOKUP(A51,'Données projet'!$A$61:$I$81,6,0)*VLOOKUP('Données projet'!$B$10,Paramètres!$A$1:$I$88,7,0))</f>
        <v>0</v>
      </c>
      <c r="AG51" s="37">
        <f>IF(ISNA(VLOOKUP(A51,'Données projet'!$A$61:$I$81,7,0)),0%,VLOOKUP(A51,'Données projet'!$A$61:$I$81,7,0))</f>
        <v>0</v>
      </c>
      <c r="AH51" s="45">
        <f>EXP(-LN(2)/35)*AH50+(1-EXP(-LN(2)/35))/(LN(2)/35)*AD51*AE51*VLOOKUP('Données projet'!$B$9,Paramètres!$A$1:$I$88,3,0)*0.475*44/12</f>
        <v>0</v>
      </c>
      <c r="AI51" s="45">
        <f>EXP(-LN(2)/25)*AI50+(1-EXP(-LN(2)/25))/(LN(2)/25)*Calculateur!AD51*Calculateur!AF51*VLOOKUP('Données projet'!$B$9,Paramètres!$A$1:$I$88,3,0)*0.475*44/12</f>
        <v>0</v>
      </c>
      <c r="AJ51" s="45">
        <f>EXP(-LN(2)/2)*AJ50+(1-EXP(-LN(2)/2))/(LN(2)/2)*AD51*AG51*VLOOKUP('Données projet'!$B$9,Paramètres!$A$1:$I$88,3,0)*0.475*44/12</f>
        <v>0</v>
      </c>
      <c r="AK51" s="45">
        <f t="shared" si="3"/>
        <v>0</v>
      </c>
      <c r="AL51" s="32" t="e">
        <f>VLOOKUP(A51,'Données projet'!$A$87:$I$107,2,0)</f>
        <v>#N/A</v>
      </c>
      <c r="AM51" s="33" t="e">
        <f>VLOOKUP(A51,'Données projet'!$A$87:$I$107,9,0)</f>
        <v>#N/A</v>
      </c>
      <c r="AN51" s="33">
        <f t="array" ref="AN51">INDEX(AM:AM,MIN(IF(ISNUMBER(AM51:AM247),ROW(AM51:AM247),"")))</f>
        <v>0</v>
      </c>
      <c r="AO51" s="33">
        <f t="shared" si="26"/>
        <v>0</v>
      </c>
      <c r="AP51" s="34" t="e">
        <f>AO51*VLOOKUP('Données projet'!$B$11,Paramètres!$A$1:$I$88,3,0)*VLOOKUP('Données projet'!$B$11,Paramètres!$A$1:$I$88,5,0)</f>
        <v>#N/A</v>
      </c>
      <c r="AQ51" s="34" t="e">
        <f t="shared" si="27"/>
        <v>#N/A</v>
      </c>
      <c r="AR51" s="44" t="e">
        <f t="shared" si="4"/>
        <v>#N/A</v>
      </c>
      <c r="AS51" s="36">
        <f>IF(ISNA(VLOOKUP(A51,'Données projet'!$A$87:$I$107,3,0)),0,VLOOKUP(A51,'Données projet'!$A$87:$I$107,3,0))</f>
        <v>0</v>
      </c>
      <c r="AT51" s="36">
        <f>IF(ISNA(VLOOKUP(A51,'Données projet'!$A$87:$I$107,4,0)),0,VLOOKUP(A51,'Données projet'!$A$87:$I$107,4,0))</f>
        <v>0</v>
      </c>
      <c r="AU51" s="37">
        <f>IF(ISNA(VLOOKUP(A51,'Données projet'!$A$87:$I$107,5,0)),0%,VLOOKUP(A51,'Données projet'!$A$87:$I$107,5,0)*VLOOKUP('Données projet'!$B$11,Paramètres!$A$1:$I$88,7,0))</f>
        <v>0</v>
      </c>
      <c r="AV51" s="37">
        <f>IF(ISNA(VLOOKUP(A51,'Données projet'!$A$87:$I$107,6,0)),0%,VLOOKUP(A51,'Données projet'!$A$87:$I$107,6,0)*VLOOKUP('Données projet'!$B$11,Paramètres!$A$1:$I$88,7,0))</f>
        <v>0</v>
      </c>
      <c r="AW51" s="37">
        <f>IF(ISNA(VLOOKUP(A51,'Données projet'!$A$87:$I$107,7,0)),0%,VLOOKUP(A51,'Données projet'!$A$87:$I$107,7,0))</f>
        <v>0</v>
      </c>
      <c r="AX51" s="45">
        <f>EXP(-LN(2)/35)*AX50+(1-EXP(-LN(2)/35))/(LN(2)/35)*AT51*AU51*VLOOKUP('Données projet'!$B$9,Paramètres!$A$1:$I$88,3,0)*0.475*44/12</f>
        <v>0</v>
      </c>
      <c r="AY51" s="45">
        <f>EXP(-LN(2)/25)*AY50+(1-EXP(-LN(2)/25))/(LN(2)/25)*Calculateur!AT51*Calculateur!AV51*VLOOKUP('Données projet'!$B$9,Paramètres!$A$1:$I$88,3,0)*0.475*44/12</f>
        <v>0</v>
      </c>
      <c r="AZ51" s="45">
        <f>EXP(-LN(2)/2)*AZ50+(1-EXP(-LN(2)/2))/(LN(2)/2)*AT51*AW51*VLOOKUP('Données projet'!$B$9,Paramètres!$A$1:$I$88,3,0)*0.475*44/12</f>
        <v>0</v>
      </c>
      <c r="BA51" s="46">
        <f t="shared" si="5"/>
        <v>0</v>
      </c>
      <c r="BB51" s="32" t="e">
        <f>VLOOKUP(A51,'Données projet'!$A$113:$I$133,2,0)</f>
        <v>#N/A</v>
      </c>
      <c r="BC51" s="33" t="e">
        <f>VLOOKUP(A51,'Données projet'!$A$113:$I$133,9,0)</f>
        <v>#N/A</v>
      </c>
      <c r="BD51" s="33">
        <f t="array" ref="BD51">INDEX(BC:BC,MIN(IF(ISNUMBER(BC51:BC247),ROW(BC51:BC247),"")))</f>
        <v>0</v>
      </c>
      <c r="BE51" s="33">
        <f t="shared" si="28"/>
        <v>0</v>
      </c>
      <c r="BF51" s="34" t="e">
        <f>BE51*VLOOKUP('Données projet'!$B$12,Paramètres!$A$1:$I$88,3,0)*VLOOKUP('Données projet'!$B$12,Paramètres!$A$1:$I$88,5,0)</f>
        <v>#N/A</v>
      </c>
      <c r="BG51" s="34" t="e">
        <f t="shared" si="29"/>
        <v>#N/A</v>
      </c>
      <c r="BH51" s="44" t="e">
        <f t="shared" si="6"/>
        <v>#N/A</v>
      </c>
      <c r="BI51" s="36">
        <f>IF(ISNA(VLOOKUP(A51,'Données projet'!$A$113:$I$133,3,0)),0,VLOOKUP(A51,'Données projet'!$A$113:$I$133,3,0))</f>
        <v>0</v>
      </c>
      <c r="BJ51" s="36">
        <f>IF(ISNA(VLOOKUP(A51,'Données projet'!$A$113:$I$133,4,0)),0,VLOOKUP(A51,'Données projet'!$A$113:$I$133,4,0))</f>
        <v>0</v>
      </c>
      <c r="BK51" s="37">
        <f>IF(ISNA(VLOOKUP(A51,'Données projet'!$A$113:$I$133,5,0)),0%,VLOOKUP(A51,'Données projet'!$A$113:$I$133,5,0)*VLOOKUP('Données projet'!$B$12,Paramètres!$A$1:$I$88,7,0))</f>
        <v>0</v>
      </c>
      <c r="BL51" s="37">
        <f>IF(ISNA(VLOOKUP(A51,'Données projet'!$A$113:$I$133,6,0)),0%,VLOOKUP(A51,'Données projet'!$A$113:$I$133,6,0)*VLOOKUP('Données projet'!$B$12,Paramètres!$A$1:$I$88,7,0))</f>
        <v>0</v>
      </c>
      <c r="BM51" s="37">
        <f>IF(ISNA(VLOOKUP(A51,'Données projet'!$A$113:$I$133,7,0)),0%,VLOOKUP(A51,'Données projet'!$A$113:$I$133,7,0))</f>
        <v>0</v>
      </c>
      <c r="BN51" s="45">
        <f>EXP(-LN(2)/35)*BN50+(1-EXP(-LN(2)/35))/(LN(2)/35)*BJ51*BK51*VLOOKUP('Données projet'!$B$9,Paramètres!$A$1:$I$88,3,0)*0.475*44/12</f>
        <v>0</v>
      </c>
      <c r="BO51" s="45">
        <f>EXP(-LN(2)/25)*BO50+(1-EXP(-LN(2)/25))/(LN(2)/25)*Calculateur!BJ51*Calculateur!BL51*VLOOKUP('Données projet'!$B$9,Paramètres!$A$1:$I$88,3,0)*0.475*44/12</f>
        <v>0</v>
      </c>
      <c r="BP51" s="45">
        <f>EXP(-LN(2)/2)*BP50+(1-EXP(-LN(2)/2))/(LN(2)/2)*BJ51*BM51*VLOOKUP('Données projet'!$B$9,Paramètres!$A$1:$I$88,3,0)*0.475*44/12</f>
        <v>0</v>
      </c>
      <c r="BQ51" s="46">
        <f t="shared" si="7"/>
        <v>0</v>
      </c>
      <c r="BR51" s="32" t="e">
        <f>VLOOKUP(A51,'Données projet'!$A$139:$I$159,2,0)</f>
        <v>#N/A</v>
      </c>
      <c r="BS51" s="33" t="e">
        <f>VLOOKUP(A51,'Données projet'!$A$139:$I$159,9,0)</f>
        <v>#N/A</v>
      </c>
      <c r="BT51" s="33">
        <f t="array" ref="BT51">INDEX(BS:BS,MIN(IF(ISNUMBER(BS51:BS247),ROW(BS51:BS247),"")))</f>
        <v>0</v>
      </c>
      <c r="BU51" s="33">
        <f t="shared" si="41"/>
        <v>0</v>
      </c>
      <c r="BV51" s="38" t="e">
        <f>BU51*VLOOKUP('Données projet'!$B$13,Paramètres!$A$1:$I$88,3,0)*VLOOKUP('Données projet'!$B$13,Paramètres!$A$1:$I$88,5,0)</f>
        <v>#N/A</v>
      </c>
      <c r="BW51" s="34" t="e">
        <f t="shared" si="30"/>
        <v>#N/A</v>
      </c>
      <c r="BX51" s="44" t="e">
        <f t="shared" si="8"/>
        <v>#N/A</v>
      </c>
      <c r="BY51" s="36">
        <f>IF(ISNA(VLOOKUP(A51,'Données projet'!$A$139:$I$159,3,0)),0,VLOOKUP(A51,'Données projet'!$A$139:$I$159,3,0))</f>
        <v>0</v>
      </c>
      <c r="BZ51" s="36">
        <f>IF(ISNA(VLOOKUP(A51,'Données projet'!$A$139:$I$159,4,0)),0,VLOOKUP(A51,'Données projet'!$A$139:$I$159,4,0))</f>
        <v>0</v>
      </c>
      <c r="CA51" s="37">
        <f>IF(ISNA(VLOOKUP(A51,'Données projet'!$A$139:$I$159,5,0)),0%,VLOOKUP(A51,'Données projet'!$A$139:$I$159,5,0)*VLOOKUP('Données projet'!$B$13,Paramètres!$A$1:$I$88,7,0))</f>
        <v>0</v>
      </c>
      <c r="CB51" s="37">
        <f>IF(ISNA(VLOOKUP(A51,'Données projet'!$A$139:$I$159,6,0)),0%,VLOOKUP(A51,'Données projet'!$A$139:$I$159,6,0)*VLOOKUP('Données projet'!$B$13,Paramètres!$A$1:$I$88,7,0))</f>
        <v>0</v>
      </c>
      <c r="CC51" s="37">
        <f>IF(ISNA(VLOOKUP(A51,'Données projet'!$A$139:$I$159,7,0)),0%,VLOOKUP(A51,'Données projet'!$A$139:$I$159,7,0))</f>
        <v>0</v>
      </c>
      <c r="CD51" s="45">
        <f>EXP(-LN(2)/35)*CD50+(1-EXP(-LN(2)/35))/(LN(2)/35)*BZ51*CA51*VLOOKUP('Données projet'!$B$9,Paramètres!$A$1:$I$88,3,0)*0.475*44/12</f>
        <v>0</v>
      </c>
      <c r="CE51" s="45">
        <f>EXP(-LN(2)/25)*CE50+(1-EXP(-LN(2)/25))/(LN(2)/25)*Calculateur!BZ51*Calculateur!CB51*VLOOKUP('Données projet'!$B$9,Paramètres!$A$1:$I$88,3,0)*0.475*44/12</f>
        <v>0</v>
      </c>
      <c r="CF51" s="45">
        <f>EXP(-LN(2)/2)*CF50+(1-EXP(-LN(2)/2))/(LN(2)/2)*BZ51*CC51*VLOOKUP('Données projet'!$B$9,Paramètres!$A$1:$I$88,3,0)*0.475*44/12</f>
        <v>0</v>
      </c>
      <c r="CG51" s="46">
        <f t="shared" si="9"/>
        <v>0</v>
      </c>
      <c r="CH51" s="32" t="e">
        <f>VLOOKUP(A51,'Données projet'!$A$165:$I$185,2,0)</f>
        <v>#N/A</v>
      </c>
      <c r="CI51" s="33" t="e">
        <f>VLOOKUP(A51,'Données projet'!$A$165:$I$185,9,0)</f>
        <v>#N/A</v>
      </c>
      <c r="CJ51" s="33">
        <f t="array" ref="CJ51">INDEX(CI:CI,MIN(IF(ISNUMBER(CI51:CI247),ROW(CI51:CI247),"")))</f>
        <v>0</v>
      </c>
      <c r="CK51" s="33">
        <f t="shared" si="31"/>
        <v>0</v>
      </c>
      <c r="CL51" s="38" t="e">
        <f>CK51*VLOOKUP('Données projet'!$B$14,Paramètres!$A$1:$I$88,3,0)*VLOOKUP('Données projet'!$B$14,Paramètres!$A$1:$I$88,5,0)</f>
        <v>#N/A</v>
      </c>
      <c r="CM51" s="34" t="e">
        <f t="shared" si="32"/>
        <v>#N/A</v>
      </c>
      <c r="CN51" s="44" t="e">
        <f t="shared" si="10"/>
        <v>#N/A</v>
      </c>
      <c r="CO51" s="36">
        <f>IF(ISNA(VLOOKUP(A51,'Données projet'!$A$165:$I$185,3,0)),0,VLOOKUP(A51,'Données projet'!$A$165:$I$185,3,0))</f>
        <v>0</v>
      </c>
      <c r="CP51" s="36">
        <f>IF(ISNA(VLOOKUP(A51,'Données projet'!$A$165:$I$185,4,0)),0,VLOOKUP(A51,'Données projet'!$A$165:$I$185,4,0))</f>
        <v>0</v>
      </c>
      <c r="CQ51" s="37">
        <f>IF(ISNA(VLOOKUP(A51,'Données projet'!$A$165:$I$185,5,0)),0%,VLOOKUP(A51,'Données projet'!$A$165:$I$185,5,0)*VLOOKUP('Données projet'!$B$14,Paramètres!$A$1:$I$88,7,0))</f>
        <v>0</v>
      </c>
      <c r="CR51" s="37">
        <f>IF(ISNA(VLOOKUP(A51,'Données projet'!$A$165:$I$185,6,0)),0%,VLOOKUP(A51,'Données projet'!$A$165:$I$185,6,0)*VLOOKUP('Données projet'!$B$14,Paramètres!$A$1:$I$88,7,0))</f>
        <v>0</v>
      </c>
      <c r="CS51" s="37">
        <f>IF(ISNA(VLOOKUP(A51,'Données projet'!$A$165:$I$185,7,0)),0%,VLOOKUP(A51,'Données projet'!$A$165:$I$185,7,0))</f>
        <v>0</v>
      </c>
      <c r="CT51" s="45">
        <f>EXP(-LN(2)/35)*CT50+(1-EXP(-LN(2)/35))/(LN(2)/35)*CP51*CQ51*VLOOKUP('Données projet'!$B$9,Paramètres!$A$1:$I$88,3,0)*0.475*44/12</f>
        <v>0</v>
      </c>
      <c r="CU51" s="45">
        <f>EXP(-LN(2)/25)*CU50+(1-EXP(-LN(2)/25))/(LN(2)/25)*Calculateur!CP51*Calculateur!CR51*VLOOKUP('Données projet'!$B$9,Paramètres!$A$1:$I$88,3,0)*0.475*44/12</f>
        <v>0</v>
      </c>
      <c r="CV51" s="45">
        <f>EXP(-LN(2)/2)*CV50+(1-EXP(-LN(2)/2))/(LN(2)/2)*CP51*CS51*VLOOKUP('Données projet'!$B$9,Paramètres!$A$1:$I$88,3,0)*0.475*44/12</f>
        <v>0</v>
      </c>
      <c r="CW51" s="46">
        <f t="shared" si="11"/>
        <v>0</v>
      </c>
      <c r="CX51" s="32" t="e">
        <f>VLOOKUP(A51,'Données projet'!$A$191:$I$211,2,0)</f>
        <v>#N/A</v>
      </c>
      <c r="CY51" s="33" t="e">
        <f>VLOOKUP(A51,'Données projet'!$A$191:$I$211,9,0)</f>
        <v>#N/A</v>
      </c>
      <c r="CZ51" s="33">
        <f t="array" ref="CZ51">INDEX(CY:CY,MIN(IF(ISNUMBER(CY51:CY247),ROW(CY51:CY247),"")))</f>
        <v>0</v>
      </c>
      <c r="DA51" s="33">
        <f t="shared" si="33"/>
        <v>0</v>
      </c>
      <c r="DB51" s="38" t="e">
        <f>DA51*VLOOKUP('Données projet'!$B$15,Paramètres!$A$1:$I$88,3,0)*VLOOKUP('Données projet'!$B$15,Paramètres!$A$1:$I$88,5,0)</f>
        <v>#N/A</v>
      </c>
      <c r="DC51" s="34" t="e">
        <f t="shared" si="34"/>
        <v>#N/A</v>
      </c>
      <c r="DD51" s="44" t="e">
        <f t="shared" si="12"/>
        <v>#N/A</v>
      </c>
      <c r="DE51" s="36">
        <f>IF(ISNA(VLOOKUP(A51,'Données projet'!$A$191:$I$211,3,0)),0,VLOOKUP(A51,'Données projet'!$A$191:$I$211,3,0))</f>
        <v>0</v>
      </c>
      <c r="DF51" s="36">
        <f>IF(ISNA(VLOOKUP(A51,'Données projet'!$A$191:$I$211,4,0)),0,VLOOKUP(A51,'Données projet'!$A$191:$I$211,4,0))</f>
        <v>0</v>
      </c>
      <c r="DG51" s="37">
        <f>IF(ISNA(VLOOKUP(A51,'Données projet'!$A$191:$I$211,5,0)),0%,VLOOKUP(A51,'Données projet'!$A$191:$I$211,5,0)*VLOOKUP('Données projet'!$B$15,Paramètres!$A$1:$I$88,7,0))</f>
        <v>0</v>
      </c>
      <c r="DH51" s="37">
        <f>IF(ISNA(VLOOKUP(A51,'Données projet'!$A$191:$I$211,6,0)),0%,VLOOKUP(A51,'Données projet'!$A$191:$I$211,6,0)*VLOOKUP('Données projet'!$B$15,Paramètres!$A$1:$I$88,7,0))</f>
        <v>0</v>
      </c>
      <c r="DI51" s="37">
        <f>IF(ISNA(VLOOKUP(A51,'Données projet'!$A$191:$I$211,7,0)),0%,VLOOKUP(A51,'Données projet'!$A$191:$I$211,7,0))</f>
        <v>0</v>
      </c>
      <c r="DJ51" s="45">
        <f>EXP(-LN(2)/35)*DJ50+(1-EXP(-LN(2)/35))/(LN(2)/35)*DF51*DG51*VLOOKUP('Données projet'!$B$9,Paramètres!$A$1:$I$88,3,0)*0.475*44/12</f>
        <v>0</v>
      </c>
      <c r="DK51" s="45">
        <f>EXP(-LN(2)/25)*DK50+(1-EXP(-LN(2)/25))/(LN(2)/25)*Calculateur!DF51*Calculateur!DH51*VLOOKUP('Données projet'!$B$9,Paramètres!$A$1:$I$88,3,0)*0.475*44/12</f>
        <v>0</v>
      </c>
      <c r="DL51" s="45">
        <f>EXP(-LN(2)/2)*DL50+(1-EXP(-LN(2)/2))/(LN(2)/2)*DF51*DI51*VLOOKUP('Données projet'!$B$9,Paramètres!$A$1:$I$88,3,0)*0.475*44/12</f>
        <v>0</v>
      </c>
      <c r="DM51" s="46">
        <f t="shared" si="13"/>
        <v>0</v>
      </c>
      <c r="DN51" s="32" t="e">
        <f>VLOOKUP(A51,'Données projet'!$A$217:$I$237,2,0)</f>
        <v>#N/A</v>
      </c>
      <c r="DO51" s="33" t="e">
        <f>VLOOKUP(A51,'Données projet'!$A$217:$I$237,9,0)</f>
        <v>#N/A</v>
      </c>
      <c r="DP51" s="33">
        <f t="array" ref="DP51">INDEX(DO:DO,MIN(IF(ISNUMBER(DO51:DO247),ROW(DO51:DO247),"")))</f>
        <v>0</v>
      </c>
      <c r="DQ51" s="33">
        <f t="shared" si="35"/>
        <v>0</v>
      </c>
      <c r="DR51" s="38" t="e">
        <f>DQ51*VLOOKUP('Données projet'!$B$16,Paramètres!$A$1:$I$88,3,0)*VLOOKUP('Données projet'!$B$16,Paramètres!$A$1:$I$88,5,0)</f>
        <v>#N/A</v>
      </c>
      <c r="DS51" s="34" t="e">
        <f t="shared" si="36"/>
        <v>#N/A</v>
      </c>
      <c r="DT51" s="44" t="e">
        <f t="shared" si="14"/>
        <v>#N/A</v>
      </c>
      <c r="DU51" s="36">
        <f>IF(ISNA(VLOOKUP(A51,'Données projet'!$A$217:$I$237,3,0)),0,VLOOKUP(A51,'Données projet'!$A$217:$I$237,3,0))</f>
        <v>0</v>
      </c>
      <c r="DV51" s="36">
        <f>IF(ISNA(VLOOKUP(A51,'Données projet'!$A$217:$I$237,4,0)),0,VLOOKUP(A51,'Données projet'!$A$217:$I$237,4,0))</f>
        <v>0</v>
      </c>
      <c r="DW51" s="37">
        <f>IF(ISNA(VLOOKUP(A51,'Données projet'!$A$217:$I$237,5,0)),0%,VLOOKUP(A51,'Données projet'!$A$217:$I$237,5,0)*VLOOKUP('Données projet'!$B$16,Paramètres!$A$1:$I$88,7,0))</f>
        <v>0</v>
      </c>
      <c r="DX51" s="37">
        <f>IF(ISNA(VLOOKUP(A51,'Données projet'!$A$217:$I$237,6,0)),0%,VLOOKUP(A51,'Données projet'!$A$217:$I$237,6,0)*VLOOKUP('Données projet'!$B$16,Paramètres!$A$1:$I$88,7,0))</f>
        <v>0</v>
      </c>
      <c r="DY51" s="37">
        <f>IF(ISNA(VLOOKUP(A51,'Données projet'!$A$217:$I$237,7,0)),0%,VLOOKUP(A51,'Données projet'!$A$217:$I$237,7,0))</f>
        <v>0</v>
      </c>
      <c r="DZ51" s="45">
        <f>EXP(-LN(2)/35)*DZ50+(1-EXP(-LN(2)/35))/(LN(2)/35)*DV51*DW51*VLOOKUP('Données projet'!$B$9,Paramètres!$A$1:$I$88,3,0)*0.475*44/12</f>
        <v>0</v>
      </c>
      <c r="EA51" s="45">
        <f>EXP(-LN(2)/25)*EA50+(1-EXP(-LN(2)/25))/(LN(2)/25)*Calculateur!DV51*Calculateur!DX51*VLOOKUP('Données projet'!$B$9,Paramètres!$A$1:$I$88,3,0)*0.475*44/12</f>
        <v>0</v>
      </c>
      <c r="EB51" s="45">
        <f>EXP(-LN(2)/2)*EB50+(1-EXP(-LN(2)/2))/(LN(2)/2)*DV51*DY51*VLOOKUP('Données projet'!$B$9,Paramètres!$A$1:$I$88,3,0)*0.475*44/12</f>
        <v>0</v>
      </c>
      <c r="EC51" s="46">
        <f t="shared" si="15"/>
        <v>0</v>
      </c>
      <c r="ED51" s="32" t="e">
        <f>VLOOKUP(A51,'Données projet'!$A$243:$I$263,2,0)</f>
        <v>#N/A</v>
      </c>
      <c r="EE51" s="33" t="e">
        <f>VLOOKUP(A51,'Données projet'!$A$243:$I$263,9,0)</f>
        <v>#N/A</v>
      </c>
      <c r="EF51" s="33">
        <f t="array" ref="EF51">INDEX(EE:EE,MIN(IF(ISNUMBER(EE51:EE247),ROW(EE51:EE247),"")))</f>
        <v>0</v>
      </c>
      <c r="EG51" s="33">
        <f t="shared" si="37"/>
        <v>0</v>
      </c>
      <c r="EH51" s="38" t="e">
        <f>EG51*VLOOKUP('Données projet'!$B$17,Paramètres!$A$1:$I$88,3,0)*VLOOKUP('Données projet'!$B$17,Paramètres!$A$1:$I$88,5,0)</f>
        <v>#N/A</v>
      </c>
      <c r="EI51" s="34" t="e">
        <f t="shared" si="38"/>
        <v>#N/A</v>
      </c>
      <c r="EJ51" s="44" t="e">
        <f t="shared" si="16"/>
        <v>#N/A</v>
      </c>
      <c r="EK51" s="36">
        <f>IF(ISNA(VLOOKUP(A51,'Données projet'!$A$243:$I$263,3,0)),0,VLOOKUP(A51,'Données projet'!$A$243:$I$263,3,0))</f>
        <v>0</v>
      </c>
      <c r="EL51" s="36">
        <f>IF(ISNA(VLOOKUP(A51,'Données projet'!$A$243:$I$263,4,0)),0,VLOOKUP(A51,'Données projet'!$A$243:$I$263,4,0))</f>
        <v>0</v>
      </c>
      <c r="EM51" s="37">
        <f>IF(ISNA(VLOOKUP(A51,'Données projet'!$A$243:$I$263,5,0)),0%,VLOOKUP(A51,'Données projet'!$A$243:$I$263,5,0)*VLOOKUP('Données projet'!$B$17,Paramètres!$A$1:$I$88,7,0))</f>
        <v>0</v>
      </c>
      <c r="EN51" s="37">
        <f>IF(ISNA(VLOOKUP(A51,'Données projet'!$A$243:$I$263,6,0)),0%,VLOOKUP(A51,'Données projet'!$A$243:$I$263,6,0)*VLOOKUP('Données projet'!$B$17,Paramètres!$A$1:$I$88,7,0))</f>
        <v>0</v>
      </c>
      <c r="EO51" s="37">
        <f>IF(ISNA(VLOOKUP(A51,'Données projet'!$A$243:$I$263,7,0)),0%,VLOOKUP(A51,'Données projet'!$A$243:$I$263,7,0))</f>
        <v>0</v>
      </c>
      <c r="EP51" s="45">
        <f>EXP(-LN(2)/35)*EP50+(1-EXP(-LN(2)/35))/(LN(2)/35)*EL51*EM51*VLOOKUP('Données projet'!$B$9,Paramètres!$A$1:$I$88,3,0)*0.475*44/12</f>
        <v>0</v>
      </c>
      <c r="EQ51" s="45">
        <f>EXP(-LN(2)/25)*EQ50+(1-EXP(-LN(2)/25))/(LN(2)/25)*Calculateur!EL51*Calculateur!EN51*VLOOKUP('Données projet'!$B$9,Paramètres!$A$1:$I$88,3,0)*0.475*44/12</f>
        <v>0</v>
      </c>
      <c r="ER51" s="45">
        <f>EXP(-LN(2)/2)*ER50+(1-EXP(-LN(2)/2))/(LN(2)/2)*EL51*EO51*VLOOKUP('Données projet'!$B$9,Paramètres!$A$1:$I$88,3,0)*0.475*44/12</f>
        <v>0</v>
      </c>
      <c r="ES51" s="46">
        <f t="shared" si="17"/>
        <v>0</v>
      </c>
      <c r="ET51" s="32" t="e">
        <f>VLOOKUP(A51,'Données projet'!$A$269:$I$289,2,0)</f>
        <v>#N/A</v>
      </c>
      <c r="EU51" s="33" t="e">
        <f>VLOOKUP(A51,'Données projet'!$A$269:$I$289,9,0)</f>
        <v>#N/A</v>
      </c>
      <c r="EV51" s="33">
        <f t="array" ref="EV51">INDEX(EU:EU,MIN(IF(ISNUMBER(EU51:EU247),ROW(EU51:EU247),"")))</f>
        <v>0</v>
      </c>
      <c r="EW51" s="33">
        <f t="shared" si="39"/>
        <v>0</v>
      </c>
      <c r="EX51" s="38" t="e">
        <f>EW51*VLOOKUP('Données projet'!$B$18,Paramètres!$A$1:$I$88,3,0)*VLOOKUP('Données projet'!$B$18,Paramètres!$A$1:$I$88,5,0)</f>
        <v>#N/A</v>
      </c>
      <c r="EY51" s="34" t="e">
        <f t="shared" si="40"/>
        <v>#N/A</v>
      </c>
      <c r="EZ51" s="44" t="e">
        <f t="shared" si="18"/>
        <v>#N/A</v>
      </c>
      <c r="FA51" s="36">
        <f>IF(ISNA(VLOOKUP(A51,'Données projet'!$A$269:$I$289,3,0)),0,VLOOKUP(A51,'Données projet'!$A$269:$I$289,3,0))</f>
        <v>0</v>
      </c>
      <c r="FB51" s="36">
        <f>IF(ISNA(VLOOKUP(A51,'Données projet'!$A$269:$I$289,4,0)),0,VLOOKUP(A51,'Données projet'!$A$269:$I$289,4,0))</f>
        <v>0</v>
      </c>
      <c r="FC51" s="37">
        <f>IF(ISNA(VLOOKUP(A51,'Données projet'!$A$269:$I$289,5,0)),0%,VLOOKUP(A51,'Données projet'!$A$269:$I$289,5,0)*VLOOKUP('Données projet'!$B$18,Paramètres!$A$1:$I$88,7,0))</f>
        <v>0</v>
      </c>
      <c r="FD51" s="37">
        <f>IF(ISNA(VLOOKUP(A51,'Données projet'!$A$269:$I$289,6,0)),0%,VLOOKUP(A51,'Données projet'!$A$269:$I$289,6,0)*VLOOKUP('Données projet'!$B$18,Paramètres!$A$1:$I$88,7,0))</f>
        <v>0</v>
      </c>
      <c r="FE51" s="37">
        <f>IF(ISNA(VLOOKUP(A51,'Données projet'!$A$269:$I$289,7,0)),0%,VLOOKUP(A51,'Données projet'!$A$269:$I$289,7,0))</f>
        <v>0</v>
      </c>
      <c r="FF51" s="45">
        <f>EXP(-LN(2)/35)*FF50+(1-EXP(-LN(2)/35))/(LN(2)/35)*FB51*FC51*VLOOKUP('Données projet'!$B$9,Paramètres!$A$1:$I$88,3,0)*0.475*44/12</f>
        <v>0</v>
      </c>
      <c r="FG51" s="45">
        <f>EXP(-LN(2)/25)*FG50+(1-EXP(-LN(2)/25))/(LN(2)/25)*Calculateur!FB51*Calculateur!FD51*VLOOKUP('Données projet'!$B$9,Paramètres!$A$1:$I$88,3,0)*0.475*44/12</f>
        <v>0</v>
      </c>
      <c r="FH51" s="45">
        <f>EXP(-LN(2)/2)*FH50+(1-EXP(-LN(2)/2))/(LN(2)/2)*FB51*FE51*VLOOKUP('Données projet'!$B$9,Paramètres!$A$1:$I$88,3,0)*0.475*44/12</f>
        <v>0</v>
      </c>
      <c r="FI51" s="46">
        <f t="shared" si="19"/>
        <v>0</v>
      </c>
    </row>
    <row r="52" spans="1:165" x14ac:dyDescent="0.25">
      <c r="A52" s="24">
        <f t="shared" si="20"/>
        <v>49</v>
      </c>
      <c r="B52" s="25">
        <f>IF('Scénario référence'!$N$1=1,5,0)</f>
        <v>0</v>
      </c>
      <c r="C52" s="40">
        <f>IF(OR('Scénario référence'!$N$1=2,'Scénario référence'!$N$1=4),C51+1*VLOOKUP('Scénario référence'!$G$14,Paramètres!$A$1:$I$88,3,0)*VLOOKUP('Scénario référence'!$G$14,Paramètres!$A$1:$I$88,5,0),IF(OR('Scénario référence'!$N$1=3,'Scénario référence'!$N$1=5),C51+0.5*VLOOKUP('Scénario référence'!$G$14,Paramètres!$A$1:$I$88,3,0)*VLOOKUP('Scénario référence'!$G$14,Paramètres!$A$1:$I$88,5,0),0))</f>
        <v>26.753999999999984</v>
      </c>
      <c r="D52" s="26">
        <f t="shared" si="21"/>
        <v>8.4099369579114391</v>
      </c>
      <c r="E52" s="27">
        <f>IF('Scénario référence'!$N$1=1,B52*44/12,(C52+D52)*0.475*44/12)</f>
        <v>61.243856868362393</v>
      </c>
      <c r="F52" s="28" t="e">
        <f>VLOOKUP(A52,'Données projet'!$A$35:$I$55,2,0)</f>
        <v>#N/A</v>
      </c>
      <c r="G52" s="28" t="e">
        <f>VLOOKUP(A52,'Données projet'!$A$35:$I$55,9,0)</f>
        <v>#N/A</v>
      </c>
      <c r="H52" s="33">
        <f t="array" ref="H52">INDEX(G:G,MIN(IF(ISNUMBER(G52:G248),ROW(G52:G248),"")))</f>
        <v>8.1999999999999993</v>
      </c>
      <c r="I52" s="28">
        <f t="shared" si="22"/>
        <v>169.8</v>
      </c>
      <c r="J52" s="41">
        <f>I52*VLOOKUP('Données projet'!$B$9,Paramètres!$A$1:$I$88,3,0)*VLOOKUP('Données projet'!$B$9,Paramètres!$A$1:$I$88,5,0)</f>
        <v>172.1772</v>
      </c>
      <c r="K52" s="41">
        <f t="shared" si="23"/>
        <v>43.577282221917017</v>
      </c>
      <c r="L52" s="42">
        <f t="shared" si="0"/>
        <v>375.77238986983883</v>
      </c>
      <c r="M52" s="30">
        <f>IF(ISNA(VLOOKUP(A52,'Données projet'!$A$35:$I$55,3,0)),0,VLOOKUP(A52,'Données projet'!$A$35:$I$55,3,0))</f>
        <v>0</v>
      </c>
      <c r="N52" s="30">
        <f>IF(ISNA(VLOOKUP(A52,'Données projet'!$A$35:$I$55,4,0)),0,VLOOKUP(A52,'Données projet'!$A$35:$I$55,4,0))</f>
        <v>0</v>
      </c>
      <c r="O52" s="31">
        <f>IF(ISNA(VLOOKUP(A52,'Données projet'!$A$35:$I$55,5,0)),0%,VLOOKUP(A52,'Données projet'!$A$35:$I$55,5,0)*VLOOKUP('Données projet'!$B$9,Paramètres!$A$1:$I$88,7,0))</f>
        <v>0</v>
      </c>
      <c r="P52" s="31">
        <f>IF(ISNA(VLOOKUP(A52,'Données projet'!$A$35:$I$55,6,0)),0%,VLOOKUP(A52,'Données projet'!$A$35:$I$55,6,0)*VLOOKUP('Données projet'!$B$9,Paramètres!$A$1:$I$88,7,0))</f>
        <v>0</v>
      </c>
      <c r="Q52" s="31">
        <f>IF(ISNA(VLOOKUP(A52,'Données projet'!$A$35:$I$55,7,0)),0%,VLOOKUP(A52,'Données projet'!$A$35:$I$55,7,0))</f>
        <v>0</v>
      </c>
      <c r="R52" s="43">
        <f>EXP(-LN(2)/35)*R51+(1-EXP(-LN(2)/35))/(LN(2)/35)*N52*O52*VLOOKUP('Données projet'!$B$9,Paramètres!$A$1:$I$88,3,0)*0.475*44/12</f>
        <v>0</v>
      </c>
      <c r="S52" s="43">
        <f>EXP(-LN(2)/25)*S51+(1-EXP(-LN(2)/25))/(LN(2)/25)*Calculateur!N52*Calculateur!P52*VLOOKUP('Données projet'!$B$9,Paramètres!$A$1:$I$88,3,0)*0.475*44/12</f>
        <v>0</v>
      </c>
      <c r="T52" s="43">
        <f>EXP(-LN(2)/2)*T51+(1-EXP(-LN(2)/2))/(LN(2)/2)*N52*Q52*VLOOKUP('Données projet'!$B$9,Paramètres!$A$1:$I$88,3,0)*0.475*44/12</f>
        <v>0</v>
      </c>
      <c r="U52" s="43">
        <f t="shared" si="1"/>
        <v>0</v>
      </c>
      <c r="V52" s="32" t="e">
        <f>VLOOKUP(A52,'Données projet'!$A$61:$I$81,2,0)</f>
        <v>#N/A</v>
      </c>
      <c r="W52" s="33" t="e">
        <f>VLOOKUP(A52,'Données projet'!$A$61:$I$81,9,0)</f>
        <v>#N/A</v>
      </c>
      <c r="X52" s="33">
        <f t="array" ref="X52">INDEX(W:W,MIN(IF(ISNUMBER(W52:W248),ROW(W52:W248),"")))</f>
        <v>0</v>
      </c>
      <c r="Y52" s="33">
        <f t="shared" si="24"/>
        <v>0</v>
      </c>
      <c r="Z52" s="34" t="e">
        <f>Y52*VLOOKUP('Données projet'!$B$10,Paramètres!$A$1:$I$88,3,0)*VLOOKUP('Données projet'!$B$10,Paramètres!$A$1:$I$88,5,0)</f>
        <v>#N/A</v>
      </c>
      <c r="AA52" s="34" t="e">
        <f t="shared" si="25"/>
        <v>#N/A</v>
      </c>
      <c r="AB52" s="44" t="e">
        <f t="shared" si="2"/>
        <v>#N/A</v>
      </c>
      <c r="AC52" s="36">
        <f>IF(ISNA(VLOOKUP(A52,'Données projet'!$A$61:$I$81,3,0)),0,VLOOKUP(A52,'Données projet'!$A$61:$I$81,3,0))</f>
        <v>0</v>
      </c>
      <c r="AD52" s="36">
        <f>IF(ISNA(VLOOKUP(A52,'Données projet'!$A$61:$I$81,4,0)),0,VLOOKUP(A52,'Données projet'!$A$61:$I$81,4,0))</f>
        <v>0</v>
      </c>
      <c r="AE52" s="37">
        <f>IF(ISNA(VLOOKUP(A52,'Données projet'!$A$61:$I$81,5,0)),0%,VLOOKUP(A52,'Données projet'!$A$61:$I$81,5,0)*VLOOKUP('Données projet'!$B$10,Paramètres!$A$1:$I$88,7,0))</f>
        <v>0</v>
      </c>
      <c r="AF52" s="37">
        <f>IF(ISNA(VLOOKUP(A52,'Données projet'!$A$61:$I$81,6,0)),0%,VLOOKUP(A52,'Données projet'!$A$61:$I$81,6,0)*VLOOKUP('Données projet'!$B$10,Paramètres!$A$1:$I$88,7,0))</f>
        <v>0</v>
      </c>
      <c r="AG52" s="37">
        <f>IF(ISNA(VLOOKUP(A52,'Données projet'!$A$61:$I$81,7,0)),0%,VLOOKUP(A52,'Données projet'!$A$61:$I$81,7,0))</f>
        <v>0</v>
      </c>
      <c r="AH52" s="45">
        <f>EXP(-LN(2)/35)*AH51+(1-EXP(-LN(2)/35))/(LN(2)/35)*AD52*AE52*VLOOKUP('Données projet'!$B$9,Paramètres!$A$1:$I$88,3,0)*0.475*44/12</f>
        <v>0</v>
      </c>
      <c r="AI52" s="45">
        <f>EXP(-LN(2)/25)*AI51+(1-EXP(-LN(2)/25))/(LN(2)/25)*Calculateur!AD52*Calculateur!AF52*VLOOKUP('Données projet'!$B$9,Paramètres!$A$1:$I$88,3,0)*0.475*44/12</f>
        <v>0</v>
      </c>
      <c r="AJ52" s="45">
        <f>EXP(-LN(2)/2)*AJ51+(1-EXP(-LN(2)/2))/(LN(2)/2)*AD52*AG52*VLOOKUP('Données projet'!$B$9,Paramètres!$A$1:$I$88,3,0)*0.475*44/12</f>
        <v>0</v>
      </c>
      <c r="AK52" s="45">
        <f t="shared" si="3"/>
        <v>0</v>
      </c>
      <c r="AL52" s="32" t="e">
        <f>VLOOKUP(A52,'Données projet'!$A$87:$I$107,2,0)</f>
        <v>#N/A</v>
      </c>
      <c r="AM52" s="33" t="e">
        <f>VLOOKUP(A52,'Données projet'!$A$87:$I$107,9,0)</f>
        <v>#N/A</v>
      </c>
      <c r="AN52" s="33">
        <f t="array" ref="AN52">INDEX(AM:AM,MIN(IF(ISNUMBER(AM52:AM248),ROW(AM52:AM248),"")))</f>
        <v>0</v>
      </c>
      <c r="AO52" s="33">
        <f t="shared" si="26"/>
        <v>0</v>
      </c>
      <c r="AP52" s="34" t="e">
        <f>AO52*VLOOKUP('Données projet'!$B$11,Paramètres!$A$1:$I$88,3,0)*VLOOKUP('Données projet'!$B$11,Paramètres!$A$1:$I$88,5,0)</f>
        <v>#N/A</v>
      </c>
      <c r="AQ52" s="34" t="e">
        <f t="shared" si="27"/>
        <v>#N/A</v>
      </c>
      <c r="AR52" s="44" t="e">
        <f t="shared" si="4"/>
        <v>#N/A</v>
      </c>
      <c r="AS52" s="36">
        <f>IF(ISNA(VLOOKUP(A52,'Données projet'!$A$87:$I$107,3,0)),0,VLOOKUP(A52,'Données projet'!$A$87:$I$107,3,0))</f>
        <v>0</v>
      </c>
      <c r="AT52" s="36">
        <f>IF(ISNA(VLOOKUP(A52,'Données projet'!$A$87:$I$107,4,0)),0,VLOOKUP(A52,'Données projet'!$A$87:$I$107,4,0))</f>
        <v>0</v>
      </c>
      <c r="AU52" s="37">
        <f>IF(ISNA(VLOOKUP(A52,'Données projet'!$A$87:$I$107,5,0)),0%,VLOOKUP(A52,'Données projet'!$A$87:$I$107,5,0)*VLOOKUP('Données projet'!$B$11,Paramètres!$A$1:$I$88,7,0))</f>
        <v>0</v>
      </c>
      <c r="AV52" s="37">
        <f>IF(ISNA(VLOOKUP(A52,'Données projet'!$A$87:$I$107,6,0)),0%,VLOOKUP(A52,'Données projet'!$A$87:$I$107,6,0)*VLOOKUP('Données projet'!$B$11,Paramètres!$A$1:$I$88,7,0))</f>
        <v>0</v>
      </c>
      <c r="AW52" s="37">
        <f>IF(ISNA(VLOOKUP(A52,'Données projet'!$A$87:$I$107,7,0)),0%,VLOOKUP(A52,'Données projet'!$A$87:$I$107,7,0))</f>
        <v>0</v>
      </c>
      <c r="AX52" s="45">
        <f>EXP(-LN(2)/35)*AX51+(1-EXP(-LN(2)/35))/(LN(2)/35)*AT52*AU52*VLOOKUP('Données projet'!$B$9,Paramètres!$A$1:$I$88,3,0)*0.475*44/12</f>
        <v>0</v>
      </c>
      <c r="AY52" s="45">
        <f>EXP(-LN(2)/25)*AY51+(1-EXP(-LN(2)/25))/(LN(2)/25)*Calculateur!AT52*Calculateur!AV52*VLOOKUP('Données projet'!$B$9,Paramètres!$A$1:$I$88,3,0)*0.475*44/12</f>
        <v>0</v>
      </c>
      <c r="AZ52" s="45">
        <f>EXP(-LN(2)/2)*AZ51+(1-EXP(-LN(2)/2))/(LN(2)/2)*AT52*AW52*VLOOKUP('Données projet'!$B$9,Paramètres!$A$1:$I$88,3,0)*0.475*44/12</f>
        <v>0</v>
      </c>
      <c r="BA52" s="46">
        <f t="shared" si="5"/>
        <v>0</v>
      </c>
      <c r="BB52" s="32" t="e">
        <f>VLOOKUP(A52,'Données projet'!$A$113:$I$133,2,0)</f>
        <v>#N/A</v>
      </c>
      <c r="BC52" s="33" t="e">
        <f>VLOOKUP(A52,'Données projet'!$A$113:$I$133,9,0)</f>
        <v>#N/A</v>
      </c>
      <c r="BD52" s="33">
        <f t="array" ref="BD52">INDEX(BC:BC,MIN(IF(ISNUMBER(BC52:BC248),ROW(BC52:BC248),"")))</f>
        <v>0</v>
      </c>
      <c r="BE52" s="33">
        <f t="shared" si="28"/>
        <v>0</v>
      </c>
      <c r="BF52" s="34" t="e">
        <f>BE52*VLOOKUP('Données projet'!$B$12,Paramètres!$A$1:$I$88,3,0)*VLOOKUP('Données projet'!$B$12,Paramètres!$A$1:$I$88,5,0)</f>
        <v>#N/A</v>
      </c>
      <c r="BG52" s="34" t="e">
        <f t="shared" si="29"/>
        <v>#N/A</v>
      </c>
      <c r="BH52" s="44" t="e">
        <f t="shared" si="6"/>
        <v>#N/A</v>
      </c>
      <c r="BI52" s="36">
        <f>IF(ISNA(VLOOKUP(A52,'Données projet'!$A$113:$I$133,3,0)),0,VLOOKUP(A52,'Données projet'!$A$113:$I$133,3,0))</f>
        <v>0</v>
      </c>
      <c r="BJ52" s="36">
        <f>IF(ISNA(VLOOKUP(A52,'Données projet'!$A$113:$I$133,4,0)),0,VLOOKUP(A52,'Données projet'!$A$113:$I$133,4,0))</f>
        <v>0</v>
      </c>
      <c r="BK52" s="37">
        <f>IF(ISNA(VLOOKUP(A52,'Données projet'!$A$113:$I$133,5,0)),0%,VLOOKUP(A52,'Données projet'!$A$113:$I$133,5,0)*VLOOKUP('Données projet'!$B$12,Paramètres!$A$1:$I$88,7,0))</f>
        <v>0</v>
      </c>
      <c r="BL52" s="37">
        <f>IF(ISNA(VLOOKUP(A52,'Données projet'!$A$113:$I$133,6,0)),0%,VLOOKUP(A52,'Données projet'!$A$113:$I$133,6,0)*VLOOKUP('Données projet'!$B$12,Paramètres!$A$1:$I$88,7,0))</f>
        <v>0</v>
      </c>
      <c r="BM52" s="37">
        <f>IF(ISNA(VLOOKUP(A52,'Données projet'!$A$113:$I$133,7,0)),0%,VLOOKUP(A52,'Données projet'!$A$113:$I$133,7,0))</f>
        <v>0</v>
      </c>
      <c r="BN52" s="45">
        <f>EXP(-LN(2)/35)*BN51+(1-EXP(-LN(2)/35))/(LN(2)/35)*BJ52*BK52*VLOOKUP('Données projet'!$B$9,Paramètres!$A$1:$I$88,3,0)*0.475*44/12</f>
        <v>0</v>
      </c>
      <c r="BO52" s="45">
        <f>EXP(-LN(2)/25)*BO51+(1-EXP(-LN(2)/25))/(LN(2)/25)*Calculateur!BJ52*Calculateur!BL52*VLOOKUP('Données projet'!$B$9,Paramètres!$A$1:$I$88,3,0)*0.475*44/12</f>
        <v>0</v>
      </c>
      <c r="BP52" s="45">
        <f>EXP(-LN(2)/2)*BP51+(1-EXP(-LN(2)/2))/(LN(2)/2)*BJ52*BM52*VLOOKUP('Données projet'!$B$9,Paramètres!$A$1:$I$88,3,0)*0.475*44/12</f>
        <v>0</v>
      </c>
      <c r="BQ52" s="46">
        <f t="shared" si="7"/>
        <v>0</v>
      </c>
      <c r="BR52" s="32" t="e">
        <f>VLOOKUP(A52,'Données projet'!$A$139:$I$159,2,0)</f>
        <v>#N/A</v>
      </c>
      <c r="BS52" s="33" t="e">
        <f>VLOOKUP(A52,'Données projet'!$A$139:$I$159,9,0)</f>
        <v>#N/A</v>
      </c>
      <c r="BT52" s="33">
        <f t="array" ref="BT52">INDEX(BS:BS,MIN(IF(ISNUMBER(BS52:BS248),ROW(BS52:BS248),"")))</f>
        <v>0</v>
      </c>
      <c r="BU52" s="33">
        <f t="shared" si="41"/>
        <v>0</v>
      </c>
      <c r="BV52" s="38" t="e">
        <f>BU52*VLOOKUP('Données projet'!$B$13,Paramètres!$A$1:$I$88,3,0)*VLOOKUP('Données projet'!$B$13,Paramètres!$A$1:$I$88,5,0)</f>
        <v>#N/A</v>
      </c>
      <c r="BW52" s="34" t="e">
        <f t="shared" si="30"/>
        <v>#N/A</v>
      </c>
      <c r="BX52" s="44" t="e">
        <f t="shared" si="8"/>
        <v>#N/A</v>
      </c>
      <c r="BY52" s="36">
        <f>IF(ISNA(VLOOKUP(A52,'Données projet'!$A$139:$I$159,3,0)),0,VLOOKUP(A52,'Données projet'!$A$139:$I$159,3,0))</f>
        <v>0</v>
      </c>
      <c r="BZ52" s="36">
        <f>IF(ISNA(VLOOKUP(A52,'Données projet'!$A$139:$I$159,4,0)),0,VLOOKUP(A52,'Données projet'!$A$139:$I$159,4,0))</f>
        <v>0</v>
      </c>
      <c r="CA52" s="37">
        <f>IF(ISNA(VLOOKUP(A52,'Données projet'!$A$139:$I$159,5,0)),0%,VLOOKUP(A52,'Données projet'!$A$139:$I$159,5,0)*VLOOKUP('Données projet'!$B$13,Paramètres!$A$1:$I$88,7,0))</f>
        <v>0</v>
      </c>
      <c r="CB52" s="37">
        <f>IF(ISNA(VLOOKUP(A52,'Données projet'!$A$139:$I$159,6,0)),0%,VLOOKUP(A52,'Données projet'!$A$139:$I$159,6,0)*VLOOKUP('Données projet'!$B$13,Paramètres!$A$1:$I$88,7,0))</f>
        <v>0</v>
      </c>
      <c r="CC52" s="37">
        <f>IF(ISNA(VLOOKUP(A52,'Données projet'!$A$139:$I$159,7,0)),0%,VLOOKUP(A52,'Données projet'!$A$139:$I$159,7,0))</f>
        <v>0</v>
      </c>
      <c r="CD52" s="45">
        <f>EXP(-LN(2)/35)*CD51+(1-EXP(-LN(2)/35))/(LN(2)/35)*BZ52*CA52*VLOOKUP('Données projet'!$B$9,Paramètres!$A$1:$I$88,3,0)*0.475*44/12</f>
        <v>0</v>
      </c>
      <c r="CE52" s="45">
        <f>EXP(-LN(2)/25)*CE51+(1-EXP(-LN(2)/25))/(LN(2)/25)*Calculateur!BZ52*Calculateur!CB52*VLOOKUP('Données projet'!$B$9,Paramètres!$A$1:$I$88,3,0)*0.475*44/12</f>
        <v>0</v>
      </c>
      <c r="CF52" s="45">
        <f>EXP(-LN(2)/2)*CF51+(1-EXP(-LN(2)/2))/(LN(2)/2)*BZ52*CC52*VLOOKUP('Données projet'!$B$9,Paramètres!$A$1:$I$88,3,0)*0.475*44/12</f>
        <v>0</v>
      </c>
      <c r="CG52" s="46">
        <f t="shared" si="9"/>
        <v>0</v>
      </c>
      <c r="CH52" s="32" t="e">
        <f>VLOOKUP(A52,'Données projet'!$A$165:$I$185,2,0)</f>
        <v>#N/A</v>
      </c>
      <c r="CI52" s="33" t="e">
        <f>VLOOKUP(A52,'Données projet'!$A$165:$I$185,9,0)</f>
        <v>#N/A</v>
      </c>
      <c r="CJ52" s="33">
        <f t="array" ref="CJ52">INDEX(CI:CI,MIN(IF(ISNUMBER(CI52:CI248),ROW(CI52:CI248),"")))</f>
        <v>0</v>
      </c>
      <c r="CK52" s="33">
        <f t="shared" si="31"/>
        <v>0</v>
      </c>
      <c r="CL52" s="38" t="e">
        <f>CK52*VLOOKUP('Données projet'!$B$14,Paramètres!$A$1:$I$88,3,0)*VLOOKUP('Données projet'!$B$14,Paramètres!$A$1:$I$88,5,0)</f>
        <v>#N/A</v>
      </c>
      <c r="CM52" s="34" t="e">
        <f t="shared" si="32"/>
        <v>#N/A</v>
      </c>
      <c r="CN52" s="44" t="e">
        <f t="shared" si="10"/>
        <v>#N/A</v>
      </c>
      <c r="CO52" s="36">
        <f>IF(ISNA(VLOOKUP(A52,'Données projet'!$A$165:$I$185,3,0)),0,VLOOKUP(A52,'Données projet'!$A$165:$I$185,3,0))</f>
        <v>0</v>
      </c>
      <c r="CP52" s="36">
        <f>IF(ISNA(VLOOKUP(A52,'Données projet'!$A$165:$I$185,4,0)),0,VLOOKUP(A52,'Données projet'!$A$165:$I$185,4,0))</f>
        <v>0</v>
      </c>
      <c r="CQ52" s="37">
        <f>IF(ISNA(VLOOKUP(A52,'Données projet'!$A$165:$I$185,5,0)),0%,VLOOKUP(A52,'Données projet'!$A$165:$I$185,5,0)*VLOOKUP('Données projet'!$B$14,Paramètres!$A$1:$I$88,7,0))</f>
        <v>0</v>
      </c>
      <c r="CR52" s="37">
        <f>IF(ISNA(VLOOKUP(A52,'Données projet'!$A$165:$I$185,6,0)),0%,VLOOKUP(A52,'Données projet'!$A$165:$I$185,6,0)*VLOOKUP('Données projet'!$B$14,Paramètres!$A$1:$I$88,7,0))</f>
        <v>0</v>
      </c>
      <c r="CS52" s="37">
        <f>IF(ISNA(VLOOKUP(A52,'Données projet'!$A$165:$I$185,7,0)),0%,VLOOKUP(A52,'Données projet'!$A$165:$I$185,7,0))</f>
        <v>0</v>
      </c>
      <c r="CT52" s="45">
        <f>EXP(-LN(2)/35)*CT51+(1-EXP(-LN(2)/35))/(LN(2)/35)*CP52*CQ52*VLOOKUP('Données projet'!$B$9,Paramètres!$A$1:$I$88,3,0)*0.475*44/12</f>
        <v>0</v>
      </c>
      <c r="CU52" s="45">
        <f>EXP(-LN(2)/25)*CU51+(1-EXP(-LN(2)/25))/(LN(2)/25)*Calculateur!CP52*Calculateur!CR52*VLOOKUP('Données projet'!$B$9,Paramètres!$A$1:$I$88,3,0)*0.475*44/12</f>
        <v>0</v>
      </c>
      <c r="CV52" s="45">
        <f>EXP(-LN(2)/2)*CV51+(1-EXP(-LN(2)/2))/(LN(2)/2)*CP52*CS52*VLOOKUP('Données projet'!$B$9,Paramètres!$A$1:$I$88,3,0)*0.475*44/12</f>
        <v>0</v>
      </c>
      <c r="CW52" s="46">
        <f t="shared" si="11"/>
        <v>0</v>
      </c>
      <c r="CX52" s="32" t="e">
        <f>VLOOKUP(A52,'Données projet'!$A$191:$I$211,2,0)</f>
        <v>#N/A</v>
      </c>
      <c r="CY52" s="33" t="e">
        <f>VLOOKUP(A52,'Données projet'!$A$191:$I$211,9,0)</f>
        <v>#N/A</v>
      </c>
      <c r="CZ52" s="33">
        <f t="array" ref="CZ52">INDEX(CY:CY,MIN(IF(ISNUMBER(CY52:CY248),ROW(CY52:CY248),"")))</f>
        <v>0</v>
      </c>
      <c r="DA52" s="33">
        <f t="shared" si="33"/>
        <v>0</v>
      </c>
      <c r="DB52" s="38" t="e">
        <f>DA52*VLOOKUP('Données projet'!$B$15,Paramètres!$A$1:$I$88,3,0)*VLOOKUP('Données projet'!$B$15,Paramètres!$A$1:$I$88,5,0)</f>
        <v>#N/A</v>
      </c>
      <c r="DC52" s="34" t="e">
        <f t="shared" si="34"/>
        <v>#N/A</v>
      </c>
      <c r="DD52" s="44" t="e">
        <f t="shared" si="12"/>
        <v>#N/A</v>
      </c>
      <c r="DE52" s="36">
        <f>IF(ISNA(VLOOKUP(A52,'Données projet'!$A$191:$I$211,3,0)),0,VLOOKUP(A52,'Données projet'!$A$191:$I$211,3,0))</f>
        <v>0</v>
      </c>
      <c r="DF52" s="36">
        <f>IF(ISNA(VLOOKUP(A52,'Données projet'!$A$191:$I$211,4,0)),0,VLOOKUP(A52,'Données projet'!$A$191:$I$211,4,0))</f>
        <v>0</v>
      </c>
      <c r="DG52" s="37">
        <f>IF(ISNA(VLOOKUP(A52,'Données projet'!$A$191:$I$211,5,0)),0%,VLOOKUP(A52,'Données projet'!$A$191:$I$211,5,0)*VLOOKUP('Données projet'!$B$15,Paramètres!$A$1:$I$88,7,0))</f>
        <v>0</v>
      </c>
      <c r="DH52" s="37">
        <f>IF(ISNA(VLOOKUP(A52,'Données projet'!$A$191:$I$211,6,0)),0%,VLOOKUP(A52,'Données projet'!$A$191:$I$211,6,0)*VLOOKUP('Données projet'!$B$15,Paramètres!$A$1:$I$88,7,0))</f>
        <v>0</v>
      </c>
      <c r="DI52" s="37">
        <f>IF(ISNA(VLOOKUP(A52,'Données projet'!$A$191:$I$211,7,0)),0%,VLOOKUP(A52,'Données projet'!$A$191:$I$211,7,0))</f>
        <v>0</v>
      </c>
      <c r="DJ52" s="45">
        <f>EXP(-LN(2)/35)*DJ51+(1-EXP(-LN(2)/35))/(LN(2)/35)*DF52*DG52*VLOOKUP('Données projet'!$B$9,Paramètres!$A$1:$I$88,3,0)*0.475*44/12</f>
        <v>0</v>
      </c>
      <c r="DK52" s="45">
        <f>EXP(-LN(2)/25)*DK51+(1-EXP(-LN(2)/25))/(LN(2)/25)*Calculateur!DF52*Calculateur!DH52*VLOOKUP('Données projet'!$B$9,Paramètres!$A$1:$I$88,3,0)*0.475*44/12</f>
        <v>0</v>
      </c>
      <c r="DL52" s="45">
        <f>EXP(-LN(2)/2)*DL51+(1-EXP(-LN(2)/2))/(LN(2)/2)*DF52*DI52*VLOOKUP('Données projet'!$B$9,Paramètres!$A$1:$I$88,3,0)*0.475*44/12</f>
        <v>0</v>
      </c>
      <c r="DM52" s="46">
        <f t="shared" si="13"/>
        <v>0</v>
      </c>
      <c r="DN52" s="32" t="e">
        <f>VLOOKUP(A52,'Données projet'!$A$217:$I$237,2,0)</f>
        <v>#N/A</v>
      </c>
      <c r="DO52" s="33" t="e">
        <f>VLOOKUP(A52,'Données projet'!$A$217:$I$237,9,0)</f>
        <v>#N/A</v>
      </c>
      <c r="DP52" s="33">
        <f t="array" ref="DP52">INDEX(DO:DO,MIN(IF(ISNUMBER(DO52:DO248),ROW(DO52:DO248),"")))</f>
        <v>0</v>
      </c>
      <c r="DQ52" s="33">
        <f t="shared" si="35"/>
        <v>0</v>
      </c>
      <c r="DR52" s="38" t="e">
        <f>DQ52*VLOOKUP('Données projet'!$B$16,Paramètres!$A$1:$I$88,3,0)*VLOOKUP('Données projet'!$B$16,Paramètres!$A$1:$I$88,5,0)</f>
        <v>#N/A</v>
      </c>
      <c r="DS52" s="34" t="e">
        <f t="shared" si="36"/>
        <v>#N/A</v>
      </c>
      <c r="DT52" s="44" t="e">
        <f t="shared" si="14"/>
        <v>#N/A</v>
      </c>
      <c r="DU52" s="36">
        <f>IF(ISNA(VLOOKUP(A52,'Données projet'!$A$217:$I$237,3,0)),0,VLOOKUP(A52,'Données projet'!$A$217:$I$237,3,0))</f>
        <v>0</v>
      </c>
      <c r="DV52" s="36">
        <f>IF(ISNA(VLOOKUP(A52,'Données projet'!$A$217:$I$237,4,0)),0,VLOOKUP(A52,'Données projet'!$A$217:$I$237,4,0))</f>
        <v>0</v>
      </c>
      <c r="DW52" s="37">
        <f>IF(ISNA(VLOOKUP(A52,'Données projet'!$A$217:$I$237,5,0)),0%,VLOOKUP(A52,'Données projet'!$A$217:$I$237,5,0)*VLOOKUP('Données projet'!$B$16,Paramètres!$A$1:$I$88,7,0))</f>
        <v>0</v>
      </c>
      <c r="DX52" s="37">
        <f>IF(ISNA(VLOOKUP(A52,'Données projet'!$A$217:$I$237,6,0)),0%,VLOOKUP(A52,'Données projet'!$A$217:$I$237,6,0)*VLOOKUP('Données projet'!$B$16,Paramètres!$A$1:$I$88,7,0))</f>
        <v>0</v>
      </c>
      <c r="DY52" s="37">
        <f>IF(ISNA(VLOOKUP(A52,'Données projet'!$A$217:$I$237,7,0)),0%,VLOOKUP(A52,'Données projet'!$A$217:$I$237,7,0))</f>
        <v>0</v>
      </c>
      <c r="DZ52" s="45">
        <f>EXP(-LN(2)/35)*DZ51+(1-EXP(-LN(2)/35))/(LN(2)/35)*DV52*DW52*VLOOKUP('Données projet'!$B$9,Paramètres!$A$1:$I$88,3,0)*0.475*44/12</f>
        <v>0</v>
      </c>
      <c r="EA52" s="45">
        <f>EXP(-LN(2)/25)*EA51+(1-EXP(-LN(2)/25))/(LN(2)/25)*Calculateur!DV52*Calculateur!DX52*VLOOKUP('Données projet'!$B$9,Paramètres!$A$1:$I$88,3,0)*0.475*44/12</f>
        <v>0</v>
      </c>
      <c r="EB52" s="45">
        <f>EXP(-LN(2)/2)*EB51+(1-EXP(-LN(2)/2))/(LN(2)/2)*DV52*DY52*VLOOKUP('Données projet'!$B$9,Paramètres!$A$1:$I$88,3,0)*0.475*44/12</f>
        <v>0</v>
      </c>
      <c r="EC52" s="46">
        <f t="shared" si="15"/>
        <v>0</v>
      </c>
      <c r="ED52" s="32" t="e">
        <f>VLOOKUP(A52,'Données projet'!$A$243:$I$263,2,0)</f>
        <v>#N/A</v>
      </c>
      <c r="EE52" s="33" t="e">
        <f>VLOOKUP(A52,'Données projet'!$A$243:$I$263,9,0)</f>
        <v>#N/A</v>
      </c>
      <c r="EF52" s="33">
        <f t="array" ref="EF52">INDEX(EE:EE,MIN(IF(ISNUMBER(EE52:EE248),ROW(EE52:EE248),"")))</f>
        <v>0</v>
      </c>
      <c r="EG52" s="33">
        <f t="shared" si="37"/>
        <v>0</v>
      </c>
      <c r="EH52" s="38" t="e">
        <f>EG52*VLOOKUP('Données projet'!$B$17,Paramètres!$A$1:$I$88,3,0)*VLOOKUP('Données projet'!$B$17,Paramètres!$A$1:$I$88,5,0)</f>
        <v>#N/A</v>
      </c>
      <c r="EI52" s="34" t="e">
        <f t="shared" si="38"/>
        <v>#N/A</v>
      </c>
      <c r="EJ52" s="44" t="e">
        <f t="shared" si="16"/>
        <v>#N/A</v>
      </c>
      <c r="EK52" s="36">
        <f>IF(ISNA(VLOOKUP(A52,'Données projet'!$A$243:$I$263,3,0)),0,VLOOKUP(A52,'Données projet'!$A$243:$I$263,3,0))</f>
        <v>0</v>
      </c>
      <c r="EL52" s="36">
        <f>IF(ISNA(VLOOKUP(A52,'Données projet'!$A$243:$I$263,4,0)),0,VLOOKUP(A52,'Données projet'!$A$243:$I$263,4,0))</f>
        <v>0</v>
      </c>
      <c r="EM52" s="37">
        <f>IF(ISNA(VLOOKUP(A52,'Données projet'!$A$243:$I$263,5,0)),0%,VLOOKUP(A52,'Données projet'!$A$243:$I$263,5,0)*VLOOKUP('Données projet'!$B$17,Paramètres!$A$1:$I$88,7,0))</f>
        <v>0</v>
      </c>
      <c r="EN52" s="37">
        <f>IF(ISNA(VLOOKUP(A52,'Données projet'!$A$243:$I$263,6,0)),0%,VLOOKUP(A52,'Données projet'!$A$243:$I$263,6,0)*VLOOKUP('Données projet'!$B$17,Paramètres!$A$1:$I$88,7,0))</f>
        <v>0</v>
      </c>
      <c r="EO52" s="37">
        <f>IF(ISNA(VLOOKUP(A52,'Données projet'!$A$243:$I$263,7,0)),0%,VLOOKUP(A52,'Données projet'!$A$243:$I$263,7,0))</f>
        <v>0</v>
      </c>
      <c r="EP52" s="45">
        <f>EXP(-LN(2)/35)*EP51+(1-EXP(-LN(2)/35))/(LN(2)/35)*EL52*EM52*VLOOKUP('Données projet'!$B$9,Paramètres!$A$1:$I$88,3,0)*0.475*44/12</f>
        <v>0</v>
      </c>
      <c r="EQ52" s="45">
        <f>EXP(-LN(2)/25)*EQ51+(1-EXP(-LN(2)/25))/(LN(2)/25)*Calculateur!EL52*Calculateur!EN52*VLOOKUP('Données projet'!$B$9,Paramètres!$A$1:$I$88,3,0)*0.475*44/12</f>
        <v>0</v>
      </c>
      <c r="ER52" s="45">
        <f>EXP(-LN(2)/2)*ER51+(1-EXP(-LN(2)/2))/(LN(2)/2)*EL52*EO52*VLOOKUP('Données projet'!$B$9,Paramètres!$A$1:$I$88,3,0)*0.475*44/12</f>
        <v>0</v>
      </c>
      <c r="ES52" s="46">
        <f t="shared" si="17"/>
        <v>0</v>
      </c>
      <c r="ET52" s="32" t="e">
        <f>VLOOKUP(A52,'Données projet'!$A$269:$I$289,2,0)</f>
        <v>#N/A</v>
      </c>
      <c r="EU52" s="33" t="e">
        <f>VLOOKUP(A52,'Données projet'!$A$269:$I$289,9,0)</f>
        <v>#N/A</v>
      </c>
      <c r="EV52" s="33">
        <f t="array" ref="EV52">INDEX(EU:EU,MIN(IF(ISNUMBER(EU52:EU248),ROW(EU52:EU248),"")))</f>
        <v>0</v>
      </c>
      <c r="EW52" s="33">
        <f t="shared" si="39"/>
        <v>0</v>
      </c>
      <c r="EX52" s="38" t="e">
        <f>EW52*VLOOKUP('Données projet'!$B$18,Paramètres!$A$1:$I$88,3,0)*VLOOKUP('Données projet'!$B$18,Paramètres!$A$1:$I$88,5,0)</f>
        <v>#N/A</v>
      </c>
      <c r="EY52" s="34" t="e">
        <f t="shared" si="40"/>
        <v>#N/A</v>
      </c>
      <c r="EZ52" s="44" t="e">
        <f t="shared" si="18"/>
        <v>#N/A</v>
      </c>
      <c r="FA52" s="36">
        <f>IF(ISNA(VLOOKUP(A52,'Données projet'!$A$269:$I$289,3,0)),0,VLOOKUP(A52,'Données projet'!$A$269:$I$289,3,0))</f>
        <v>0</v>
      </c>
      <c r="FB52" s="36">
        <f>IF(ISNA(VLOOKUP(A52,'Données projet'!$A$269:$I$289,4,0)),0,VLOOKUP(A52,'Données projet'!$A$269:$I$289,4,0))</f>
        <v>0</v>
      </c>
      <c r="FC52" s="37">
        <f>IF(ISNA(VLOOKUP(A52,'Données projet'!$A$269:$I$289,5,0)),0%,VLOOKUP(A52,'Données projet'!$A$269:$I$289,5,0)*VLOOKUP('Données projet'!$B$18,Paramètres!$A$1:$I$88,7,0))</f>
        <v>0</v>
      </c>
      <c r="FD52" s="37">
        <f>IF(ISNA(VLOOKUP(A52,'Données projet'!$A$269:$I$289,6,0)),0%,VLOOKUP(A52,'Données projet'!$A$269:$I$289,6,0)*VLOOKUP('Données projet'!$B$18,Paramètres!$A$1:$I$88,7,0))</f>
        <v>0</v>
      </c>
      <c r="FE52" s="37">
        <f>IF(ISNA(VLOOKUP(A52,'Données projet'!$A$269:$I$289,7,0)),0%,VLOOKUP(A52,'Données projet'!$A$269:$I$289,7,0))</f>
        <v>0</v>
      </c>
      <c r="FF52" s="45">
        <f>EXP(-LN(2)/35)*FF51+(1-EXP(-LN(2)/35))/(LN(2)/35)*FB52*FC52*VLOOKUP('Données projet'!$B$9,Paramètres!$A$1:$I$88,3,0)*0.475*44/12</f>
        <v>0</v>
      </c>
      <c r="FG52" s="45">
        <f>EXP(-LN(2)/25)*FG51+(1-EXP(-LN(2)/25))/(LN(2)/25)*Calculateur!FB52*Calculateur!FD52*VLOOKUP('Données projet'!$B$9,Paramètres!$A$1:$I$88,3,0)*0.475*44/12</f>
        <v>0</v>
      </c>
      <c r="FH52" s="45">
        <f>EXP(-LN(2)/2)*FH51+(1-EXP(-LN(2)/2))/(LN(2)/2)*FB52*FE52*VLOOKUP('Données projet'!$B$9,Paramètres!$A$1:$I$88,3,0)*0.475*44/12</f>
        <v>0</v>
      </c>
      <c r="FI52" s="46">
        <f t="shared" si="19"/>
        <v>0</v>
      </c>
    </row>
    <row r="53" spans="1:165" x14ac:dyDescent="0.25">
      <c r="A53" s="24">
        <f t="shared" si="20"/>
        <v>50</v>
      </c>
      <c r="B53" s="25">
        <f>IF('Scénario référence'!$N$1=1,5,0)</f>
        <v>0</v>
      </c>
      <c r="C53" s="40">
        <f>IF(OR('Scénario référence'!$N$1=2,'Scénario référence'!$N$1=4),C52+1*VLOOKUP('Scénario référence'!$G$14,Paramètres!$A$1:$I$88,3,0)*VLOOKUP('Scénario référence'!$G$14,Paramètres!$A$1:$I$88,5,0),IF(OR('Scénario référence'!$N$1=3,'Scénario référence'!$N$1=5),C52+0.5*VLOOKUP('Scénario référence'!$G$14,Paramètres!$A$1:$I$88,3,0)*VLOOKUP('Scénario référence'!$G$14,Paramètres!$A$1:$I$88,5,0),0))</f>
        <v>27.299999999999983</v>
      </c>
      <c r="D53" s="26">
        <f t="shared" si="21"/>
        <v>8.5614116595512399</v>
      </c>
      <c r="E53" s="27">
        <f>IF('Scénario référence'!$N$1=1,B53*44/12,(C53+D53)*0.475*44/12)</f>
        <v>62.458625307051705</v>
      </c>
      <c r="F53" s="28">
        <f>VLOOKUP(A53,'Données projet'!$A$35:$I$55,2,0)</f>
        <v>178</v>
      </c>
      <c r="G53" s="28">
        <f>VLOOKUP(A53,'Données projet'!$A$35:$I$55,9,0)</f>
        <v>8.1999999999999993</v>
      </c>
      <c r="H53" s="33">
        <f t="array" ref="H53">INDEX(G:G,MIN(IF(ISNUMBER(G53:G249),ROW(G53:G249),"")))</f>
        <v>8.1999999999999993</v>
      </c>
      <c r="I53" s="28">
        <f t="shared" si="22"/>
        <v>178</v>
      </c>
      <c r="J53" s="41">
        <f>I53*VLOOKUP('Données projet'!$B$9,Paramètres!$A$1:$I$88,3,0)*VLOOKUP('Données projet'!$B$9,Paramètres!$A$1:$I$88,5,0)</f>
        <v>180.49200000000002</v>
      </c>
      <c r="K53" s="41">
        <f t="shared" si="23"/>
        <v>45.431629706642653</v>
      </c>
      <c r="L53" s="42">
        <f t="shared" si="0"/>
        <v>393.4836550724026</v>
      </c>
      <c r="M53" s="30">
        <f>IF(ISNA(VLOOKUP(A53,'Données projet'!$A$35:$I$55,3,0)),0,VLOOKUP(A53,'Données projet'!$A$35:$I$55,3,0))</f>
        <v>0</v>
      </c>
      <c r="N53" s="30">
        <f>IF(ISNA(VLOOKUP(A53,'Données projet'!$A$35:$I$55,4,0)),0,VLOOKUP(A53,'Données projet'!$A$35:$I$55,4,0))</f>
        <v>0</v>
      </c>
      <c r="O53" s="31">
        <f>IF(ISNA(VLOOKUP(A53,'Données projet'!$A$35:$I$55,5,0)),0%,VLOOKUP(A53,'Données projet'!$A$35:$I$55,5,0)*VLOOKUP('Données projet'!$B$9,Paramètres!$A$1:$I$88,7,0))</f>
        <v>0</v>
      </c>
      <c r="P53" s="31">
        <f>IF(ISNA(VLOOKUP(A53,'Données projet'!$A$35:$I$55,6,0)),0%,VLOOKUP(A53,'Données projet'!$A$35:$I$55,6,0)*VLOOKUP('Données projet'!$B$9,Paramètres!$A$1:$I$88,7,0))</f>
        <v>0</v>
      </c>
      <c r="Q53" s="31">
        <f>IF(ISNA(VLOOKUP(A53,'Données projet'!$A$35:$I$55,7,0)),0%,VLOOKUP(A53,'Données projet'!$A$35:$I$55,7,0))</f>
        <v>0</v>
      </c>
      <c r="R53" s="43">
        <f>EXP(-LN(2)/35)*R52+(1-EXP(-LN(2)/35))/(LN(2)/35)*N53*O53*VLOOKUP('Données projet'!$B$9,Paramètres!$A$1:$I$88,3,0)*0.475*44/12</f>
        <v>0</v>
      </c>
      <c r="S53" s="43">
        <f>EXP(-LN(2)/25)*S52+(1-EXP(-LN(2)/25))/(LN(2)/25)*Calculateur!N53*Calculateur!P53*VLOOKUP('Données projet'!$B$9,Paramètres!$A$1:$I$88,3,0)*0.475*44/12</f>
        <v>0</v>
      </c>
      <c r="T53" s="43">
        <f>EXP(-LN(2)/2)*T52+(1-EXP(-LN(2)/2))/(LN(2)/2)*N53*Q53*VLOOKUP('Données projet'!$B$9,Paramètres!$A$1:$I$88,3,0)*0.475*44/12</f>
        <v>0</v>
      </c>
      <c r="U53" s="43">
        <f t="shared" si="1"/>
        <v>0</v>
      </c>
      <c r="V53" s="32" t="e">
        <f>VLOOKUP(A53,'Données projet'!$A$61:$I$81,2,0)</f>
        <v>#N/A</v>
      </c>
      <c r="W53" s="33" t="e">
        <f>VLOOKUP(A53,'Données projet'!$A$61:$I$81,9,0)</f>
        <v>#N/A</v>
      </c>
      <c r="X53" s="33">
        <f t="array" ref="X53">INDEX(W:W,MIN(IF(ISNUMBER(W53:W249),ROW(W53:W249),"")))</f>
        <v>0</v>
      </c>
      <c r="Y53" s="33">
        <f t="shared" si="24"/>
        <v>0</v>
      </c>
      <c r="Z53" s="34" t="e">
        <f>Y53*VLOOKUP('Données projet'!$B$10,Paramètres!$A$1:$I$88,3,0)*VLOOKUP('Données projet'!$B$10,Paramètres!$A$1:$I$88,5,0)</f>
        <v>#N/A</v>
      </c>
      <c r="AA53" s="34" t="e">
        <f t="shared" si="25"/>
        <v>#N/A</v>
      </c>
      <c r="AB53" s="44" t="e">
        <f t="shared" si="2"/>
        <v>#N/A</v>
      </c>
      <c r="AC53" s="36">
        <f>IF(ISNA(VLOOKUP(A53,'Données projet'!$A$61:$I$81,3,0)),0,VLOOKUP(A53,'Données projet'!$A$61:$I$81,3,0))</f>
        <v>0</v>
      </c>
      <c r="AD53" s="36">
        <f>IF(ISNA(VLOOKUP(A53,'Données projet'!$A$61:$I$81,4,0)),0,VLOOKUP(A53,'Données projet'!$A$61:$I$81,4,0))</f>
        <v>0</v>
      </c>
      <c r="AE53" s="37">
        <f>IF(ISNA(VLOOKUP(A53,'Données projet'!$A$61:$I$81,5,0)),0%,VLOOKUP(A53,'Données projet'!$A$61:$I$81,5,0)*VLOOKUP('Données projet'!$B$10,Paramètres!$A$1:$I$88,7,0))</f>
        <v>0</v>
      </c>
      <c r="AF53" s="37">
        <f>IF(ISNA(VLOOKUP(A53,'Données projet'!$A$61:$I$81,6,0)),0%,VLOOKUP(A53,'Données projet'!$A$61:$I$81,6,0)*VLOOKUP('Données projet'!$B$10,Paramètres!$A$1:$I$88,7,0))</f>
        <v>0</v>
      </c>
      <c r="AG53" s="37">
        <f>IF(ISNA(VLOOKUP(A53,'Données projet'!$A$61:$I$81,7,0)),0%,VLOOKUP(A53,'Données projet'!$A$61:$I$81,7,0))</f>
        <v>0</v>
      </c>
      <c r="AH53" s="45">
        <f>EXP(-LN(2)/35)*AH52+(1-EXP(-LN(2)/35))/(LN(2)/35)*AD53*AE53*VLOOKUP('Données projet'!$B$9,Paramètres!$A$1:$I$88,3,0)*0.475*44/12</f>
        <v>0</v>
      </c>
      <c r="AI53" s="45">
        <f>EXP(-LN(2)/25)*AI52+(1-EXP(-LN(2)/25))/(LN(2)/25)*Calculateur!AD53*Calculateur!AF53*VLOOKUP('Données projet'!$B$9,Paramètres!$A$1:$I$88,3,0)*0.475*44/12</f>
        <v>0</v>
      </c>
      <c r="AJ53" s="45">
        <f>EXP(-LN(2)/2)*AJ52+(1-EXP(-LN(2)/2))/(LN(2)/2)*AD53*AG53*VLOOKUP('Données projet'!$B$9,Paramètres!$A$1:$I$88,3,0)*0.475*44/12</f>
        <v>0</v>
      </c>
      <c r="AK53" s="45">
        <f t="shared" si="3"/>
        <v>0</v>
      </c>
      <c r="AL53" s="32" t="e">
        <f>VLOOKUP(A53,'Données projet'!$A$87:$I$107,2,0)</f>
        <v>#N/A</v>
      </c>
      <c r="AM53" s="33" t="e">
        <f>VLOOKUP(A53,'Données projet'!$A$87:$I$107,9,0)</f>
        <v>#N/A</v>
      </c>
      <c r="AN53" s="33">
        <f t="array" ref="AN53">INDEX(AM:AM,MIN(IF(ISNUMBER(AM53:AM249),ROW(AM53:AM249),"")))</f>
        <v>0</v>
      </c>
      <c r="AO53" s="33">
        <f t="shared" si="26"/>
        <v>0</v>
      </c>
      <c r="AP53" s="34" t="e">
        <f>AO53*VLOOKUP('Données projet'!$B$11,Paramètres!$A$1:$I$88,3,0)*VLOOKUP('Données projet'!$B$11,Paramètres!$A$1:$I$88,5,0)</f>
        <v>#N/A</v>
      </c>
      <c r="AQ53" s="34" t="e">
        <f t="shared" si="27"/>
        <v>#N/A</v>
      </c>
      <c r="AR53" s="44" t="e">
        <f t="shared" si="4"/>
        <v>#N/A</v>
      </c>
      <c r="AS53" s="36">
        <f>IF(ISNA(VLOOKUP(A53,'Données projet'!$A$87:$I$107,3,0)),0,VLOOKUP(A53,'Données projet'!$A$87:$I$107,3,0))</f>
        <v>0</v>
      </c>
      <c r="AT53" s="36">
        <f>IF(ISNA(VLOOKUP(A53,'Données projet'!$A$87:$I$107,4,0)),0,VLOOKUP(A53,'Données projet'!$A$87:$I$107,4,0))</f>
        <v>0</v>
      </c>
      <c r="AU53" s="37">
        <f>IF(ISNA(VLOOKUP(A53,'Données projet'!$A$87:$I$107,5,0)),0%,VLOOKUP(A53,'Données projet'!$A$87:$I$107,5,0)*VLOOKUP('Données projet'!$B$11,Paramètres!$A$1:$I$88,7,0))</f>
        <v>0</v>
      </c>
      <c r="AV53" s="37">
        <f>IF(ISNA(VLOOKUP(A53,'Données projet'!$A$87:$I$107,6,0)),0%,VLOOKUP(A53,'Données projet'!$A$87:$I$107,6,0)*VLOOKUP('Données projet'!$B$11,Paramètres!$A$1:$I$88,7,0))</f>
        <v>0</v>
      </c>
      <c r="AW53" s="37">
        <f>IF(ISNA(VLOOKUP(A53,'Données projet'!$A$87:$I$107,7,0)),0%,VLOOKUP(A53,'Données projet'!$A$87:$I$107,7,0))</f>
        <v>0</v>
      </c>
      <c r="AX53" s="45">
        <f>EXP(-LN(2)/35)*AX52+(1-EXP(-LN(2)/35))/(LN(2)/35)*AT53*AU53*VLOOKUP('Données projet'!$B$9,Paramètres!$A$1:$I$88,3,0)*0.475*44/12</f>
        <v>0</v>
      </c>
      <c r="AY53" s="45">
        <f>EXP(-LN(2)/25)*AY52+(1-EXP(-LN(2)/25))/(LN(2)/25)*Calculateur!AT53*Calculateur!AV53*VLOOKUP('Données projet'!$B$9,Paramètres!$A$1:$I$88,3,0)*0.475*44/12</f>
        <v>0</v>
      </c>
      <c r="AZ53" s="45">
        <f>EXP(-LN(2)/2)*AZ52+(1-EXP(-LN(2)/2))/(LN(2)/2)*AT53*AW53*VLOOKUP('Données projet'!$B$9,Paramètres!$A$1:$I$88,3,0)*0.475*44/12</f>
        <v>0</v>
      </c>
      <c r="BA53" s="46">
        <f t="shared" si="5"/>
        <v>0</v>
      </c>
      <c r="BB53" s="32" t="e">
        <f>VLOOKUP(A53,'Données projet'!$A$113:$I$133,2,0)</f>
        <v>#N/A</v>
      </c>
      <c r="BC53" s="33" t="e">
        <f>VLOOKUP(A53,'Données projet'!$A$113:$I$133,9,0)</f>
        <v>#N/A</v>
      </c>
      <c r="BD53" s="33">
        <f t="array" ref="BD53">INDEX(BC:BC,MIN(IF(ISNUMBER(BC53:BC249),ROW(BC53:BC249),"")))</f>
        <v>0</v>
      </c>
      <c r="BE53" s="33">
        <f t="shared" si="28"/>
        <v>0</v>
      </c>
      <c r="BF53" s="34" t="e">
        <f>BE53*VLOOKUP('Données projet'!$B$12,Paramètres!$A$1:$I$88,3,0)*VLOOKUP('Données projet'!$B$12,Paramètres!$A$1:$I$88,5,0)</f>
        <v>#N/A</v>
      </c>
      <c r="BG53" s="34" t="e">
        <f t="shared" si="29"/>
        <v>#N/A</v>
      </c>
      <c r="BH53" s="44" t="e">
        <f t="shared" si="6"/>
        <v>#N/A</v>
      </c>
      <c r="BI53" s="36">
        <f>IF(ISNA(VLOOKUP(A53,'Données projet'!$A$113:$I$133,3,0)),0,VLOOKUP(A53,'Données projet'!$A$113:$I$133,3,0))</f>
        <v>0</v>
      </c>
      <c r="BJ53" s="36">
        <f>IF(ISNA(VLOOKUP(A53,'Données projet'!$A$113:$I$133,4,0)),0,VLOOKUP(A53,'Données projet'!$A$113:$I$133,4,0))</f>
        <v>0</v>
      </c>
      <c r="BK53" s="37">
        <f>IF(ISNA(VLOOKUP(A53,'Données projet'!$A$113:$I$133,5,0)),0%,VLOOKUP(A53,'Données projet'!$A$113:$I$133,5,0)*VLOOKUP('Données projet'!$B$12,Paramètres!$A$1:$I$88,7,0))</f>
        <v>0</v>
      </c>
      <c r="BL53" s="37">
        <f>IF(ISNA(VLOOKUP(A53,'Données projet'!$A$113:$I$133,6,0)),0%,VLOOKUP(A53,'Données projet'!$A$113:$I$133,6,0)*VLOOKUP('Données projet'!$B$12,Paramètres!$A$1:$I$88,7,0))</f>
        <v>0</v>
      </c>
      <c r="BM53" s="37">
        <f>IF(ISNA(VLOOKUP(A53,'Données projet'!$A$113:$I$133,7,0)),0%,VLOOKUP(A53,'Données projet'!$A$113:$I$133,7,0))</f>
        <v>0</v>
      </c>
      <c r="BN53" s="45">
        <f>EXP(-LN(2)/35)*BN52+(1-EXP(-LN(2)/35))/(LN(2)/35)*BJ53*BK53*VLOOKUP('Données projet'!$B$9,Paramètres!$A$1:$I$88,3,0)*0.475*44/12</f>
        <v>0</v>
      </c>
      <c r="BO53" s="45">
        <f>EXP(-LN(2)/25)*BO52+(1-EXP(-LN(2)/25))/(LN(2)/25)*Calculateur!BJ53*Calculateur!BL53*VLOOKUP('Données projet'!$B$9,Paramètres!$A$1:$I$88,3,0)*0.475*44/12</f>
        <v>0</v>
      </c>
      <c r="BP53" s="45">
        <f>EXP(-LN(2)/2)*BP52+(1-EXP(-LN(2)/2))/(LN(2)/2)*BJ53*BM53*VLOOKUP('Données projet'!$B$9,Paramètres!$A$1:$I$88,3,0)*0.475*44/12</f>
        <v>0</v>
      </c>
      <c r="BQ53" s="46">
        <f t="shared" si="7"/>
        <v>0</v>
      </c>
      <c r="BR53" s="32" t="e">
        <f>VLOOKUP(A53,'Données projet'!$A$139:$I$159,2,0)</f>
        <v>#N/A</v>
      </c>
      <c r="BS53" s="33" t="e">
        <f>VLOOKUP(A53,'Données projet'!$A$139:$I$159,9,0)</f>
        <v>#N/A</v>
      </c>
      <c r="BT53" s="33">
        <f t="array" ref="BT53">INDEX(BS:BS,MIN(IF(ISNUMBER(BS53:BS249),ROW(BS53:BS249),"")))</f>
        <v>0</v>
      </c>
      <c r="BU53" s="33">
        <f t="shared" si="41"/>
        <v>0</v>
      </c>
      <c r="BV53" s="38" t="e">
        <f>BU53*VLOOKUP('Données projet'!$B$13,Paramètres!$A$1:$I$88,3,0)*VLOOKUP('Données projet'!$B$13,Paramètres!$A$1:$I$88,5,0)</f>
        <v>#N/A</v>
      </c>
      <c r="BW53" s="34" t="e">
        <f t="shared" si="30"/>
        <v>#N/A</v>
      </c>
      <c r="BX53" s="44" t="e">
        <f t="shared" si="8"/>
        <v>#N/A</v>
      </c>
      <c r="BY53" s="36">
        <f>IF(ISNA(VLOOKUP(A53,'Données projet'!$A$139:$I$159,3,0)),0,VLOOKUP(A53,'Données projet'!$A$139:$I$159,3,0))</f>
        <v>0</v>
      </c>
      <c r="BZ53" s="36">
        <f>IF(ISNA(VLOOKUP(A53,'Données projet'!$A$139:$I$159,4,0)),0,VLOOKUP(A53,'Données projet'!$A$139:$I$159,4,0))</f>
        <v>0</v>
      </c>
      <c r="CA53" s="37">
        <f>IF(ISNA(VLOOKUP(A53,'Données projet'!$A$139:$I$159,5,0)),0%,VLOOKUP(A53,'Données projet'!$A$139:$I$159,5,0)*VLOOKUP('Données projet'!$B$13,Paramètres!$A$1:$I$88,7,0))</f>
        <v>0</v>
      </c>
      <c r="CB53" s="37">
        <f>IF(ISNA(VLOOKUP(A53,'Données projet'!$A$139:$I$159,6,0)),0%,VLOOKUP(A53,'Données projet'!$A$139:$I$159,6,0)*VLOOKUP('Données projet'!$B$13,Paramètres!$A$1:$I$88,7,0))</f>
        <v>0</v>
      </c>
      <c r="CC53" s="37">
        <f>IF(ISNA(VLOOKUP(A53,'Données projet'!$A$139:$I$159,7,0)),0%,VLOOKUP(A53,'Données projet'!$A$139:$I$159,7,0))</f>
        <v>0</v>
      </c>
      <c r="CD53" s="45">
        <f>EXP(-LN(2)/35)*CD52+(1-EXP(-LN(2)/35))/(LN(2)/35)*BZ53*CA53*VLOOKUP('Données projet'!$B$9,Paramètres!$A$1:$I$88,3,0)*0.475*44/12</f>
        <v>0</v>
      </c>
      <c r="CE53" s="45">
        <f>EXP(-LN(2)/25)*CE52+(1-EXP(-LN(2)/25))/(LN(2)/25)*Calculateur!BZ53*Calculateur!CB53*VLOOKUP('Données projet'!$B$9,Paramètres!$A$1:$I$88,3,0)*0.475*44/12</f>
        <v>0</v>
      </c>
      <c r="CF53" s="45">
        <f>EXP(-LN(2)/2)*CF52+(1-EXP(-LN(2)/2))/(LN(2)/2)*BZ53*CC53*VLOOKUP('Données projet'!$B$9,Paramètres!$A$1:$I$88,3,0)*0.475*44/12</f>
        <v>0</v>
      </c>
      <c r="CG53" s="46">
        <f t="shared" si="9"/>
        <v>0</v>
      </c>
      <c r="CH53" s="32" t="e">
        <f>VLOOKUP(A53,'Données projet'!$A$165:$I$185,2,0)</f>
        <v>#N/A</v>
      </c>
      <c r="CI53" s="33" t="e">
        <f>VLOOKUP(A53,'Données projet'!$A$165:$I$185,9,0)</f>
        <v>#N/A</v>
      </c>
      <c r="CJ53" s="33">
        <f t="array" ref="CJ53">INDEX(CI:CI,MIN(IF(ISNUMBER(CI53:CI249),ROW(CI53:CI249),"")))</f>
        <v>0</v>
      </c>
      <c r="CK53" s="33">
        <f t="shared" si="31"/>
        <v>0</v>
      </c>
      <c r="CL53" s="38" t="e">
        <f>CK53*VLOOKUP('Données projet'!$B$14,Paramètres!$A$1:$I$88,3,0)*VLOOKUP('Données projet'!$B$14,Paramètres!$A$1:$I$88,5,0)</f>
        <v>#N/A</v>
      </c>
      <c r="CM53" s="34" t="e">
        <f t="shared" si="32"/>
        <v>#N/A</v>
      </c>
      <c r="CN53" s="44" t="e">
        <f t="shared" si="10"/>
        <v>#N/A</v>
      </c>
      <c r="CO53" s="36">
        <f>IF(ISNA(VLOOKUP(A53,'Données projet'!$A$165:$I$185,3,0)),0,VLOOKUP(A53,'Données projet'!$A$165:$I$185,3,0))</f>
        <v>0</v>
      </c>
      <c r="CP53" s="36">
        <f>IF(ISNA(VLOOKUP(A53,'Données projet'!$A$165:$I$185,4,0)),0,VLOOKUP(A53,'Données projet'!$A$165:$I$185,4,0))</f>
        <v>0</v>
      </c>
      <c r="CQ53" s="37">
        <f>IF(ISNA(VLOOKUP(A53,'Données projet'!$A$165:$I$185,5,0)),0%,VLOOKUP(A53,'Données projet'!$A$165:$I$185,5,0)*VLOOKUP('Données projet'!$B$14,Paramètres!$A$1:$I$88,7,0))</f>
        <v>0</v>
      </c>
      <c r="CR53" s="37">
        <f>IF(ISNA(VLOOKUP(A53,'Données projet'!$A$165:$I$185,6,0)),0%,VLOOKUP(A53,'Données projet'!$A$165:$I$185,6,0)*VLOOKUP('Données projet'!$B$14,Paramètres!$A$1:$I$88,7,0))</f>
        <v>0</v>
      </c>
      <c r="CS53" s="37">
        <f>IF(ISNA(VLOOKUP(A53,'Données projet'!$A$165:$I$185,7,0)),0%,VLOOKUP(A53,'Données projet'!$A$165:$I$185,7,0))</f>
        <v>0</v>
      </c>
      <c r="CT53" s="45">
        <f>EXP(-LN(2)/35)*CT52+(1-EXP(-LN(2)/35))/(LN(2)/35)*CP53*CQ53*VLOOKUP('Données projet'!$B$9,Paramètres!$A$1:$I$88,3,0)*0.475*44/12</f>
        <v>0</v>
      </c>
      <c r="CU53" s="45">
        <f>EXP(-LN(2)/25)*CU52+(1-EXP(-LN(2)/25))/(LN(2)/25)*Calculateur!CP53*Calculateur!CR53*VLOOKUP('Données projet'!$B$9,Paramètres!$A$1:$I$88,3,0)*0.475*44/12</f>
        <v>0</v>
      </c>
      <c r="CV53" s="45">
        <f>EXP(-LN(2)/2)*CV52+(1-EXP(-LN(2)/2))/(LN(2)/2)*CP53*CS53*VLOOKUP('Données projet'!$B$9,Paramètres!$A$1:$I$88,3,0)*0.475*44/12</f>
        <v>0</v>
      </c>
      <c r="CW53" s="46">
        <f t="shared" si="11"/>
        <v>0</v>
      </c>
      <c r="CX53" s="32" t="e">
        <f>VLOOKUP(A53,'Données projet'!$A$191:$I$211,2,0)</f>
        <v>#N/A</v>
      </c>
      <c r="CY53" s="33" t="e">
        <f>VLOOKUP(A53,'Données projet'!$A$191:$I$211,9,0)</f>
        <v>#N/A</v>
      </c>
      <c r="CZ53" s="33">
        <f t="array" ref="CZ53">INDEX(CY:CY,MIN(IF(ISNUMBER(CY53:CY249),ROW(CY53:CY249),"")))</f>
        <v>0</v>
      </c>
      <c r="DA53" s="33">
        <f t="shared" si="33"/>
        <v>0</v>
      </c>
      <c r="DB53" s="38" t="e">
        <f>DA53*VLOOKUP('Données projet'!$B$15,Paramètres!$A$1:$I$88,3,0)*VLOOKUP('Données projet'!$B$15,Paramètres!$A$1:$I$88,5,0)</f>
        <v>#N/A</v>
      </c>
      <c r="DC53" s="34" t="e">
        <f t="shared" si="34"/>
        <v>#N/A</v>
      </c>
      <c r="DD53" s="44" t="e">
        <f t="shared" si="12"/>
        <v>#N/A</v>
      </c>
      <c r="DE53" s="36">
        <f>IF(ISNA(VLOOKUP(A53,'Données projet'!$A$191:$I$211,3,0)),0,VLOOKUP(A53,'Données projet'!$A$191:$I$211,3,0))</f>
        <v>0</v>
      </c>
      <c r="DF53" s="36">
        <f>IF(ISNA(VLOOKUP(A53,'Données projet'!$A$191:$I$211,4,0)),0,VLOOKUP(A53,'Données projet'!$A$191:$I$211,4,0))</f>
        <v>0</v>
      </c>
      <c r="DG53" s="37">
        <f>IF(ISNA(VLOOKUP(A53,'Données projet'!$A$191:$I$211,5,0)),0%,VLOOKUP(A53,'Données projet'!$A$191:$I$211,5,0)*VLOOKUP('Données projet'!$B$15,Paramètres!$A$1:$I$88,7,0))</f>
        <v>0</v>
      </c>
      <c r="DH53" s="37">
        <f>IF(ISNA(VLOOKUP(A53,'Données projet'!$A$191:$I$211,6,0)),0%,VLOOKUP(A53,'Données projet'!$A$191:$I$211,6,0)*VLOOKUP('Données projet'!$B$15,Paramètres!$A$1:$I$88,7,0))</f>
        <v>0</v>
      </c>
      <c r="DI53" s="37">
        <f>IF(ISNA(VLOOKUP(A53,'Données projet'!$A$191:$I$211,7,0)),0%,VLOOKUP(A53,'Données projet'!$A$191:$I$211,7,0))</f>
        <v>0</v>
      </c>
      <c r="DJ53" s="45">
        <f>EXP(-LN(2)/35)*DJ52+(1-EXP(-LN(2)/35))/(LN(2)/35)*DF53*DG53*VLOOKUP('Données projet'!$B$9,Paramètres!$A$1:$I$88,3,0)*0.475*44/12</f>
        <v>0</v>
      </c>
      <c r="DK53" s="45">
        <f>EXP(-LN(2)/25)*DK52+(1-EXP(-LN(2)/25))/(LN(2)/25)*Calculateur!DF53*Calculateur!DH53*VLOOKUP('Données projet'!$B$9,Paramètres!$A$1:$I$88,3,0)*0.475*44/12</f>
        <v>0</v>
      </c>
      <c r="DL53" s="45">
        <f>EXP(-LN(2)/2)*DL52+(1-EXP(-LN(2)/2))/(LN(2)/2)*DF53*DI53*VLOOKUP('Données projet'!$B$9,Paramètres!$A$1:$I$88,3,0)*0.475*44/12</f>
        <v>0</v>
      </c>
      <c r="DM53" s="46">
        <f t="shared" si="13"/>
        <v>0</v>
      </c>
      <c r="DN53" s="32" t="e">
        <f>VLOOKUP(A53,'Données projet'!$A$217:$I$237,2,0)</f>
        <v>#N/A</v>
      </c>
      <c r="DO53" s="33" t="e">
        <f>VLOOKUP(A53,'Données projet'!$A$217:$I$237,9,0)</f>
        <v>#N/A</v>
      </c>
      <c r="DP53" s="33">
        <f t="array" ref="DP53">INDEX(DO:DO,MIN(IF(ISNUMBER(DO53:DO249),ROW(DO53:DO249),"")))</f>
        <v>0</v>
      </c>
      <c r="DQ53" s="33">
        <f t="shared" si="35"/>
        <v>0</v>
      </c>
      <c r="DR53" s="38" t="e">
        <f>DQ53*VLOOKUP('Données projet'!$B$16,Paramètres!$A$1:$I$88,3,0)*VLOOKUP('Données projet'!$B$16,Paramètres!$A$1:$I$88,5,0)</f>
        <v>#N/A</v>
      </c>
      <c r="DS53" s="34" t="e">
        <f t="shared" si="36"/>
        <v>#N/A</v>
      </c>
      <c r="DT53" s="44" t="e">
        <f t="shared" si="14"/>
        <v>#N/A</v>
      </c>
      <c r="DU53" s="36">
        <f>IF(ISNA(VLOOKUP(A53,'Données projet'!$A$217:$I$237,3,0)),0,VLOOKUP(A53,'Données projet'!$A$217:$I$237,3,0))</f>
        <v>0</v>
      </c>
      <c r="DV53" s="36">
        <f>IF(ISNA(VLOOKUP(A53,'Données projet'!$A$217:$I$237,4,0)),0,VLOOKUP(A53,'Données projet'!$A$217:$I$237,4,0))</f>
        <v>0</v>
      </c>
      <c r="DW53" s="37">
        <f>IF(ISNA(VLOOKUP(A53,'Données projet'!$A$217:$I$237,5,0)),0%,VLOOKUP(A53,'Données projet'!$A$217:$I$237,5,0)*VLOOKUP('Données projet'!$B$16,Paramètres!$A$1:$I$88,7,0))</f>
        <v>0</v>
      </c>
      <c r="DX53" s="37">
        <f>IF(ISNA(VLOOKUP(A53,'Données projet'!$A$217:$I$237,6,0)),0%,VLOOKUP(A53,'Données projet'!$A$217:$I$237,6,0)*VLOOKUP('Données projet'!$B$16,Paramètres!$A$1:$I$88,7,0))</f>
        <v>0</v>
      </c>
      <c r="DY53" s="37">
        <f>IF(ISNA(VLOOKUP(A53,'Données projet'!$A$217:$I$237,7,0)),0%,VLOOKUP(A53,'Données projet'!$A$217:$I$237,7,0))</f>
        <v>0</v>
      </c>
      <c r="DZ53" s="45">
        <f>EXP(-LN(2)/35)*DZ52+(1-EXP(-LN(2)/35))/(LN(2)/35)*DV53*DW53*VLOOKUP('Données projet'!$B$9,Paramètres!$A$1:$I$88,3,0)*0.475*44/12</f>
        <v>0</v>
      </c>
      <c r="EA53" s="45">
        <f>EXP(-LN(2)/25)*EA52+(1-EXP(-LN(2)/25))/(LN(2)/25)*Calculateur!DV53*Calculateur!DX53*VLOOKUP('Données projet'!$B$9,Paramètres!$A$1:$I$88,3,0)*0.475*44/12</f>
        <v>0</v>
      </c>
      <c r="EB53" s="45">
        <f>EXP(-LN(2)/2)*EB52+(1-EXP(-LN(2)/2))/(LN(2)/2)*DV53*DY53*VLOOKUP('Données projet'!$B$9,Paramètres!$A$1:$I$88,3,0)*0.475*44/12</f>
        <v>0</v>
      </c>
      <c r="EC53" s="46">
        <f t="shared" si="15"/>
        <v>0</v>
      </c>
      <c r="ED53" s="32" t="e">
        <f>VLOOKUP(A53,'Données projet'!$A$243:$I$263,2,0)</f>
        <v>#N/A</v>
      </c>
      <c r="EE53" s="33" t="e">
        <f>VLOOKUP(A53,'Données projet'!$A$243:$I$263,9,0)</f>
        <v>#N/A</v>
      </c>
      <c r="EF53" s="33">
        <f t="array" ref="EF53">INDEX(EE:EE,MIN(IF(ISNUMBER(EE53:EE249),ROW(EE53:EE249),"")))</f>
        <v>0</v>
      </c>
      <c r="EG53" s="33">
        <f t="shared" si="37"/>
        <v>0</v>
      </c>
      <c r="EH53" s="38" t="e">
        <f>EG53*VLOOKUP('Données projet'!$B$17,Paramètres!$A$1:$I$88,3,0)*VLOOKUP('Données projet'!$B$17,Paramètres!$A$1:$I$88,5,0)</f>
        <v>#N/A</v>
      </c>
      <c r="EI53" s="34" t="e">
        <f t="shared" si="38"/>
        <v>#N/A</v>
      </c>
      <c r="EJ53" s="44" t="e">
        <f t="shared" si="16"/>
        <v>#N/A</v>
      </c>
      <c r="EK53" s="36">
        <f>IF(ISNA(VLOOKUP(A53,'Données projet'!$A$243:$I$263,3,0)),0,VLOOKUP(A53,'Données projet'!$A$243:$I$263,3,0))</f>
        <v>0</v>
      </c>
      <c r="EL53" s="36">
        <f>IF(ISNA(VLOOKUP(A53,'Données projet'!$A$243:$I$263,4,0)),0,VLOOKUP(A53,'Données projet'!$A$243:$I$263,4,0))</f>
        <v>0</v>
      </c>
      <c r="EM53" s="37">
        <f>IF(ISNA(VLOOKUP(A53,'Données projet'!$A$243:$I$263,5,0)),0%,VLOOKUP(A53,'Données projet'!$A$243:$I$263,5,0)*VLOOKUP('Données projet'!$B$17,Paramètres!$A$1:$I$88,7,0))</f>
        <v>0</v>
      </c>
      <c r="EN53" s="37">
        <f>IF(ISNA(VLOOKUP(A53,'Données projet'!$A$243:$I$263,6,0)),0%,VLOOKUP(A53,'Données projet'!$A$243:$I$263,6,0)*VLOOKUP('Données projet'!$B$17,Paramètres!$A$1:$I$88,7,0))</f>
        <v>0</v>
      </c>
      <c r="EO53" s="37">
        <f>IF(ISNA(VLOOKUP(A53,'Données projet'!$A$243:$I$263,7,0)),0%,VLOOKUP(A53,'Données projet'!$A$243:$I$263,7,0))</f>
        <v>0</v>
      </c>
      <c r="EP53" s="45">
        <f>EXP(-LN(2)/35)*EP52+(1-EXP(-LN(2)/35))/(LN(2)/35)*EL53*EM53*VLOOKUP('Données projet'!$B$9,Paramètres!$A$1:$I$88,3,0)*0.475*44/12</f>
        <v>0</v>
      </c>
      <c r="EQ53" s="45">
        <f>EXP(-LN(2)/25)*EQ52+(1-EXP(-LN(2)/25))/(LN(2)/25)*Calculateur!EL53*Calculateur!EN53*VLOOKUP('Données projet'!$B$9,Paramètres!$A$1:$I$88,3,0)*0.475*44/12</f>
        <v>0</v>
      </c>
      <c r="ER53" s="45">
        <f>EXP(-LN(2)/2)*ER52+(1-EXP(-LN(2)/2))/(LN(2)/2)*EL53*EO53*VLOOKUP('Données projet'!$B$9,Paramètres!$A$1:$I$88,3,0)*0.475*44/12</f>
        <v>0</v>
      </c>
      <c r="ES53" s="46">
        <f t="shared" si="17"/>
        <v>0</v>
      </c>
      <c r="ET53" s="32" t="e">
        <f>VLOOKUP(A53,'Données projet'!$A$269:$I$289,2,0)</f>
        <v>#N/A</v>
      </c>
      <c r="EU53" s="33" t="e">
        <f>VLOOKUP(A53,'Données projet'!$A$269:$I$289,9,0)</f>
        <v>#N/A</v>
      </c>
      <c r="EV53" s="33">
        <f t="array" ref="EV53">INDEX(EU:EU,MIN(IF(ISNUMBER(EU53:EU249),ROW(EU53:EU249),"")))</f>
        <v>0</v>
      </c>
      <c r="EW53" s="33">
        <f t="shared" si="39"/>
        <v>0</v>
      </c>
      <c r="EX53" s="38" t="e">
        <f>EW53*VLOOKUP('Données projet'!$B$18,Paramètres!$A$1:$I$88,3,0)*VLOOKUP('Données projet'!$B$18,Paramètres!$A$1:$I$88,5,0)</f>
        <v>#N/A</v>
      </c>
      <c r="EY53" s="34" t="e">
        <f t="shared" si="40"/>
        <v>#N/A</v>
      </c>
      <c r="EZ53" s="44" t="e">
        <f t="shared" si="18"/>
        <v>#N/A</v>
      </c>
      <c r="FA53" s="36">
        <f>IF(ISNA(VLOOKUP(A53,'Données projet'!$A$269:$I$289,3,0)),0,VLOOKUP(A53,'Données projet'!$A$269:$I$289,3,0))</f>
        <v>0</v>
      </c>
      <c r="FB53" s="36">
        <f>IF(ISNA(VLOOKUP(A53,'Données projet'!$A$269:$I$289,4,0)),0,VLOOKUP(A53,'Données projet'!$A$269:$I$289,4,0))</f>
        <v>0</v>
      </c>
      <c r="FC53" s="37">
        <f>IF(ISNA(VLOOKUP(A53,'Données projet'!$A$269:$I$289,5,0)),0%,VLOOKUP(A53,'Données projet'!$A$269:$I$289,5,0)*VLOOKUP('Données projet'!$B$18,Paramètres!$A$1:$I$88,7,0))</f>
        <v>0</v>
      </c>
      <c r="FD53" s="37">
        <f>IF(ISNA(VLOOKUP(A53,'Données projet'!$A$269:$I$289,6,0)),0%,VLOOKUP(A53,'Données projet'!$A$269:$I$289,6,0)*VLOOKUP('Données projet'!$B$18,Paramètres!$A$1:$I$88,7,0))</f>
        <v>0</v>
      </c>
      <c r="FE53" s="37">
        <f>IF(ISNA(VLOOKUP(A53,'Données projet'!$A$269:$I$289,7,0)),0%,VLOOKUP(A53,'Données projet'!$A$269:$I$289,7,0))</f>
        <v>0</v>
      </c>
      <c r="FF53" s="45">
        <f>EXP(-LN(2)/35)*FF52+(1-EXP(-LN(2)/35))/(LN(2)/35)*FB53*FC53*VLOOKUP('Données projet'!$B$9,Paramètres!$A$1:$I$88,3,0)*0.475*44/12</f>
        <v>0</v>
      </c>
      <c r="FG53" s="45">
        <f>EXP(-LN(2)/25)*FG52+(1-EXP(-LN(2)/25))/(LN(2)/25)*Calculateur!FB53*Calculateur!FD53*VLOOKUP('Données projet'!$B$9,Paramètres!$A$1:$I$88,3,0)*0.475*44/12</f>
        <v>0</v>
      </c>
      <c r="FH53" s="45">
        <f>EXP(-LN(2)/2)*FH52+(1-EXP(-LN(2)/2))/(LN(2)/2)*FB53*FE53*VLOOKUP('Données projet'!$B$9,Paramètres!$A$1:$I$88,3,0)*0.475*44/12</f>
        <v>0</v>
      </c>
      <c r="FI53" s="46">
        <f t="shared" si="19"/>
        <v>0</v>
      </c>
    </row>
    <row r="54" spans="1:165" x14ac:dyDescent="0.25">
      <c r="A54" s="24">
        <f t="shared" si="20"/>
        <v>51</v>
      </c>
      <c r="B54" s="25">
        <f>IF('Scénario référence'!$N$1=1,5,0)</f>
        <v>0</v>
      </c>
      <c r="C54" s="40">
        <f>IF(OR('Scénario référence'!$N$1=2,'Scénario référence'!$N$1=4),C53+1*VLOOKUP('Scénario référence'!$G$14,Paramètres!$A$1:$I$88,3,0)*VLOOKUP('Scénario référence'!$G$14,Paramètres!$A$1:$I$88,5,0),IF(OR('Scénario référence'!$N$1=3,'Scénario référence'!$N$1=5),C53+0.5*VLOOKUP('Scénario référence'!$G$14,Paramètres!$A$1:$I$88,3,0)*VLOOKUP('Scénario référence'!$G$14,Paramètres!$A$1:$I$88,5,0),0))</f>
        <v>27.845999999999982</v>
      </c>
      <c r="D54" s="26">
        <f t="shared" si="21"/>
        <v>8.7125341134088217</v>
      </c>
      <c r="E54" s="27">
        <f>IF('Scénario référence'!$N$1=1,B54*44/12,(C54+D54)*0.475*44/12)</f>
        <v>63.672780247520329</v>
      </c>
      <c r="F54" s="28" t="e">
        <f>VLOOKUP(A54,'Données projet'!$A$35:$I$55,2,0)</f>
        <v>#N/A</v>
      </c>
      <c r="G54" s="28" t="e">
        <f>VLOOKUP(A54,'Données projet'!$A$35:$I$55,9,0)</f>
        <v>#N/A</v>
      </c>
      <c r="H54" s="33">
        <f t="array" ref="H54">INDEX(G:G,MIN(IF(ISNUMBER(G54:G250),ROW(G54:G250),"")))</f>
        <v>8</v>
      </c>
      <c r="I54" s="28">
        <f t="shared" si="22"/>
        <v>186</v>
      </c>
      <c r="J54" s="41">
        <f>I54*VLOOKUP('Données projet'!$B$9,Paramètres!$A$1:$I$88,3,0)*VLOOKUP('Données projet'!$B$9,Paramètres!$A$1:$I$88,5,0)</f>
        <v>188.60400000000001</v>
      </c>
      <c r="K54" s="41">
        <f t="shared" si="23"/>
        <v>47.231184731814224</v>
      </c>
      <c r="L54" s="42">
        <f t="shared" si="0"/>
        <v>410.74628007457642</v>
      </c>
      <c r="M54" s="30">
        <f>IF(ISNA(VLOOKUP(A54,'Données projet'!$A$35:$I$55,3,0)),0,VLOOKUP(A54,'Données projet'!$A$35:$I$55,3,0))</f>
        <v>0</v>
      </c>
      <c r="N54" s="30">
        <f>IF(ISNA(VLOOKUP(A54,'Données projet'!$A$35:$I$55,4,0)),0,VLOOKUP(A54,'Données projet'!$A$35:$I$55,4,0))</f>
        <v>0</v>
      </c>
      <c r="O54" s="31">
        <f>IF(ISNA(VLOOKUP(A54,'Données projet'!$A$35:$I$55,5,0)),0%,VLOOKUP(A54,'Données projet'!$A$35:$I$55,5,0)*VLOOKUP('Données projet'!$B$9,Paramètres!$A$1:$I$88,7,0))</f>
        <v>0</v>
      </c>
      <c r="P54" s="31">
        <f>IF(ISNA(VLOOKUP(A54,'Données projet'!$A$35:$I$55,6,0)),0%,VLOOKUP(A54,'Données projet'!$A$35:$I$55,6,0)*VLOOKUP('Données projet'!$B$9,Paramètres!$A$1:$I$88,7,0))</f>
        <v>0</v>
      </c>
      <c r="Q54" s="31">
        <f>IF(ISNA(VLOOKUP(A54,'Données projet'!$A$35:$I$55,7,0)),0%,VLOOKUP(A54,'Données projet'!$A$35:$I$55,7,0))</f>
        <v>0</v>
      </c>
      <c r="R54" s="43">
        <f>EXP(-LN(2)/35)*R53+(1-EXP(-LN(2)/35))/(LN(2)/35)*N54*O54*VLOOKUP('Données projet'!$B$9,Paramètres!$A$1:$I$88,3,0)*0.475*44/12</f>
        <v>0</v>
      </c>
      <c r="S54" s="43">
        <f>EXP(-LN(2)/25)*S53+(1-EXP(-LN(2)/25))/(LN(2)/25)*Calculateur!N54*Calculateur!P54*VLOOKUP('Données projet'!$B$9,Paramètres!$A$1:$I$88,3,0)*0.475*44/12</f>
        <v>0</v>
      </c>
      <c r="T54" s="43">
        <f>EXP(-LN(2)/2)*T53+(1-EXP(-LN(2)/2))/(LN(2)/2)*N54*Q54*VLOOKUP('Données projet'!$B$9,Paramètres!$A$1:$I$88,3,0)*0.475*44/12</f>
        <v>0</v>
      </c>
      <c r="U54" s="43">
        <f t="shared" si="1"/>
        <v>0</v>
      </c>
      <c r="V54" s="32" t="e">
        <f>VLOOKUP(A54,'Données projet'!$A$61:$I$81,2,0)</f>
        <v>#N/A</v>
      </c>
      <c r="W54" s="33" t="e">
        <f>VLOOKUP(A54,'Données projet'!$A$61:$I$81,9,0)</f>
        <v>#N/A</v>
      </c>
      <c r="X54" s="33">
        <f t="array" ref="X54">INDEX(W:W,MIN(IF(ISNUMBER(W54:W250),ROW(W54:W250),"")))</f>
        <v>0</v>
      </c>
      <c r="Y54" s="33">
        <f t="shared" si="24"/>
        <v>0</v>
      </c>
      <c r="Z54" s="34" t="e">
        <f>Y54*VLOOKUP('Données projet'!$B$10,Paramètres!$A$1:$I$88,3,0)*VLOOKUP('Données projet'!$B$10,Paramètres!$A$1:$I$88,5,0)</f>
        <v>#N/A</v>
      </c>
      <c r="AA54" s="34" t="e">
        <f t="shared" si="25"/>
        <v>#N/A</v>
      </c>
      <c r="AB54" s="44" t="e">
        <f t="shared" si="2"/>
        <v>#N/A</v>
      </c>
      <c r="AC54" s="36">
        <f>IF(ISNA(VLOOKUP(A54,'Données projet'!$A$61:$I$81,3,0)),0,VLOOKUP(A54,'Données projet'!$A$61:$I$81,3,0))</f>
        <v>0</v>
      </c>
      <c r="AD54" s="36">
        <f>IF(ISNA(VLOOKUP(A54,'Données projet'!$A$61:$I$81,4,0)),0,VLOOKUP(A54,'Données projet'!$A$61:$I$81,4,0))</f>
        <v>0</v>
      </c>
      <c r="AE54" s="37">
        <f>IF(ISNA(VLOOKUP(A54,'Données projet'!$A$61:$I$81,5,0)),0%,VLOOKUP(A54,'Données projet'!$A$61:$I$81,5,0)*VLOOKUP('Données projet'!$B$10,Paramètres!$A$1:$I$88,7,0))</f>
        <v>0</v>
      </c>
      <c r="AF54" s="37">
        <f>IF(ISNA(VLOOKUP(A54,'Données projet'!$A$61:$I$81,6,0)),0%,VLOOKUP(A54,'Données projet'!$A$61:$I$81,6,0)*VLOOKUP('Données projet'!$B$10,Paramètres!$A$1:$I$88,7,0))</f>
        <v>0</v>
      </c>
      <c r="AG54" s="37">
        <f>IF(ISNA(VLOOKUP(A54,'Données projet'!$A$61:$I$81,7,0)),0%,VLOOKUP(A54,'Données projet'!$A$61:$I$81,7,0))</f>
        <v>0</v>
      </c>
      <c r="AH54" s="45">
        <f>EXP(-LN(2)/35)*AH53+(1-EXP(-LN(2)/35))/(LN(2)/35)*AD54*AE54*VLOOKUP('Données projet'!$B$9,Paramètres!$A$1:$I$88,3,0)*0.475*44/12</f>
        <v>0</v>
      </c>
      <c r="AI54" s="45">
        <f>EXP(-LN(2)/25)*AI53+(1-EXP(-LN(2)/25))/(LN(2)/25)*Calculateur!AD54*Calculateur!AF54*VLOOKUP('Données projet'!$B$9,Paramètres!$A$1:$I$88,3,0)*0.475*44/12</f>
        <v>0</v>
      </c>
      <c r="AJ54" s="45">
        <f>EXP(-LN(2)/2)*AJ53+(1-EXP(-LN(2)/2))/(LN(2)/2)*AD54*AG54*VLOOKUP('Données projet'!$B$9,Paramètres!$A$1:$I$88,3,0)*0.475*44/12</f>
        <v>0</v>
      </c>
      <c r="AK54" s="45">
        <f t="shared" si="3"/>
        <v>0</v>
      </c>
      <c r="AL54" s="32" t="e">
        <f>VLOOKUP(A54,'Données projet'!$A$87:$I$107,2,0)</f>
        <v>#N/A</v>
      </c>
      <c r="AM54" s="33" t="e">
        <f>VLOOKUP(A54,'Données projet'!$A$87:$I$107,9,0)</f>
        <v>#N/A</v>
      </c>
      <c r="AN54" s="33">
        <f t="array" ref="AN54">INDEX(AM:AM,MIN(IF(ISNUMBER(AM54:AM250),ROW(AM54:AM250),"")))</f>
        <v>0</v>
      </c>
      <c r="AO54" s="33">
        <f t="shared" si="26"/>
        <v>0</v>
      </c>
      <c r="AP54" s="34" t="e">
        <f>AO54*VLOOKUP('Données projet'!$B$11,Paramètres!$A$1:$I$88,3,0)*VLOOKUP('Données projet'!$B$11,Paramètres!$A$1:$I$88,5,0)</f>
        <v>#N/A</v>
      </c>
      <c r="AQ54" s="34" t="e">
        <f t="shared" si="27"/>
        <v>#N/A</v>
      </c>
      <c r="AR54" s="44" t="e">
        <f t="shared" si="4"/>
        <v>#N/A</v>
      </c>
      <c r="AS54" s="36">
        <f>IF(ISNA(VLOOKUP(A54,'Données projet'!$A$87:$I$107,3,0)),0,VLOOKUP(A54,'Données projet'!$A$87:$I$107,3,0))</f>
        <v>0</v>
      </c>
      <c r="AT54" s="36">
        <f>IF(ISNA(VLOOKUP(A54,'Données projet'!$A$87:$I$107,4,0)),0,VLOOKUP(A54,'Données projet'!$A$87:$I$107,4,0))</f>
        <v>0</v>
      </c>
      <c r="AU54" s="37">
        <f>IF(ISNA(VLOOKUP(A54,'Données projet'!$A$87:$I$107,5,0)),0%,VLOOKUP(A54,'Données projet'!$A$87:$I$107,5,0)*VLOOKUP('Données projet'!$B$11,Paramètres!$A$1:$I$88,7,0))</f>
        <v>0</v>
      </c>
      <c r="AV54" s="37">
        <f>IF(ISNA(VLOOKUP(A54,'Données projet'!$A$87:$I$107,6,0)),0%,VLOOKUP(A54,'Données projet'!$A$87:$I$107,6,0)*VLOOKUP('Données projet'!$B$11,Paramètres!$A$1:$I$88,7,0))</f>
        <v>0</v>
      </c>
      <c r="AW54" s="37">
        <f>IF(ISNA(VLOOKUP(A54,'Données projet'!$A$87:$I$107,7,0)),0%,VLOOKUP(A54,'Données projet'!$A$87:$I$107,7,0))</f>
        <v>0</v>
      </c>
      <c r="AX54" s="45">
        <f>EXP(-LN(2)/35)*AX53+(1-EXP(-LN(2)/35))/(LN(2)/35)*AT54*AU54*VLOOKUP('Données projet'!$B$9,Paramètres!$A$1:$I$88,3,0)*0.475*44/12</f>
        <v>0</v>
      </c>
      <c r="AY54" s="45">
        <f>EXP(-LN(2)/25)*AY53+(1-EXP(-LN(2)/25))/(LN(2)/25)*Calculateur!AT54*Calculateur!AV54*VLOOKUP('Données projet'!$B$9,Paramètres!$A$1:$I$88,3,0)*0.475*44/12</f>
        <v>0</v>
      </c>
      <c r="AZ54" s="45">
        <f>EXP(-LN(2)/2)*AZ53+(1-EXP(-LN(2)/2))/(LN(2)/2)*AT54*AW54*VLOOKUP('Données projet'!$B$9,Paramètres!$A$1:$I$88,3,0)*0.475*44/12</f>
        <v>0</v>
      </c>
      <c r="BA54" s="46">
        <f t="shared" si="5"/>
        <v>0</v>
      </c>
      <c r="BB54" s="32" t="e">
        <f>VLOOKUP(A54,'Données projet'!$A$113:$I$133,2,0)</f>
        <v>#N/A</v>
      </c>
      <c r="BC54" s="33" t="e">
        <f>VLOOKUP(A54,'Données projet'!$A$113:$I$133,9,0)</f>
        <v>#N/A</v>
      </c>
      <c r="BD54" s="33">
        <f t="array" ref="BD54">INDEX(BC:BC,MIN(IF(ISNUMBER(BC54:BC250),ROW(BC54:BC250),"")))</f>
        <v>0</v>
      </c>
      <c r="BE54" s="33">
        <f t="shared" si="28"/>
        <v>0</v>
      </c>
      <c r="BF54" s="34" t="e">
        <f>BE54*VLOOKUP('Données projet'!$B$12,Paramètres!$A$1:$I$88,3,0)*VLOOKUP('Données projet'!$B$12,Paramètres!$A$1:$I$88,5,0)</f>
        <v>#N/A</v>
      </c>
      <c r="BG54" s="34" t="e">
        <f t="shared" si="29"/>
        <v>#N/A</v>
      </c>
      <c r="BH54" s="44" t="e">
        <f t="shared" si="6"/>
        <v>#N/A</v>
      </c>
      <c r="BI54" s="36">
        <f>IF(ISNA(VLOOKUP(A54,'Données projet'!$A$113:$I$133,3,0)),0,VLOOKUP(A54,'Données projet'!$A$113:$I$133,3,0))</f>
        <v>0</v>
      </c>
      <c r="BJ54" s="36">
        <f>IF(ISNA(VLOOKUP(A54,'Données projet'!$A$113:$I$133,4,0)),0,VLOOKUP(A54,'Données projet'!$A$113:$I$133,4,0))</f>
        <v>0</v>
      </c>
      <c r="BK54" s="37">
        <f>IF(ISNA(VLOOKUP(A54,'Données projet'!$A$113:$I$133,5,0)),0%,VLOOKUP(A54,'Données projet'!$A$113:$I$133,5,0)*VLOOKUP('Données projet'!$B$12,Paramètres!$A$1:$I$88,7,0))</f>
        <v>0</v>
      </c>
      <c r="BL54" s="37">
        <f>IF(ISNA(VLOOKUP(A54,'Données projet'!$A$113:$I$133,6,0)),0%,VLOOKUP(A54,'Données projet'!$A$113:$I$133,6,0)*VLOOKUP('Données projet'!$B$12,Paramètres!$A$1:$I$88,7,0))</f>
        <v>0</v>
      </c>
      <c r="BM54" s="37">
        <f>IF(ISNA(VLOOKUP(A54,'Données projet'!$A$113:$I$133,7,0)),0%,VLOOKUP(A54,'Données projet'!$A$113:$I$133,7,0))</f>
        <v>0</v>
      </c>
      <c r="BN54" s="45">
        <f>EXP(-LN(2)/35)*BN53+(1-EXP(-LN(2)/35))/(LN(2)/35)*BJ54*BK54*VLOOKUP('Données projet'!$B$9,Paramètres!$A$1:$I$88,3,0)*0.475*44/12</f>
        <v>0</v>
      </c>
      <c r="BO54" s="45">
        <f>EXP(-LN(2)/25)*BO53+(1-EXP(-LN(2)/25))/(LN(2)/25)*Calculateur!BJ54*Calculateur!BL54*VLOOKUP('Données projet'!$B$9,Paramètres!$A$1:$I$88,3,0)*0.475*44/12</f>
        <v>0</v>
      </c>
      <c r="BP54" s="45">
        <f>EXP(-LN(2)/2)*BP53+(1-EXP(-LN(2)/2))/(LN(2)/2)*BJ54*BM54*VLOOKUP('Données projet'!$B$9,Paramètres!$A$1:$I$88,3,0)*0.475*44/12</f>
        <v>0</v>
      </c>
      <c r="BQ54" s="46">
        <f t="shared" si="7"/>
        <v>0</v>
      </c>
      <c r="BR54" s="32" t="e">
        <f>VLOOKUP(A54,'Données projet'!$A$139:$I$159,2,0)</f>
        <v>#N/A</v>
      </c>
      <c r="BS54" s="33" t="e">
        <f>VLOOKUP(A54,'Données projet'!$A$139:$I$159,9,0)</f>
        <v>#N/A</v>
      </c>
      <c r="BT54" s="33">
        <f t="array" ref="BT54">INDEX(BS:BS,MIN(IF(ISNUMBER(BS54:BS250),ROW(BS54:BS250),"")))</f>
        <v>0</v>
      </c>
      <c r="BU54" s="33">
        <f t="shared" si="41"/>
        <v>0</v>
      </c>
      <c r="BV54" s="38" t="e">
        <f>BU54*VLOOKUP('Données projet'!$B$13,Paramètres!$A$1:$I$88,3,0)*VLOOKUP('Données projet'!$B$13,Paramètres!$A$1:$I$88,5,0)</f>
        <v>#N/A</v>
      </c>
      <c r="BW54" s="34" t="e">
        <f t="shared" si="30"/>
        <v>#N/A</v>
      </c>
      <c r="BX54" s="44" t="e">
        <f t="shared" si="8"/>
        <v>#N/A</v>
      </c>
      <c r="BY54" s="36">
        <f>IF(ISNA(VLOOKUP(A54,'Données projet'!$A$139:$I$159,3,0)),0,VLOOKUP(A54,'Données projet'!$A$139:$I$159,3,0))</f>
        <v>0</v>
      </c>
      <c r="BZ54" s="36">
        <f>IF(ISNA(VLOOKUP(A54,'Données projet'!$A$139:$I$159,4,0)),0,VLOOKUP(A54,'Données projet'!$A$139:$I$159,4,0))</f>
        <v>0</v>
      </c>
      <c r="CA54" s="37">
        <f>IF(ISNA(VLOOKUP(A54,'Données projet'!$A$139:$I$159,5,0)),0%,VLOOKUP(A54,'Données projet'!$A$139:$I$159,5,0)*VLOOKUP('Données projet'!$B$13,Paramètres!$A$1:$I$88,7,0))</f>
        <v>0</v>
      </c>
      <c r="CB54" s="37">
        <f>IF(ISNA(VLOOKUP(A54,'Données projet'!$A$139:$I$159,6,0)),0%,VLOOKUP(A54,'Données projet'!$A$139:$I$159,6,0)*VLOOKUP('Données projet'!$B$13,Paramètres!$A$1:$I$88,7,0))</f>
        <v>0</v>
      </c>
      <c r="CC54" s="37">
        <f>IF(ISNA(VLOOKUP(A54,'Données projet'!$A$139:$I$159,7,0)),0%,VLOOKUP(A54,'Données projet'!$A$139:$I$159,7,0))</f>
        <v>0</v>
      </c>
      <c r="CD54" s="45">
        <f>EXP(-LN(2)/35)*CD53+(1-EXP(-LN(2)/35))/(LN(2)/35)*BZ54*CA54*VLOOKUP('Données projet'!$B$9,Paramètres!$A$1:$I$88,3,0)*0.475*44/12</f>
        <v>0</v>
      </c>
      <c r="CE54" s="45">
        <f>EXP(-LN(2)/25)*CE53+(1-EXP(-LN(2)/25))/(LN(2)/25)*Calculateur!BZ54*Calculateur!CB54*VLOOKUP('Données projet'!$B$9,Paramètres!$A$1:$I$88,3,0)*0.475*44/12</f>
        <v>0</v>
      </c>
      <c r="CF54" s="45">
        <f>EXP(-LN(2)/2)*CF53+(1-EXP(-LN(2)/2))/(LN(2)/2)*BZ54*CC54*VLOOKUP('Données projet'!$B$9,Paramètres!$A$1:$I$88,3,0)*0.475*44/12</f>
        <v>0</v>
      </c>
      <c r="CG54" s="46">
        <f t="shared" si="9"/>
        <v>0</v>
      </c>
      <c r="CH54" s="32" t="e">
        <f>VLOOKUP(A54,'Données projet'!$A$165:$I$185,2,0)</f>
        <v>#N/A</v>
      </c>
      <c r="CI54" s="33" t="e">
        <f>VLOOKUP(A54,'Données projet'!$A$165:$I$185,9,0)</f>
        <v>#N/A</v>
      </c>
      <c r="CJ54" s="33">
        <f t="array" ref="CJ54">INDEX(CI:CI,MIN(IF(ISNUMBER(CI54:CI250),ROW(CI54:CI250),"")))</f>
        <v>0</v>
      </c>
      <c r="CK54" s="33">
        <f t="shared" si="31"/>
        <v>0</v>
      </c>
      <c r="CL54" s="38" t="e">
        <f>CK54*VLOOKUP('Données projet'!$B$14,Paramètres!$A$1:$I$88,3,0)*VLOOKUP('Données projet'!$B$14,Paramètres!$A$1:$I$88,5,0)</f>
        <v>#N/A</v>
      </c>
      <c r="CM54" s="34" t="e">
        <f t="shared" si="32"/>
        <v>#N/A</v>
      </c>
      <c r="CN54" s="44" t="e">
        <f t="shared" si="10"/>
        <v>#N/A</v>
      </c>
      <c r="CO54" s="36">
        <f>IF(ISNA(VLOOKUP(A54,'Données projet'!$A$165:$I$185,3,0)),0,VLOOKUP(A54,'Données projet'!$A$165:$I$185,3,0))</f>
        <v>0</v>
      </c>
      <c r="CP54" s="36">
        <f>IF(ISNA(VLOOKUP(A54,'Données projet'!$A$165:$I$185,4,0)),0,VLOOKUP(A54,'Données projet'!$A$165:$I$185,4,0))</f>
        <v>0</v>
      </c>
      <c r="CQ54" s="37">
        <f>IF(ISNA(VLOOKUP(A54,'Données projet'!$A$165:$I$185,5,0)),0%,VLOOKUP(A54,'Données projet'!$A$165:$I$185,5,0)*VLOOKUP('Données projet'!$B$14,Paramètres!$A$1:$I$88,7,0))</f>
        <v>0</v>
      </c>
      <c r="CR54" s="37">
        <f>IF(ISNA(VLOOKUP(A54,'Données projet'!$A$165:$I$185,6,0)),0%,VLOOKUP(A54,'Données projet'!$A$165:$I$185,6,0)*VLOOKUP('Données projet'!$B$14,Paramètres!$A$1:$I$88,7,0))</f>
        <v>0</v>
      </c>
      <c r="CS54" s="37">
        <f>IF(ISNA(VLOOKUP(A54,'Données projet'!$A$165:$I$185,7,0)),0%,VLOOKUP(A54,'Données projet'!$A$165:$I$185,7,0))</f>
        <v>0</v>
      </c>
      <c r="CT54" s="45">
        <f>EXP(-LN(2)/35)*CT53+(1-EXP(-LN(2)/35))/(LN(2)/35)*CP54*CQ54*VLOOKUP('Données projet'!$B$9,Paramètres!$A$1:$I$88,3,0)*0.475*44/12</f>
        <v>0</v>
      </c>
      <c r="CU54" s="45">
        <f>EXP(-LN(2)/25)*CU53+(1-EXP(-LN(2)/25))/(LN(2)/25)*Calculateur!CP54*Calculateur!CR54*VLOOKUP('Données projet'!$B$9,Paramètres!$A$1:$I$88,3,0)*0.475*44/12</f>
        <v>0</v>
      </c>
      <c r="CV54" s="45">
        <f>EXP(-LN(2)/2)*CV53+(1-EXP(-LN(2)/2))/(LN(2)/2)*CP54*CS54*VLOOKUP('Données projet'!$B$9,Paramètres!$A$1:$I$88,3,0)*0.475*44/12</f>
        <v>0</v>
      </c>
      <c r="CW54" s="46">
        <f t="shared" si="11"/>
        <v>0</v>
      </c>
      <c r="CX54" s="32" t="e">
        <f>VLOOKUP(A54,'Données projet'!$A$191:$I$211,2,0)</f>
        <v>#N/A</v>
      </c>
      <c r="CY54" s="33" t="e">
        <f>VLOOKUP(A54,'Données projet'!$A$191:$I$211,9,0)</f>
        <v>#N/A</v>
      </c>
      <c r="CZ54" s="33">
        <f t="array" ref="CZ54">INDEX(CY:CY,MIN(IF(ISNUMBER(CY54:CY250),ROW(CY54:CY250),"")))</f>
        <v>0</v>
      </c>
      <c r="DA54" s="33">
        <f t="shared" si="33"/>
        <v>0</v>
      </c>
      <c r="DB54" s="38" t="e">
        <f>DA54*VLOOKUP('Données projet'!$B$15,Paramètres!$A$1:$I$88,3,0)*VLOOKUP('Données projet'!$B$15,Paramètres!$A$1:$I$88,5,0)</f>
        <v>#N/A</v>
      </c>
      <c r="DC54" s="34" t="e">
        <f t="shared" si="34"/>
        <v>#N/A</v>
      </c>
      <c r="DD54" s="44" t="e">
        <f t="shared" si="12"/>
        <v>#N/A</v>
      </c>
      <c r="DE54" s="36">
        <f>IF(ISNA(VLOOKUP(A54,'Données projet'!$A$191:$I$211,3,0)),0,VLOOKUP(A54,'Données projet'!$A$191:$I$211,3,0))</f>
        <v>0</v>
      </c>
      <c r="DF54" s="36">
        <f>IF(ISNA(VLOOKUP(A54,'Données projet'!$A$191:$I$211,4,0)),0,VLOOKUP(A54,'Données projet'!$A$191:$I$211,4,0))</f>
        <v>0</v>
      </c>
      <c r="DG54" s="37">
        <f>IF(ISNA(VLOOKUP(A54,'Données projet'!$A$191:$I$211,5,0)),0%,VLOOKUP(A54,'Données projet'!$A$191:$I$211,5,0)*VLOOKUP('Données projet'!$B$15,Paramètres!$A$1:$I$88,7,0))</f>
        <v>0</v>
      </c>
      <c r="DH54" s="37">
        <f>IF(ISNA(VLOOKUP(A54,'Données projet'!$A$191:$I$211,6,0)),0%,VLOOKUP(A54,'Données projet'!$A$191:$I$211,6,0)*VLOOKUP('Données projet'!$B$15,Paramètres!$A$1:$I$88,7,0))</f>
        <v>0</v>
      </c>
      <c r="DI54" s="37">
        <f>IF(ISNA(VLOOKUP(A54,'Données projet'!$A$191:$I$211,7,0)),0%,VLOOKUP(A54,'Données projet'!$A$191:$I$211,7,0))</f>
        <v>0</v>
      </c>
      <c r="DJ54" s="45">
        <f>EXP(-LN(2)/35)*DJ53+(1-EXP(-LN(2)/35))/(LN(2)/35)*DF54*DG54*VLOOKUP('Données projet'!$B$9,Paramètres!$A$1:$I$88,3,0)*0.475*44/12</f>
        <v>0</v>
      </c>
      <c r="DK54" s="45">
        <f>EXP(-LN(2)/25)*DK53+(1-EXP(-LN(2)/25))/(LN(2)/25)*Calculateur!DF54*Calculateur!DH54*VLOOKUP('Données projet'!$B$9,Paramètres!$A$1:$I$88,3,0)*0.475*44/12</f>
        <v>0</v>
      </c>
      <c r="DL54" s="45">
        <f>EXP(-LN(2)/2)*DL53+(1-EXP(-LN(2)/2))/(LN(2)/2)*DF54*DI54*VLOOKUP('Données projet'!$B$9,Paramètres!$A$1:$I$88,3,0)*0.475*44/12</f>
        <v>0</v>
      </c>
      <c r="DM54" s="46">
        <f t="shared" si="13"/>
        <v>0</v>
      </c>
      <c r="DN54" s="32" t="e">
        <f>VLOOKUP(A54,'Données projet'!$A$217:$I$237,2,0)</f>
        <v>#N/A</v>
      </c>
      <c r="DO54" s="33" t="e">
        <f>VLOOKUP(A54,'Données projet'!$A$217:$I$237,9,0)</f>
        <v>#N/A</v>
      </c>
      <c r="DP54" s="33">
        <f t="array" ref="DP54">INDEX(DO:DO,MIN(IF(ISNUMBER(DO54:DO250),ROW(DO54:DO250),"")))</f>
        <v>0</v>
      </c>
      <c r="DQ54" s="33">
        <f t="shared" si="35"/>
        <v>0</v>
      </c>
      <c r="DR54" s="38" t="e">
        <f>DQ54*VLOOKUP('Données projet'!$B$16,Paramètres!$A$1:$I$88,3,0)*VLOOKUP('Données projet'!$B$16,Paramètres!$A$1:$I$88,5,0)</f>
        <v>#N/A</v>
      </c>
      <c r="DS54" s="34" t="e">
        <f t="shared" si="36"/>
        <v>#N/A</v>
      </c>
      <c r="DT54" s="44" t="e">
        <f t="shared" si="14"/>
        <v>#N/A</v>
      </c>
      <c r="DU54" s="36">
        <f>IF(ISNA(VLOOKUP(A54,'Données projet'!$A$217:$I$237,3,0)),0,VLOOKUP(A54,'Données projet'!$A$217:$I$237,3,0))</f>
        <v>0</v>
      </c>
      <c r="DV54" s="36">
        <f>IF(ISNA(VLOOKUP(A54,'Données projet'!$A$217:$I$237,4,0)),0,VLOOKUP(A54,'Données projet'!$A$217:$I$237,4,0))</f>
        <v>0</v>
      </c>
      <c r="DW54" s="37">
        <f>IF(ISNA(VLOOKUP(A54,'Données projet'!$A$217:$I$237,5,0)),0%,VLOOKUP(A54,'Données projet'!$A$217:$I$237,5,0)*VLOOKUP('Données projet'!$B$16,Paramètres!$A$1:$I$88,7,0))</f>
        <v>0</v>
      </c>
      <c r="DX54" s="37">
        <f>IF(ISNA(VLOOKUP(A54,'Données projet'!$A$217:$I$237,6,0)),0%,VLOOKUP(A54,'Données projet'!$A$217:$I$237,6,0)*VLOOKUP('Données projet'!$B$16,Paramètres!$A$1:$I$88,7,0))</f>
        <v>0</v>
      </c>
      <c r="DY54" s="37">
        <f>IF(ISNA(VLOOKUP(A54,'Données projet'!$A$217:$I$237,7,0)),0%,VLOOKUP(A54,'Données projet'!$A$217:$I$237,7,0))</f>
        <v>0</v>
      </c>
      <c r="DZ54" s="45">
        <f>EXP(-LN(2)/35)*DZ53+(1-EXP(-LN(2)/35))/(LN(2)/35)*DV54*DW54*VLOOKUP('Données projet'!$B$9,Paramètres!$A$1:$I$88,3,0)*0.475*44/12</f>
        <v>0</v>
      </c>
      <c r="EA54" s="45">
        <f>EXP(-LN(2)/25)*EA53+(1-EXP(-LN(2)/25))/(LN(2)/25)*Calculateur!DV54*Calculateur!DX54*VLOOKUP('Données projet'!$B$9,Paramètres!$A$1:$I$88,3,0)*0.475*44/12</f>
        <v>0</v>
      </c>
      <c r="EB54" s="45">
        <f>EXP(-LN(2)/2)*EB53+(1-EXP(-LN(2)/2))/(LN(2)/2)*DV54*DY54*VLOOKUP('Données projet'!$B$9,Paramètres!$A$1:$I$88,3,0)*0.475*44/12</f>
        <v>0</v>
      </c>
      <c r="EC54" s="46">
        <f t="shared" si="15"/>
        <v>0</v>
      </c>
      <c r="ED54" s="32" t="e">
        <f>VLOOKUP(A54,'Données projet'!$A$243:$I$263,2,0)</f>
        <v>#N/A</v>
      </c>
      <c r="EE54" s="33" t="e">
        <f>VLOOKUP(A54,'Données projet'!$A$243:$I$263,9,0)</f>
        <v>#N/A</v>
      </c>
      <c r="EF54" s="33">
        <f t="array" ref="EF54">INDEX(EE:EE,MIN(IF(ISNUMBER(EE54:EE250),ROW(EE54:EE250),"")))</f>
        <v>0</v>
      </c>
      <c r="EG54" s="33">
        <f t="shared" si="37"/>
        <v>0</v>
      </c>
      <c r="EH54" s="38" t="e">
        <f>EG54*VLOOKUP('Données projet'!$B$17,Paramètres!$A$1:$I$88,3,0)*VLOOKUP('Données projet'!$B$17,Paramètres!$A$1:$I$88,5,0)</f>
        <v>#N/A</v>
      </c>
      <c r="EI54" s="34" t="e">
        <f t="shared" si="38"/>
        <v>#N/A</v>
      </c>
      <c r="EJ54" s="44" t="e">
        <f t="shared" si="16"/>
        <v>#N/A</v>
      </c>
      <c r="EK54" s="36">
        <f>IF(ISNA(VLOOKUP(A54,'Données projet'!$A$243:$I$263,3,0)),0,VLOOKUP(A54,'Données projet'!$A$243:$I$263,3,0))</f>
        <v>0</v>
      </c>
      <c r="EL54" s="36">
        <f>IF(ISNA(VLOOKUP(A54,'Données projet'!$A$243:$I$263,4,0)),0,VLOOKUP(A54,'Données projet'!$A$243:$I$263,4,0))</f>
        <v>0</v>
      </c>
      <c r="EM54" s="37">
        <f>IF(ISNA(VLOOKUP(A54,'Données projet'!$A$243:$I$263,5,0)),0%,VLOOKUP(A54,'Données projet'!$A$243:$I$263,5,0)*VLOOKUP('Données projet'!$B$17,Paramètres!$A$1:$I$88,7,0))</f>
        <v>0</v>
      </c>
      <c r="EN54" s="37">
        <f>IF(ISNA(VLOOKUP(A54,'Données projet'!$A$243:$I$263,6,0)),0%,VLOOKUP(A54,'Données projet'!$A$243:$I$263,6,0)*VLOOKUP('Données projet'!$B$17,Paramètres!$A$1:$I$88,7,0))</f>
        <v>0</v>
      </c>
      <c r="EO54" s="37">
        <f>IF(ISNA(VLOOKUP(A54,'Données projet'!$A$243:$I$263,7,0)),0%,VLOOKUP(A54,'Données projet'!$A$243:$I$263,7,0))</f>
        <v>0</v>
      </c>
      <c r="EP54" s="45">
        <f>EXP(-LN(2)/35)*EP53+(1-EXP(-LN(2)/35))/(LN(2)/35)*EL54*EM54*VLOOKUP('Données projet'!$B$9,Paramètres!$A$1:$I$88,3,0)*0.475*44/12</f>
        <v>0</v>
      </c>
      <c r="EQ54" s="45">
        <f>EXP(-LN(2)/25)*EQ53+(1-EXP(-LN(2)/25))/(LN(2)/25)*Calculateur!EL54*Calculateur!EN54*VLOOKUP('Données projet'!$B$9,Paramètres!$A$1:$I$88,3,0)*0.475*44/12</f>
        <v>0</v>
      </c>
      <c r="ER54" s="45">
        <f>EXP(-LN(2)/2)*ER53+(1-EXP(-LN(2)/2))/(LN(2)/2)*EL54*EO54*VLOOKUP('Données projet'!$B$9,Paramètres!$A$1:$I$88,3,0)*0.475*44/12</f>
        <v>0</v>
      </c>
      <c r="ES54" s="46">
        <f t="shared" si="17"/>
        <v>0</v>
      </c>
      <c r="ET54" s="32" t="e">
        <f>VLOOKUP(A54,'Données projet'!$A$269:$I$289,2,0)</f>
        <v>#N/A</v>
      </c>
      <c r="EU54" s="33" t="e">
        <f>VLOOKUP(A54,'Données projet'!$A$269:$I$289,9,0)</f>
        <v>#N/A</v>
      </c>
      <c r="EV54" s="33">
        <f t="array" ref="EV54">INDEX(EU:EU,MIN(IF(ISNUMBER(EU54:EU250),ROW(EU54:EU250),"")))</f>
        <v>0</v>
      </c>
      <c r="EW54" s="33">
        <f t="shared" si="39"/>
        <v>0</v>
      </c>
      <c r="EX54" s="38" t="e">
        <f>EW54*VLOOKUP('Données projet'!$B$18,Paramètres!$A$1:$I$88,3,0)*VLOOKUP('Données projet'!$B$18,Paramètres!$A$1:$I$88,5,0)</f>
        <v>#N/A</v>
      </c>
      <c r="EY54" s="34" t="e">
        <f t="shared" si="40"/>
        <v>#N/A</v>
      </c>
      <c r="EZ54" s="44" t="e">
        <f t="shared" si="18"/>
        <v>#N/A</v>
      </c>
      <c r="FA54" s="36">
        <f>IF(ISNA(VLOOKUP(A54,'Données projet'!$A$269:$I$289,3,0)),0,VLOOKUP(A54,'Données projet'!$A$269:$I$289,3,0))</f>
        <v>0</v>
      </c>
      <c r="FB54" s="36">
        <f>IF(ISNA(VLOOKUP(A54,'Données projet'!$A$269:$I$289,4,0)),0,VLOOKUP(A54,'Données projet'!$A$269:$I$289,4,0))</f>
        <v>0</v>
      </c>
      <c r="FC54" s="37">
        <f>IF(ISNA(VLOOKUP(A54,'Données projet'!$A$269:$I$289,5,0)),0%,VLOOKUP(A54,'Données projet'!$A$269:$I$289,5,0)*VLOOKUP('Données projet'!$B$18,Paramètres!$A$1:$I$88,7,0))</f>
        <v>0</v>
      </c>
      <c r="FD54" s="37">
        <f>IF(ISNA(VLOOKUP(A54,'Données projet'!$A$269:$I$289,6,0)),0%,VLOOKUP(A54,'Données projet'!$A$269:$I$289,6,0)*VLOOKUP('Données projet'!$B$18,Paramètres!$A$1:$I$88,7,0))</f>
        <v>0</v>
      </c>
      <c r="FE54" s="37">
        <f>IF(ISNA(VLOOKUP(A54,'Données projet'!$A$269:$I$289,7,0)),0%,VLOOKUP(A54,'Données projet'!$A$269:$I$289,7,0))</f>
        <v>0</v>
      </c>
      <c r="FF54" s="45">
        <f>EXP(-LN(2)/35)*FF53+(1-EXP(-LN(2)/35))/(LN(2)/35)*FB54*FC54*VLOOKUP('Données projet'!$B$9,Paramètres!$A$1:$I$88,3,0)*0.475*44/12</f>
        <v>0</v>
      </c>
      <c r="FG54" s="45">
        <f>EXP(-LN(2)/25)*FG53+(1-EXP(-LN(2)/25))/(LN(2)/25)*Calculateur!FB54*Calculateur!FD54*VLOOKUP('Données projet'!$B$9,Paramètres!$A$1:$I$88,3,0)*0.475*44/12</f>
        <v>0</v>
      </c>
      <c r="FH54" s="45">
        <f>EXP(-LN(2)/2)*FH53+(1-EXP(-LN(2)/2))/(LN(2)/2)*FB54*FE54*VLOOKUP('Données projet'!$B$9,Paramètres!$A$1:$I$88,3,0)*0.475*44/12</f>
        <v>0</v>
      </c>
      <c r="FI54" s="46">
        <f t="shared" si="19"/>
        <v>0</v>
      </c>
    </row>
    <row r="55" spans="1:165" x14ac:dyDescent="0.25">
      <c r="A55" s="24">
        <f t="shared" si="20"/>
        <v>52</v>
      </c>
      <c r="B55" s="25">
        <f>IF('Scénario référence'!$N$1=1,5,0)</f>
        <v>0</v>
      </c>
      <c r="C55" s="40">
        <f>IF(OR('Scénario référence'!$N$1=2,'Scénario référence'!$N$1=4),C54+1*VLOOKUP('Scénario référence'!$G$14,Paramètres!$A$1:$I$88,3,0)*VLOOKUP('Scénario référence'!$G$14,Paramètres!$A$1:$I$88,5,0),IF(OR('Scénario référence'!$N$1=3,'Scénario référence'!$N$1=5),C54+0.5*VLOOKUP('Scénario référence'!$G$14,Paramètres!$A$1:$I$88,3,0)*VLOOKUP('Scénario référence'!$G$14,Paramètres!$A$1:$I$88,5,0),0))</f>
        <v>28.391999999999982</v>
      </c>
      <c r="D55" s="26">
        <f t="shared" si="21"/>
        <v>8.8633120224605459</v>
      </c>
      <c r="E55" s="27">
        <f>IF('Scénario référence'!$N$1=1,B55*44/12,(C55+D55)*0.475*44/12)</f>
        <v>64.88633510578542</v>
      </c>
      <c r="F55" s="28" t="e">
        <f>VLOOKUP(A55,'Données projet'!$A$35:$I$55,2,0)</f>
        <v>#N/A</v>
      </c>
      <c r="G55" s="28" t="e">
        <f>VLOOKUP(A55,'Données projet'!$A$35:$I$55,9,0)</f>
        <v>#N/A</v>
      </c>
      <c r="H55" s="33">
        <f t="array" ref="H55">INDEX(G:G,MIN(IF(ISNUMBER(G55:G251),ROW(G55:G251),"")))</f>
        <v>8</v>
      </c>
      <c r="I55" s="28">
        <f t="shared" si="22"/>
        <v>194</v>
      </c>
      <c r="J55" s="41">
        <f>I55*VLOOKUP('Données projet'!$B$9,Paramètres!$A$1:$I$88,3,0)*VLOOKUP('Données projet'!$B$9,Paramètres!$A$1:$I$88,5,0)</f>
        <v>196.71600000000001</v>
      </c>
      <c r="K55" s="41">
        <f t="shared" si="23"/>
        <v>49.021749959730009</v>
      </c>
      <c r="L55" s="42">
        <f t="shared" si="0"/>
        <v>427.99324784652981</v>
      </c>
      <c r="M55" s="30">
        <f>IF(ISNA(VLOOKUP(A55,'Données projet'!$A$35:$I$55,3,0)),0,VLOOKUP(A55,'Données projet'!$A$35:$I$55,3,0))</f>
        <v>0</v>
      </c>
      <c r="N55" s="30">
        <f>IF(ISNA(VLOOKUP(A55,'Données projet'!$A$35:$I$55,4,0)),0,VLOOKUP(A55,'Données projet'!$A$35:$I$55,4,0))</f>
        <v>0</v>
      </c>
      <c r="O55" s="31">
        <f>IF(ISNA(VLOOKUP(A55,'Données projet'!$A$35:$I$55,5,0)),0%,VLOOKUP(A55,'Données projet'!$A$35:$I$55,5,0)*VLOOKUP('Données projet'!$B$9,Paramètres!$A$1:$I$88,7,0))</f>
        <v>0</v>
      </c>
      <c r="P55" s="31">
        <f>IF(ISNA(VLOOKUP(A55,'Données projet'!$A$35:$I$55,6,0)),0%,VLOOKUP(A55,'Données projet'!$A$35:$I$55,6,0)*VLOOKUP('Données projet'!$B$9,Paramètres!$A$1:$I$88,7,0))</f>
        <v>0</v>
      </c>
      <c r="Q55" s="31">
        <f>IF(ISNA(VLOOKUP(A55,'Données projet'!$A$35:$I$55,7,0)),0%,VLOOKUP(A55,'Données projet'!$A$35:$I$55,7,0))</f>
        <v>0</v>
      </c>
      <c r="R55" s="43">
        <f>EXP(-LN(2)/35)*R54+(1-EXP(-LN(2)/35))/(LN(2)/35)*N55*O55*VLOOKUP('Données projet'!$B$9,Paramètres!$A$1:$I$88,3,0)*0.475*44/12</f>
        <v>0</v>
      </c>
      <c r="S55" s="43">
        <f>EXP(-LN(2)/25)*S54+(1-EXP(-LN(2)/25))/(LN(2)/25)*Calculateur!N55*Calculateur!P55*VLOOKUP('Données projet'!$B$9,Paramètres!$A$1:$I$88,3,0)*0.475*44/12</f>
        <v>0</v>
      </c>
      <c r="T55" s="43">
        <f>EXP(-LN(2)/2)*T54+(1-EXP(-LN(2)/2))/(LN(2)/2)*N55*Q55*VLOOKUP('Données projet'!$B$9,Paramètres!$A$1:$I$88,3,0)*0.475*44/12</f>
        <v>0</v>
      </c>
      <c r="U55" s="43">
        <f t="shared" si="1"/>
        <v>0</v>
      </c>
      <c r="V55" s="32" t="e">
        <f>VLOOKUP(A55,'Données projet'!$A$61:$I$81,2,0)</f>
        <v>#N/A</v>
      </c>
      <c r="W55" s="33" t="e">
        <f>VLOOKUP(A55,'Données projet'!$A$61:$I$81,9,0)</f>
        <v>#N/A</v>
      </c>
      <c r="X55" s="33">
        <f t="array" ref="X55">INDEX(W:W,MIN(IF(ISNUMBER(W55:W251),ROW(W55:W251),"")))</f>
        <v>0</v>
      </c>
      <c r="Y55" s="33">
        <f t="shared" si="24"/>
        <v>0</v>
      </c>
      <c r="Z55" s="34" t="e">
        <f>Y55*VLOOKUP('Données projet'!$B$10,Paramètres!$A$1:$I$88,3,0)*VLOOKUP('Données projet'!$B$10,Paramètres!$A$1:$I$88,5,0)</f>
        <v>#N/A</v>
      </c>
      <c r="AA55" s="34" t="e">
        <f t="shared" si="25"/>
        <v>#N/A</v>
      </c>
      <c r="AB55" s="44" t="e">
        <f t="shared" si="2"/>
        <v>#N/A</v>
      </c>
      <c r="AC55" s="36">
        <f>IF(ISNA(VLOOKUP(A55,'Données projet'!$A$61:$I$81,3,0)),0,VLOOKUP(A55,'Données projet'!$A$61:$I$81,3,0))</f>
        <v>0</v>
      </c>
      <c r="AD55" s="36">
        <f>IF(ISNA(VLOOKUP(A55,'Données projet'!$A$61:$I$81,4,0)),0,VLOOKUP(A55,'Données projet'!$A$61:$I$81,4,0))</f>
        <v>0</v>
      </c>
      <c r="AE55" s="37">
        <f>IF(ISNA(VLOOKUP(A55,'Données projet'!$A$61:$I$81,5,0)),0%,VLOOKUP(A55,'Données projet'!$A$61:$I$81,5,0)*VLOOKUP('Données projet'!$B$10,Paramètres!$A$1:$I$88,7,0))</f>
        <v>0</v>
      </c>
      <c r="AF55" s="37">
        <f>IF(ISNA(VLOOKUP(A55,'Données projet'!$A$61:$I$81,6,0)),0%,VLOOKUP(A55,'Données projet'!$A$61:$I$81,6,0)*VLOOKUP('Données projet'!$B$10,Paramètres!$A$1:$I$88,7,0))</f>
        <v>0</v>
      </c>
      <c r="AG55" s="37">
        <f>IF(ISNA(VLOOKUP(A55,'Données projet'!$A$61:$I$81,7,0)),0%,VLOOKUP(A55,'Données projet'!$A$61:$I$81,7,0))</f>
        <v>0</v>
      </c>
      <c r="AH55" s="45">
        <f>EXP(-LN(2)/35)*AH54+(1-EXP(-LN(2)/35))/(LN(2)/35)*AD55*AE55*VLOOKUP('Données projet'!$B$9,Paramètres!$A$1:$I$88,3,0)*0.475*44/12</f>
        <v>0</v>
      </c>
      <c r="AI55" s="45">
        <f>EXP(-LN(2)/25)*AI54+(1-EXP(-LN(2)/25))/(LN(2)/25)*Calculateur!AD55*Calculateur!AF55*VLOOKUP('Données projet'!$B$9,Paramètres!$A$1:$I$88,3,0)*0.475*44/12</f>
        <v>0</v>
      </c>
      <c r="AJ55" s="45">
        <f>EXP(-LN(2)/2)*AJ54+(1-EXP(-LN(2)/2))/(LN(2)/2)*AD55*AG55*VLOOKUP('Données projet'!$B$9,Paramètres!$A$1:$I$88,3,0)*0.475*44/12</f>
        <v>0</v>
      </c>
      <c r="AK55" s="45">
        <f t="shared" si="3"/>
        <v>0</v>
      </c>
      <c r="AL55" s="32" t="e">
        <f>VLOOKUP(A55,'Données projet'!$A$87:$I$107,2,0)</f>
        <v>#N/A</v>
      </c>
      <c r="AM55" s="33" t="e">
        <f>VLOOKUP(A55,'Données projet'!$A$87:$I$107,9,0)</f>
        <v>#N/A</v>
      </c>
      <c r="AN55" s="33">
        <f t="array" ref="AN55">INDEX(AM:AM,MIN(IF(ISNUMBER(AM55:AM251),ROW(AM55:AM251),"")))</f>
        <v>0</v>
      </c>
      <c r="AO55" s="33">
        <f t="shared" si="26"/>
        <v>0</v>
      </c>
      <c r="AP55" s="34" t="e">
        <f>AO55*VLOOKUP('Données projet'!$B$11,Paramètres!$A$1:$I$88,3,0)*VLOOKUP('Données projet'!$B$11,Paramètres!$A$1:$I$88,5,0)</f>
        <v>#N/A</v>
      </c>
      <c r="AQ55" s="34" t="e">
        <f t="shared" si="27"/>
        <v>#N/A</v>
      </c>
      <c r="AR55" s="44" t="e">
        <f t="shared" si="4"/>
        <v>#N/A</v>
      </c>
      <c r="AS55" s="36">
        <f>IF(ISNA(VLOOKUP(A55,'Données projet'!$A$87:$I$107,3,0)),0,VLOOKUP(A55,'Données projet'!$A$87:$I$107,3,0))</f>
        <v>0</v>
      </c>
      <c r="AT55" s="36">
        <f>IF(ISNA(VLOOKUP(A55,'Données projet'!$A$87:$I$107,4,0)),0,VLOOKUP(A55,'Données projet'!$A$87:$I$107,4,0))</f>
        <v>0</v>
      </c>
      <c r="AU55" s="37">
        <f>IF(ISNA(VLOOKUP(A55,'Données projet'!$A$87:$I$107,5,0)),0%,VLOOKUP(A55,'Données projet'!$A$87:$I$107,5,0)*VLOOKUP('Données projet'!$B$11,Paramètres!$A$1:$I$88,7,0))</f>
        <v>0</v>
      </c>
      <c r="AV55" s="37">
        <f>IF(ISNA(VLOOKUP(A55,'Données projet'!$A$87:$I$107,6,0)),0%,VLOOKUP(A55,'Données projet'!$A$87:$I$107,6,0)*VLOOKUP('Données projet'!$B$11,Paramètres!$A$1:$I$88,7,0))</f>
        <v>0</v>
      </c>
      <c r="AW55" s="37">
        <f>IF(ISNA(VLOOKUP(A55,'Données projet'!$A$87:$I$107,7,0)),0%,VLOOKUP(A55,'Données projet'!$A$87:$I$107,7,0))</f>
        <v>0</v>
      </c>
      <c r="AX55" s="45">
        <f>EXP(-LN(2)/35)*AX54+(1-EXP(-LN(2)/35))/(LN(2)/35)*AT55*AU55*VLOOKUP('Données projet'!$B$9,Paramètres!$A$1:$I$88,3,0)*0.475*44/12</f>
        <v>0</v>
      </c>
      <c r="AY55" s="45">
        <f>EXP(-LN(2)/25)*AY54+(1-EXP(-LN(2)/25))/(LN(2)/25)*Calculateur!AT55*Calculateur!AV55*VLOOKUP('Données projet'!$B$9,Paramètres!$A$1:$I$88,3,0)*0.475*44/12</f>
        <v>0</v>
      </c>
      <c r="AZ55" s="45">
        <f>EXP(-LN(2)/2)*AZ54+(1-EXP(-LN(2)/2))/(LN(2)/2)*AT55*AW55*VLOOKUP('Données projet'!$B$9,Paramètres!$A$1:$I$88,3,0)*0.475*44/12</f>
        <v>0</v>
      </c>
      <c r="BA55" s="46">
        <f t="shared" si="5"/>
        <v>0</v>
      </c>
      <c r="BB55" s="32" t="e">
        <f>VLOOKUP(A55,'Données projet'!$A$113:$I$133,2,0)</f>
        <v>#N/A</v>
      </c>
      <c r="BC55" s="33" t="e">
        <f>VLOOKUP(A55,'Données projet'!$A$113:$I$133,9,0)</f>
        <v>#N/A</v>
      </c>
      <c r="BD55" s="33">
        <f t="array" ref="BD55">INDEX(BC:BC,MIN(IF(ISNUMBER(BC55:BC251),ROW(BC55:BC251),"")))</f>
        <v>0</v>
      </c>
      <c r="BE55" s="33">
        <f t="shared" si="28"/>
        <v>0</v>
      </c>
      <c r="BF55" s="34" t="e">
        <f>BE55*VLOOKUP('Données projet'!$B$12,Paramètres!$A$1:$I$88,3,0)*VLOOKUP('Données projet'!$B$12,Paramètres!$A$1:$I$88,5,0)</f>
        <v>#N/A</v>
      </c>
      <c r="BG55" s="34" t="e">
        <f t="shared" si="29"/>
        <v>#N/A</v>
      </c>
      <c r="BH55" s="44" t="e">
        <f t="shared" si="6"/>
        <v>#N/A</v>
      </c>
      <c r="BI55" s="36">
        <f>IF(ISNA(VLOOKUP(A55,'Données projet'!$A$113:$I$133,3,0)),0,VLOOKUP(A55,'Données projet'!$A$113:$I$133,3,0))</f>
        <v>0</v>
      </c>
      <c r="BJ55" s="36">
        <f>IF(ISNA(VLOOKUP(A55,'Données projet'!$A$113:$I$133,4,0)),0,VLOOKUP(A55,'Données projet'!$A$113:$I$133,4,0))</f>
        <v>0</v>
      </c>
      <c r="BK55" s="37">
        <f>IF(ISNA(VLOOKUP(A55,'Données projet'!$A$113:$I$133,5,0)),0%,VLOOKUP(A55,'Données projet'!$A$113:$I$133,5,0)*VLOOKUP('Données projet'!$B$12,Paramètres!$A$1:$I$88,7,0))</f>
        <v>0</v>
      </c>
      <c r="BL55" s="37">
        <f>IF(ISNA(VLOOKUP(A55,'Données projet'!$A$113:$I$133,6,0)),0%,VLOOKUP(A55,'Données projet'!$A$113:$I$133,6,0)*VLOOKUP('Données projet'!$B$12,Paramètres!$A$1:$I$88,7,0))</f>
        <v>0</v>
      </c>
      <c r="BM55" s="37">
        <f>IF(ISNA(VLOOKUP(A55,'Données projet'!$A$113:$I$133,7,0)),0%,VLOOKUP(A55,'Données projet'!$A$113:$I$133,7,0))</f>
        <v>0</v>
      </c>
      <c r="BN55" s="45">
        <f>EXP(-LN(2)/35)*BN54+(1-EXP(-LN(2)/35))/(LN(2)/35)*BJ55*BK55*VLOOKUP('Données projet'!$B$9,Paramètres!$A$1:$I$88,3,0)*0.475*44/12</f>
        <v>0</v>
      </c>
      <c r="BO55" s="45">
        <f>EXP(-LN(2)/25)*BO54+(1-EXP(-LN(2)/25))/(LN(2)/25)*Calculateur!BJ55*Calculateur!BL55*VLOOKUP('Données projet'!$B$9,Paramètres!$A$1:$I$88,3,0)*0.475*44/12</f>
        <v>0</v>
      </c>
      <c r="BP55" s="45">
        <f>EXP(-LN(2)/2)*BP54+(1-EXP(-LN(2)/2))/(LN(2)/2)*BJ55*BM55*VLOOKUP('Données projet'!$B$9,Paramètres!$A$1:$I$88,3,0)*0.475*44/12</f>
        <v>0</v>
      </c>
      <c r="BQ55" s="46">
        <f t="shared" si="7"/>
        <v>0</v>
      </c>
      <c r="BR55" s="32" t="e">
        <f>VLOOKUP(A55,'Données projet'!$A$139:$I$159,2,0)</f>
        <v>#N/A</v>
      </c>
      <c r="BS55" s="33" t="e">
        <f>VLOOKUP(A55,'Données projet'!$A$139:$I$159,9,0)</f>
        <v>#N/A</v>
      </c>
      <c r="BT55" s="33">
        <f t="array" ref="BT55">INDEX(BS:BS,MIN(IF(ISNUMBER(BS55:BS251),ROW(BS55:BS251),"")))</f>
        <v>0</v>
      </c>
      <c r="BU55" s="33">
        <f t="shared" si="41"/>
        <v>0</v>
      </c>
      <c r="BV55" s="38" t="e">
        <f>BU55*VLOOKUP('Données projet'!$B$13,Paramètres!$A$1:$I$88,3,0)*VLOOKUP('Données projet'!$B$13,Paramètres!$A$1:$I$88,5,0)</f>
        <v>#N/A</v>
      </c>
      <c r="BW55" s="34" t="e">
        <f t="shared" si="30"/>
        <v>#N/A</v>
      </c>
      <c r="BX55" s="44" t="e">
        <f t="shared" si="8"/>
        <v>#N/A</v>
      </c>
      <c r="BY55" s="36">
        <f>IF(ISNA(VLOOKUP(A55,'Données projet'!$A$139:$I$159,3,0)),0,VLOOKUP(A55,'Données projet'!$A$139:$I$159,3,0))</f>
        <v>0</v>
      </c>
      <c r="BZ55" s="36">
        <f>IF(ISNA(VLOOKUP(A55,'Données projet'!$A$139:$I$159,4,0)),0,VLOOKUP(A55,'Données projet'!$A$139:$I$159,4,0))</f>
        <v>0</v>
      </c>
      <c r="CA55" s="37">
        <f>IF(ISNA(VLOOKUP(A55,'Données projet'!$A$139:$I$159,5,0)),0%,VLOOKUP(A55,'Données projet'!$A$139:$I$159,5,0)*VLOOKUP('Données projet'!$B$13,Paramètres!$A$1:$I$88,7,0))</f>
        <v>0</v>
      </c>
      <c r="CB55" s="37">
        <f>IF(ISNA(VLOOKUP(A55,'Données projet'!$A$139:$I$159,6,0)),0%,VLOOKUP(A55,'Données projet'!$A$139:$I$159,6,0)*VLOOKUP('Données projet'!$B$13,Paramètres!$A$1:$I$88,7,0))</f>
        <v>0</v>
      </c>
      <c r="CC55" s="37">
        <f>IF(ISNA(VLOOKUP(A55,'Données projet'!$A$139:$I$159,7,0)),0%,VLOOKUP(A55,'Données projet'!$A$139:$I$159,7,0))</f>
        <v>0</v>
      </c>
      <c r="CD55" s="45">
        <f>EXP(-LN(2)/35)*CD54+(1-EXP(-LN(2)/35))/(LN(2)/35)*BZ55*CA55*VLOOKUP('Données projet'!$B$9,Paramètres!$A$1:$I$88,3,0)*0.475*44/12</f>
        <v>0</v>
      </c>
      <c r="CE55" s="45">
        <f>EXP(-LN(2)/25)*CE54+(1-EXP(-LN(2)/25))/(LN(2)/25)*Calculateur!BZ55*Calculateur!CB55*VLOOKUP('Données projet'!$B$9,Paramètres!$A$1:$I$88,3,0)*0.475*44/12</f>
        <v>0</v>
      </c>
      <c r="CF55" s="45">
        <f>EXP(-LN(2)/2)*CF54+(1-EXP(-LN(2)/2))/(LN(2)/2)*BZ55*CC55*VLOOKUP('Données projet'!$B$9,Paramètres!$A$1:$I$88,3,0)*0.475*44/12</f>
        <v>0</v>
      </c>
      <c r="CG55" s="46">
        <f t="shared" si="9"/>
        <v>0</v>
      </c>
      <c r="CH55" s="32" t="e">
        <f>VLOOKUP(A55,'Données projet'!$A$165:$I$185,2,0)</f>
        <v>#N/A</v>
      </c>
      <c r="CI55" s="33" t="e">
        <f>VLOOKUP(A55,'Données projet'!$A$165:$I$185,9,0)</f>
        <v>#N/A</v>
      </c>
      <c r="CJ55" s="33">
        <f t="array" ref="CJ55">INDEX(CI:CI,MIN(IF(ISNUMBER(CI55:CI251),ROW(CI55:CI251),"")))</f>
        <v>0</v>
      </c>
      <c r="CK55" s="33">
        <f t="shared" si="31"/>
        <v>0</v>
      </c>
      <c r="CL55" s="38" t="e">
        <f>CK55*VLOOKUP('Données projet'!$B$14,Paramètres!$A$1:$I$88,3,0)*VLOOKUP('Données projet'!$B$14,Paramètres!$A$1:$I$88,5,0)</f>
        <v>#N/A</v>
      </c>
      <c r="CM55" s="34" t="e">
        <f t="shared" si="32"/>
        <v>#N/A</v>
      </c>
      <c r="CN55" s="44" t="e">
        <f t="shared" si="10"/>
        <v>#N/A</v>
      </c>
      <c r="CO55" s="36">
        <f>IF(ISNA(VLOOKUP(A55,'Données projet'!$A$165:$I$185,3,0)),0,VLOOKUP(A55,'Données projet'!$A$165:$I$185,3,0))</f>
        <v>0</v>
      </c>
      <c r="CP55" s="36">
        <f>IF(ISNA(VLOOKUP(A55,'Données projet'!$A$165:$I$185,4,0)),0,VLOOKUP(A55,'Données projet'!$A$165:$I$185,4,0))</f>
        <v>0</v>
      </c>
      <c r="CQ55" s="37">
        <f>IF(ISNA(VLOOKUP(A55,'Données projet'!$A$165:$I$185,5,0)),0%,VLOOKUP(A55,'Données projet'!$A$165:$I$185,5,0)*VLOOKUP('Données projet'!$B$14,Paramètres!$A$1:$I$88,7,0))</f>
        <v>0</v>
      </c>
      <c r="CR55" s="37">
        <f>IF(ISNA(VLOOKUP(A55,'Données projet'!$A$165:$I$185,6,0)),0%,VLOOKUP(A55,'Données projet'!$A$165:$I$185,6,0)*VLOOKUP('Données projet'!$B$14,Paramètres!$A$1:$I$88,7,0))</f>
        <v>0</v>
      </c>
      <c r="CS55" s="37">
        <f>IF(ISNA(VLOOKUP(A55,'Données projet'!$A$165:$I$185,7,0)),0%,VLOOKUP(A55,'Données projet'!$A$165:$I$185,7,0))</f>
        <v>0</v>
      </c>
      <c r="CT55" s="45">
        <f>EXP(-LN(2)/35)*CT54+(1-EXP(-LN(2)/35))/(LN(2)/35)*CP55*CQ55*VLOOKUP('Données projet'!$B$9,Paramètres!$A$1:$I$88,3,0)*0.475*44/12</f>
        <v>0</v>
      </c>
      <c r="CU55" s="45">
        <f>EXP(-LN(2)/25)*CU54+(1-EXP(-LN(2)/25))/(LN(2)/25)*Calculateur!CP55*Calculateur!CR55*VLOOKUP('Données projet'!$B$9,Paramètres!$A$1:$I$88,3,0)*0.475*44/12</f>
        <v>0</v>
      </c>
      <c r="CV55" s="45">
        <f>EXP(-LN(2)/2)*CV54+(1-EXP(-LN(2)/2))/(LN(2)/2)*CP55*CS55*VLOOKUP('Données projet'!$B$9,Paramètres!$A$1:$I$88,3,0)*0.475*44/12</f>
        <v>0</v>
      </c>
      <c r="CW55" s="46">
        <f t="shared" si="11"/>
        <v>0</v>
      </c>
      <c r="CX55" s="32" t="e">
        <f>VLOOKUP(A55,'Données projet'!$A$191:$I$211,2,0)</f>
        <v>#N/A</v>
      </c>
      <c r="CY55" s="33" t="e">
        <f>VLOOKUP(A55,'Données projet'!$A$191:$I$211,9,0)</f>
        <v>#N/A</v>
      </c>
      <c r="CZ55" s="33">
        <f t="array" ref="CZ55">INDEX(CY:CY,MIN(IF(ISNUMBER(CY55:CY251),ROW(CY55:CY251),"")))</f>
        <v>0</v>
      </c>
      <c r="DA55" s="33">
        <f t="shared" si="33"/>
        <v>0</v>
      </c>
      <c r="DB55" s="38" t="e">
        <f>DA55*VLOOKUP('Données projet'!$B$15,Paramètres!$A$1:$I$88,3,0)*VLOOKUP('Données projet'!$B$15,Paramètres!$A$1:$I$88,5,0)</f>
        <v>#N/A</v>
      </c>
      <c r="DC55" s="34" t="e">
        <f t="shared" si="34"/>
        <v>#N/A</v>
      </c>
      <c r="DD55" s="44" t="e">
        <f t="shared" si="12"/>
        <v>#N/A</v>
      </c>
      <c r="DE55" s="36">
        <f>IF(ISNA(VLOOKUP(A55,'Données projet'!$A$191:$I$211,3,0)),0,VLOOKUP(A55,'Données projet'!$A$191:$I$211,3,0))</f>
        <v>0</v>
      </c>
      <c r="DF55" s="36">
        <f>IF(ISNA(VLOOKUP(A55,'Données projet'!$A$191:$I$211,4,0)),0,VLOOKUP(A55,'Données projet'!$A$191:$I$211,4,0))</f>
        <v>0</v>
      </c>
      <c r="DG55" s="37">
        <f>IF(ISNA(VLOOKUP(A55,'Données projet'!$A$191:$I$211,5,0)),0%,VLOOKUP(A55,'Données projet'!$A$191:$I$211,5,0)*VLOOKUP('Données projet'!$B$15,Paramètres!$A$1:$I$88,7,0))</f>
        <v>0</v>
      </c>
      <c r="DH55" s="37">
        <f>IF(ISNA(VLOOKUP(A55,'Données projet'!$A$191:$I$211,6,0)),0%,VLOOKUP(A55,'Données projet'!$A$191:$I$211,6,0)*VLOOKUP('Données projet'!$B$15,Paramètres!$A$1:$I$88,7,0))</f>
        <v>0</v>
      </c>
      <c r="DI55" s="37">
        <f>IF(ISNA(VLOOKUP(A55,'Données projet'!$A$191:$I$211,7,0)),0%,VLOOKUP(A55,'Données projet'!$A$191:$I$211,7,0))</f>
        <v>0</v>
      </c>
      <c r="DJ55" s="45">
        <f>EXP(-LN(2)/35)*DJ54+(1-EXP(-LN(2)/35))/(LN(2)/35)*DF55*DG55*VLOOKUP('Données projet'!$B$9,Paramètres!$A$1:$I$88,3,0)*0.475*44/12</f>
        <v>0</v>
      </c>
      <c r="DK55" s="45">
        <f>EXP(-LN(2)/25)*DK54+(1-EXP(-LN(2)/25))/(LN(2)/25)*Calculateur!DF55*Calculateur!DH55*VLOOKUP('Données projet'!$B$9,Paramètres!$A$1:$I$88,3,0)*0.475*44/12</f>
        <v>0</v>
      </c>
      <c r="DL55" s="45">
        <f>EXP(-LN(2)/2)*DL54+(1-EXP(-LN(2)/2))/(LN(2)/2)*DF55*DI55*VLOOKUP('Données projet'!$B$9,Paramètres!$A$1:$I$88,3,0)*0.475*44/12</f>
        <v>0</v>
      </c>
      <c r="DM55" s="46">
        <f t="shared" si="13"/>
        <v>0</v>
      </c>
      <c r="DN55" s="32" t="e">
        <f>VLOOKUP(A55,'Données projet'!$A$217:$I$237,2,0)</f>
        <v>#N/A</v>
      </c>
      <c r="DO55" s="33" t="e">
        <f>VLOOKUP(A55,'Données projet'!$A$217:$I$237,9,0)</f>
        <v>#N/A</v>
      </c>
      <c r="DP55" s="33">
        <f t="array" ref="DP55">INDEX(DO:DO,MIN(IF(ISNUMBER(DO55:DO251),ROW(DO55:DO251),"")))</f>
        <v>0</v>
      </c>
      <c r="DQ55" s="33">
        <f t="shared" si="35"/>
        <v>0</v>
      </c>
      <c r="DR55" s="38" t="e">
        <f>DQ55*VLOOKUP('Données projet'!$B$16,Paramètres!$A$1:$I$88,3,0)*VLOOKUP('Données projet'!$B$16,Paramètres!$A$1:$I$88,5,0)</f>
        <v>#N/A</v>
      </c>
      <c r="DS55" s="34" t="e">
        <f t="shared" si="36"/>
        <v>#N/A</v>
      </c>
      <c r="DT55" s="44" t="e">
        <f t="shared" si="14"/>
        <v>#N/A</v>
      </c>
      <c r="DU55" s="36">
        <f>IF(ISNA(VLOOKUP(A55,'Données projet'!$A$217:$I$237,3,0)),0,VLOOKUP(A55,'Données projet'!$A$217:$I$237,3,0))</f>
        <v>0</v>
      </c>
      <c r="DV55" s="36">
        <f>IF(ISNA(VLOOKUP(A55,'Données projet'!$A$217:$I$237,4,0)),0,VLOOKUP(A55,'Données projet'!$A$217:$I$237,4,0))</f>
        <v>0</v>
      </c>
      <c r="DW55" s="37">
        <f>IF(ISNA(VLOOKUP(A55,'Données projet'!$A$217:$I$237,5,0)),0%,VLOOKUP(A55,'Données projet'!$A$217:$I$237,5,0)*VLOOKUP('Données projet'!$B$16,Paramètres!$A$1:$I$88,7,0))</f>
        <v>0</v>
      </c>
      <c r="DX55" s="37">
        <f>IF(ISNA(VLOOKUP(A55,'Données projet'!$A$217:$I$237,6,0)),0%,VLOOKUP(A55,'Données projet'!$A$217:$I$237,6,0)*VLOOKUP('Données projet'!$B$16,Paramètres!$A$1:$I$88,7,0))</f>
        <v>0</v>
      </c>
      <c r="DY55" s="37">
        <f>IF(ISNA(VLOOKUP(A55,'Données projet'!$A$217:$I$237,7,0)),0%,VLOOKUP(A55,'Données projet'!$A$217:$I$237,7,0))</f>
        <v>0</v>
      </c>
      <c r="DZ55" s="45">
        <f>EXP(-LN(2)/35)*DZ54+(1-EXP(-LN(2)/35))/(LN(2)/35)*DV55*DW55*VLOOKUP('Données projet'!$B$9,Paramètres!$A$1:$I$88,3,0)*0.475*44/12</f>
        <v>0</v>
      </c>
      <c r="EA55" s="45">
        <f>EXP(-LN(2)/25)*EA54+(1-EXP(-LN(2)/25))/(LN(2)/25)*Calculateur!DV55*Calculateur!DX55*VLOOKUP('Données projet'!$B$9,Paramètres!$A$1:$I$88,3,0)*0.475*44/12</f>
        <v>0</v>
      </c>
      <c r="EB55" s="45">
        <f>EXP(-LN(2)/2)*EB54+(1-EXP(-LN(2)/2))/(LN(2)/2)*DV55*DY55*VLOOKUP('Données projet'!$B$9,Paramètres!$A$1:$I$88,3,0)*0.475*44/12</f>
        <v>0</v>
      </c>
      <c r="EC55" s="46">
        <f t="shared" si="15"/>
        <v>0</v>
      </c>
      <c r="ED55" s="32" t="e">
        <f>VLOOKUP(A55,'Données projet'!$A$243:$I$263,2,0)</f>
        <v>#N/A</v>
      </c>
      <c r="EE55" s="33" t="e">
        <f>VLOOKUP(A55,'Données projet'!$A$243:$I$263,9,0)</f>
        <v>#N/A</v>
      </c>
      <c r="EF55" s="33">
        <f t="array" ref="EF55">INDEX(EE:EE,MIN(IF(ISNUMBER(EE55:EE251),ROW(EE55:EE251),"")))</f>
        <v>0</v>
      </c>
      <c r="EG55" s="33">
        <f t="shared" si="37"/>
        <v>0</v>
      </c>
      <c r="EH55" s="38" t="e">
        <f>EG55*VLOOKUP('Données projet'!$B$17,Paramètres!$A$1:$I$88,3,0)*VLOOKUP('Données projet'!$B$17,Paramètres!$A$1:$I$88,5,0)</f>
        <v>#N/A</v>
      </c>
      <c r="EI55" s="34" t="e">
        <f t="shared" si="38"/>
        <v>#N/A</v>
      </c>
      <c r="EJ55" s="44" t="e">
        <f t="shared" si="16"/>
        <v>#N/A</v>
      </c>
      <c r="EK55" s="36">
        <f>IF(ISNA(VLOOKUP(A55,'Données projet'!$A$243:$I$263,3,0)),0,VLOOKUP(A55,'Données projet'!$A$243:$I$263,3,0))</f>
        <v>0</v>
      </c>
      <c r="EL55" s="36">
        <f>IF(ISNA(VLOOKUP(A55,'Données projet'!$A$243:$I$263,4,0)),0,VLOOKUP(A55,'Données projet'!$A$243:$I$263,4,0))</f>
        <v>0</v>
      </c>
      <c r="EM55" s="37">
        <f>IF(ISNA(VLOOKUP(A55,'Données projet'!$A$243:$I$263,5,0)),0%,VLOOKUP(A55,'Données projet'!$A$243:$I$263,5,0)*VLOOKUP('Données projet'!$B$17,Paramètres!$A$1:$I$88,7,0))</f>
        <v>0</v>
      </c>
      <c r="EN55" s="37">
        <f>IF(ISNA(VLOOKUP(A55,'Données projet'!$A$243:$I$263,6,0)),0%,VLOOKUP(A55,'Données projet'!$A$243:$I$263,6,0)*VLOOKUP('Données projet'!$B$17,Paramètres!$A$1:$I$88,7,0))</f>
        <v>0</v>
      </c>
      <c r="EO55" s="37">
        <f>IF(ISNA(VLOOKUP(A55,'Données projet'!$A$243:$I$263,7,0)),0%,VLOOKUP(A55,'Données projet'!$A$243:$I$263,7,0))</f>
        <v>0</v>
      </c>
      <c r="EP55" s="45">
        <f>EXP(-LN(2)/35)*EP54+(1-EXP(-LN(2)/35))/(LN(2)/35)*EL55*EM55*VLOOKUP('Données projet'!$B$9,Paramètres!$A$1:$I$88,3,0)*0.475*44/12</f>
        <v>0</v>
      </c>
      <c r="EQ55" s="45">
        <f>EXP(-LN(2)/25)*EQ54+(1-EXP(-LN(2)/25))/(LN(2)/25)*Calculateur!EL55*Calculateur!EN55*VLOOKUP('Données projet'!$B$9,Paramètres!$A$1:$I$88,3,0)*0.475*44/12</f>
        <v>0</v>
      </c>
      <c r="ER55" s="45">
        <f>EXP(-LN(2)/2)*ER54+(1-EXP(-LN(2)/2))/(LN(2)/2)*EL55*EO55*VLOOKUP('Données projet'!$B$9,Paramètres!$A$1:$I$88,3,0)*0.475*44/12</f>
        <v>0</v>
      </c>
      <c r="ES55" s="46">
        <f t="shared" si="17"/>
        <v>0</v>
      </c>
      <c r="ET55" s="32" t="e">
        <f>VLOOKUP(A55,'Données projet'!$A$269:$I$289,2,0)</f>
        <v>#N/A</v>
      </c>
      <c r="EU55" s="33" t="e">
        <f>VLOOKUP(A55,'Données projet'!$A$269:$I$289,9,0)</f>
        <v>#N/A</v>
      </c>
      <c r="EV55" s="33">
        <f t="array" ref="EV55">INDEX(EU:EU,MIN(IF(ISNUMBER(EU55:EU251),ROW(EU55:EU251),"")))</f>
        <v>0</v>
      </c>
      <c r="EW55" s="33">
        <f t="shared" si="39"/>
        <v>0</v>
      </c>
      <c r="EX55" s="38" t="e">
        <f>EW55*VLOOKUP('Données projet'!$B$18,Paramètres!$A$1:$I$88,3,0)*VLOOKUP('Données projet'!$B$18,Paramètres!$A$1:$I$88,5,0)</f>
        <v>#N/A</v>
      </c>
      <c r="EY55" s="34" t="e">
        <f t="shared" si="40"/>
        <v>#N/A</v>
      </c>
      <c r="EZ55" s="44" t="e">
        <f t="shared" si="18"/>
        <v>#N/A</v>
      </c>
      <c r="FA55" s="36">
        <f>IF(ISNA(VLOOKUP(A55,'Données projet'!$A$269:$I$289,3,0)),0,VLOOKUP(A55,'Données projet'!$A$269:$I$289,3,0))</f>
        <v>0</v>
      </c>
      <c r="FB55" s="36">
        <f>IF(ISNA(VLOOKUP(A55,'Données projet'!$A$269:$I$289,4,0)),0,VLOOKUP(A55,'Données projet'!$A$269:$I$289,4,0))</f>
        <v>0</v>
      </c>
      <c r="FC55" s="37">
        <f>IF(ISNA(VLOOKUP(A55,'Données projet'!$A$269:$I$289,5,0)),0%,VLOOKUP(A55,'Données projet'!$A$269:$I$289,5,0)*VLOOKUP('Données projet'!$B$18,Paramètres!$A$1:$I$88,7,0))</f>
        <v>0</v>
      </c>
      <c r="FD55" s="37">
        <f>IF(ISNA(VLOOKUP(A55,'Données projet'!$A$269:$I$289,6,0)),0%,VLOOKUP(A55,'Données projet'!$A$269:$I$289,6,0)*VLOOKUP('Données projet'!$B$18,Paramètres!$A$1:$I$88,7,0))</f>
        <v>0</v>
      </c>
      <c r="FE55" s="37">
        <f>IF(ISNA(VLOOKUP(A55,'Données projet'!$A$269:$I$289,7,0)),0%,VLOOKUP(A55,'Données projet'!$A$269:$I$289,7,0))</f>
        <v>0</v>
      </c>
      <c r="FF55" s="45">
        <f>EXP(-LN(2)/35)*FF54+(1-EXP(-LN(2)/35))/(LN(2)/35)*FB55*FC55*VLOOKUP('Données projet'!$B$9,Paramètres!$A$1:$I$88,3,0)*0.475*44/12</f>
        <v>0</v>
      </c>
      <c r="FG55" s="45">
        <f>EXP(-LN(2)/25)*FG54+(1-EXP(-LN(2)/25))/(LN(2)/25)*Calculateur!FB55*Calculateur!FD55*VLOOKUP('Données projet'!$B$9,Paramètres!$A$1:$I$88,3,0)*0.475*44/12</f>
        <v>0</v>
      </c>
      <c r="FH55" s="45">
        <f>EXP(-LN(2)/2)*FH54+(1-EXP(-LN(2)/2))/(LN(2)/2)*FB55*FE55*VLOOKUP('Données projet'!$B$9,Paramètres!$A$1:$I$88,3,0)*0.475*44/12</f>
        <v>0</v>
      </c>
      <c r="FI55" s="46">
        <f t="shared" si="19"/>
        <v>0</v>
      </c>
    </row>
    <row r="56" spans="1:165" x14ac:dyDescent="0.25">
      <c r="A56" s="24">
        <f t="shared" si="20"/>
        <v>53</v>
      </c>
      <c r="B56" s="25">
        <f>IF('Scénario référence'!$N$1=1,5,0)</f>
        <v>0</v>
      </c>
      <c r="C56" s="40">
        <f>IF(OR('Scénario référence'!$N$1=2,'Scénario référence'!$N$1=4),C55+1*VLOOKUP('Scénario référence'!$G$14,Paramètres!$A$1:$I$88,3,0)*VLOOKUP('Scénario référence'!$G$14,Paramètres!$A$1:$I$88,5,0),IF(OR('Scénario référence'!$N$1=3,'Scénario référence'!$N$1=5),C55+0.5*VLOOKUP('Scénario référence'!$G$14,Paramètres!$A$1:$I$88,3,0)*VLOOKUP('Scénario référence'!$G$14,Paramètres!$A$1:$I$88,5,0),0))</f>
        <v>28.937999999999981</v>
      </c>
      <c r="D56" s="26">
        <f t="shared" si="21"/>
        <v>9.0137527764644076</v>
      </c>
      <c r="E56" s="27">
        <f>IF('Scénario référence'!$N$1=1,B56*44/12,(C56+D56)*0.475*44/12)</f>
        <v>66.099302752342155</v>
      </c>
      <c r="F56" s="28" t="e">
        <f>VLOOKUP(A56,'Données projet'!$A$35:$I$55,2,0)</f>
        <v>#N/A</v>
      </c>
      <c r="G56" s="28" t="e">
        <f>VLOOKUP(A56,'Données projet'!$A$35:$I$55,9,0)</f>
        <v>#N/A</v>
      </c>
      <c r="H56" s="33">
        <f t="array" ref="H56">INDEX(G:G,MIN(IF(ISNUMBER(G56:G252),ROW(G56:G252),"")))</f>
        <v>8</v>
      </c>
      <c r="I56" s="28">
        <f t="shared" si="22"/>
        <v>202</v>
      </c>
      <c r="J56" s="41">
        <f>I56*VLOOKUP('Données projet'!$B$9,Paramètres!$A$1:$I$88,3,0)*VLOOKUP('Données projet'!$B$9,Paramètres!$A$1:$I$88,5,0)</f>
        <v>204.82800000000003</v>
      </c>
      <c r="K56" s="41">
        <f t="shared" si="23"/>
        <v>50.80373850176295</v>
      </c>
      <c r="L56" s="42">
        <f t="shared" si="0"/>
        <v>445.22527789057045</v>
      </c>
      <c r="M56" s="30">
        <f>IF(ISNA(VLOOKUP(A56,'Données projet'!$A$35:$I$55,3,0)),0,VLOOKUP(A56,'Données projet'!$A$35:$I$55,3,0))</f>
        <v>0</v>
      </c>
      <c r="N56" s="30">
        <f>IF(ISNA(VLOOKUP(A56,'Données projet'!$A$35:$I$55,4,0)),0,VLOOKUP(A56,'Données projet'!$A$35:$I$55,4,0))</f>
        <v>0</v>
      </c>
      <c r="O56" s="31">
        <f>IF(ISNA(VLOOKUP(A56,'Données projet'!$A$35:$I$55,5,0)),0%,VLOOKUP(A56,'Données projet'!$A$35:$I$55,5,0)*VLOOKUP('Données projet'!$B$9,Paramètres!$A$1:$I$88,7,0))</f>
        <v>0</v>
      </c>
      <c r="P56" s="31">
        <f>IF(ISNA(VLOOKUP(A56,'Données projet'!$A$35:$I$55,6,0)),0%,VLOOKUP(A56,'Données projet'!$A$35:$I$55,6,0)*VLOOKUP('Données projet'!$B$9,Paramètres!$A$1:$I$88,7,0))</f>
        <v>0</v>
      </c>
      <c r="Q56" s="31">
        <f>IF(ISNA(VLOOKUP(A56,'Données projet'!$A$35:$I$55,7,0)),0%,VLOOKUP(A56,'Données projet'!$A$35:$I$55,7,0))</f>
        <v>0</v>
      </c>
      <c r="R56" s="43">
        <f>EXP(-LN(2)/35)*R55+(1-EXP(-LN(2)/35))/(LN(2)/35)*N56*O56*VLOOKUP('Données projet'!$B$9,Paramètres!$A$1:$I$88,3,0)*0.475*44/12</f>
        <v>0</v>
      </c>
      <c r="S56" s="43">
        <f>EXP(-LN(2)/25)*S55+(1-EXP(-LN(2)/25))/(LN(2)/25)*Calculateur!N56*Calculateur!P56*VLOOKUP('Données projet'!$B$9,Paramètres!$A$1:$I$88,3,0)*0.475*44/12</f>
        <v>0</v>
      </c>
      <c r="T56" s="43">
        <f>EXP(-LN(2)/2)*T55+(1-EXP(-LN(2)/2))/(LN(2)/2)*N56*Q56*VLOOKUP('Données projet'!$B$9,Paramètres!$A$1:$I$88,3,0)*0.475*44/12</f>
        <v>0</v>
      </c>
      <c r="U56" s="43">
        <f t="shared" si="1"/>
        <v>0</v>
      </c>
      <c r="V56" s="32" t="e">
        <f>VLOOKUP(A56,'Données projet'!$A$61:$I$81,2,0)</f>
        <v>#N/A</v>
      </c>
      <c r="W56" s="33" t="e">
        <f>VLOOKUP(A56,'Données projet'!$A$61:$I$81,9,0)</f>
        <v>#N/A</v>
      </c>
      <c r="X56" s="33">
        <f t="array" ref="X56">INDEX(W:W,MIN(IF(ISNUMBER(W56:W252),ROW(W56:W252),"")))</f>
        <v>0</v>
      </c>
      <c r="Y56" s="33">
        <f t="shared" si="24"/>
        <v>0</v>
      </c>
      <c r="Z56" s="34" t="e">
        <f>Y56*VLOOKUP('Données projet'!$B$10,Paramètres!$A$1:$I$88,3,0)*VLOOKUP('Données projet'!$B$10,Paramètres!$A$1:$I$88,5,0)</f>
        <v>#N/A</v>
      </c>
      <c r="AA56" s="34" t="e">
        <f t="shared" si="25"/>
        <v>#N/A</v>
      </c>
      <c r="AB56" s="44" t="e">
        <f t="shared" si="2"/>
        <v>#N/A</v>
      </c>
      <c r="AC56" s="36">
        <f>IF(ISNA(VLOOKUP(A56,'Données projet'!$A$61:$I$81,3,0)),0,VLOOKUP(A56,'Données projet'!$A$61:$I$81,3,0))</f>
        <v>0</v>
      </c>
      <c r="AD56" s="36">
        <f>IF(ISNA(VLOOKUP(A56,'Données projet'!$A$61:$I$81,4,0)),0,VLOOKUP(A56,'Données projet'!$A$61:$I$81,4,0))</f>
        <v>0</v>
      </c>
      <c r="AE56" s="37">
        <f>IF(ISNA(VLOOKUP(A56,'Données projet'!$A$61:$I$81,5,0)),0%,VLOOKUP(A56,'Données projet'!$A$61:$I$81,5,0)*VLOOKUP('Données projet'!$B$10,Paramètres!$A$1:$I$88,7,0))</f>
        <v>0</v>
      </c>
      <c r="AF56" s="37">
        <f>IF(ISNA(VLOOKUP(A56,'Données projet'!$A$61:$I$81,6,0)),0%,VLOOKUP(A56,'Données projet'!$A$61:$I$81,6,0)*VLOOKUP('Données projet'!$B$10,Paramètres!$A$1:$I$88,7,0))</f>
        <v>0</v>
      </c>
      <c r="AG56" s="37">
        <f>IF(ISNA(VLOOKUP(A56,'Données projet'!$A$61:$I$81,7,0)),0%,VLOOKUP(A56,'Données projet'!$A$61:$I$81,7,0))</f>
        <v>0</v>
      </c>
      <c r="AH56" s="45">
        <f>EXP(-LN(2)/35)*AH55+(1-EXP(-LN(2)/35))/(LN(2)/35)*AD56*AE56*VLOOKUP('Données projet'!$B$9,Paramètres!$A$1:$I$88,3,0)*0.475*44/12</f>
        <v>0</v>
      </c>
      <c r="AI56" s="45">
        <f>EXP(-LN(2)/25)*AI55+(1-EXP(-LN(2)/25))/(LN(2)/25)*Calculateur!AD56*Calculateur!AF56*VLOOKUP('Données projet'!$B$9,Paramètres!$A$1:$I$88,3,0)*0.475*44/12</f>
        <v>0</v>
      </c>
      <c r="AJ56" s="45">
        <f>EXP(-LN(2)/2)*AJ55+(1-EXP(-LN(2)/2))/(LN(2)/2)*AD56*AG56*VLOOKUP('Données projet'!$B$9,Paramètres!$A$1:$I$88,3,0)*0.475*44/12</f>
        <v>0</v>
      </c>
      <c r="AK56" s="45">
        <f t="shared" si="3"/>
        <v>0</v>
      </c>
      <c r="AL56" s="32" t="e">
        <f>VLOOKUP(A56,'Données projet'!$A$87:$I$107,2,0)</f>
        <v>#N/A</v>
      </c>
      <c r="AM56" s="33" t="e">
        <f>VLOOKUP(A56,'Données projet'!$A$87:$I$107,9,0)</f>
        <v>#N/A</v>
      </c>
      <c r="AN56" s="33">
        <f t="array" ref="AN56">INDEX(AM:AM,MIN(IF(ISNUMBER(AM56:AM252),ROW(AM56:AM252),"")))</f>
        <v>0</v>
      </c>
      <c r="AO56" s="33">
        <f t="shared" si="26"/>
        <v>0</v>
      </c>
      <c r="AP56" s="34" t="e">
        <f>AO56*VLOOKUP('Données projet'!$B$11,Paramètres!$A$1:$I$88,3,0)*VLOOKUP('Données projet'!$B$11,Paramètres!$A$1:$I$88,5,0)</f>
        <v>#N/A</v>
      </c>
      <c r="AQ56" s="34" t="e">
        <f t="shared" si="27"/>
        <v>#N/A</v>
      </c>
      <c r="AR56" s="44" t="e">
        <f t="shared" si="4"/>
        <v>#N/A</v>
      </c>
      <c r="AS56" s="36">
        <f>IF(ISNA(VLOOKUP(A56,'Données projet'!$A$87:$I$107,3,0)),0,VLOOKUP(A56,'Données projet'!$A$87:$I$107,3,0))</f>
        <v>0</v>
      </c>
      <c r="AT56" s="36">
        <f>IF(ISNA(VLOOKUP(A56,'Données projet'!$A$87:$I$107,4,0)),0,VLOOKUP(A56,'Données projet'!$A$87:$I$107,4,0))</f>
        <v>0</v>
      </c>
      <c r="AU56" s="37">
        <f>IF(ISNA(VLOOKUP(A56,'Données projet'!$A$87:$I$107,5,0)),0%,VLOOKUP(A56,'Données projet'!$A$87:$I$107,5,0)*VLOOKUP('Données projet'!$B$11,Paramètres!$A$1:$I$88,7,0))</f>
        <v>0</v>
      </c>
      <c r="AV56" s="37">
        <f>IF(ISNA(VLOOKUP(A56,'Données projet'!$A$87:$I$107,6,0)),0%,VLOOKUP(A56,'Données projet'!$A$87:$I$107,6,0)*VLOOKUP('Données projet'!$B$11,Paramètres!$A$1:$I$88,7,0))</f>
        <v>0</v>
      </c>
      <c r="AW56" s="37">
        <f>IF(ISNA(VLOOKUP(A56,'Données projet'!$A$87:$I$107,7,0)),0%,VLOOKUP(A56,'Données projet'!$A$87:$I$107,7,0))</f>
        <v>0</v>
      </c>
      <c r="AX56" s="45">
        <f>EXP(-LN(2)/35)*AX55+(1-EXP(-LN(2)/35))/(LN(2)/35)*AT56*AU56*VLOOKUP('Données projet'!$B$9,Paramètres!$A$1:$I$88,3,0)*0.475*44/12</f>
        <v>0</v>
      </c>
      <c r="AY56" s="45">
        <f>EXP(-LN(2)/25)*AY55+(1-EXP(-LN(2)/25))/(LN(2)/25)*Calculateur!AT56*Calculateur!AV56*VLOOKUP('Données projet'!$B$9,Paramètres!$A$1:$I$88,3,0)*0.475*44/12</f>
        <v>0</v>
      </c>
      <c r="AZ56" s="45">
        <f>EXP(-LN(2)/2)*AZ55+(1-EXP(-LN(2)/2))/(LN(2)/2)*AT56*AW56*VLOOKUP('Données projet'!$B$9,Paramètres!$A$1:$I$88,3,0)*0.475*44/12</f>
        <v>0</v>
      </c>
      <c r="BA56" s="46">
        <f t="shared" si="5"/>
        <v>0</v>
      </c>
      <c r="BB56" s="32" t="e">
        <f>VLOOKUP(A56,'Données projet'!$A$113:$I$133,2,0)</f>
        <v>#N/A</v>
      </c>
      <c r="BC56" s="33" t="e">
        <f>VLOOKUP(A56,'Données projet'!$A$113:$I$133,9,0)</f>
        <v>#N/A</v>
      </c>
      <c r="BD56" s="33">
        <f t="array" ref="BD56">INDEX(BC:BC,MIN(IF(ISNUMBER(BC56:BC252),ROW(BC56:BC252),"")))</f>
        <v>0</v>
      </c>
      <c r="BE56" s="33">
        <f t="shared" si="28"/>
        <v>0</v>
      </c>
      <c r="BF56" s="34" t="e">
        <f>BE56*VLOOKUP('Données projet'!$B$12,Paramètres!$A$1:$I$88,3,0)*VLOOKUP('Données projet'!$B$12,Paramètres!$A$1:$I$88,5,0)</f>
        <v>#N/A</v>
      </c>
      <c r="BG56" s="34" t="e">
        <f t="shared" si="29"/>
        <v>#N/A</v>
      </c>
      <c r="BH56" s="44" t="e">
        <f t="shared" si="6"/>
        <v>#N/A</v>
      </c>
      <c r="BI56" s="36">
        <f>IF(ISNA(VLOOKUP(A56,'Données projet'!$A$113:$I$133,3,0)),0,VLOOKUP(A56,'Données projet'!$A$113:$I$133,3,0))</f>
        <v>0</v>
      </c>
      <c r="BJ56" s="36">
        <f>IF(ISNA(VLOOKUP(A56,'Données projet'!$A$113:$I$133,4,0)),0,VLOOKUP(A56,'Données projet'!$A$113:$I$133,4,0))</f>
        <v>0</v>
      </c>
      <c r="BK56" s="37">
        <f>IF(ISNA(VLOOKUP(A56,'Données projet'!$A$113:$I$133,5,0)),0%,VLOOKUP(A56,'Données projet'!$A$113:$I$133,5,0)*VLOOKUP('Données projet'!$B$12,Paramètres!$A$1:$I$88,7,0))</f>
        <v>0</v>
      </c>
      <c r="BL56" s="37">
        <f>IF(ISNA(VLOOKUP(A56,'Données projet'!$A$113:$I$133,6,0)),0%,VLOOKUP(A56,'Données projet'!$A$113:$I$133,6,0)*VLOOKUP('Données projet'!$B$12,Paramètres!$A$1:$I$88,7,0))</f>
        <v>0</v>
      </c>
      <c r="BM56" s="37">
        <f>IF(ISNA(VLOOKUP(A56,'Données projet'!$A$113:$I$133,7,0)),0%,VLOOKUP(A56,'Données projet'!$A$113:$I$133,7,0))</f>
        <v>0</v>
      </c>
      <c r="BN56" s="45">
        <f>EXP(-LN(2)/35)*BN55+(1-EXP(-LN(2)/35))/(LN(2)/35)*BJ56*BK56*VLOOKUP('Données projet'!$B$9,Paramètres!$A$1:$I$88,3,0)*0.475*44/12</f>
        <v>0</v>
      </c>
      <c r="BO56" s="45">
        <f>EXP(-LN(2)/25)*BO55+(1-EXP(-LN(2)/25))/(LN(2)/25)*Calculateur!BJ56*Calculateur!BL56*VLOOKUP('Données projet'!$B$9,Paramètres!$A$1:$I$88,3,0)*0.475*44/12</f>
        <v>0</v>
      </c>
      <c r="BP56" s="45">
        <f>EXP(-LN(2)/2)*BP55+(1-EXP(-LN(2)/2))/(LN(2)/2)*BJ56*BM56*VLOOKUP('Données projet'!$B$9,Paramètres!$A$1:$I$88,3,0)*0.475*44/12</f>
        <v>0</v>
      </c>
      <c r="BQ56" s="46">
        <f t="shared" si="7"/>
        <v>0</v>
      </c>
      <c r="BR56" s="32" t="e">
        <f>VLOOKUP(A56,'Données projet'!$A$139:$I$159,2,0)</f>
        <v>#N/A</v>
      </c>
      <c r="BS56" s="33" t="e">
        <f>VLOOKUP(A56,'Données projet'!$A$139:$I$159,9,0)</f>
        <v>#N/A</v>
      </c>
      <c r="BT56" s="33">
        <f t="array" ref="BT56">INDEX(BS:BS,MIN(IF(ISNUMBER(BS56:BS252),ROW(BS56:BS252),"")))</f>
        <v>0</v>
      </c>
      <c r="BU56" s="33">
        <f t="shared" si="41"/>
        <v>0</v>
      </c>
      <c r="BV56" s="38" t="e">
        <f>BU56*VLOOKUP('Données projet'!$B$13,Paramètres!$A$1:$I$88,3,0)*VLOOKUP('Données projet'!$B$13,Paramètres!$A$1:$I$88,5,0)</f>
        <v>#N/A</v>
      </c>
      <c r="BW56" s="34" t="e">
        <f t="shared" si="30"/>
        <v>#N/A</v>
      </c>
      <c r="BX56" s="44" t="e">
        <f t="shared" si="8"/>
        <v>#N/A</v>
      </c>
      <c r="BY56" s="36">
        <f>IF(ISNA(VLOOKUP(A56,'Données projet'!$A$139:$I$159,3,0)),0,VLOOKUP(A56,'Données projet'!$A$139:$I$159,3,0))</f>
        <v>0</v>
      </c>
      <c r="BZ56" s="36">
        <f>IF(ISNA(VLOOKUP(A56,'Données projet'!$A$139:$I$159,4,0)),0,VLOOKUP(A56,'Données projet'!$A$139:$I$159,4,0))</f>
        <v>0</v>
      </c>
      <c r="CA56" s="37">
        <f>IF(ISNA(VLOOKUP(A56,'Données projet'!$A$139:$I$159,5,0)),0%,VLOOKUP(A56,'Données projet'!$A$139:$I$159,5,0)*VLOOKUP('Données projet'!$B$13,Paramètres!$A$1:$I$88,7,0))</f>
        <v>0</v>
      </c>
      <c r="CB56" s="37">
        <f>IF(ISNA(VLOOKUP(A56,'Données projet'!$A$139:$I$159,6,0)),0%,VLOOKUP(A56,'Données projet'!$A$139:$I$159,6,0)*VLOOKUP('Données projet'!$B$13,Paramètres!$A$1:$I$88,7,0))</f>
        <v>0</v>
      </c>
      <c r="CC56" s="37">
        <f>IF(ISNA(VLOOKUP(A56,'Données projet'!$A$139:$I$159,7,0)),0%,VLOOKUP(A56,'Données projet'!$A$139:$I$159,7,0))</f>
        <v>0</v>
      </c>
      <c r="CD56" s="45">
        <f>EXP(-LN(2)/35)*CD55+(1-EXP(-LN(2)/35))/(LN(2)/35)*BZ56*CA56*VLOOKUP('Données projet'!$B$9,Paramètres!$A$1:$I$88,3,0)*0.475*44/12</f>
        <v>0</v>
      </c>
      <c r="CE56" s="45">
        <f>EXP(-LN(2)/25)*CE55+(1-EXP(-LN(2)/25))/(LN(2)/25)*Calculateur!BZ56*Calculateur!CB56*VLOOKUP('Données projet'!$B$9,Paramètres!$A$1:$I$88,3,0)*0.475*44/12</f>
        <v>0</v>
      </c>
      <c r="CF56" s="45">
        <f>EXP(-LN(2)/2)*CF55+(1-EXP(-LN(2)/2))/(LN(2)/2)*BZ56*CC56*VLOOKUP('Données projet'!$B$9,Paramètres!$A$1:$I$88,3,0)*0.475*44/12</f>
        <v>0</v>
      </c>
      <c r="CG56" s="46">
        <f t="shared" si="9"/>
        <v>0</v>
      </c>
      <c r="CH56" s="32" t="e">
        <f>VLOOKUP(A56,'Données projet'!$A$165:$I$185,2,0)</f>
        <v>#N/A</v>
      </c>
      <c r="CI56" s="33" t="e">
        <f>VLOOKUP(A56,'Données projet'!$A$165:$I$185,9,0)</f>
        <v>#N/A</v>
      </c>
      <c r="CJ56" s="33">
        <f t="array" ref="CJ56">INDEX(CI:CI,MIN(IF(ISNUMBER(CI56:CI252),ROW(CI56:CI252),"")))</f>
        <v>0</v>
      </c>
      <c r="CK56" s="33">
        <f t="shared" si="31"/>
        <v>0</v>
      </c>
      <c r="CL56" s="38" t="e">
        <f>CK56*VLOOKUP('Données projet'!$B$14,Paramètres!$A$1:$I$88,3,0)*VLOOKUP('Données projet'!$B$14,Paramètres!$A$1:$I$88,5,0)</f>
        <v>#N/A</v>
      </c>
      <c r="CM56" s="34" t="e">
        <f t="shared" si="32"/>
        <v>#N/A</v>
      </c>
      <c r="CN56" s="44" t="e">
        <f t="shared" si="10"/>
        <v>#N/A</v>
      </c>
      <c r="CO56" s="36">
        <f>IF(ISNA(VLOOKUP(A56,'Données projet'!$A$165:$I$185,3,0)),0,VLOOKUP(A56,'Données projet'!$A$165:$I$185,3,0))</f>
        <v>0</v>
      </c>
      <c r="CP56" s="36">
        <f>IF(ISNA(VLOOKUP(A56,'Données projet'!$A$165:$I$185,4,0)),0,VLOOKUP(A56,'Données projet'!$A$165:$I$185,4,0))</f>
        <v>0</v>
      </c>
      <c r="CQ56" s="37">
        <f>IF(ISNA(VLOOKUP(A56,'Données projet'!$A$165:$I$185,5,0)),0%,VLOOKUP(A56,'Données projet'!$A$165:$I$185,5,0)*VLOOKUP('Données projet'!$B$14,Paramètres!$A$1:$I$88,7,0))</f>
        <v>0</v>
      </c>
      <c r="CR56" s="37">
        <f>IF(ISNA(VLOOKUP(A56,'Données projet'!$A$165:$I$185,6,0)),0%,VLOOKUP(A56,'Données projet'!$A$165:$I$185,6,0)*VLOOKUP('Données projet'!$B$14,Paramètres!$A$1:$I$88,7,0))</f>
        <v>0</v>
      </c>
      <c r="CS56" s="37">
        <f>IF(ISNA(VLOOKUP(A56,'Données projet'!$A$165:$I$185,7,0)),0%,VLOOKUP(A56,'Données projet'!$A$165:$I$185,7,0))</f>
        <v>0</v>
      </c>
      <c r="CT56" s="45">
        <f>EXP(-LN(2)/35)*CT55+(1-EXP(-LN(2)/35))/(LN(2)/35)*CP56*CQ56*VLOOKUP('Données projet'!$B$9,Paramètres!$A$1:$I$88,3,0)*0.475*44/12</f>
        <v>0</v>
      </c>
      <c r="CU56" s="45">
        <f>EXP(-LN(2)/25)*CU55+(1-EXP(-LN(2)/25))/(LN(2)/25)*Calculateur!CP56*Calculateur!CR56*VLOOKUP('Données projet'!$B$9,Paramètres!$A$1:$I$88,3,0)*0.475*44/12</f>
        <v>0</v>
      </c>
      <c r="CV56" s="45">
        <f>EXP(-LN(2)/2)*CV55+(1-EXP(-LN(2)/2))/(LN(2)/2)*CP56*CS56*VLOOKUP('Données projet'!$B$9,Paramètres!$A$1:$I$88,3,0)*0.475*44/12</f>
        <v>0</v>
      </c>
      <c r="CW56" s="46">
        <f t="shared" si="11"/>
        <v>0</v>
      </c>
      <c r="CX56" s="32" t="e">
        <f>VLOOKUP(A56,'Données projet'!$A$191:$I$211,2,0)</f>
        <v>#N/A</v>
      </c>
      <c r="CY56" s="33" t="e">
        <f>VLOOKUP(A56,'Données projet'!$A$191:$I$211,9,0)</f>
        <v>#N/A</v>
      </c>
      <c r="CZ56" s="33">
        <f t="array" ref="CZ56">INDEX(CY:CY,MIN(IF(ISNUMBER(CY56:CY252),ROW(CY56:CY252),"")))</f>
        <v>0</v>
      </c>
      <c r="DA56" s="33">
        <f t="shared" si="33"/>
        <v>0</v>
      </c>
      <c r="DB56" s="38" t="e">
        <f>DA56*VLOOKUP('Données projet'!$B$15,Paramètres!$A$1:$I$88,3,0)*VLOOKUP('Données projet'!$B$15,Paramètres!$A$1:$I$88,5,0)</f>
        <v>#N/A</v>
      </c>
      <c r="DC56" s="34" t="e">
        <f t="shared" si="34"/>
        <v>#N/A</v>
      </c>
      <c r="DD56" s="44" t="e">
        <f t="shared" si="12"/>
        <v>#N/A</v>
      </c>
      <c r="DE56" s="36">
        <f>IF(ISNA(VLOOKUP(A56,'Données projet'!$A$191:$I$211,3,0)),0,VLOOKUP(A56,'Données projet'!$A$191:$I$211,3,0))</f>
        <v>0</v>
      </c>
      <c r="DF56" s="36">
        <f>IF(ISNA(VLOOKUP(A56,'Données projet'!$A$191:$I$211,4,0)),0,VLOOKUP(A56,'Données projet'!$A$191:$I$211,4,0))</f>
        <v>0</v>
      </c>
      <c r="DG56" s="37">
        <f>IF(ISNA(VLOOKUP(A56,'Données projet'!$A$191:$I$211,5,0)),0%,VLOOKUP(A56,'Données projet'!$A$191:$I$211,5,0)*VLOOKUP('Données projet'!$B$15,Paramètres!$A$1:$I$88,7,0))</f>
        <v>0</v>
      </c>
      <c r="DH56" s="37">
        <f>IF(ISNA(VLOOKUP(A56,'Données projet'!$A$191:$I$211,6,0)),0%,VLOOKUP(A56,'Données projet'!$A$191:$I$211,6,0)*VLOOKUP('Données projet'!$B$15,Paramètres!$A$1:$I$88,7,0))</f>
        <v>0</v>
      </c>
      <c r="DI56" s="37">
        <f>IF(ISNA(VLOOKUP(A56,'Données projet'!$A$191:$I$211,7,0)),0%,VLOOKUP(A56,'Données projet'!$A$191:$I$211,7,0))</f>
        <v>0</v>
      </c>
      <c r="DJ56" s="45">
        <f>EXP(-LN(2)/35)*DJ55+(1-EXP(-LN(2)/35))/(LN(2)/35)*DF56*DG56*VLOOKUP('Données projet'!$B$9,Paramètres!$A$1:$I$88,3,0)*0.475*44/12</f>
        <v>0</v>
      </c>
      <c r="DK56" s="45">
        <f>EXP(-LN(2)/25)*DK55+(1-EXP(-LN(2)/25))/(LN(2)/25)*Calculateur!DF56*Calculateur!DH56*VLOOKUP('Données projet'!$B$9,Paramètres!$A$1:$I$88,3,0)*0.475*44/12</f>
        <v>0</v>
      </c>
      <c r="DL56" s="45">
        <f>EXP(-LN(2)/2)*DL55+(1-EXP(-LN(2)/2))/(LN(2)/2)*DF56*DI56*VLOOKUP('Données projet'!$B$9,Paramètres!$A$1:$I$88,3,0)*0.475*44/12</f>
        <v>0</v>
      </c>
      <c r="DM56" s="46">
        <f t="shared" si="13"/>
        <v>0</v>
      </c>
      <c r="DN56" s="32" t="e">
        <f>VLOOKUP(A56,'Données projet'!$A$217:$I$237,2,0)</f>
        <v>#N/A</v>
      </c>
      <c r="DO56" s="33" t="e">
        <f>VLOOKUP(A56,'Données projet'!$A$217:$I$237,9,0)</f>
        <v>#N/A</v>
      </c>
      <c r="DP56" s="33">
        <f t="array" ref="DP56">INDEX(DO:DO,MIN(IF(ISNUMBER(DO56:DO252),ROW(DO56:DO252),"")))</f>
        <v>0</v>
      </c>
      <c r="DQ56" s="33">
        <f t="shared" si="35"/>
        <v>0</v>
      </c>
      <c r="DR56" s="38" t="e">
        <f>DQ56*VLOOKUP('Données projet'!$B$16,Paramètres!$A$1:$I$88,3,0)*VLOOKUP('Données projet'!$B$16,Paramètres!$A$1:$I$88,5,0)</f>
        <v>#N/A</v>
      </c>
      <c r="DS56" s="34" t="e">
        <f t="shared" si="36"/>
        <v>#N/A</v>
      </c>
      <c r="DT56" s="44" t="e">
        <f t="shared" si="14"/>
        <v>#N/A</v>
      </c>
      <c r="DU56" s="36">
        <f>IF(ISNA(VLOOKUP(A56,'Données projet'!$A$217:$I$237,3,0)),0,VLOOKUP(A56,'Données projet'!$A$217:$I$237,3,0))</f>
        <v>0</v>
      </c>
      <c r="DV56" s="36">
        <f>IF(ISNA(VLOOKUP(A56,'Données projet'!$A$217:$I$237,4,0)),0,VLOOKUP(A56,'Données projet'!$A$217:$I$237,4,0))</f>
        <v>0</v>
      </c>
      <c r="DW56" s="37">
        <f>IF(ISNA(VLOOKUP(A56,'Données projet'!$A$217:$I$237,5,0)),0%,VLOOKUP(A56,'Données projet'!$A$217:$I$237,5,0)*VLOOKUP('Données projet'!$B$16,Paramètres!$A$1:$I$88,7,0))</f>
        <v>0</v>
      </c>
      <c r="DX56" s="37">
        <f>IF(ISNA(VLOOKUP(A56,'Données projet'!$A$217:$I$237,6,0)),0%,VLOOKUP(A56,'Données projet'!$A$217:$I$237,6,0)*VLOOKUP('Données projet'!$B$16,Paramètres!$A$1:$I$88,7,0))</f>
        <v>0</v>
      </c>
      <c r="DY56" s="37">
        <f>IF(ISNA(VLOOKUP(A56,'Données projet'!$A$217:$I$237,7,0)),0%,VLOOKUP(A56,'Données projet'!$A$217:$I$237,7,0))</f>
        <v>0</v>
      </c>
      <c r="DZ56" s="45">
        <f>EXP(-LN(2)/35)*DZ55+(1-EXP(-LN(2)/35))/(LN(2)/35)*DV56*DW56*VLOOKUP('Données projet'!$B$9,Paramètres!$A$1:$I$88,3,0)*0.475*44/12</f>
        <v>0</v>
      </c>
      <c r="EA56" s="45">
        <f>EXP(-LN(2)/25)*EA55+(1-EXP(-LN(2)/25))/(LN(2)/25)*Calculateur!DV56*Calculateur!DX56*VLOOKUP('Données projet'!$B$9,Paramètres!$A$1:$I$88,3,0)*0.475*44/12</f>
        <v>0</v>
      </c>
      <c r="EB56" s="45">
        <f>EXP(-LN(2)/2)*EB55+(1-EXP(-LN(2)/2))/(LN(2)/2)*DV56*DY56*VLOOKUP('Données projet'!$B$9,Paramètres!$A$1:$I$88,3,0)*0.475*44/12</f>
        <v>0</v>
      </c>
      <c r="EC56" s="46">
        <f t="shared" si="15"/>
        <v>0</v>
      </c>
      <c r="ED56" s="32" t="e">
        <f>VLOOKUP(A56,'Données projet'!$A$243:$I$263,2,0)</f>
        <v>#N/A</v>
      </c>
      <c r="EE56" s="33" t="e">
        <f>VLOOKUP(A56,'Données projet'!$A$243:$I$263,9,0)</f>
        <v>#N/A</v>
      </c>
      <c r="EF56" s="33">
        <f t="array" ref="EF56">INDEX(EE:EE,MIN(IF(ISNUMBER(EE56:EE252),ROW(EE56:EE252),"")))</f>
        <v>0</v>
      </c>
      <c r="EG56" s="33">
        <f t="shared" si="37"/>
        <v>0</v>
      </c>
      <c r="EH56" s="38" t="e">
        <f>EG56*VLOOKUP('Données projet'!$B$17,Paramètres!$A$1:$I$88,3,0)*VLOOKUP('Données projet'!$B$17,Paramètres!$A$1:$I$88,5,0)</f>
        <v>#N/A</v>
      </c>
      <c r="EI56" s="34" t="e">
        <f t="shared" si="38"/>
        <v>#N/A</v>
      </c>
      <c r="EJ56" s="44" t="e">
        <f t="shared" si="16"/>
        <v>#N/A</v>
      </c>
      <c r="EK56" s="36">
        <f>IF(ISNA(VLOOKUP(A56,'Données projet'!$A$243:$I$263,3,0)),0,VLOOKUP(A56,'Données projet'!$A$243:$I$263,3,0))</f>
        <v>0</v>
      </c>
      <c r="EL56" s="36">
        <f>IF(ISNA(VLOOKUP(A56,'Données projet'!$A$243:$I$263,4,0)),0,VLOOKUP(A56,'Données projet'!$A$243:$I$263,4,0))</f>
        <v>0</v>
      </c>
      <c r="EM56" s="37">
        <f>IF(ISNA(VLOOKUP(A56,'Données projet'!$A$243:$I$263,5,0)),0%,VLOOKUP(A56,'Données projet'!$A$243:$I$263,5,0)*VLOOKUP('Données projet'!$B$17,Paramètres!$A$1:$I$88,7,0))</f>
        <v>0</v>
      </c>
      <c r="EN56" s="37">
        <f>IF(ISNA(VLOOKUP(A56,'Données projet'!$A$243:$I$263,6,0)),0%,VLOOKUP(A56,'Données projet'!$A$243:$I$263,6,0)*VLOOKUP('Données projet'!$B$17,Paramètres!$A$1:$I$88,7,0))</f>
        <v>0</v>
      </c>
      <c r="EO56" s="37">
        <f>IF(ISNA(VLOOKUP(A56,'Données projet'!$A$243:$I$263,7,0)),0%,VLOOKUP(A56,'Données projet'!$A$243:$I$263,7,0))</f>
        <v>0</v>
      </c>
      <c r="EP56" s="45">
        <f>EXP(-LN(2)/35)*EP55+(1-EXP(-LN(2)/35))/(LN(2)/35)*EL56*EM56*VLOOKUP('Données projet'!$B$9,Paramètres!$A$1:$I$88,3,0)*0.475*44/12</f>
        <v>0</v>
      </c>
      <c r="EQ56" s="45">
        <f>EXP(-LN(2)/25)*EQ55+(1-EXP(-LN(2)/25))/(LN(2)/25)*Calculateur!EL56*Calculateur!EN56*VLOOKUP('Données projet'!$B$9,Paramètres!$A$1:$I$88,3,0)*0.475*44/12</f>
        <v>0</v>
      </c>
      <c r="ER56" s="45">
        <f>EXP(-LN(2)/2)*ER55+(1-EXP(-LN(2)/2))/(LN(2)/2)*EL56*EO56*VLOOKUP('Données projet'!$B$9,Paramètres!$A$1:$I$88,3,0)*0.475*44/12</f>
        <v>0</v>
      </c>
      <c r="ES56" s="46">
        <f t="shared" si="17"/>
        <v>0</v>
      </c>
      <c r="ET56" s="32" t="e">
        <f>VLOOKUP(A56,'Données projet'!$A$269:$I$289,2,0)</f>
        <v>#N/A</v>
      </c>
      <c r="EU56" s="33" t="e">
        <f>VLOOKUP(A56,'Données projet'!$A$269:$I$289,9,0)</f>
        <v>#N/A</v>
      </c>
      <c r="EV56" s="33">
        <f t="array" ref="EV56">INDEX(EU:EU,MIN(IF(ISNUMBER(EU56:EU252),ROW(EU56:EU252),"")))</f>
        <v>0</v>
      </c>
      <c r="EW56" s="33">
        <f t="shared" si="39"/>
        <v>0</v>
      </c>
      <c r="EX56" s="38" t="e">
        <f>EW56*VLOOKUP('Données projet'!$B$18,Paramètres!$A$1:$I$88,3,0)*VLOOKUP('Données projet'!$B$18,Paramètres!$A$1:$I$88,5,0)</f>
        <v>#N/A</v>
      </c>
      <c r="EY56" s="34" t="e">
        <f t="shared" si="40"/>
        <v>#N/A</v>
      </c>
      <c r="EZ56" s="44" t="e">
        <f t="shared" si="18"/>
        <v>#N/A</v>
      </c>
      <c r="FA56" s="36">
        <f>IF(ISNA(VLOOKUP(A56,'Données projet'!$A$269:$I$289,3,0)),0,VLOOKUP(A56,'Données projet'!$A$269:$I$289,3,0))</f>
        <v>0</v>
      </c>
      <c r="FB56" s="36">
        <f>IF(ISNA(VLOOKUP(A56,'Données projet'!$A$269:$I$289,4,0)),0,VLOOKUP(A56,'Données projet'!$A$269:$I$289,4,0))</f>
        <v>0</v>
      </c>
      <c r="FC56" s="37">
        <f>IF(ISNA(VLOOKUP(A56,'Données projet'!$A$269:$I$289,5,0)),0%,VLOOKUP(A56,'Données projet'!$A$269:$I$289,5,0)*VLOOKUP('Données projet'!$B$18,Paramètres!$A$1:$I$88,7,0))</f>
        <v>0</v>
      </c>
      <c r="FD56" s="37">
        <f>IF(ISNA(VLOOKUP(A56,'Données projet'!$A$269:$I$289,6,0)),0%,VLOOKUP(A56,'Données projet'!$A$269:$I$289,6,0)*VLOOKUP('Données projet'!$B$18,Paramètres!$A$1:$I$88,7,0))</f>
        <v>0</v>
      </c>
      <c r="FE56" s="37">
        <f>IF(ISNA(VLOOKUP(A56,'Données projet'!$A$269:$I$289,7,0)),0%,VLOOKUP(A56,'Données projet'!$A$269:$I$289,7,0))</f>
        <v>0</v>
      </c>
      <c r="FF56" s="45">
        <f>EXP(-LN(2)/35)*FF55+(1-EXP(-LN(2)/35))/(LN(2)/35)*FB56*FC56*VLOOKUP('Données projet'!$B$9,Paramètres!$A$1:$I$88,3,0)*0.475*44/12</f>
        <v>0</v>
      </c>
      <c r="FG56" s="45">
        <f>EXP(-LN(2)/25)*FG55+(1-EXP(-LN(2)/25))/(LN(2)/25)*Calculateur!FB56*Calculateur!FD56*VLOOKUP('Données projet'!$B$9,Paramètres!$A$1:$I$88,3,0)*0.475*44/12</f>
        <v>0</v>
      </c>
      <c r="FH56" s="45">
        <f>EXP(-LN(2)/2)*FH55+(1-EXP(-LN(2)/2))/(LN(2)/2)*FB56*FE56*VLOOKUP('Données projet'!$B$9,Paramètres!$A$1:$I$88,3,0)*0.475*44/12</f>
        <v>0</v>
      </c>
      <c r="FI56" s="46">
        <f t="shared" si="19"/>
        <v>0</v>
      </c>
    </row>
    <row r="57" spans="1:165" x14ac:dyDescent="0.25">
      <c r="A57" s="24">
        <f t="shared" si="20"/>
        <v>54</v>
      </c>
      <c r="B57" s="25">
        <f>IF('Scénario référence'!$N$1=1,5,0)</f>
        <v>0</v>
      </c>
      <c r="C57" s="40">
        <f>IF(OR('Scénario référence'!$N$1=2,'Scénario référence'!$N$1=4),C56+1*VLOOKUP('Scénario référence'!$G$14,Paramètres!$A$1:$I$88,3,0)*VLOOKUP('Scénario référence'!$G$14,Paramètres!$A$1:$I$88,5,0),IF(OR('Scénario référence'!$N$1=3,'Scénario référence'!$N$1=5),C56+0.5*VLOOKUP('Scénario référence'!$G$14,Paramètres!$A$1:$I$88,3,0)*VLOOKUP('Scénario référence'!$G$14,Paramètres!$A$1:$I$88,5,0),0))</f>
        <v>29.48399999999998</v>
      </c>
      <c r="D57" s="26">
        <f t="shared" si="21"/>
        <v>9.163863470361429</v>
      </c>
      <c r="E57" s="27">
        <f>IF('Scénario référence'!$N$1=1,B57*44/12,(C57+D57)*0.475*44/12)</f>
        <v>67.311695544212782</v>
      </c>
      <c r="F57" s="28" t="e">
        <f>VLOOKUP(A57,'Données projet'!$A$35:$I$55,2,0)</f>
        <v>#N/A</v>
      </c>
      <c r="G57" s="28" t="e">
        <f>VLOOKUP(A57,'Données projet'!$A$35:$I$55,9,0)</f>
        <v>#N/A</v>
      </c>
      <c r="H57" s="33">
        <f t="array" ref="H57">INDEX(G:G,MIN(IF(ISNUMBER(G57:G253),ROW(G57:G253),"")))</f>
        <v>8</v>
      </c>
      <c r="I57" s="28">
        <f t="shared" si="22"/>
        <v>210</v>
      </c>
      <c r="J57" s="41">
        <f>I57*VLOOKUP('Données projet'!$B$9,Paramètres!$A$1:$I$88,3,0)*VLOOKUP('Données projet'!$B$9,Paramètres!$A$1:$I$88,5,0)</f>
        <v>212.94</v>
      </c>
      <c r="K57" s="41">
        <f t="shared" si="23"/>
        <v>52.577528895212865</v>
      </c>
      <c r="L57" s="42">
        <f t="shared" si="0"/>
        <v>462.44302949249573</v>
      </c>
      <c r="M57" s="30">
        <f>IF(ISNA(VLOOKUP(A57,'Données projet'!$A$35:$I$55,3,0)),0,VLOOKUP(A57,'Données projet'!$A$35:$I$55,3,0))</f>
        <v>0</v>
      </c>
      <c r="N57" s="30">
        <f>IF(ISNA(VLOOKUP(A57,'Données projet'!$A$35:$I$55,4,0)),0,VLOOKUP(A57,'Données projet'!$A$35:$I$55,4,0))</f>
        <v>0</v>
      </c>
      <c r="O57" s="31">
        <f>IF(ISNA(VLOOKUP(A57,'Données projet'!$A$35:$I$55,5,0)),0%,VLOOKUP(A57,'Données projet'!$A$35:$I$55,5,0)*VLOOKUP('Données projet'!$B$9,Paramètres!$A$1:$I$88,7,0))</f>
        <v>0</v>
      </c>
      <c r="P57" s="31">
        <f>IF(ISNA(VLOOKUP(A57,'Données projet'!$A$35:$I$55,6,0)),0%,VLOOKUP(A57,'Données projet'!$A$35:$I$55,6,0)*VLOOKUP('Données projet'!$B$9,Paramètres!$A$1:$I$88,7,0))</f>
        <v>0</v>
      </c>
      <c r="Q57" s="31">
        <f>IF(ISNA(VLOOKUP(A57,'Données projet'!$A$35:$I$55,7,0)),0%,VLOOKUP(A57,'Données projet'!$A$35:$I$55,7,0))</f>
        <v>0</v>
      </c>
      <c r="R57" s="43">
        <f>EXP(-LN(2)/35)*R56+(1-EXP(-LN(2)/35))/(LN(2)/35)*N57*O57*VLOOKUP('Données projet'!$B$9,Paramètres!$A$1:$I$88,3,0)*0.475*44/12</f>
        <v>0</v>
      </c>
      <c r="S57" s="43">
        <f>EXP(-LN(2)/25)*S56+(1-EXP(-LN(2)/25))/(LN(2)/25)*Calculateur!N57*Calculateur!P57*VLOOKUP('Données projet'!$B$9,Paramètres!$A$1:$I$88,3,0)*0.475*44/12</f>
        <v>0</v>
      </c>
      <c r="T57" s="43">
        <f>EXP(-LN(2)/2)*T56+(1-EXP(-LN(2)/2))/(LN(2)/2)*N57*Q57*VLOOKUP('Données projet'!$B$9,Paramètres!$A$1:$I$88,3,0)*0.475*44/12</f>
        <v>0</v>
      </c>
      <c r="U57" s="43">
        <f t="shared" si="1"/>
        <v>0</v>
      </c>
      <c r="V57" s="32" t="e">
        <f>VLOOKUP(A57,'Données projet'!$A$61:$I$81,2,0)</f>
        <v>#N/A</v>
      </c>
      <c r="W57" s="33" t="e">
        <f>VLOOKUP(A57,'Données projet'!$A$61:$I$81,9,0)</f>
        <v>#N/A</v>
      </c>
      <c r="X57" s="33">
        <f t="array" ref="X57">INDEX(W:W,MIN(IF(ISNUMBER(W57:W253),ROW(W57:W253),"")))</f>
        <v>0</v>
      </c>
      <c r="Y57" s="33">
        <f t="shared" si="24"/>
        <v>0</v>
      </c>
      <c r="Z57" s="34" t="e">
        <f>Y57*VLOOKUP('Données projet'!$B$10,Paramètres!$A$1:$I$88,3,0)*VLOOKUP('Données projet'!$B$10,Paramètres!$A$1:$I$88,5,0)</f>
        <v>#N/A</v>
      </c>
      <c r="AA57" s="34" t="e">
        <f t="shared" si="25"/>
        <v>#N/A</v>
      </c>
      <c r="AB57" s="44" t="e">
        <f t="shared" si="2"/>
        <v>#N/A</v>
      </c>
      <c r="AC57" s="36">
        <f>IF(ISNA(VLOOKUP(A57,'Données projet'!$A$61:$I$81,3,0)),0,VLOOKUP(A57,'Données projet'!$A$61:$I$81,3,0))</f>
        <v>0</v>
      </c>
      <c r="AD57" s="36">
        <f>IF(ISNA(VLOOKUP(A57,'Données projet'!$A$61:$I$81,4,0)),0,VLOOKUP(A57,'Données projet'!$A$61:$I$81,4,0))</f>
        <v>0</v>
      </c>
      <c r="AE57" s="37">
        <f>IF(ISNA(VLOOKUP(A57,'Données projet'!$A$61:$I$81,5,0)),0%,VLOOKUP(A57,'Données projet'!$A$61:$I$81,5,0)*VLOOKUP('Données projet'!$B$10,Paramètres!$A$1:$I$88,7,0))</f>
        <v>0</v>
      </c>
      <c r="AF57" s="37">
        <f>IF(ISNA(VLOOKUP(A57,'Données projet'!$A$61:$I$81,6,0)),0%,VLOOKUP(A57,'Données projet'!$A$61:$I$81,6,0)*VLOOKUP('Données projet'!$B$10,Paramètres!$A$1:$I$88,7,0))</f>
        <v>0</v>
      </c>
      <c r="AG57" s="37">
        <f>IF(ISNA(VLOOKUP(A57,'Données projet'!$A$61:$I$81,7,0)),0%,VLOOKUP(A57,'Données projet'!$A$61:$I$81,7,0))</f>
        <v>0</v>
      </c>
      <c r="AH57" s="45">
        <f>EXP(-LN(2)/35)*AH56+(1-EXP(-LN(2)/35))/(LN(2)/35)*AD57*AE57*VLOOKUP('Données projet'!$B$9,Paramètres!$A$1:$I$88,3,0)*0.475*44/12</f>
        <v>0</v>
      </c>
      <c r="AI57" s="45">
        <f>EXP(-LN(2)/25)*AI56+(1-EXP(-LN(2)/25))/(LN(2)/25)*Calculateur!AD57*Calculateur!AF57*VLOOKUP('Données projet'!$B$9,Paramètres!$A$1:$I$88,3,0)*0.475*44/12</f>
        <v>0</v>
      </c>
      <c r="AJ57" s="45">
        <f>EXP(-LN(2)/2)*AJ56+(1-EXP(-LN(2)/2))/(LN(2)/2)*AD57*AG57*VLOOKUP('Données projet'!$B$9,Paramètres!$A$1:$I$88,3,0)*0.475*44/12</f>
        <v>0</v>
      </c>
      <c r="AK57" s="45">
        <f t="shared" si="3"/>
        <v>0</v>
      </c>
      <c r="AL57" s="32" t="e">
        <f>VLOOKUP(A57,'Données projet'!$A$87:$I$107,2,0)</f>
        <v>#N/A</v>
      </c>
      <c r="AM57" s="33" t="e">
        <f>VLOOKUP(A57,'Données projet'!$A$87:$I$107,9,0)</f>
        <v>#N/A</v>
      </c>
      <c r="AN57" s="33">
        <f t="array" ref="AN57">INDEX(AM:AM,MIN(IF(ISNUMBER(AM57:AM253),ROW(AM57:AM253),"")))</f>
        <v>0</v>
      </c>
      <c r="AO57" s="33">
        <f t="shared" si="26"/>
        <v>0</v>
      </c>
      <c r="AP57" s="34" t="e">
        <f>AO57*VLOOKUP('Données projet'!$B$11,Paramètres!$A$1:$I$88,3,0)*VLOOKUP('Données projet'!$B$11,Paramètres!$A$1:$I$88,5,0)</f>
        <v>#N/A</v>
      </c>
      <c r="AQ57" s="34" t="e">
        <f t="shared" si="27"/>
        <v>#N/A</v>
      </c>
      <c r="AR57" s="44" t="e">
        <f t="shared" si="4"/>
        <v>#N/A</v>
      </c>
      <c r="AS57" s="36">
        <f>IF(ISNA(VLOOKUP(A57,'Données projet'!$A$87:$I$107,3,0)),0,VLOOKUP(A57,'Données projet'!$A$87:$I$107,3,0))</f>
        <v>0</v>
      </c>
      <c r="AT57" s="36">
        <f>IF(ISNA(VLOOKUP(A57,'Données projet'!$A$87:$I$107,4,0)),0,VLOOKUP(A57,'Données projet'!$A$87:$I$107,4,0))</f>
        <v>0</v>
      </c>
      <c r="AU57" s="37">
        <f>IF(ISNA(VLOOKUP(A57,'Données projet'!$A$87:$I$107,5,0)),0%,VLOOKUP(A57,'Données projet'!$A$87:$I$107,5,0)*VLOOKUP('Données projet'!$B$11,Paramètres!$A$1:$I$88,7,0))</f>
        <v>0</v>
      </c>
      <c r="AV57" s="37">
        <f>IF(ISNA(VLOOKUP(A57,'Données projet'!$A$87:$I$107,6,0)),0%,VLOOKUP(A57,'Données projet'!$A$87:$I$107,6,0)*VLOOKUP('Données projet'!$B$11,Paramètres!$A$1:$I$88,7,0))</f>
        <v>0</v>
      </c>
      <c r="AW57" s="37">
        <f>IF(ISNA(VLOOKUP(A57,'Données projet'!$A$87:$I$107,7,0)),0%,VLOOKUP(A57,'Données projet'!$A$87:$I$107,7,0))</f>
        <v>0</v>
      </c>
      <c r="AX57" s="45">
        <f>EXP(-LN(2)/35)*AX56+(1-EXP(-LN(2)/35))/(LN(2)/35)*AT57*AU57*VLOOKUP('Données projet'!$B$9,Paramètres!$A$1:$I$88,3,0)*0.475*44/12</f>
        <v>0</v>
      </c>
      <c r="AY57" s="45">
        <f>EXP(-LN(2)/25)*AY56+(1-EXP(-LN(2)/25))/(LN(2)/25)*Calculateur!AT57*Calculateur!AV57*VLOOKUP('Données projet'!$B$9,Paramètres!$A$1:$I$88,3,0)*0.475*44/12</f>
        <v>0</v>
      </c>
      <c r="AZ57" s="45">
        <f>EXP(-LN(2)/2)*AZ56+(1-EXP(-LN(2)/2))/(LN(2)/2)*AT57*AW57*VLOOKUP('Données projet'!$B$9,Paramètres!$A$1:$I$88,3,0)*0.475*44/12</f>
        <v>0</v>
      </c>
      <c r="BA57" s="46">
        <f t="shared" si="5"/>
        <v>0</v>
      </c>
      <c r="BB57" s="32" t="e">
        <f>VLOOKUP(A57,'Données projet'!$A$113:$I$133,2,0)</f>
        <v>#N/A</v>
      </c>
      <c r="BC57" s="33" t="e">
        <f>VLOOKUP(A57,'Données projet'!$A$113:$I$133,9,0)</f>
        <v>#N/A</v>
      </c>
      <c r="BD57" s="33">
        <f t="array" ref="BD57">INDEX(BC:BC,MIN(IF(ISNUMBER(BC57:BC253),ROW(BC57:BC253),"")))</f>
        <v>0</v>
      </c>
      <c r="BE57" s="33">
        <f t="shared" si="28"/>
        <v>0</v>
      </c>
      <c r="BF57" s="34" t="e">
        <f>BE57*VLOOKUP('Données projet'!$B$12,Paramètres!$A$1:$I$88,3,0)*VLOOKUP('Données projet'!$B$12,Paramètres!$A$1:$I$88,5,0)</f>
        <v>#N/A</v>
      </c>
      <c r="BG57" s="34" t="e">
        <f t="shared" si="29"/>
        <v>#N/A</v>
      </c>
      <c r="BH57" s="44" t="e">
        <f t="shared" si="6"/>
        <v>#N/A</v>
      </c>
      <c r="BI57" s="36">
        <f>IF(ISNA(VLOOKUP(A57,'Données projet'!$A$113:$I$133,3,0)),0,VLOOKUP(A57,'Données projet'!$A$113:$I$133,3,0))</f>
        <v>0</v>
      </c>
      <c r="BJ57" s="36">
        <f>IF(ISNA(VLOOKUP(A57,'Données projet'!$A$113:$I$133,4,0)),0,VLOOKUP(A57,'Données projet'!$A$113:$I$133,4,0))</f>
        <v>0</v>
      </c>
      <c r="BK57" s="37">
        <f>IF(ISNA(VLOOKUP(A57,'Données projet'!$A$113:$I$133,5,0)),0%,VLOOKUP(A57,'Données projet'!$A$113:$I$133,5,0)*VLOOKUP('Données projet'!$B$12,Paramètres!$A$1:$I$88,7,0))</f>
        <v>0</v>
      </c>
      <c r="BL57" s="37">
        <f>IF(ISNA(VLOOKUP(A57,'Données projet'!$A$113:$I$133,6,0)),0%,VLOOKUP(A57,'Données projet'!$A$113:$I$133,6,0)*VLOOKUP('Données projet'!$B$12,Paramètres!$A$1:$I$88,7,0))</f>
        <v>0</v>
      </c>
      <c r="BM57" s="37">
        <f>IF(ISNA(VLOOKUP(A57,'Données projet'!$A$113:$I$133,7,0)),0%,VLOOKUP(A57,'Données projet'!$A$113:$I$133,7,0))</f>
        <v>0</v>
      </c>
      <c r="BN57" s="45">
        <f>EXP(-LN(2)/35)*BN56+(1-EXP(-LN(2)/35))/(LN(2)/35)*BJ57*BK57*VLOOKUP('Données projet'!$B$9,Paramètres!$A$1:$I$88,3,0)*0.475*44/12</f>
        <v>0</v>
      </c>
      <c r="BO57" s="45">
        <f>EXP(-LN(2)/25)*BO56+(1-EXP(-LN(2)/25))/(LN(2)/25)*Calculateur!BJ57*Calculateur!BL57*VLOOKUP('Données projet'!$B$9,Paramètres!$A$1:$I$88,3,0)*0.475*44/12</f>
        <v>0</v>
      </c>
      <c r="BP57" s="45">
        <f>EXP(-LN(2)/2)*BP56+(1-EXP(-LN(2)/2))/(LN(2)/2)*BJ57*BM57*VLOOKUP('Données projet'!$B$9,Paramètres!$A$1:$I$88,3,0)*0.475*44/12</f>
        <v>0</v>
      </c>
      <c r="BQ57" s="46">
        <f t="shared" si="7"/>
        <v>0</v>
      </c>
      <c r="BR57" s="32" t="e">
        <f>VLOOKUP(A57,'Données projet'!$A$139:$I$159,2,0)</f>
        <v>#N/A</v>
      </c>
      <c r="BS57" s="33" t="e">
        <f>VLOOKUP(A57,'Données projet'!$A$139:$I$159,9,0)</f>
        <v>#N/A</v>
      </c>
      <c r="BT57" s="33">
        <f t="array" ref="BT57">INDEX(BS:BS,MIN(IF(ISNUMBER(BS57:BS253),ROW(BS57:BS253),"")))</f>
        <v>0</v>
      </c>
      <c r="BU57" s="33">
        <f t="shared" si="41"/>
        <v>0</v>
      </c>
      <c r="BV57" s="38" t="e">
        <f>BU57*VLOOKUP('Données projet'!$B$13,Paramètres!$A$1:$I$88,3,0)*VLOOKUP('Données projet'!$B$13,Paramètres!$A$1:$I$88,5,0)</f>
        <v>#N/A</v>
      </c>
      <c r="BW57" s="34" t="e">
        <f t="shared" si="30"/>
        <v>#N/A</v>
      </c>
      <c r="BX57" s="44" t="e">
        <f t="shared" si="8"/>
        <v>#N/A</v>
      </c>
      <c r="BY57" s="36">
        <f>IF(ISNA(VLOOKUP(A57,'Données projet'!$A$139:$I$159,3,0)),0,VLOOKUP(A57,'Données projet'!$A$139:$I$159,3,0))</f>
        <v>0</v>
      </c>
      <c r="BZ57" s="36">
        <f>IF(ISNA(VLOOKUP(A57,'Données projet'!$A$139:$I$159,4,0)),0,VLOOKUP(A57,'Données projet'!$A$139:$I$159,4,0))</f>
        <v>0</v>
      </c>
      <c r="CA57" s="37">
        <f>IF(ISNA(VLOOKUP(A57,'Données projet'!$A$139:$I$159,5,0)),0%,VLOOKUP(A57,'Données projet'!$A$139:$I$159,5,0)*VLOOKUP('Données projet'!$B$13,Paramètres!$A$1:$I$88,7,0))</f>
        <v>0</v>
      </c>
      <c r="CB57" s="37">
        <f>IF(ISNA(VLOOKUP(A57,'Données projet'!$A$139:$I$159,6,0)),0%,VLOOKUP(A57,'Données projet'!$A$139:$I$159,6,0)*VLOOKUP('Données projet'!$B$13,Paramètres!$A$1:$I$88,7,0))</f>
        <v>0</v>
      </c>
      <c r="CC57" s="37">
        <f>IF(ISNA(VLOOKUP(A57,'Données projet'!$A$139:$I$159,7,0)),0%,VLOOKUP(A57,'Données projet'!$A$139:$I$159,7,0))</f>
        <v>0</v>
      </c>
      <c r="CD57" s="45">
        <f>EXP(-LN(2)/35)*CD56+(1-EXP(-LN(2)/35))/(LN(2)/35)*BZ57*CA57*VLOOKUP('Données projet'!$B$9,Paramètres!$A$1:$I$88,3,0)*0.475*44/12</f>
        <v>0</v>
      </c>
      <c r="CE57" s="45">
        <f>EXP(-LN(2)/25)*CE56+(1-EXP(-LN(2)/25))/(LN(2)/25)*Calculateur!BZ57*Calculateur!CB57*VLOOKUP('Données projet'!$B$9,Paramètres!$A$1:$I$88,3,0)*0.475*44/12</f>
        <v>0</v>
      </c>
      <c r="CF57" s="45">
        <f>EXP(-LN(2)/2)*CF56+(1-EXP(-LN(2)/2))/(LN(2)/2)*BZ57*CC57*VLOOKUP('Données projet'!$B$9,Paramètres!$A$1:$I$88,3,0)*0.475*44/12</f>
        <v>0</v>
      </c>
      <c r="CG57" s="46">
        <f t="shared" si="9"/>
        <v>0</v>
      </c>
      <c r="CH57" s="32" t="e">
        <f>VLOOKUP(A57,'Données projet'!$A$165:$I$185,2,0)</f>
        <v>#N/A</v>
      </c>
      <c r="CI57" s="33" t="e">
        <f>VLOOKUP(A57,'Données projet'!$A$165:$I$185,9,0)</f>
        <v>#N/A</v>
      </c>
      <c r="CJ57" s="33">
        <f t="array" ref="CJ57">INDEX(CI:CI,MIN(IF(ISNUMBER(CI57:CI253),ROW(CI57:CI253),"")))</f>
        <v>0</v>
      </c>
      <c r="CK57" s="33">
        <f t="shared" si="31"/>
        <v>0</v>
      </c>
      <c r="CL57" s="38" t="e">
        <f>CK57*VLOOKUP('Données projet'!$B$14,Paramètres!$A$1:$I$88,3,0)*VLOOKUP('Données projet'!$B$14,Paramètres!$A$1:$I$88,5,0)</f>
        <v>#N/A</v>
      </c>
      <c r="CM57" s="34" t="e">
        <f t="shared" si="32"/>
        <v>#N/A</v>
      </c>
      <c r="CN57" s="44" t="e">
        <f t="shared" si="10"/>
        <v>#N/A</v>
      </c>
      <c r="CO57" s="36">
        <f>IF(ISNA(VLOOKUP(A57,'Données projet'!$A$165:$I$185,3,0)),0,VLOOKUP(A57,'Données projet'!$A$165:$I$185,3,0))</f>
        <v>0</v>
      </c>
      <c r="CP57" s="36">
        <f>IF(ISNA(VLOOKUP(A57,'Données projet'!$A$165:$I$185,4,0)),0,VLOOKUP(A57,'Données projet'!$A$165:$I$185,4,0))</f>
        <v>0</v>
      </c>
      <c r="CQ57" s="37">
        <f>IF(ISNA(VLOOKUP(A57,'Données projet'!$A$165:$I$185,5,0)),0%,VLOOKUP(A57,'Données projet'!$A$165:$I$185,5,0)*VLOOKUP('Données projet'!$B$14,Paramètres!$A$1:$I$88,7,0))</f>
        <v>0</v>
      </c>
      <c r="CR57" s="37">
        <f>IF(ISNA(VLOOKUP(A57,'Données projet'!$A$165:$I$185,6,0)),0%,VLOOKUP(A57,'Données projet'!$A$165:$I$185,6,0)*VLOOKUP('Données projet'!$B$14,Paramètres!$A$1:$I$88,7,0))</f>
        <v>0</v>
      </c>
      <c r="CS57" s="37">
        <f>IF(ISNA(VLOOKUP(A57,'Données projet'!$A$165:$I$185,7,0)),0%,VLOOKUP(A57,'Données projet'!$A$165:$I$185,7,0))</f>
        <v>0</v>
      </c>
      <c r="CT57" s="45">
        <f>EXP(-LN(2)/35)*CT56+(1-EXP(-LN(2)/35))/(LN(2)/35)*CP57*CQ57*VLOOKUP('Données projet'!$B$9,Paramètres!$A$1:$I$88,3,0)*0.475*44/12</f>
        <v>0</v>
      </c>
      <c r="CU57" s="45">
        <f>EXP(-LN(2)/25)*CU56+(1-EXP(-LN(2)/25))/(LN(2)/25)*Calculateur!CP57*Calculateur!CR57*VLOOKUP('Données projet'!$B$9,Paramètres!$A$1:$I$88,3,0)*0.475*44/12</f>
        <v>0</v>
      </c>
      <c r="CV57" s="45">
        <f>EXP(-LN(2)/2)*CV56+(1-EXP(-LN(2)/2))/(LN(2)/2)*CP57*CS57*VLOOKUP('Données projet'!$B$9,Paramètres!$A$1:$I$88,3,0)*0.475*44/12</f>
        <v>0</v>
      </c>
      <c r="CW57" s="46">
        <f t="shared" si="11"/>
        <v>0</v>
      </c>
      <c r="CX57" s="32" t="e">
        <f>VLOOKUP(A57,'Données projet'!$A$191:$I$211,2,0)</f>
        <v>#N/A</v>
      </c>
      <c r="CY57" s="33" t="e">
        <f>VLOOKUP(A57,'Données projet'!$A$191:$I$211,9,0)</f>
        <v>#N/A</v>
      </c>
      <c r="CZ57" s="33">
        <f t="array" ref="CZ57">INDEX(CY:CY,MIN(IF(ISNUMBER(CY57:CY253),ROW(CY57:CY253),"")))</f>
        <v>0</v>
      </c>
      <c r="DA57" s="33">
        <f t="shared" si="33"/>
        <v>0</v>
      </c>
      <c r="DB57" s="38" t="e">
        <f>DA57*VLOOKUP('Données projet'!$B$15,Paramètres!$A$1:$I$88,3,0)*VLOOKUP('Données projet'!$B$15,Paramètres!$A$1:$I$88,5,0)</f>
        <v>#N/A</v>
      </c>
      <c r="DC57" s="34" t="e">
        <f t="shared" si="34"/>
        <v>#N/A</v>
      </c>
      <c r="DD57" s="44" t="e">
        <f t="shared" si="12"/>
        <v>#N/A</v>
      </c>
      <c r="DE57" s="36">
        <f>IF(ISNA(VLOOKUP(A57,'Données projet'!$A$191:$I$211,3,0)),0,VLOOKUP(A57,'Données projet'!$A$191:$I$211,3,0))</f>
        <v>0</v>
      </c>
      <c r="DF57" s="36">
        <f>IF(ISNA(VLOOKUP(A57,'Données projet'!$A$191:$I$211,4,0)),0,VLOOKUP(A57,'Données projet'!$A$191:$I$211,4,0))</f>
        <v>0</v>
      </c>
      <c r="DG57" s="37">
        <f>IF(ISNA(VLOOKUP(A57,'Données projet'!$A$191:$I$211,5,0)),0%,VLOOKUP(A57,'Données projet'!$A$191:$I$211,5,0)*VLOOKUP('Données projet'!$B$15,Paramètres!$A$1:$I$88,7,0))</f>
        <v>0</v>
      </c>
      <c r="DH57" s="37">
        <f>IF(ISNA(VLOOKUP(A57,'Données projet'!$A$191:$I$211,6,0)),0%,VLOOKUP(A57,'Données projet'!$A$191:$I$211,6,0)*VLOOKUP('Données projet'!$B$15,Paramètres!$A$1:$I$88,7,0))</f>
        <v>0</v>
      </c>
      <c r="DI57" s="37">
        <f>IF(ISNA(VLOOKUP(A57,'Données projet'!$A$191:$I$211,7,0)),0%,VLOOKUP(A57,'Données projet'!$A$191:$I$211,7,0))</f>
        <v>0</v>
      </c>
      <c r="DJ57" s="45">
        <f>EXP(-LN(2)/35)*DJ56+(1-EXP(-LN(2)/35))/(LN(2)/35)*DF57*DG57*VLOOKUP('Données projet'!$B$9,Paramètres!$A$1:$I$88,3,0)*0.475*44/12</f>
        <v>0</v>
      </c>
      <c r="DK57" s="45">
        <f>EXP(-LN(2)/25)*DK56+(1-EXP(-LN(2)/25))/(LN(2)/25)*Calculateur!DF57*Calculateur!DH57*VLOOKUP('Données projet'!$B$9,Paramètres!$A$1:$I$88,3,0)*0.475*44/12</f>
        <v>0</v>
      </c>
      <c r="DL57" s="45">
        <f>EXP(-LN(2)/2)*DL56+(1-EXP(-LN(2)/2))/(LN(2)/2)*DF57*DI57*VLOOKUP('Données projet'!$B$9,Paramètres!$A$1:$I$88,3,0)*0.475*44/12</f>
        <v>0</v>
      </c>
      <c r="DM57" s="46">
        <f t="shared" si="13"/>
        <v>0</v>
      </c>
      <c r="DN57" s="32" t="e">
        <f>VLOOKUP(A57,'Données projet'!$A$217:$I$237,2,0)</f>
        <v>#N/A</v>
      </c>
      <c r="DO57" s="33" t="e">
        <f>VLOOKUP(A57,'Données projet'!$A$217:$I$237,9,0)</f>
        <v>#N/A</v>
      </c>
      <c r="DP57" s="33">
        <f t="array" ref="DP57">INDEX(DO:DO,MIN(IF(ISNUMBER(DO57:DO253),ROW(DO57:DO253),"")))</f>
        <v>0</v>
      </c>
      <c r="DQ57" s="33">
        <f t="shared" si="35"/>
        <v>0</v>
      </c>
      <c r="DR57" s="38" t="e">
        <f>DQ57*VLOOKUP('Données projet'!$B$16,Paramètres!$A$1:$I$88,3,0)*VLOOKUP('Données projet'!$B$16,Paramètres!$A$1:$I$88,5,0)</f>
        <v>#N/A</v>
      </c>
      <c r="DS57" s="34" t="e">
        <f t="shared" si="36"/>
        <v>#N/A</v>
      </c>
      <c r="DT57" s="44" t="e">
        <f t="shared" si="14"/>
        <v>#N/A</v>
      </c>
      <c r="DU57" s="36">
        <f>IF(ISNA(VLOOKUP(A57,'Données projet'!$A$217:$I$237,3,0)),0,VLOOKUP(A57,'Données projet'!$A$217:$I$237,3,0))</f>
        <v>0</v>
      </c>
      <c r="DV57" s="36">
        <f>IF(ISNA(VLOOKUP(A57,'Données projet'!$A$217:$I$237,4,0)),0,VLOOKUP(A57,'Données projet'!$A$217:$I$237,4,0))</f>
        <v>0</v>
      </c>
      <c r="DW57" s="37">
        <f>IF(ISNA(VLOOKUP(A57,'Données projet'!$A$217:$I$237,5,0)),0%,VLOOKUP(A57,'Données projet'!$A$217:$I$237,5,0)*VLOOKUP('Données projet'!$B$16,Paramètres!$A$1:$I$88,7,0))</f>
        <v>0</v>
      </c>
      <c r="DX57" s="37">
        <f>IF(ISNA(VLOOKUP(A57,'Données projet'!$A$217:$I$237,6,0)),0%,VLOOKUP(A57,'Données projet'!$A$217:$I$237,6,0)*VLOOKUP('Données projet'!$B$16,Paramètres!$A$1:$I$88,7,0))</f>
        <v>0</v>
      </c>
      <c r="DY57" s="37">
        <f>IF(ISNA(VLOOKUP(A57,'Données projet'!$A$217:$I$237,7,0)),0%,VLOOKUP(A57,'Données projet'!$A$217:$I$237,7,0))</f>
        <v>0</v>
      </c>
      <c r="DZ57" s="45">
        <f>EXP(-LN(2)/35)*DZ56+(1-EXP(-LN(2)/35))/(LN(2)/35)*DV57*DW57*VLOOKUP('Données projet'!$B$9,Paramètres!$A$1:$I$88,3,0)*0.475*44/12</f>
        <v>0</v>
      </c>
      <c r="EA57" s="45">
        <f>EXP(-LN(2)/25)*EA56+(1-EXP(-LN(2)/25))/(LN(2)/25)*Calculateur!DV57*Calculateur!DX57*VLOOKUP('Données projet'!$B$9,Paramètres!$A$1:$I$88,3,0)*0.475*44/12</f>
        <v>0</v>
      </c>
      <c r="EB57" s="45">
        <f>EXP(-LN(2)/2)*EB56+(1-EXP(-LN(2)/2))/(LN(2)/2)*DV57*DY57*VLOOKUP('Données projet'!$B$9,Paramètres!$A$1:$I$88,3,0)*0.475*44/12</f>
        <v>0</v>
      </c>
      <c r="EC57" s="46">
        <f t="shared" si="15"/>
        <v>0</v>
      </c>
      <c r="ED57" s="32" t="e">
        <f>VLOOKUP(A57,'Données projet'!$A$243:$I$263,2,0)</f>
        <v>#N/A</v>
      </c>
      <c r="EE57" s="33" t="e">
        <f>VLOOKUP(A57,'Données projet'!$A$243:$I$263,9,0)</f>
        <v>#N/A</v>
      </c>
      <c r="EF57" s="33">
        <f t="array" ref="EF57">INDEX(EE:EE,MIN(IF(ISNUMBER(EE57:EE253),ROW(EE57:EE253),"")))</f>
        <v>0</v>
      </c>
      <c r="EG57" s="33">
        <f t="shared" si="37"/>
        <v>0</v>
      </c>
      <c r="EH57" s="38" t="e">
        <f>EG57*VLOOKUP('Données projet'!$B$17,Paramètres!$A$1:$I$88,3,0)*VLOOKUP('Données projet'!$B$17,Paramètres!$A$1:$I$88,5,0)</f>
        <v>#N/A</v>
      </c>
      <c r="EI57" s="34" t="e">
        <f t="shared" si="38"/>
        <v>#N/A</v>
      </c>
      <c r="EJ57" s="44" t="e">
        <f t="shared" si="16"/>
        <v>#N/A</v>
      </c>
      <c r="EK57" s="36">
        <f>IF(ISNA(VLOOKUP(A57,'Données projet'!$A$243:$I$263,3,0)),0,VLOOKUP(A57,'Données projet'!$A$243:$I$263,3,0))</f>
        <v>0</v>
      </c>
      <c r="EL57" s="36">
        <f>IF(ISNA(VLOOKUP(A57,'Données projet'!$A$243:$I$263,4,0)),0,VLOOKUP(A57,'Données projet'!$A$243:$I$263,4,0))</f>
        <v>0</v>
      </c>
      <c r="EM57" s="37">
        <f>IF(ISNA(VLOOKUP(A57,'Données projet'!$A$243:$I$263,5,0)),0%,VLOOKUP(A57,'Données projet'!$A$243:$I$263,5,0)*VLOOKUP('Données projet'!$B$17,Paramètres!$A$1:$I$88,7,0))</f>
        <v>0</v>
      </c>
      <c r="EN57" s="37">
        <f>IF(ISNA(VLOOKUP(A57,'Données projet'!$A$243:$I$263,6,0)),0%,VLOOKUP(A57,'Données projet'!$A$243:$I$263,6,0)*VLOOKUP('Données projet'!$B$17,Paramètres!$A$1:$I$88,7,0))</f>
        <v>0</v>
      </c>
      <c r="EO57" s="37">
        <f>IF(ISNA(VLOOKUP(A57,'Données projet'!$A$243:$I$263,7,0)),0%,VLOOKUP(A57,'Données projet'!$A$243:$I$263,7,0))</f>
        <v>0</v>
      </c>
      <c r="EP57" s="45">
        <f>EXP(-LN(2)/35)*EP56+(1-EXP(-LN(2)/35))/(LN(2)/35)*EL57*EM57*VLOOKUP('Données projet'!$B$9,Paramètres!$A$1:$I$88,3,0)*0.475*44/12</f>
        <v>0</v>
      </c>
      <c r="EQ57" s="45">
        <f>EXP(-LN(2)/25)*EQ56+(1-EXP(-LN(2)/25))/(LN(2)/25)*Calculateur!EL57*Calculateur!EN57*VLOOKUP('Données projet'!$B$9,Paramètres!$A$1:$I$88,3,0)*0.475*44/12</f>
        <v>0</v>
      </c>
      <c r="ER57" s="45">
        <f>EXP(-LN(2)/2)*ER56+(1-EXP(-LN(2)/2))/(LN(2)/2)*EL57*EO57*VLOOKUP('Données projet'!$B$9,Paramètres!$A$1:$I$88,3,0)*0.475*44/12</f>
        <v>0</v>
      </c>
      <c r="ES57" s="46">
        <f t="shared" si="17"/>
        <v>0</v>
      </c>
      <c r="ET57" s="32" t="e">
        <f>VLOOKUP(A57,'Données projet'!$A$269:$I$289,2,0)</f>
        <v>#N/A</v>
      </c>
      <c r="EU57" s="33" t="e">
        <f>VLOOKUP(A57,'Données projet'!$A$269:$I$289,9,0)</f>
        <v>#N/A</v>
      </c>
      <c r="EV57" s="33">
        <f t="array" ref="EV57">INDEX(EU:EU,MIN(IF(ISNUMBER(EU57:EU253),ROW(EU57:EU253),"")))</f>
        <v>0</v>
      </c>
      <c r="EW57" s="33">
        <f t="shared" si="39"/>
        <v>0</v>
      </c>
      <c r="EX57" s="38" t="e">
        <f>EW57*VLOOKUP('Données projet'!$B$18,Paramètres!$A$1:$I$88,3,0)*VLOOKUP('Données projet'!$B$18,Paramètres!$A$1:$I$88,5,0)</f>
        <v>#N/A</v>
      </c>
      <c r="EY57" s="34" t="e">
        <f t="shared" si="40"/>
        <v>#N/A</v>
      </c>
      <c r="EZ57" s="44" t="e">
        <f t="shared" si="18"/>
        <v>#N/A</v>
      </c>
      <c r="FA57" s="36">
        <f>IF(ISNA(VLOOKUP(A57,'Données projet'!$A$269:$I$289,3,0)),0,VLOOKUP(A57,'Données projet'!$A$269:$I$289,3,0))</f>
        <v>0</v>
      </c>
      <c r="FB57" s="36">
        <f>IF(ISNA(VLOOKUP(A57,'Données projet'!$A$269:$I$289,4,0)),0,VLOOKUP(A57,'Données projet'!$A$269:$I$289,4,0))</f>
        <v>0</v>
      </c>
      <c r="FC57" s="37">
        <f>IF(ISNA(VLOOKUP(A57,'Données projet'!$A$269:$I$289,5,0)),0%,VLOOKUP(A57,'Données projet'!$A$269:$I$289,5,0)*VLOOKUP('Données projet'!$B$18,Paramètres!$A$1:$I$88,7,0))</f>
        <v>0</v>
      </c>
      <c r="FD57" s="37">
        <f>IF(ISNA(VLOOKUP(A57,'Données projet'!$A$269:$I$289,6,0)),0%,VLOOKUP(A57,'Données projet'!$A$269:$I$289,6,0)*VLOOKUP('Données projet'!$B$18,Paramètres!$A$1:$I$88,7,0))</f>
        <v>0</v>
      </c>
      <c r="FE57" s="37">
        <f>IF(ISNA(VLOOKUP(A57,'Données projet'!$A$269:$I$289,7,0)),0%,VLOOKUP(A57,'Données projet'!$A$269:$I$289,7,0))</f>
        <v>0</v>
      </c>
      <c r="FF57" s="45">
        <f>EXP(-LN(2)/35)*FF56+(1-EXP(-LN(2)/35))/(LN(2)/35)*FB57*FC57*VLOOKUP('Données projet'!$B$9,Paramètres!$A$1:$I$88,3,0)*0.475*44/12</f>
        <v>0</v>
      </c>
      <c r="FG57" s="45">
        <f>EXP(-LN(2)/25)*FG56+(1-EXP(-LN(2)/25))/(LN(2)/25)*Calculateur!FB57*Calculateur!FD57*VLOOKUP('Données projet'!$B$9,Paramètres!$A$1:$I$88,3,0)*0.475*44/12</f>
        <v>0</v>
      </c>
      <c r="FH57" s="45">
        <f>EXP(-LN(2)/2)*FH56+(1-EXP(-LN(2)/2))/(LN(2)/2)*FB57*FE57*VLOOKUP('Données projet'!$B$9,Paramètres!$A$1:$I$88,3,0)*0.475*44/12</f>
        <v>0</v>
      </c>
      <c r="FI57" s="46">
        <f t="shared" si="19"/>
        <v>0</v>
      </c>
    </row>
    <row r="58" spans="1:165" x14ac:dyDescent="0.25">
      <c r="A58" s="24">
        <f t="shared" si="20"/>
        <v>55</v>
      </c>
      <c r="B58" s="25">
        <f>IF('Scénario référence'!$N$1=1,5,0)</f>
        <v>0</v>
      </c>
      <c r="C58" s="40">
        <f>IF(OR('Scénario référence'!$N$1=2,'Scénario référence'!$N$1=4),C57+1*VLOOKUP('Scénario référence'!$G$14,Paramètres!$A$1:$I$88,3,0)*VLOOKUP('Scénario référence'!$G$14,Paramètres!$A$1:$I$88,5,0),IF(OR('Scénario référence'!$N$1=3,'Scénario référence'!$N$1=5),C57+0.5*VLOOKUP('Scénario référence'!$G$14,Paramètres!$A$1:$I$88,3,0)*VLOOKUP('Scénario référence'!$G$14,Paramètres!$A$1:$I$88,5,0),0))</f>
        <v>30.02999999999998</v>
      </c>
      <c r="D58" s="26">
        <f t="shared" si="21"/>
        <v>9.3136509212754071</v>
      </c>
      <c r="E58" s="27">
        <f>IF('Scénario référence'!$N$1=1,B58*44/12,(C58+D58)*0.475*44/12)</f>
        <v>68.523525354554621</v>
      </c>
      <c r="F58" s="28">
        <f>VLOOKUP(A58,'Données projet'!$A$35:$I$55,2,0)</f>
        <v>218</v>
      </c>
      <c r="G58" s="28">
        <f>VLOOKUP(A58,'Données projet'!$A$35:$I$55,9,0)</f>
        <v>8</v>
      </c>
      <c r="H58" s="33">
        <f t="array" ref="H58">INDEX(G:G,MIN(IF(ISNUMBER(G58:G254),ROW(G58:G254),"")))</f>
        <v>8</v>
      </c>
      <c r="I58" s="28">
        <f t="shared" si="22"/>
        <v>218</v>
      </c>
      <c r="J58" s="41">
        <f>I58*VLOOKUP('Données projet'!$B$9,Paramètres!$A$1:$I$88,3,0)*VLOOKUP('Données projet'!$B$9,Paramètres!$A$1:$I$88,5,0)</f>
        <v>221.05200000000002</v>
      </c>
      <c r="K58" s="41">
        <f t="shared" si="23"/>
        <v>54.343469202939254</v>
      </c>
      <c r="L58" s="42">
        <f t="shared" si="0"/>
        <v>479.64710886178597</v>
      </c>
      <c r="M58" s="30">
        <f>IF(ISNA(VLOOKUP(A58,'Données projet'!$A$35:$I$55,3,0)),0,VLOOKUP(A58,'Données projet'!$A$35:$I$55,3,0))</f>
        <v>4</v>
      </c>
      <c r="N58" s="30">
        <f>IF(ISNA(VLOOKUP(A58,'Données projet'!$A$35:$I$55,4,0)),0,VLOOKUP(A58,'Données projet'!$A$35:$I$55,4,0))</f>
        <v>42</v>
      </c>
      <c r="O58" s="31">
        <f>IF(ISNA(VLOOKUP(A58,'Données projet'!$A$35:$I$55,5,0)),0%,VLOOKUP(A58,'Données projet'!$A$35:$I$55,5,0)*VLOOKUP('Données projet'!$B$9,Paramètres!$A$1:$I$88,7,0))</f>
        <v>0</v>
      </c>
      <c r="P58" s="31">
        <f>IF(ISNA(VLOOKUP(A58,'Données projet'!$A$35:$I$55,6,0)),0%,VLOOKUP(A58,'Données projet'!$A$35:$I$55,6,0)*VLOOKUP('Données projet'!$B$9,Paramètres!$A$1:$I$88,7,0))</f>
        <v>0</v>
      </c>
      <c r="Q58" s="31">
        <f>IF(ISNA(VLOOKUP(A58,'Données projet'!$A$35:$I$55,7,0)),0%,VLOOKUP(A58,'Données projet'!$A$35:$I$55,7,0))</f>
        <v>0</v>
      </c>
      <c r="R58" s="43">
        <f>EXP(-LN(2)/35)*R57+(1-EXP(-LN(2)/35))/(LN(2)/35)*N58*O58*VLOOKUP('Données projet'!$B$9,Paramètres!$A$1:$I$88,3,0)*0.475*44/12</f>
        <v>0</v>
      </c>
      <c r="S58" s="43">
        <f>EXP(-LN(2)/25)*S57+(1-EXP(-LN(2)/25))/(LN(2)/25)*Calculateur!N58*Calculateur!P58*VLOOKUP('Données projet'!$B$9,Paramètres!$A$1:$I$88,3,0)*0.475*44/12</f>
        <v>0</v>
      </c>
      <c r="T58" s="43">
        <f>EXP(-LN(2)/2)*T57+(1-EXP(-LN(2)/2))/(LN(2)/2)*N58*Q58*VLOOKUP('Données projet'!$B$9,Paramètres!$A$1:$I$88,3,0)*0.475*44/12</f>
        <v>0</v>
      </c>
      <c r="U58" s="43">
        <f t="shared" si="1"/>
        <v>0</v>
      </c>
      <c r="V58" s="32" t="e">
        <f>VLOOKUP(A58,'Données projet'!$A$61:$I$81,2,0)</f>
        <v>#N/A</v>
      </c>
      <c r="W58" s="33" t="e">
        <f>VLOOKUP(A58,'Données projet'!$A$61:$I$81,9,0)</f>
        <v>#N/A</v>
      </c>
      <c r="X58" s="33">
        <f t="array" ref="X58">INDEX(W:W,MIN(IF(ISNUMBER(W58:W254),ROW(W58:W254),"")))</f>
        <v>0</v>
      </c>
      <c r="Y58" s="33">
        <f t="shared" si="24"/>
        <v>0</v>
      </c>
      <c r="Z58" s="34" t="e">
        <f>Y58*VLOOKUP('Données projet'!$B$10,Paramètres!$A$1:$I$88,3,0)*VLOOKUP('Données projet'!$B$10,Paramètres!$A$1:$I$88,5,0)</f>
        <v>#N/A</v>
      </c>
      <c r="AA58" s="34" t="e">
        <f t="shared" si="25"/>
        <v>#N/A</v>
      </c>
      <c r="AB58" s="44" t="e">
        <f t="shared" si="2"/>
        <v>#N/A</v>
      </c>
      <c r="AC58" s="36">
        <f>IF(ISNA(VLOOKUP(A58,'Données projet'!$A$61:$I$81,3,0)),0,VLOOKUP(A58,'Données projet'!$A$61:$I$81,3,0))</f>
        <v>0</v>
      </c>
      <c r="AD58" s="36">
        <f>IF(ISNA(VLOOKUP(A58,'Données projet'!$A$61:$I$81,4,0)),0,VLOOKUP(A58,'Données projet'!$A$61:$I$81,4,0))</f>
        <v>0</v>
      </c>
      <c r="AE58" s="37">
        <f>IF(ISNA(VLOOKUP(A58,'Données projet'!$A$61:$I$81,5,0)),0%,VLOOKUP(A58,'Données projet'!$A$61:$I$81,5,0)*VLOOKUP('Données projet'!$B$10,Paramètres!$A$1:$I$88,7,0))</f>
        <v>0</v>
      </c>
      <c r="AF58" s="37">
        <f>IF(ISNA(VLOOKUP(A58,'Données projet'!$A$61:$I$81,6,0)),0%,VLOOKUP(A58,'Données projet'!$A$61:$I$81,6,0)*VLOOKUP('Données projet'!$B$10,Paramètres!$A$1:$I$88,7,0))</f>
        <v>0</v>
      </c>
      <c r="AG58" s="37">
        <f>IF(ISNA(VLOOKUP(A58,'Données projet'!$A$61:$I$81,7,0)),0%,VLOOKUP(A58,'Données projet'!$A$61:$I$81,7,0))</f>
        <v>0</v>
      </c>
      <c r="AH58" s="45">
        <f>EXP(-LN(2)/35)*AH57+(1-EXP(-LN(2)/35))/(LN(2)/35)*AD58*AE58*VLOOKUP('Données projet'!$B$9,Paramètres!$A$1:$I$88,3,0)*0.475*44/12</f>
        <v>0</v>
      </c>
      <c r="AI58" s="45">
        <f>EXP(-LN(2)/25)*AI57+(1-EXP(-LN(2)/25))/(LN(2)/25)*Calculateur!AD58*Calculateur!AF58*VLOOKUP('Données projet'!$B$9,Paramètres!$A$1:$I$88,3,0)*0.475*44/12</f>
        <v>0</v>
      </c>
      <c r="AJ58" s="45">
        <f>EXP(-LN(2)/2)*AJ57+(1-EXP(-LN(2)/2))/(LN(2)/2)*AD58*AG58*VLOOKUP('Données projet'!$B$9,Paramètres!$A$1:$I$88,3,0)*0.475*44/12</f>
        <v>0</v>
      </c>
      <c r="AK58" s="45">
        <f t="shared" si="3"/>
        <v>0</v>
      </c>
      <c r="AL58" s="32" t="e">
        <f>VLOOKUP(A58,'Données projet'!$A$87:$I$107,2,0)</f>
        <v>#N/A</v>
      </c>
      <c r="AM58" s="33" t="e">
        <f>VLOOKUP(A58,'Données projet'!$A$87:$I$107,9,0)</f>
        <v>#N/A</v>
      </c>
      <c r="AN58" s="33">
        <f t="array" ref="AN58">INDEX(AM:AM,MIN(IF(ISNUMBER(AM58:AM254),ROW(AM58:AM254),"")))</f>
        <v>0</v>
      </c>
      <c r="AO58" s="33">
        <f t="shared" si="26"/>
        <v>0</v>
      </c>
      <c r="AP58" s="34" t="e">
        <f>AO58*VLOOKUP('Données projet'!$B$11,Paramètres!$A$1:$I$88,3,0)*VLOOKUP('Données projet'!$B$11,Paramètres!$A$1:$I$88,5,0)</f>
        <v>#N/A</v>
      </c>
      <c r="AQ58" s="34" t="e">
        <f t="shared" si="27"/>
        <v>#N/A</v>
      </c>
      <c r="AR58" s="44" t="e">
        <f t="shared" si="4"/>
        <v>#N/A</v>
      </c>
      <c r="AS58" s="36">
        <f>IF(ISNA(VLOOKUP(A58,'Données projet'!$A$87:$I$107,3,0)),0,VLOOKUP(A58,'Données projet'!$A$87:$I$107,3,0))</f>
        <v>0</v>
      </c>
      <c r="AT58" s="36">
        <f>IF(ISNA(VLOOKUP(A58,'Données projet'!$A$87:$I$107,4,0)),0,VLOOKUP(A58,'Données projet'!$A$87:$I$107,4,0))</f>
        <v>0</v>
      </c>
      <c r="AU58" s="37">
        <f>IF(ISNA(VLOOKUP(A58,'Données projet'!$A$87:$I$107,5,0)),0%,VLOOKUP(A58,'Données projet'!$A$87:$I$107,5,0)*VLOOKUP('Données projet'!$B$11,Paramètres!$A$1:$I$88,7,0))</f>
        <v>0</v>
      </c>
      <c r="AV58" s="37">
        <f>IF(ISNA(VLOOKUP(A58,'Données projet'!$A$87:$I$107,6,0)),0%,VLOOKUP(A58,'Données projet'!$A$87:$I$107,6,0)*VLOOKUP('Données projet'!$B$11,Paramètres!$A$1:$I$88,7,0))</f>
        <v>0</v>
      </c>
      <c r="AW58" s="37">
        <f>IF(ISNA(VLOOKUP(A58,'Données projet'!$A$87:$I$107,7,0)),0%,VLOOKUP(A58,'Données projet'!$A$87:$I$107,7,0))</f>
        <v>0</v>
      </c>
      <c r="AX58" s="45">
        <f>EXP(-LN(2)/35)*AX57+(1-EXP(-LN(2)/35))/(LN(2)/35)*AT58*AU58*VLOOKUP('Données projet'!$B$9,Paramètres!$A$1:$I$88,3,0)*0.475*44/12</f>
        <v>0</v>
      </c>
      <c r="AY58" s="45">
        <f>EXP(-LN(2)/25)*AY57+(1-EXP(-LN(2)/25))/(LN(2)/25)*Calculateur!AT58*Calculateur!AV58*VLOOKUP('Données projet'!$B$9,Paramètres!$A$1:$I$88,3,0)*0.475*44/12</f>
        <v>0</v>
      </c>
      <c r="AZ58" s="45">
        <f>EXP(-LN(2)/2)*AZ57+(1-EXP(-LN(2)/2))/(LN(2)/2)*AT58*AW58*VLOOKUP('Données projet'!$B$9,Paramètres!$A$1:$I$88,3,0)*0.475*44/12</f>
        <v>0</v>
      </c>
      <c r="BA58" s="46">
        <f t="shared" si="5"/>
        <v>0</v>
      </c>
      <c r="BB58" s="32" t="e">
        <f>VLOOKUP(A58,'Données projet'!$A$113:$I$133,2,0)</f>
        <v>#N/A</v>
      </c>
      <c r="BC58" s="33" t="e">
        <f>VLOOKUP(A58,'Données projet'!$A$113:$I$133,9,0)</f>
        <v>#N/A</v>
      </c>
      <c r="BD58" s="33">
        <f t="array" ref="BD58">INDEX(BC:BC,MIN(IF(ISNUMBER(BC58:BC254),ROW(BC58:BC254),"")))</f>
        <v>0</v>
      </c>
      <c r="BE58" s="33">
        <f t="shared" si="28"/>
        <v>0</v>
      </c>
      <c r="BF58" s="34" t="e">
        <f>BE58*VLOOKUP('Données projet'!$B$12,Paramètres!$A$1:$I$88,3,0)*VLOOKUP('Données projet'!$B$12,Paramètres!$A$1:$I$88,5,0)</f>
        <v>#N/A</v>
      </c>
      <c r="BG58" s="34" t="e">
        <f t="shared" si="29"/>
        <v>#N/A</v>
      </c>
      <c r="BH58" s="44" t="e">
        <f t="shared" si="6"/>
        <v>#N/A</v>
      </c>
      <c r="BI58" s="36">
        <f>IF(ISNA(VLOOKUP(A58,'Données projet'!$A$113:$I$133,3,0)),0,VLOOKUP(A58,'Données projet'!$A$113:$I$133,3,0))</f>
        <v>0</v>
      </c>
      <c r="BJ58" s="36">
        <f>IF(ISNA(VLOOKUP(A58,'Données projet'!$A$113:$I$133,4,0)),0,VLOOKUP(A58,'Données projet'!$A$113:$I$133,4,0))</f>
        <v>0</v>
      </c>
      <c r="BK58" s="37">
        <f>IF(ISNA(VLOOKUP(A58,'Données projet'!$A$113:$I$133,5,0)),0%,VLOOKUP(A58,'Données projet'!$A$113:$I$133,5,0)*VLOOKUP('Données projet'!$B$12,Paramètres!$A$1:$I$88,7,0))</f>
        <v>0</v>
      </c>
      <c r="BL58" s="37">
        <f>IF(ISNA(VLOOKUP(A58,'Données projet'!$A$113:$I$133,6,0)),0%,VLOOKUP(A58,'Données projet'!$A$113:$I$133,6,0)*VLOOKUP('Données projet'!$B$12,Paramètres!$A$1:$I$88,7,0))</f>
        <v>0</v>
      </c>
      <c r="BM58" s="37">
        <f>IF(ISNA(VLOOKUP(A58,'Données projet'!$A$113:$I$133,7,0)),0%,VLOOKUP(A58,'Données projet'!$A$113:$I$133,7,0))</f>
        <v>0</v>
      </c>
      <c r="BN58" s="45">
        <f>EXP(-LN(2)/35)*BN57+(1-EXP(-LN(2)/35))/(LN(2)/35)*BJ58*BK58*VLOOKUP('Données projet'!$B$9,Paramètres!$A$1:$I$88,3,0)*0.475*44/12</f>
        <v>0</v>
      </c>
      <c r="BO58" s="45">
        <f>EXP(-LN(2)/25)*BO57+(1-EXP(-LN(2)/25))/(LN(2)/25)*Calculateur!BJ58*Calculateur!BL58*VLOOKUP('Données projet'!$B$9,Paramètres!$A$1:$I$88,3,0)*0.475*44/12</f>
        <v>0</v>
      </c>
      <c r="BP58" s="45">
        <f>EXP(-LN(2)/2)*BP57+(1-EXP(-LN(2)/2))/(LN(2)/2)*BJ58*BM58*VLOOKUP('Données projet'!$B$9,Paramètres!$A$1:$I$88,3,0)*0.475*44/12</f>
        <v>0</v>
      </c>
      <c r="BQ58" s="46">
        <f t="shared" si="7"/>
        <v>0</v>
      </c>
      <c r="BR58" s="32" t="e">
        <f>VLOOKUP(A58,'Données projet'!$A$139:$I$159,2,0)</f>
        <v>#N/A</v>
      </c>
      <c r="BS58" s="33" t="e">
        <f>VLOOKUP(A58,'Données projet'!$A$139:$I$159,9,0)</f>
        <v>#N/A</v>
      </c>
      <c r="BT58" s="33">
        <f t="array" ref="BT58">INDEX(BS:BS,MIN(IF(ISNUMBER(BS58:BS254),ROW(BS58:BS254),"")))</f>
        <v>0</v>
      </c>
      <c r="BU58" s="33">
        <f t="shared" si="41"/>
        <v>0</v>
      </c>
      <c r="BV58" s="38" t="e">
        <f>BU58*VLOOKUP('Données projet'!$B$13,Paramètres!$A$1:$I$88,3,0)*VLOOKUP('Données projet'!$B$13,Paramètres!$A$1:$I$88,5,0)</f>
        <v>#N/A</v>
      </c>
      <c r="BW58" s="34" t="e">
        <f t="shared" si="30"/>
        <v>#N/A</v>
      </c>
      <c r="BX58" s="44" t="e">
        <f t="shared" si="8"/>
        <v>#N/A</v>
      </c>
      <c r="BY58" s="36">
        <f>IF(ISNA(VLOOKUP(A58,'Données projet'!$A$139:$I$159,3,0)),0,VLOOKUP(A58,'Données projet'!$A$139:$I$159,3,0))</f>
        <v>0</v>
      </c>
      <c r="BZ58" s="36">
        <f>IF(ISNA(VLOOKUP(A58,'Données projet'!$A$139:$I$159,4,0)),0,VLOOKUP(A58,'Données projet'!$A$139:$I$159,4,0))</f>
        <v>0</v>
      </c>
      <c r="CA58" s="37">
        <f>IF(ISNA(VLOOKUP(A58,'Données projet'!$A$139:$I$159,5,0)),0%,VLOOKUP(A58,'Données projet'!$A$139:$I$159,5,0)*VLOOKUP('Données projet'!$B$13,Paramètres!$A$1:$I$88,7,0))</f>
        <v>0</v>
      </c>
      <c r="CB58" s="37">
        <f>IF(ISNA(VLOOKUP(A58,'Données projet'!$A$139:$I$159,6,0)),0%,VLOOKUP(A58,'Données projet'!$A$139:$I$159,6,0)*VLOOKUP('Données projet'!$B$13,Paramètres!$A$1:$I$88,7,0))</f>
        <v>0</v>
      </c>
      <c r="CC58" s="37">
        <f>IF(ISNA(VLOOKUP(A58,'Données projet'!$A$139:$I$159,7,0)),0%,VLOOKUP(A58,'Données projet'!$A$139:$I$159,7,0))</f>
        <v>0</v>
      </c>
      <c r="CD58" s="45">
        <f>EXP(-LN(2)/35)*CD57+(1-EXP(-LN(2)/35))/(LN(2)/35)*BZ58*CA58*VLOOKUP('Données projet'!$B$9,Paramètres!$A$1:$I$88,3,0)*0.475*44/12</f>
        <v>0</v>
      </c>
      <c r="CE58" s="45">
        <f>EXP(-LN(2)/25)*CE57+(1-EXP(-LN(2)/25))/(LN(2)/25)*Calculateur!BZ58*Calculateur!CB58*VLOOKUP('Données projet'!$B$9,Paramètres!$A$1:$I$88,3,0)*0.475*44/12</f>
        <v>0</v>
      </c>
      <c r="CF58" s="45">
        <f>EXP(-LN(2)/2)*CF57+(1-EXP(-LN(2)/2))/(LN(2)/2)*BZ58*CC58*VLOOKUP('Données projet'!$B$9,Paramètres!$A$1:$I$88,3,0)*0.475*44/12</f>
        <v>0</v>
      </c>
      <c r="CG58" s="46">
        <f t="shared" si="9"/>
        <v>0</v>
      </c>
      <c r="CH58" s="32" t="e">
        <f>VLOOKUP(A58,'Données projet'!$A$165:$I$185,2,0)</f>
        <v>#N/A</v>
      </c>
      <c r="CI58" s="33" t="e">
        <f>VLOOKUP(A58,'Données projet'!$A$165:$I$185,9,0)</f>
        <v>#N/A</v>
      </c>
      <c r="CJ58" s="33">
        <f t="array" ref="CJ58">INDEX(CI:CI,MIN(IF(ISNUMBER(CI58:CI254),ROW(CI58:CI254),"")))</f>
        <v>0</v>
      </c>
      <c r="CK58" s="33">
        <f t="shared" si="31"/>
        <v>0</v>
      </c>
      <c r="CL58" s="38" t="e">
        <f>CK58*VLOOKUP('Données projet'!$B$14,Paramètres!$A$1:$I$88,3,0)*VLOOKUP('Données projet'!$B$14,Paramètres!$A$1:$I$88,5,0)</f>
        <v>#N/A</v>
      </c>
      <c r="CM58" s="34" t="e">
        <f t="shared" si="32"/>
        <v>#N/A</v>
      </c>
      <c r="CN58" s="44" t="e">
        <f t="shared" si="10"/>
        <v>#N/A</v>
      </c>
      <c r="CO58" s="36">
        <f>IF(ISNA(VLOOKUP(A58,'Données projet'!$A$165:$I$185,3,0)),0,VLOOKUP(A58,'Données projet'!$A$165:$I$185,3,0))</f>
        <v>0</v>
      </c>
      <c r="CP58" s="36">
        <f>IF(ISNA(VLOOKUP(A58,'Données projet'!$A$165:$I$185,4,0)),0,VLOOKUP(A58,'Données projet'!$A$165:$I$185,4,0))</f>
        <v>0</v>
      </c>
      <c r="CQ58" s="37">
        <f>IF(ISNA(VLOOKUP(A58,'Données projet'!$A$165:$I$185,5,0)),0%,VLOOKUP(A58,'Données projet'!$A$165:$I$185,5,0)*VLOOKUP('Données projet'!$B$14,Paramètres!$A$1:$I$88,7,0))</f>
        <v>0</v>
      </c>
      <c r="CR58" s="37">
        <f>IF(ISNA(VLOOKUP(A58,'Données projet'!$A$165:$I$185,6,0)),0%,VLOOKUP(A58,'Données projet'!$A$165:$I$185,6,0)*VLOOKUP('Données projet'!$B$14,Paramètres!$A$1:$I$88,7,0))</f>
        <v>0</v>
      </c>
      <c r="CS58" s="37">
        <f>IF(ISNA(VLOOKUP(A58,'Données projet'!$A$165:$I$185,7,0)),0%,VLOOKUP(A58,'Données projet'!$A$165:$I$185,7,0))</f>
        <v>0</v>
      </c>
      <c r="CT58" s="45">
        <f>EXP(-LN(2)/35)*CT57+(1-EXP(-LN(2)/35))/(LN(2)/35)*CP58*CQ58*VLOOKUP('Données projet'!$B$9,Paramètres!$A$1:$I$88,3,0)*0.475*44/12</f>
        <v>0</v>
      </c>
      <c r="CU58" s="45">
        <f>EXP(-LN(2)/25)*CU57+(1-EXP(-LN(2)/25))/(LN(2)/25)*Calculateur!CP58*Calculateur!CR58*VLOOKUP('Données projet'!$B$9,Paramètres!$A$1:$I$88,3,0)*0.475*44/12</f>
        <v>0</v>
      </c>
      <c r="CV58" s="45">
        <f>EXP(-LN(2)/2)*CV57+(1-EXP(-LN(2)/2))/(LN(2)/2)*CP58*CS58*VLOOKUP('Données projet'!$B$9,Paramètres!$A$1:$I$88,3,0)*0.475*44/12</f>
        <v>0</v>
      </c>
      <c r="CW58" s="46">
        <f t="shared" si="11"/>
        <v>0</v>
      </c>
      <c r="CX58" s="32" t="e">
        <f>VLOOKUP(A58,'Données projet'!$A$191:$I$211,2,0)</f>
        <v>#N/A</v>
      </c>
      <c r="CY58" s="33" t="e">
        <f>VLOOKUP(A58,'Données projet'!$A$191:$I$211,9,0)</f>
        <v>#N/A</v>
      </c>
      <c r="CZ58" s="33">
        <f t="array" ref="CZ58">INDEX(CY:CY,MIN(IF(ISNUMBER(CY58:CY254),ROW(CY58:CY254),"")))</f>
        <v>0</v>
      </c>
      <c r="DA58" s="33">
        <f t="shared" si="33"/>
        <v>0</v>
      </c>
      <c r="DB58" s="38" t="e">
        <f>DA58*VLOOKUP('Données projet'!$B$15,Paramètres!$A$1:$I$88,3,0)*VLOOKUP('Données projet'!$B$15,Paramètres!$A$1:$I$88,5,0)</f>
        <v>#N/A</v>
      </c>
      <c r="DC58" s="34" t="e">
        <f t="shared" si="34"/>
        <v>#N/A</v>
      </c>
      <c r="DD58" s="44" t="e">
        <f t="shared" si="12"/>
        <v>#N/A</v>
      </c>
      <c r="DE58" s="36">
        <f>IF(ISNA(VLOOKUP(A58,'Données projet'!$A$191:$I$211,3,0)),0,VLOOKUP(A58,'Données projet'!$A$191:$I$211,3,0))</f>
        <v>0</v>
      </c>
      <c r="DF58" s="36">
        <f>IF(ISNA(VLOOKUP(A58,'Données projet'!$A$191:$I$211,4,0)),0,VLOOKUP(A58,'Données projet'!$A$191:$I$211,4,0))</f>
        <v>0</v>
      </c>
      <c r="DG58" s="37">
        <f>IF(ISNA(VLOOKUP(A58,'Données projet'!$A$191:$I$211,5,0)),0%,VLOOKUP(A58,'Données projet'!$A$191:$I$211,5,0)*VLOOKUP('Données projet'!$B$15,Paramètres!$A$1:$I$88,7,0))</f>
        <v>0</v>
      </c>
      <c r="DH58" s="37">
        <f>IF(ISNA(VLOOKUP(A58,'Données projet'!$A$191:$I$211,6,0)),0%,VLOOKUP(A58,'Données projet'!$A$191:$I$211,6,0)*VLOOKUP('Données projet'!$B$15,Paramètres!$A$1:$I$88,7,0))</f>
        <v>0</v>
      </c>
      <c r="DI58" s="37">
        <f>IF(ISNA(VLOOKUP(A58,'Données projet'!$A$191:$I$211,7,0)),0%,VLOOKUP(A58,'Données projet'!$A$191:$I$211,7,0))</f>
        <v>0</v>
      </c>
      <c r="DJ58" s="45">
        <f>EXP(-LN(2)/35)*DJ57+(1-EXP(-LN(2)/35))/(LN(2)/35)*DF58*DG58*VLOOKUP('Données projet'!$B$9,Paramètres!$A$1:$I$88,3,0)*0.475*44/12</f>
        <v>0</v>
      </c>
      <c r="DK58" s="45">
        <f>EXP(-LN(2)/25)*DK57+(1-EXP(-LN(2)/25))/(LN(2)/25)*Calculateur!DF58*Calculateur!DH58*VLOOKUP('Données projet'!$B$9,Paramètres!$A$1:$I$88,3,0)*0.475*44/12</f>
        <v>0</v>
      </c>
      <c r="DL58" s="45">
        <f>EXP(-LN(2)/2)*DL57+(1-EXP(-LN(2)/2))/(LN(2)/2)*DF58*DI58*VLOOKUP('Données projet'!$B$9,Paramètres!$A$1:$I$88,3,0)*0.475*44/12</f>
        <v>0</v>
      </c>
      <c r="DM58" s="46">
        <f t="shared" si="13"/>
        <v>0</v>
      </c>
      <c r="DN58" s="32" t="e">
        <f>VLOOKUP(A58,'Données projet'!$A$217:$I$237,2,0)</f>
        <v>#N/A</v>
      </c>
      <c r="DO58" s="33" t="e">
        <f>VLOOKUP(A58,'Données projet'!$A$217:$I$237,9,0)</f>
        <v>#N/A</v>
      </c>
      <c r="DP58" s="33">
        <f t="array" ref="DP58">INDEX(DO:DO,MIN(IF(ISNUMBER(DO58:DO254),ROW(DO58:DO254),"")))</f>
        <v>0</v>
      </c>
      <c r="DQ58" s="33">
        <f t="shared" si="35"/>
        <v>0</v>
      </c>
      <c r="DR58" s="38" t="e">
        <f>DQ58*VLOOKUP('Données projet'!$B$16,Paramètres!$A$1:$I$88,3,0)*VLOOKUP('Données projet'!$B$16,Paramètres!$A$1:$I$88,5,0)</f>
        <v>#N/A</v>
      </c>
      <c r="DS58" s="34" t="e">
        <f t="shared" si="36"/>
        <v>#N/A</v>
      </c>
      <c r="DT58" s="44" t="e">
        <f t="shared" si="14"/>
        <v>#N/A</v>
      </c>
      <c r="DU58" s="36">
        <f>IF(ISNA(VLOOKUP(A58,'Données projet'!$A$217:$I$237,3,0)),0,VLOOKUP(A58,'Données projet'!$A$217:$I$237,3,0))</f>
        <v>0</v>
      </c>
      <c r="DV58" s="36">
        <f>IF(ISNA(VLOOKUP(A58,'Données projet'!$A$217:$I$237,4,0)),0,VLOOKUP(A58,'Données projet'!$A$217:$I$237,4,0))</f>
        <v>0</v>
      </c>
      <c r="DW58" s="37">
        <f>IF(ISNA(VLOOKUP(A58,'Données projet'!$A$217:$I$237,5,0)),0%,VLOOKUP(A58,'Données projet'!$A$217:$I$237,5,0)*VLOOKUP('Données projet'!$B$16,Paramètres!$A$1:$I$88,7,0))</f>
        <v>0</v>
      </c>
      <c r="DX58" s="37">
        <f>IF(ISNA(VLOOKUP(A58,'Données projet'!$A$217:$I$237,6,0)),0%,VLOOKUP(A58,'Données projet'!$A$217:$I$237,6,0)*VLOOKUP('Données projet'!$B$16,Paramètres!$A$1:$I$88,7,0))</f>
        <v>0</v>
      </c>
      <c r="DY58" s="37">
        <f>IF(ISNA(VLOOKUP(A58,'Données projet'!$A$217:$I$237,7,0)),0%,VLOOKUP(A58,'Données projet'!$A$217:$I$237,7,0))</f>
        <v>0</v>
      </c>
      <c r="DZ58" s="45">
        <f>EXP(-LN(2)/35)*DZ57+(1-EXP(-LN(2)/35))/(LN(2)/35)*DV58*DW58*VLOOKUP('Données projet'!$B$9,Paramètres!$A$1:$I$88,3,0)*0.475*44/12</f>
        <v>0</v>
      </c>
      <c r="EA58" s="45">
        <f>EXP(-LN(2)/25)*EA57+(1-EXP(-LN(2)/25))/(LN(2)/25)*Calculateur!DV58*Calculateur!DX58*VLOOKUP('Données projet'!$B$9,Paramètres!$A$1:$I$88,3,0)*0.475*44/12</f>
        <v>0</v>
      </c>
      <c r="EB58" s="45">
        <f>EXP(-LN(2)/2)*EB57+(1-EXP(-LN(2)/2))/(LN(2)/2)*DV58*DY58*VLOOKUP('Données projet'!$B$9,Paramètres!$A$1:$I$88,3,0)*0.475*44/12</f>
        <v>0</v>
      </c>
      <c r="EC58" s="46">
        <f t="shared" si="15"/>
        <v>0</v>
      </c>
      <c r="ED58" s="32" t="e">
        <f>VLOOKUP(A58,'Données projet'!$A$243:$I$263,2,0)</f>
        <v>#N/A</v>
      </c>
      <c r="EE58" s="33" t="e">
        <f>VLOOKUP(A58,'Données projet'!$A$243:$I$263,9,0)</f>
        <v>#N/A</v>
      </c>
      <c r="EF58" s="33">
        <f t="array" ref="EF58">INDEX(EE:EE,MIN(IF(ISNUMBER(EE58:EE254),ROW(EE58:EE254),"")))</f>
        <v>0</v>
      </c>
      <c r="EG58" s="33">
        <f t="shared" si="37"/>
        <v>0</v>
      </c>
      <c r="EH58" s="38" t="e">
        <f>EG58*VLOOKUP('Données projet'!$B$17,Paramètres!$A$1:$I$88,3,0)*VLOOKUP('Données projet'!$B$17,Paramètres!$A$1:$I$88,5,0)</f>
        <v>#N/A</v>
      </c>
      <c r="EI58" s="34" t="e">
        <f t="shared" si="38"/>
        <v>#N/A</v>
      </c>
      <c r="EJ58" s="44" t="e">
        <f t="shared" si="16"/>
        <v>#N/A</v>
      </c>
      <c r="EK58" s="36">
        <f>IF(ISNA(VLOOKUP(A58,'Données projet'!$A$243:$I$263,3,0)),0,VLOOKUP(A58,'Données projet'!$A$243:$I$263,3,0))</f>
        <v>0</v>
      </c>
      <c r="EL58" s="36">
        <f>IF(ISNA(VLOOKUP(A58,'Données projet'!$A$243:$I$263,4,0)),0,VLOOKUP(A58,'Données projet'!$A$243:$I$263,4,0))</f>
        <v>0</v>
      </c>
      <c r="EM58" s="37">
        <f>IF(ISNA(VLOOKUP(A58,'Données projet'!$A$243:$I$263,5,0)),0%,VLOOKUP(A58,'Données projet'!$A$243:$I$263,5,0)*VLOOKUP('Données projet'!$B$17,Paramètres!$A$1:$I$88,7,0))</f>
        <v>0</v>
      </c>
      <c r="EN58" s="37">
        <f>IF(ISNA(VLOOKUP(A58,'Données projet'!$A$243:$I$263,6,0)),0%,VLOOKUP(A58,'Données projet'!$A$243:$I$263,6,0)*VLOOKUP('Données projet'!$B$17,Paramètres!$A$1:$I$88,7,0))</f>
        <v>0</v>
      </c>
      <c r="EO58" s="37">
        <f>IF(ISNA(VLOOKUP(A58,'Données projet'!$A$243:$I$263,7,0)),0%,VLOOKUP(A58,'Données projet'!$A$243:$I$263,7,0))</f>
        <v>0</v>
      </c>
      <c r="EP58" s="45">
        <f>EXP(-LN(2)/35)*EP57+(1-EXP(-LN(2)/35))/(LN(2)/35)*EL58*EM58*VLOOKUP('Données projet'!$B$9,Paramètres!$A$1:$I$88,3,0)*0.475*44/12</f>
        <v>0</v>
      </c>
      <c r="EQ58" s="45">
        <f>EXP(-LN(2)/25)*EQ57+(1-EXP(-LN(2)/25))/(LN(2)/25)*Calculateur!EL58*Calculateur!EN58*VLOOKUP('Données projet'!$B$9,Paramètres!$A$1:$I$88,3,0)*0.475*44/12</f>
        <v>0</v>
      </c>
      <c r="ER58" s="45">
        <f>EXP(-LN(2)/2)*ER57+(1-EXP(-LN(2)/2))/(LN(2)/2)*EL58*EO58*VLOOKUP('Données projet'!$B$9,Paramètres!$A$1:$I$88,3,0)*0.475*44/12</f>
        <v>0</v>
      </c>
      <c r="ES58" s="46">
        <f t="shared" si="17"/>
        <v>0</v>
      </c>
      <c r="ET58" s="32" t="e">
        <f>VLOOKUP(A58,'Données projet'!$A$269:$I$289,2,0)</f>
        <v>#N/A</v>
      </c>
      <c r="EU58" s="33" t="e">
        <f>VLOOKUP(A58,'Données projet'!$A$269:$I$289,9,0)</f>
        <v>#N/A</v>
      </c>
      <c r="EV58" s="33">
        <f t="array" ref="EV58">INDEX(EU:EU,MIN(IF(ISNUMBER(EU58:EU254),ROW(EU58:EU254),"")))</f>
        <v>0</v>
      </c>
      <c r="EW58" s="33">
        <f t="shared" si="39"/>
        <v>0</v>
      </c>
      <c r="EX58" s="38" t="e">
        <f>EW58*VLOOKUP('Données projet'!$B$18,Paramètres!$A$1:$I$88,3,0)*VLOOKUP('Données projet'!$B$18,Paramètres!$A$1:$I$88,5,0)</f>
        <v>#N/A</v>
      </c>
      <c r="EY58" s="34" t="e">
        <f t="shared" si="40"/>
        <v>#N/A</v>
      </c>
      <c r="EZ58" s="44" t="e">
        <f t="shared" si="18"/>
        <v>#N/A</v>
      </c>
      <c r="FA58" s="36">
        <f>IF(ISNA(VLOOKUP(A58,'Données projet'!$A$269:$I$289,3,0)),0,VLOOKUP(A58,'Données projet'!$A$269:$I$289,3,0))</f>
        <v>0</v>
      </c>
      <c r="FB58" s="36">
        <f>IF(ISNA(VLOOKUP(A58,'Données projet'!$A$269:$I$289,4,0)),0,VLOOKUP(A58,'Données projet'!$A$269:$I$289,4,0))</f>
        <v>0</v>
      </c>
      <c r="FC58" s="37">
        <f>IF(ISNA(VLOOKUP(A58,'Données projet'!$A$269:$I$289,5,0)),0%,VLOOKUP(A58,'Données projet'!$A$269:$I$289,5,0)*VLOOKUP('Données projet'!$B$18,Paramètres!$A$1:$I$88,7,0))</f>
        <v>0</v>
      </c>
      <c r="FD58" s="37">
        <f>IF(ISNA(VLOOKUP(A58,'Données projet'!$A$269:$I$289,6,0)),0%,VLOOKUP(A58,'Données projet'!$A$269:$I$289,6,0)*VLOOKUP('Données projet'!$B$18,Paramètres!$A$1:$I$88,7,0))</f>
        <v>0</v>
      </c>
      <c r="FE58" s="37">
        <f>IF(ISNA(VLOOKUP(A58,'Données projet'!$A$269:$I$289,7,0)),0%,VLOOKUP(A58,'Données projet'!$A$269:$I$289,7,0))</f>
        <v>0</v>
      </c>
      <c r="FF58" s="45">
        <f>EXP(-LN(2)/35)*FF57+(1-EXP(-LN(2)/35))/(LN(2)/35)*FB58*FC58*VLOOKUP('Données projet'!$B$9,Paramètres!$A$1:$I$88,3,0)*0.475*44/12</f>
        <v>0</v>
      </c>
      <c r="FG58" s="45">
        <f>EXP(-LN(2)/25)*FG57+(1-EXP(-LN(2)/25))/(LN(2)/25)*Calculateur!FB58*Calculateur!FD58*VLOOKUP('Données projet'!$B$9,Paramètres!$A$1:$I$88,3,0)*0.475*44/12</f>
        <v>0</v>
      </c>
      <c r="FH58" s="45">
        <f>EXP(-LN(2)/2)*FH57+(1-EXP(-LN(2)/2))/(LN(2)/2)*FB58*FE58*VLOOKUP('Données projet'!$B$9,Paramètres!$A$1:$I$88,3,0)*0.475*44/12</f>
        <v>0</v>
      </c>
      <c r="FI58" s="46">
        <f t="shared" si="19"/>
        <v>0</v>
      </c>
    </row>
    <row r="59" spans="1:165" x14ac:dyDescent="0.25">
      <c r="A59" s="24">
        <f t="shared" si="20"/>
        <v>56</v>
      </c>
      <c r="B59" s="25">
        <f>IF('Scénario référence'!$N$1=1,5,0)</f>
        <v>0</v>
      </c>
      <c r="C59" s="40">
        <f>IF(OR('Scénario référence'!$N$1=2,'Scénario référence'!$N$1=4),C58+1*VLOOKUP('Scénario référence'!$G$14,Paramètres!$A$1:$I$88,3,0)*VLOOKUP('Scénario référence'!$G$14,Paramètres!$A$1:$I$88,5,0),IF(OR('Scénario référence'!$N$1=3,'Scénario référence'!$N$1=5),C58+0.5*VLOOKUP('Scénario référence'!$G$14,Paramètres!$A$1:$I$88,3,0)*VLOOKUP('Scénario référence'!$G$14,Paramètres!$A$1:$I$88,5,0),0))</f>
        <v>30.575999999999979</v>
      </c>
      <c r="D59" s="26">
        <f t="shared" si="21"/>
        <v>9.4631216842413828</v>
      </c>
      <c r="E59" s="27">
        <f>IF('Scénario référence'!$N$1=1,B59*44/12,(C59+D59)*0.475*44/12)</f>
        <v>69.734803600053709</v>
      </c>
      <c r="F59" s="28" t="e">
        <f>VLOOKUP(A59,'Données projet'!$A$35:$I$55,2,0)</f>
        <v>#N/A</v>
      </c>
      <c r="G59" s="28" t="e">
        <f>VLOOKUP(A59,'Données projet'!$A$35:$I$55,9,0)</f>
        <v>#N/A</v>
      </c>
      <c r="H59" s="33">
        <f t="array" ref="H59">INDEX(G:G,MIN(IF(ISNUMBER(G59:G255),ROW(G59:G255),"")))</f>
        <v>7.6</v>
      </c>
      <c r="I59" s="28">
        <f t="shared" si="22"/>
        <v>183.6</v>
      </c>
      <c r="J59" s="41">
        <f>I59*VLOOKUP('Données projet'!$B$9,Paramètres!$A$1:$I$88,3,0)*VLOOKUP('Données projet'!$B$9,Paramètres!$A$1:$I$88,5,0)</f>
        <v>186.1704</v>
      </c>
      <c r="K59" s="41">
        <f t="shared" si="23"/>
        <v>46.692281933796018</v>
      </c>
      <c r="L59" s="42">
        <f t="shared" si="0"/>
        <v>405.56917103469476</v>
      </c>
      <c r="M59" s="30">
        <f>IF(ISNA(VLOOKUP(A59,'Données projet'!$A$35:$I$55,3,0)),0,VLOOKUP(A59,'Données projet'!$A$35:$I$55,3,0))</f>
        <v>0</v>
      </c>
      <c r="N59" s="30">
        <f>IF(ISNA(VLOOKUP(A59,'Données projet'!$A$35:$I$55,4,0)),0,VLOOKUP(A59,'Données projet'!$A$35:$I$55,4,0))</f>
        <v>0</v>
      </c>
      <c r="O59" s="31">
        <f>IF(ISNA(VLOOKUP(A59,'Données projet'!$A$35:$I$55,5,0)),0%,VLOOKUP(A59,'Données projet'!$A$35:$I$55,5,0)*VLOOKUP('Données projet'!$B$9,Paramètres!$A$1:$I$88,7,0))</f>
        <v>0</v>
      </c>
      <c r="P59" s="31">
        <f>IF(ISNA(VLOOKUP(A59,'Données projet'!$A$35:$I$55,6,0)),0%,VLOOKUP(A59,'Données projet'!$A$35:$I$55,6,0)*VLOOKUP('Données projet'!$B$9,Paramètres!$A$1:$I$88,7,0))</f>
        <v>0</v>
      </c>
      <c r="Q59" s="31">
        <f>IF(ISNA(VLOOKUP(A59,'Données projet'!$A$35:$I$55,7,0)),0%,VLOOKUP(A59,'Données projet'!$A$35:$I$55,7,0))</f>
        <v>0</v>
      </c>
      <c r="R59" s="43">
        <f>EXP(-LN(2)/35)*R58+(1-EXP(-LN(2)/35))/(LN(2)/35)*N59*O59*VLOOKUP('Données projet'!$B$9,Paramètres!$A$1:$I$88,3,0)*0.475*44/12</f>
        <v>0</v>
      </c>
      <c r="S59" s="43">
        <f>EXP(-LN(2)/25)*S58+(1-EXP(-LN(2)/25))/(LN(2)/25)*Calculateur!N59*Calculateur!P59*VLOOKUP('Données projet'!$B$9,Paramètres!$A$1:$I$88,3,0)*0.475*44/12</f>
        <v>0</v>
      </c>
      <c r="T59" s="43">
        <f>EXP(-LN(2)/2)*T58+(1-EXP(-LN(2)/2))/(LN(2)/2)*N59*Q59*VLOOKUP('Données projet'!$B$9,Paramètres!$A$1:$I$88,3,0)*0.475*44/12</f>
        <v>0</v>
      </c>
      <c r="U59" s="43">
        <f t="shared" si="1"/>
        <v>0</v>
      </c>
      <c r="V59" s="32" t="e">
        <f>VLOOKUP(A59,'Données projet'!$A$61:$I$81,2,0)</f>
        <v>#N/A</v>
      </c>
      <c r="W59" s="33" t="e">
        <f>VLOOKUP(A59,'Données projet'!$A$61:$I$81,9,0)</f>
        <v>#N/A</v>
      </c>
      <c r="X59" s="33">
        <f t="array" ref="X59">INDEX(W:W,MIN(IF(ISNUMBER(W59:W255),ROW(W59:W255),"")))</f>
        <v>0</v>
      </c>
      <c r="Y59" s="33">
        <f t="shared" si="24"/>
        <v>0</v>
      </c>
      <c r="Z59" s="34" t="e">
        <f>Y59*VLOOKUP('Données projet'!$B$10,Paramètres!$A$1:$I$88,3,0)*VLOOKUP('Données projet'!$B$10,Paramètres!$A$1:$I$88,5,0)</f>
        <v>#N/A</v>
      </c>
      <c r="AA59" s="34" t="e">
        <f t="shared" si="25"/>
        <v>#N/A</v>
      </c>
      <c r="AB59" s="44" t="e">
        <f t="shared" si="2"/>
        <v>#N/A</v>
      </c>
      <c r="AC59" s="36">
        <f>IF(ISNA(VLOOKUP(A59,'Données projet'!$A$61:$I$81,3,0)),0,VLOOKUP(A59,'Données projet'!$A$61:$I$81,3,0))</f>
        <v>0</v>
      </c>
      <c r="AD59" s="36">
        <f>IF(ISNA(VLOOKUP(A59,'Données projet'!$A$61:$I$81,4,0)),0,VLOOKUP(A59,'Données projet'!$A$61:$I$81,4,0))</f>
        <v>0</v>
      </c>
      <c r="AE59" s="37">
        <f>IF(ISNA(VLOOKUP(A59,'Données projet'!$A$61:$I$81,5,0)),0%,VLOOKUP(A59,'Données projet'!$A$61:$I$81,5,0)*VLOOKUP('Données projet'!$B$10,Paramètres!$A$1:$I$88,7,0))</f>
        <v>0</v>
      </c>
      <c r="AF59" s="37">
        <f>IF(ISNA(VLOOKUP(A59,'Données projet'!$A$61:$I$81,6,0)),0%,VLOOKUP(A59,'Données projet'!$A$61:$I$81,6,0)*VLOOKUP('Données projet'!$B$10,Paramètres!$A$1:$I$88,7,0))</f>
        <v>0</v>
      </c>
      <c r="AG59" s="37">
        <f>IF(ISNA(VLOOKUP(A59,'Données projet'!$A$61:$I$81,7,0)),0%,VLOOKUP(A59,'Données projet'!$A$61:$I$81,7,0))</f>
        <v>0</v>
      </c>
      <c r="AH59" s="45">
        <f>EXP(-LN(2)/35)*AH58+(1-EXP(-LN(2)/35))/(LN(2)/35)*AD59*AE59*VLOOKUP('Données projet'!$B$9,Paramètres!$A$1:$I$88,3,0)*0.475*44/12</f>
        <v>0</v>
      </c>
      <c r="AI59" s="45">
        <f>EXP(-LN(2)/25)*AI58+(1-EXP(-LN(2)/25))/(LN(2)/25)*Calculateur!AD59*Calculateur!AF59*VLOOKUP('Données projet'!$B$9,Paramètres!$A$1:$I$88,3,0)*0.475*44/12</f>
        <v>0</v>
      </c>
      <c r="AJ59" s="45">
        <f>EXP(-LN(2)/2)*AJ58+(1-EXP(-LN(2)/2))/(LN(2)/2)*AD59*AG59*VLOOKUP('Données projet'!$B$9,Paramètres!$A$1:$I$88,3,0)*0.475*44/12</f>
        <v>0</v>
      </c>
      <c r="AK59" s="45">
        <f t="shared" si="3"/>
        <v>0</v>
      </c>
      <c r="AL59" s="32" t="e">
        <f>VLOOKUP(A59,'Données projet'!$A$87:$I$107,2,0)</f>
        <v>#N/A</v>
      </c>
      <c r="AM59" s="33" t="e">
        <f>VLOOKUP(A59,'Données projet'!$A$87:$I$107,9,0)</f>
        <v>#N/A</v>
      </c>
      <c r="AN59" s="33">
        <f t="array" ref="AN59">INDEX(AM:AM,MIN(IF(ISNUMBER(AM59:AM255),ROW(AM59:AM255),"")))</f>
        <v>0</v>
      </c>
      <c r="AO59" s="33">
        <f t="shared" si="26"/>
        <v>0</v>
      </c>
      <c r="AP59" s="34" t="e">
        <f>AO59*VLOOKUP('Données projet'!$B$11,Paramètres!$A$1:$I$88,3,0)*VLOOKUP('Données projet'!$B$11,Paramètres!$A$1:$I$88,5,0)</f>
        <v>#N/A</v>
      </c>
      <c r="AQ59" s="34" t="e">
        <f t="shared" si="27"/>
        <v>#N/A</v>
      </c>
      <c r="AR59" s="44" t="e">
        <f t="shared" si="4"/>
        <v>#N/A</v>
      </c>
      <c r="AS59" s="36">
        <f>IF(ISNA(VLOOKUP(A59,'Données projet'!$A$87:$I$107,3,0)),0,VLOOKUP(A59,'Données projet'!$A$87:$I$107,3,0))</f>
        <v>0</v>
      </c>
      <c r="AT59" s="36">
        <f>IF(ISNA(VLOOKUP(A59,'Données projet'!$A$87:$I$107,4,0)),0,VLOOKUP(A59,'Données projet'!$A$87:$I$107,4,0))</f>
        <v>0</v>
      </c>
      <c r="AU59" s="37">
        <f>IF(ISNA(VLOOKUP(A59,'Données projet'!$A$87:$I$107,5,0)),0%,VLOOKUP(A59,'Données projet'!$A$87:$I$107,5,0)*VLOOKUP('Données projet'!$B$11,Paramètres!$A$1:$I$88,7,0))</f>
        <v>0</v>
      </c>
      <c r="AV59" s="37">
        <f>IF(ISNA(VLOOKUP(A59,'Données projet'!$A$87:$I$107,6,0)),0%,VLOOKUP(A59,'Données projet'!$A$87:$I$107,6,0)*VLOOKUP('Données projet'!$B$11,Paramètres!$A$1:$I$88,7,0))</f>
        <v>0</v>
      </c>
      <c r="AW59" s="37">
        <f>IF(ISNA(VLOOKUP(A59,'Données projet'!$A$87:$I$107,7,0)),0%,VLOOKUP(A59,'Données projet'!$A$87:$I$107,7,0))</f>
        <v>0</v>
      </c>
      <c r="AX59" s="45">
        <f>EXP(-LN(2)/35)*AX58+(1-EXP(-LN(2)/35))/(LN(2)/35)*AT59*AU59*VLOOKUP('Données projet'!$B$9,Paramètres!$A$1:$I$88,3,0)*0.475*44/12</f>
        <v>0</v>
      </c>
      <c r="AY59" s="45">
        <f>EXP(-LN(2)/25)*AY58+(1-EXP(-LN(2)/25))/(LN(2)/25)*Calculateur!AT59*Calculateur!AV59*VLOOKUP('Données projet'!$B$9,Paramètres!$A$1:$I$88,3,0)*0.475*44/12</f>
        <v>0</v>
      </c>
      <c r="AZ59" s="45">
        <f>EXP(-LN(2)/2)*AZ58+(1-EXP(-LN(2)/2))/(LN(2)/2)*AT59*AW59*VLOOKUP('Données projet'!$B$9,Paramètres!$A$1:$I$88,3,0)*0.475*44/12</f>
        <v>0</v>
      </c>
      <c r="BA59" s="46">
        <f t="shared" si="5"/>
        <v>0</v>
      </c>
      <c r="BB59" s="32" t="e">
        <f>VLOOKUP(A59,'Données projet'!$A$113:$I$133,2,0)</f>
        <v>#N/A</v>
      </c>
      <c r="BC59" s="33" t="e">
        <f>VLOOKUP(A59,'Données projet'!$A$113:$I$133,9,0)</f>
        <v>#N/A</v>
      </c>
      <c r="BD59" s="33">
        <f t="array" ref="BD59">INDEX(BC:BC,MIN(IF(ISNUMBER(BC59:BC255),ROW(BC59:BC255),"")))</f>
        <v>0</v>
      </c>
      <c r="BE59" s="33">
        <f t="shared" si="28"/>
        <v>0</v>
      </c>
      <c r="BF59" s="34" t="e">
        <f>BE59*VLOOKUP('Données projet'!$B$12,Paramètres!$A$1:$I$88,3,0)*VLOOKUP('Données projet'!$B$12,Paramètres!$A$1:$I$88,5,0)</f>
        <v>#N/A</v>
      </c>
      <c r="BG59" s="34" t="e">
        <f t="shared" si="29"/>
        <v>#N/A</v>
      </c>
      <c r="BH59" s="44" t="e">
        <f t="shared" si="6"/>
        <v>#N/A</v>
      </c>
      <c r="BI59" s="36">
        <f>IF(ISNA(VLOOKUP(A59,'Données projet'!$A$113:$I$133,3,0)),0,VLOOKUP(A59,'Données projet'!$A$113:$I$133,3,0))</f>
        <v>0</v>
      </c>
      <c r="BJ59" s="36">
        <f>IF(ISNA(VLOOKUP(A59,'Données projet'!$A$113:$I$133,4,0)),0,VLOOKUP(A59,'Données projet'!$A$113:$I$133,4,0))</f>
        <v>0</v>
      </c>
      <c r="BK59" s="37">
        <f>IF(ISNA(VLOOKUP(A59,'Données projet'!$A$113:$I$133,5,0)),0%,VLOOKUP(A59,'Données projet'!$A$113:$I$133,5,0)*VLOOKUP('Données projet'!$B$12,Paramètres!$A$1:$I$88,7,0))</f>
        <v>0</v>
      </c>
      <c r="BL59" s="37">
        <f>IF(ISNA(VLOOKUP(A59,'Données projet'!$A$113:$I$133,6,0)),0%,VLOOKUP(A59,'Données projet'!$A$113:$I$133,6,0)*VLOOKUP('Données projet'!$B$12,Paramètres!$A$1:$I$88,7,0))</f>
        <v>0</v>
      </c>
      <c r="BM59" s="37">
        <f>IF(ISNA(VLOOKUP(A59,'Données projet'!$A$113:$I$133,7,0)),0%,VLOOKUP(A59,'Données projet'!$A$113:$I$133,7,0))</f>
        <v>0</v>
      </c>
      <c r="BN59" s="45">
        <f>EXP(-LN(2)/35)*BN58+(1-EXP(-LN(2)/35))/(LN(2)/35)*BJ59*BK59*VLOOKUP('Données projet'!$B$9,Paramètres!$A$1:$I$88,3,0)*0.475*44/12</f>
        <v>0</v>
      </c>
      <c r="BO59" s="45">
        <f>EXP(-LN(2)/25)*BO58+(1-EXP(-LN(2)/25))/(LN(2)/25)*Calculateur!BJ59*Calculateur!BL59*VLOOKUP('Données projet'!$B$9,Paramètres!$A$1:$I$88,3,0)*0.475*44/12</f>
        <v>0</v>
      </c>
      <c r="BP59" s="45">
        <f>EXP(-LN(2)/2)*BP58+(1-EXP(-LN(2)/2))/(LN(2)/2)*BJ59*BM59*VLOOKUP('Données projet'!$B$9,Paramètres!$A$1:$I$88,3,0)*0.475*44/12</f>
        <v>0</v>
      </c>
      <c r="BQ59" s="46">
        <f t="shared" si="7"/>
        <v>0</v>
      </c>
      <c r="BR59" s="32" t="e">
        <f>VLOOKUP(A59,'Données projet'!$A$139:$I$159,2,0)</f>
        <v>#N/A</v>
      </c>
      <c r="BS59" s="33" t="e">
        <f>VLOOKUP(A59,'Données projet'!$A$139:$I$159,9,0)</f>
        <v>#N/A</v>
      </c>
      <c r="BT59" s="33">
        <f t="array" ref="BT59">INDEX(BS:BS,MIN(IF(ISNUMBER(BS59:BS255),ROW(BS59:BS255),"")))</f>
        <v>0</v>
      </c>
      <c r="BU59" s="33">
        <f t="shared" si="41"/>
        <v>0</v>
      </c>
      <c r="BV59" s="38" t="e">
        <f>BU59*VLOOKUP('Données projet'!$B$13,Paramètres!$A$1:$I$88,3,0)*VLOOKUP('Données projet'!$B$13,Paramètres!$A$1:$I$88,5,0)</f>
        <v>#N/A</v>
      </c>
      <c r="BW59" s="34" t="e">
        <f t="shared" si="30"/>
        <v>#N/A</v>
      </c>
      <c r="BX59" s="44" t="e">
        <f t="shared" si="8"/>
        <v>#N/A</v>
      </c>
      <c r="BY59" s="36">
        <f>IF(ISNA(VLOOKUP(A59,'Données projet'!$A$139:$I$159,3,0)),0,VLOOKUP(A59,'Données projet'!$A$139:$I$159,3,0))</f>
        <v>0</v>
      </c>
      <c r="BZ59" s="36">
        <f>IF(ISNA(VLOOKUP(A59,'Données projet'!$A$139:$I$159,4,0)),0,VLOOKUP(A59,'Données projet'!$A$139:$I$159,4,0))</f>
        <v>0</v>
      </c>
      <c r="CA59" s="37">
        <f>IF(ISNA(VLOOKUP(A59,'Données projet'!$A$139:$I$159,5,0)),0%,VLOOKUP(A59,'Données projet'!$A$139:$I$159,5,0)*VLOOKUP('Données projet'!$B$13,Paramètres!$A$1:$I$88,7,0))</f>
        <v>0</v>
      </c>
      <c r="CB59" s="37">
        <f>IF(ISNA(VLOOKUP(A59,'Données projet'!$A$139:$I$159,6,0)),0%,VLOOKUP(A59,'Données projet'!$A$139:$I$159,6,0)*VLOOKUP('Données projet'!$B$13,Paramètres!$A$1:$I$88,7,0))</f>
        <v>0</v>
      </c>
      <c r="CC59" s="37">
        <f>IF(ISNA(VLOOKUP(A59,'Données projet'!$A$139:$I$159,7,0)),0%,VLOOKUP(A59,'Données projet'!$A$139:$I$159,7,0))</f>
        <v>0</v>
      </c>
      <c r="CD59" s="45">
        <f>EXP(-LN(2)/35)*CD58+(1-EXP(-LN(2)/35))/(LN(2)/35)*BZ59*CA59*VLOOKUP('Données projet'!$B$9,Paramètres!$A$1:$I$88,3,0)*0.475*44/12</f>
        <v>0</v>
      </c>
      <c r="CE59" s="45">
        <f>EXP(-LN(2)/25)*CE58+(1-EXP(-LN(2)/25))/(LN(2)/25)*Calculateur!BZ59*Calculateur!CB59*VLOOKUP('Données projet'!$B$9,Paramètres!$A$1:$I$88,3,0)*0.475*44/12</f>
        <v>0</v>
      </c>
      <c r="CF59" s="45">
        <f>EXP(-LN(2)/2)*CF58+(1-EXP(-LN(2)/2))/(LN(2)/2)*BZ59*CC59*VLOOKUP('Données projet'!$B$9,Paramètres!$A$1:$I$88,3,0)*0.475*44/12</f>
        <v>0</v>
      </c>
      <c r="CG59" s="46">
        <f t="shared" si="9"/>
        <v>0</v>
      </c>
      <c r="CH59" s="32" t="e">
        <f>VLOOKUP(A59,'Données projet'!$A$165:$I$185,2,0)</f>
        <v>#N/A</v>
      </c>
      <c r="CI59" s="33" t="e">
        <f>VLOOKUP(A59,'Données projet'!$A$165:$I$185,9,0)</f>
        <v>#N/A</v>
      </c>
      <c r="CJ59" s="33">
        <f t="array" ref="CJ59">INDEX(CI:CI,MIN(IF(ISNUMBER(CI59:CI255),ROW(CI59:CI255),"")))</f>
        <v>0</v>
      </c>
      <c r="CK59" s="33">
        <f t="shared" si="31"/>
        <v>0</v>
      </c>
      <c r="CL59" s="38" t="e">
        <f>CK59*VLOOKUP('Données projet'!$B$14,Paramètres!$A$1:$I$88,3,0)*VLOOKUP('Données projet'!$B$14,Paramètres!$A$1:$I$88,5,0)</f>
        <v>#N/A</v>
      </c>
      <c r="CM59" s="34" t="e">
        <f t="shared" si="32"/>
        <v>#N/A</v>
      </c>
      <c r="CN59" s="44" t="e">
        <f t="shared" si="10"/>
        <v>#N/A</v>
      </c>
      <c r="CO59" s="36">
        <f>IF(ISNA(VLOOKUP(A59,'Données projet'!$A$165:$I$185,3,0)),0,VLOOKUP(A59,'Données projet'!$A$165:$I$185,3,0))</f>
        <v>0</v>
      </c>
      <c r="CP59" s="36">
        <f>IF(ISNA(VLOOKUP(A59,'Données projet'!$A$165:$I$185,4,0)),0,VLOOKUP(A59,'Données projet'!$A$165:$I$185,4,0))</f>
        <v>0</v>
      </c>
      <c r="CQ59" s="37">
        <f>IF(ISNA(VLOOKUP(A59,'Données projet'!$A$165:$I$185,5,0)),0%,VLOOKUP(A59,'Données projet'!$A$165:$I$185,5,0)*VLOOKUP('Données projet'!$B$14,Paramètres!$A$1:$I$88,7,0))</f>
        <v>0</v>
      </c>
      <c r="CR59" s="37">
        <f>IF(ISNA(VLOOKUP(A59,'Données projet'!$A$165:$I$185,6,0)),0%,VLOOKUP(A59,'Données projet'!$A$165:$I$185,6,0)*VLOOKUP('Données projet'!$B$14,Paramètres!$A$1:$I$88,7,0))</f>
        <v>0</v>
      </c>
      <c r="CS59" s="37">
        <f>IF(ISNA(VLOOKUP(A59,'Données projet'!$A$165:$I$185,7,0)),0%,VLOOKUP(A59,'Données projet'!$A$165:$I$185,7,0))</f>
        <v>0</v>
      </c>
      <c r="CT59" s="45">
        <f>EXP(-LN(2)/35)*CT58+(1-EXP(-LN(2)/35))/(LN(2)/35)*CP59*CQ59*VLOOKUP('Données projet'!$B$9,Paramètres!$A$1:$I$88,3,0)*0.475*44/12</f>
        <v>0</v>
      </c>
      <c r="CU59" s="45">
        <f>EXP(-LN(2)/25)*CU58+(1-EXP(-LN(2)/25))/(LN(2)/25)*Calculateur!CP59*Calculateur!CR59*VLOOKUP('Données projet'!$B$9,Paramètres!$A$1:$I$88,3,0)*0.475*44/12</f>
        <v>0</v>
      </c>
      <c r="CV59" s="45">
        <f>EXP(-LN(2)/2)*CV58+(1-EXP(-LN(2)/2))/(LN(2)/2)*CP59*CS59*VLOOKUP('Données projet'!$B$9,Paramètres!$A$1:$I$88,3,0)*0.475*44/12</f>
        <v>0</v>
      </c>
      <c r="CW59" s="46">
        <f t="shared" si="11"/>
        <v>0</v>
      </c>
      <c r="CX59" s="32" t="e">
        <f>VLOOKUP(A59,'Données projet'!$A$191:$I$211,2,0)</f>
        <v>#N/A</v>
      </c>
      <c r="CY59" s="33" t="e">
        <f>VLOOKUP(A59,'Données projet'!$A$191:$I$211,9,0)</f>
        <v>#N/A</v>
      </c>
      <c r="CZ59" s="33">
        <f t="array" ref="CZ59">INDEX(CY:CY,MIN(IF(ISNUMBER(CY59:CY255),ROW(CY59:CY255),"")))</f>
        <v>0</v>
      </c>
      <c r="DA59" s="33">
        <f t="shared" si="33"/>
        <v>0</v>
      </c>
      <c r="DB59" s="38" t="e">
        <f>DA59*VLOOKUP('Données projet'!$B$15,Paramètres!$A$1:$I$88,3,0)*VLOOKUP('Données projet'!$B$15,Paramètres!$A$1:$I$88,5,0)</f>
        <v>#N/A</v>
      </c>
      <c r="DC59" s="34" t="e">
        <f t="shared" si="34"/>
        <v>#N/A</v>
      </c>
      <c r="DD59" s="44" t="e">
        <f t="shared" si="12"/>
        <v>#N/A</v>
      </c>
      <c r="DE59" s="36">
        <f>IF(ISNA(VLOOKUP(A59,'Données projet'!$A$191:$I$211,3,0)),0,VLOOKUP(A59,'Données projet'!$A$191:$I$211,3,0))</f>
        <v>0</v>
      </c>
      <c r="DF59" s="36">
        <f>IF(ISNA(VLOOKUP(A59,'Données projet'!$A$191:$I$211,4,0)),0,VLOOKUP(A59,'Données projet'!$A$191:$I$211,4,0))</f>
        <v>0</v>
      </c>
      <c r="DG59" s="37">
        <f>IF(ISNA(VLOOKUP(A59,'Données projet'!$A$191:$I$211,5,0)),0%,VLOOKUP(A59,'Données projet'!$A$191:$I$211,5,0)*VLOOKUP('Données projet'!$B$15,Paramètres!$A$1:$I$88,7,0))</f>
        <v>0</v>
      </c>
      <c r="DH59" s="37">
        <f>IF(ISNA(VLOOKUP(A59,'Données projet'!$A$191:$I$211,6,0)),0%,VLOOKUP(A59,'Données projet'!$A$191:$I$211,6,0)*VLOOKUP('Données projet'!$B$15,Paramètres!$A$1:$I$88,7,0))</f>
        <v>0</v>
      </c>
      <c r="DI59" s="37">
        <f>IF(ISNA(VLOOKUP(A59,'Données projet'!$A$191:$I$211,7,0)),0%,VLOOKUP(A59,'Données projet'!$A$191:$I$211,7,0))</f>
        <v>0</v>
      </c>
      <c r="DJ59" s="45">
        <f>EXP(-LN(2)/35)*DJ58+(1-EXP(-LN(2)/35))/(LN(2)/35)*DF59*DG59*VLOOKUP('Données projet'!$B$9,Paramètres!$A$1:$I$88,3,0)*0.475*44/12</f>
        <v>0</v>
      </c>
      <c r="DK59" s="45">
        <f>EXP(-LN(2)/25)*DK58+(1-EXP(-LN(2)/25))/(LN(2)/25)*Calculateur!DF59*Calculateur!DH59*VLOOKUP('Données projet'!$B$9,Paramètres!$A$1:$I$88,3,0)*0.475*44/12</f>
        <v>0</v>
      </c>
      <c r="DL59" s="45">
        <f>EXP(-LN(2)/2)*DL58+(1-EXP(-LN(2)/2))/(LN(2)/2)*DF59*DI59*VLOOKUP('Données projet'!$B$9,Paramètres!$A$1:$I$88,3,0)*0.475*44/12</f>
        <v>0</v>
      </c>
      <c r="DM59" s="46">
        <f t="shared" si="13"/>
        <v>0</v>
      </c>
      <c r="DN59" s="32" t="e">
        <f>VLOOKUP(A59,'Données projet'!$A$217:$I$237,2,0)</f>
        <v>#N/A</v>
      </c>
      <c r="DO59" s="33" t="e">
        <f>VLOOKUP(A59,'Données projet'!$A$217:$I$237,9,0)</f>
        <v>#N/A</v>
      </c>
      <c r="DP59" s="33">
        <f t="array" ref="DP59">INDEX(DO:DO,MIN(IF(ISNUMBER(DO59:DO255),ROW(DO59:DO255),"")))</f>
        <v>0</v>
      </c>
      <c r="DQ59" s="33">
        <f t="shared" si="35"/>
        <v>0</v>
      </c>
      <c r="DR59" s="38" t="e">
        <f>DQ59*VLOOKUP('Données projet'!$B$16,Paramètres!$A$1:$I$88,3,0)*VLOOKUP('Données projet'!$B$16,Paramètres!$A$1:$I$88,5,0)</f>
        <v>#N/A</v>
      </c>
      <c r="DS59" s="34" t="e">
        <f t="shared" si="36"/>
        <v>#N/A</v>
      </c>
      <c r="DT59" s="44" t="e">
        <f t="shared" si="14"/>
        <v>#N/A</v>
      </c>
      <c r="DU59" s="36">
        <f>IF(ISNA(VLOOKUP(A59,'Données projet'!$A$217:$I$237,3,0)),0,VLOOKUP(A59,'Données projet'!$A$217:$I$237,3,0))</f>
        <v>0</v>
      </c>
      <c r="DV59" s="36">
        <f>IF(ISNA(VLOOKUP(A59,'Données projet'!$A$217:$I$237,4,0)),0,VLOOKUP(A59,'Données projet'!$A$217:$I$237,4,0))</f>
        <v>0</v>
      </c>
      <c r="DW59" s="37">
        <f>IF(ISNA(VLOOKUP(A59,'Données projet'!$A$217:$I$237,5,0)),0%,VLOOKUP(A59,'Données projet'!$A$217:$I$237,5,0)*VLOOKUP('Données projet'!$B$16,Paramètres!$A$1:$I$88,7,0))</f>
        <v>0</v>
      </c>
      <c r="DX59" s="37">
        <f>IF(ISNA(VLOOKUP(A59,'Données projet'!$A$217:$I$237,6,0)),0%,VLOOKUP(A59,'Données projet'!$A$217:$I$237,6,0)*VLOOKUP('Données projet'!$B$16,Paramètres!$A$1:$I$88,7,0))</f>
        <v>0</v>
      </c>
      <c r="DY59" s="37">
        <f>IF(ISNA(VLOOKUP(A59,'Données projet'!$A$217:$I$237,7,0)),0%,VLOOKUP(A59,'Données projet'!$A$217:$I$237,7,0))</f>
        <v>0</v>
      </c>
      <c r="DZ59" s="45">
        <f>EXP(-LN(2)/35)*DZ58+(1-EXP(-LN(2)/35))/(LN(2)/35)*DV59*DW59*VLOOKUP('Données projet'!$B$9,Paramètres!$A$1:$I$88,3,0)*0.475*44/12</f>
        <v>0</v>
      </c>
      <c r="EA59" s="45">
        <f>EXP(-LN(2)/25)*EA58+(1-EXP(-LN(2)/25))/(LN(2)/25)*Calculateur!DV59*Calculateur!DX59*VLOOKUP('Données projet'!$B$9,Paramètres!$A$1:$I$88,3,0)*0.475*44/12</f>
        <v>0</v>
      </c>
      <c r="EB59" s="45">
        <f>EXP(-LN(2)/2)*EB58+(1-EXP(-LN(2)/2))/(LN(2)/2)*DV59*DY59*VLOOKUP('Données projet'!$B$9,Paramètres!$A$1:$I$88,3,0)*0.475*44/12</f>
        <v>0</v>
      </c>
      <c r="EC59" s="46">
        <f t="shared" si="15"/>
        <v>0</v>
      </c>
      <c r="ED59" s="32" t="e">
        <f>VLOOKUP(A59,'Données projet'!$A$243:$I$263,2,0)</f>
        <v>#N/A</v>
      </c>
      <c r="EE59" s="33" t="e">
        <f>VLOOKUP(A59,'Données projet'!$A$243:$I$263,9,0)</f>
        <v>#N/A</v>
      </c>
      <c r="EF59" s="33">
        <f t="array" ref="EF59">INDEX(EE:EE,MIN(IF(ISNUMBER(EE59:EE255),ROW(EE59:EE255),"")))</f>
        <v>0</v>
      </c>
      <c r="EG59" s="33">
        <f t="shared" si="37"/>
        <v>0</v>
      </c>
      <c r="EH59" s="38" t="e">
        <f>EG59*VLOOKUP('Données projet'!$B$17,Paramètres!$A$1:$I$88,3,0)*VLOOKUP('Données projet'!$B$17,Paramètres!$A$1:$I$88,5,0)</f>
        <v>#N/A</v>
      </c>
      <c r="EI59" s="34" t="e">
        <f t="shared" si="38"/>
        <v>#N/A</v>
      </c>
      <c r="EJ59" s="44" t="e">
        <f t="shared" si="16"/>
        <v>#N/A</v>
      </c>
      <c r="EK59" s="36">
        <f>IF(ISNA(VLOOKUP(A59,'Données projet'!$A$243:$I$263,3,0)),0,VLOOKUP(A59,'Données projet'!$A$243:$I$263,3,0))</f>
        <v>0</v>
      </c>
      <c r="EL59" s="36">
        <f>IF(ISNA(VLOOKUP(A59,'Données projet'!$A$243:$I$263,4,0)),0,VLOOKUP(A59,'Données projet'!$A$243:$I$263,4,0))</f>
        <v>0</v>
      </c>
      <c r="EM59" s="37">
        <f>IF(ISNA(VLOOKUP(A59,'Données projet'!$A$243:$I$263,5,0)),0%,VLOOKUP(A59,'Données projet'!$A$243:$I$263,5,0)*VLOOKUP('Données projet'!$B$17,Paramètres!$A$1:$I$88,7,0))</f>
        <v>0</v>
      </c>
      <c r="EN59" s="37">
        <f>IF(ISNA(VLOOKUP(A59,'Données projet'!$A$243:$I$263,6,0)),0%,VLOOKUP(A59,'Données projet'!$A$243:$I$263,6,0)*VLOOKUP('Données projet'!$B$17,Paramètres!$A$1:$I$88,7,0))</f>
        <v>0</v>
      </c>
      <c r="EO59" s="37">
        <f>IF(ISNA(VLOOKUP(A59,'Données projet'!$A$243:$I$263,7,0)),0%,VLOOKUP(A59,'Données projet'!$A$243:$I$263,7,0))</f>
        <v>0</v>
      </c>
      <c r="EP59" s="45">
        <f>EXP(-LN(2)/35)*EP58+(1-EXP(-LN(2)/35))/(LN(2)/35)*EL59*EM59*VLOOKUP('Données projet'!$B$9,Paramètres!$A$1:$I$88,3,0)*0.475*44/12</f>
        <v>0</v>
      </c>
      <c r="EQ59" s="45">
        <f>EXP(-LN(2)/25)*EQ58+(1-EXP(-LN(2)/25))/(LN(2)/25)*Calculateur!EL59*Calculateur!EN59*VLOOKUP('Données projet'!$B$9,Paramètres!$A$1:$I$88,3,0)*0.475*44/12</f>
        <v>0</v>
      </c>
      <c r="ER59" s="45">
        <f>EXP(-LN(2)/2)*ER58+(1-EXP(-LN(2)/2))/(LN(2)/2)*EL59*EO59*VLOOKUP('Données projet'!$B$9,Paramètres!$A$1:$I$88,3,0)*0.475*44/12</f>
        <v>0</v>
      </c>
      <c r="ES59" s="46">
        <f t="shared" si="17"/>
        <v>0</v>
      </c>
      <c r="ET59" s="32" t="e">
        <f>VLOOKUP(A59,'Données projet'!$A$269:$I$289,2,0)</f>
        <v>#N/A</v>
      </c>
      <c r="EU59" s="33" t="e">
        <f>VLOOKUP(A59,'Données projet'!$A$269:$I$289,9,0)</f>
        <v>#N/A</v>
      </c>
      <c r="EV59" s="33">
        <f t="array" ref="EV59">INDEX(EU:EU,MIN(IF(ISNUMBER(EU59:EU255),ROW(EU59:EU255),"")))</f>
        <v>0</v>
      </c>
      <c r="EW59" s="33">
        <f t="shared" si="39"/>
        <v>0</v>
      </c>
      <c r="EX59" s="38" t="e">
        <f>EW59*VLOOKUP('Données projet'!$B$18,Paramètres!$A$1:$I$88,3,0)*VLOOKUP('Données projet'!$B$18,Paramètres!$A$1:$I$88,5,0)</f>
        <v>#N/A</v>
      </c>
      <c r="EY59" s="34" t="e">
        <f t="shared" si="40"/>
        <v>#N/A</v>
      </c>
      <c r="EZ59" s="44" t="e">
        <f t="shared" si="18"/>
        <v>#N/A</v>
      </c>
      <c r="FA59" s="36">
        <f>IF(ISNA(VLOOKUP(A59,'Données projet'!$A$269:$I$289,3,0)),0,VLOOKUP(A59,'Données projet'!$A$269:$I$289,3,0))</f>
        <v>0</v>
      </c>
      <c r="FB59" s="36">
        <f>IF(ISNA(VLOOKUP(A59,'Données projet'!$A$269:$I$289,4,0)),0,VLOOKUP(A59,'Données projet'!$A$269:$I$289,4,0))</f>
        <v>0</v>
      </c>
      <c r="FC59" s="37">
        <f>IF(ISNA(VLOOKUP(A59,'Données projet'!$A$269:$I$289,5,0)),0%,VLOOKUP(A59,'Données projet'!$A$269:$I$289,5,0)*VLOOKUP('Données projet'!$B$18,Paramètres!$A$1:$I$88,7,0))</f>
        <v>0</v>
      </c>
      <c r="FD59" s="37">
        <f>IF(ISNA(VLOOKUP(A59,'Données projet'!$A$269:$I$289,6,0)),0%,VLOOKUP(A59,'Données projet'!$A$269:$I$289,6,0)*VLOOKUP('Données projet'!$B$18,Paramètres!$A$1:$I$88,7,0))</f>
        <v>0</v>
      </c>
      <c r="FE59" s="37">
        <f>IF(ISNA(VLOOKUP(A59,'Données projet'!$A$269:$I$289,7,0)),0%,VLOOKUP(A59,'Données projet'!$A$269:$I$289,7,0))</f>
        <v>0</v>
      </c>
      <c r="FF59" s="45">
        <f>EXP(-LN(2)/35)*FF58+(1-EXP(-LN(2)/35))/(LN(2)/35)*FB59*FC59*VLOOKUP('Données projet'!$B$9,Paramètres!$A$1:$I$88,3,0)*0.475*44/12</f>
        <v>0</v>
      </c>
      <c r="FG59" s="45">
        <f>EXP(-LN(2)/25)*FG58+(1-EXP(-LN(2)/25))/(LN(2)/25)*Calculateur!FB59*Calculateur!FD59*VLOOKUP('Données projet'!$B$9,Paramètres!$A$1:$I$88,3,0)*0.475*44/12</f>
        <v>0</v>
      </c>
      <c r="FH59" s="45">
        <f>EXP(-LN(2)/2)*FH58+(1-EXP(-LN(2)/2))/(LN(2)/2)*FB59*FE59*VLOOKUP('Données projet'!$B$9,Paramètres!$A$1:$I$88,3,0)*0.475*44/12</f>
        <v>0</v>
      </c>
      <c r="FI59" s="46">
        <f t="shared" si="19"/>
        <v>0</v>
      </c>
    </row>
    <row r="60" spans="1:165" x14ac:dyDescent="0.25">
      <c r="A60" s="24">
        <f t="shared" si="20"/>
        <v>57</v>
      </c>
      <c r="B60" s="25">
        <f>IF('Scénario référence'!$N$1=1,5,0)</f>
        <v>0</v>
      </c>
      <c r="C60" s="40">
        <f>IF(OR('Scénario référence'!$N$1=2,'Scénario référence'!$N$1=4),C59+1*VLOOKUP('Scénario référence'!$G$14,Paramètres!$A$1:$I$88,3,0)*VLOOKUP('Scénario référence'!$G$14,Paramètres!$A$1:$I$88,5,0),IF(OR('Scénario référence'!$N$1=3,'Scénario référence'!$N$1=5),C59+0.5*VLOOKUP('Scénario référence'!$G$14,Paramètres!$A$1:$I$88,3,0)*VLOOKUP('Scénario référence'!$G$14,Paramètres!$A$1:$I$88,5,0),0))</f>
        <v>31.121999999999979</v>
      </c>
      <c r="D60" s="26">
        <f t="shared" si="21"/>
        <v>9.6122820667787945</v>
      </c>
      <c r="E60" s="27">
        <f>IF('Scénario référence'!$N$1=1,B60*44/12,(C60+D60)*0.475*44/12)</f>
        <v>70.945541266306364</v>
      </c>
      <c r="F60" s="28" t="e">
        <f>VLOOKUP(A60,'Données projet'!$A$35:$I$55,2,0)</f>
        <v>#N/A</v>
      </c>
      <c r="G60" s="28" t="e">
        <f>VLOOKUP(A60,'Données projet'!$A$35:$I$55,9,0)</f>
        <v>#N/A</v>
      </c>
      <c r="H60" s="33">
        <f t="array" ref="H60">INDEX(G:G,MIN(IF(ISNUMBER(G60:G256),ROW(G60:G256),"")))</f>
        <v>7.6</v>
      </c>
      <c r="I60" s="28">
        <f t="shared" si="22"/>
        <v>191.2</v>
      </c>
      <c r="J60" s="41">
        <f>I60*VLOOKUP('Données projet'!$B$9,Paramètres!$A$1:$I$88,3,0)*VLOOKUP('Données projet'!$B$9,Paramètres!$A$1:$I$88,5,0)</f>
        <v>193.8768</v>
      </c>
      <c r="K60" s="41">
        <f t="shared" si="23"/>
        <v>48.396048099527611</v>
      </c>
      <c r="L60" s="42">
        <f t="shared" si="0"/>
        <v>421.95854377334393</v>
      </c>
      <c r="M60" s="30">
        <f>IF(ISNA(VLOOKUP(A60,'Données projet'!$A$35:$I$55,3,0)),0,VLOOKUP(A60,'Données projet'!$A$35:$I$55,3,0))</f>
        <v>0</v>
      </c>
      <c r="N60" s="30">
        <f>IF(ISNA(VLOOKUP(A60,'Données projet'!$A$35:$I$55,4,0)),0,VLOOKUP(A60,'Données projet'!$A$35:$I$55,4,0))</f>
        <v>0</v>
      </c>
      <c r="O60" s="31">
        <f>IF(ISNA(VLOOKUP(A60,'Données projet'!$A$35:$I$55,5,0)),0%,VLOOKUP(A60,'Données projet'!$A$35:$I$55,5,0)*VLOOKUP('Données projet'!$B$9,Paramètres!$A$1:$I$88,7,0))</f>
        <v>0</v>
      </c>
      <c r="P60" s="31">
        <f>IF(ISNA(VLOOKUP(A60,'Données projet'!$A$35:$I$55,6,0)),0%,VLOOKUP(A60,'Données projet'!$A$35:$I$55,6,0)*VLOOKUP('Données projet'!$B$9,Paramètres!$A$1:$I$88,7,0))</f>
        <v>0</v>
      </c>
      <c r="Q60" s="31">
        <f>IF(ISNA(VLOOKUP(A60,'Données projet'!$A$35:$I$55,7,0)),0%,VLOOKUP(A60,'Données projet'!$A$35:$I$55,7,0))</f>
        <v>0</v>
      </c>
      <c r="R60" s="43">
        <f>EXP(-LN(2)/35)*R59+(1-EXP(-LN(2)/35))/(LN(2)/35)*N60*O60*VLOOKUP('Données projet'!$B$9,Paramètres!$A$1:$I$88,3,0)*0.475*44/12</f>
        <v>0</v>
      </c>
      <c r="S60" s="43">
        <f>EXP(-LN(2)/25)*S59+(1-EXP(-LN(2)/25))/(LN(2)/25)*Calculateur!N60*Calculateur!P60*VLOOKUP('Données projet'!$B$9,Paramètres!$A$1:$I$88,3,0)*0.475*44/12</f>
        <v>0</v>
      </c>
      <c r="T60" s="43">
        <f>EXP(-LN(2)/2)*T59+(1-EXP(-LN(2)/2))/(LN(2)/2)*N60*Q60*VLOOKUP('Données projet'!$B$9,Paramètres!$A$1:$I$88,3,0)*0.475*44/12</f>
        <v>0</v>
      </c>
      <c r="U60" s="43">
        <f t="shared" si="1"/>
        <v>0</v>
      </c>
      <c r="V60" s="32" t="e">
        <f>VLOOKUP(A60,'Données projet'!$A$61:$I$81,2,0)</f>
        <v>#N/A</v>
      </c>
      <c r="W60" s="33" t="e">
        <f>VLOOKUP(A60,'Données projet'!$A$61:$I$81,9,0)</f>
        <v>#N/A</v>
      </c>
      <c r="X60" s="33">
        <f t="array" ref="X60">INDEX(W:W,MIN(IF(ISNUMBER(W60:W256),ROW(W60:W256),"")))</f>
        <v>0</v>
      </c>
      <c r="Y60" s="33">
        <f t="shared" si="24"/>
        <v>0</v>
      </c>
      <c r="Z60" s="34" t="e">
        <f>Y60*VLOOKUP('Données projet'!$B$10,Paramètres!$A$1:$I$88,3,0)*VLOOKUP('Données projet'!$B$10,Paramètres!$A$1:$I$88,5,0)</f>
        <v>#N/A</v>
      </c>
      <c r="AA60" s="34" t="e">
        <f t="shared" si="25"/>
        <v>#N/A</v>
      </c>
      <c r="AB60" s="44" t="e">
        <f t="shared" si="2"/>
        <v>#N/A</v>
      </c>
      <c r="AC60" s="36">
        <f>IF(ISNA(VLOOKUP(A60,'Données projet'!$A$61:$I$81,3,0)),0,VLOOKUP(A60,'Données projet'!$A$61:$I$81,3,0))</f>
        <v>0</v>
      </c>
      <c r="AD60" s="36">
        <f>IF(ISNA(VLOOKUP(A60,'Données projet'!$A$61:$I$81,4,0)),0,VLOOKUP(A60,'Données projet'!$A$61:$I$81,4,0))</f>
        <v>0</v>
      </c>
      <c r="AE60" s="37">
        <f>IF(ISNA(VLOOKUP(A60,'Données projet'!$A$61:$I$81,5,0)),0%,VLOOKUP(A60,'Données projet'!$A$61:$I$81,5,0)*VLOOKUP('Données projet'!$B$10,Paramètres!$A$1:$I$88,7,0))</f>
        <v>0</v>
      </c>
      <c r="AF60" s="37">
        <f>IF(ISNA(VLOOKUP(A60,'Données projet'!$A$61:$I$81,6,0)),0%,VLOOKUP(A60,'Données projet'!$A$61:$I$81,6,0)*VLOOKUP('Données projet'!$B$10,Paramètres!$A$1:$I$88,7,0))</f>
        <v>0</v>
      </c>
      <c r="AG60" s="37">
        <f>IF(ISNA(VLOOKUP(A60,'Données projet'!$A$61:$I$81,7,0)),0%,VLOOKUP(A60,'Données projet'!$A$61:$I$81,7,0))</f>
        <v>0</v>
      </c>
      <c r="AH60" s="45">
        <f>EXP(-LN(2)/35)*AH59+(1-EXP(-LN(2)/35))/(LN(2)/35)*AD60*AE60*VLOOKUP('Données projet'!$B$9,Paramètres!$A$1:$I$88,3,0)*0.475*44/12</f>
        <v>0</v>
      </c>
      <c r="AI60" s="45">
        <f>EXP(-LN(2)/25)*AI59+(1-EXP(-LN(2)/25))/(LN(2)/25)*Calculateur!AD60*Calculateur!AF60*VLOOKUP('Données projet'!$B$9,Paramètres!$A$1:$I$88,3,0)*0.475*44/12</f>
        <v>0</v>
      </c>
      <c r="AJ60" s="45">
        <f>EXP(-LN(2)/2)*AJ59+(1-EXP(-LN(2)/2))/(LN(2)/2)*AD60*AG60*VLOOKUP('Données projet'!$B$9,Paramètres!$A$1:$I$88,3,0)*0.475*44/12</f>
        <v>0</v>
      </c>
      <c r="AK60" s="45">
        <f t="shared" si="3"/>
        <v>0</v>
      </c>
      <c r="AL60" s="32" t="e">
        <f>VLOOKUP(A60,'Données projet'!$A$87:$I$107,2,0)</f>
        <v>#N/A</v>
      </c>
      <c r="AM60" s="33" t="e">
        <f>VLOOKUP(A60,'Données projet'!$A$87:$I$107,9,0)</f>
        <v>#N/A</v>
      </c>
      <c r="AN60" s="33">
        <f t="array" ref="AN60">INDEX(AM:AM,MIN(IF(ISNUMBER(AM60:AM256),ROW(AM60:AM256),"")))</f>
        <v>0</v>
      </c>
      <c r="AO60" s="33">
        <f t="shared" si="26"/>
        <v>0</v>
      </c>
      <c r="AP60" s="34" t="e">
        <f>AO60*VLOOKUP('Données projet'!$B$11,Paramètres!$A$1:$I$88,3,0)*VLOOKUP('Données projet'!$B$11,Paramètres!$A$1:$I$88,5,0)</f>
        <v>#N/A</v>
      </c>
      <c r="AQ60" s="34" t="e">
        <f t="shared" si="27"/>
        <v>#N/A</v>
      </c>
      <c r="AR60" s="44" t="e">
        <f t="shared" si="4"/>
        <v>#N/A</v>
      </c>
      <c r="AS60" s="36">
        <f>IF(ISNA(VLOOKUP(A60,'Données projet'!$A$87:$I$107,3,0)),0,VLOOKUP(A60,'Données projet'!$A$87:$I$107,3,0))</f>
        <v>0</v>
      </c>
      <c r="AT60" s="36">
        <f>IF(ISNA(VLOOKUP(A60,'Données projet'!$A$87:$I$107,4,0)),0,VLOOKUP(A60,'Données projet'!$A$87:$I$107,4,0))</f>
        <v>0</v>
      </c>
      <c r="AU60" s="37">
        <f>IF(ISNA(VLOOKUP(A60,'Données projet'!$A$87:$I$107,5,0)),0%,VLOOKUP(A60,'Données projet'!$A$87:$I$107,5,0)*VLOOKUP('Données projet'!$B$11,Paramètres!$A$1:$I$88,7,0))</f>
        <v>0</v>
      </c>
      <c r="AV60" s="37">
        <f>IF(ISNA(VLOOKUP(A60,'Données projet'!$A$87:$I$107,6,0)),0%,VLOOKUP(A60,'Données projet'!$A$87:$I$107,6,0)*VLOOKUP('Données projet'!$B$11,Paramètres!$A$1:$I$88,7,0))</f>
        <v>0</v>
      </c>
      <c r="AW60" s="37">
        <f>IF(ISNA(VLOOKUP(A60,'Données projet'!$A$87:$I$107,7,0)),0%,VLOOKUP(A60,'Données projet'!$A$87:$I$107,7,0))</f>
        <v>0</v>
      </c>
      <c r="AX60" s="45">
        <f>EXP(-LN(2)/35)*AX59+(1-EXP(-LN(2)/35))/(LN(2)/35)*AT60*AU60*VLOOKUP('Données projet'!$B$9,Paramètres!$A$1:$I$88,3,0)*0.475*44/12</f>
        <v>0</v>
      </c>
      <c r="AY60" s="45">
        <f>EXP(-LN(2)/25)*AY59+(1-EXP(-LN(2)/25))/(LN(2)/25)*Calculateur!AT60*Calculateur!AV60*VLOOKUP('Données projet'!$B$9,Paramètres!$A$1:$I$88,3,0)*0.475*44/12</f>
        <v>0</v>
      </c>
      <c r="AZ60" s="45">
        <f>EXP(-LN(2)/2)*AZ59+(1-EXP(-LN(2)/2))/(LN(2)/2)*AT60*AW60*VLOOKUP('Données projet'!$B$9,Paramètres!$A$1:$I$88,3,0)*0.475*44/12</f>
        <v>0</v>
      </c>
      <c r="BA60" s="46">
        <f t="shared" si="5"/>
        <v>0</v>
      </c>
      <c r="BB60" s="32" t="e">
        <f>VLOOKUP(A60,'Données projet'!$A$113:$I$133,2,0)</f>
        <v>#N/A</v>
      </c>
      <c r="BC60" s="33" t="e">
        <f>VLOOKUP(A60,'Données projet'!$A$113:$I$133,9,0)</f>
        <v>#N/A</v>
      </c>
      <c r="BD60" s="33">
        <f t="array" ref="BD60">INDEX(BC:BC,MIN(IF(ISNUMBER(BC60:BC256),ROW(BC60:BC256),"")))</f>
        <v>0</v>
      </c>
      <c r="BE60" s="33">
        <f t="shared" si="28"/>
        <v>0</v>
      </c>
      <c r="BF60" s="34" t="e">
        <f>BE60*VLOOKUP('Données projet'!$B$12,Paramètres!$A$1:$I$88,3,0)*VLOOKUP('Données projet'!$B$12,Paramètres!$A$1:$I$88,5,0)</f>
        <v>#N/A</v>
      </c>
      <c r="BG60" s="34" t="e">
        <f t="shared" si="29"/>
        <v>#N/A</v>
      </c>
      <c r="BH60" s="44" t="e">
        <f t="shared" si="6"/>
        <v>#N/A</v>
      </c>
      <c r="BI60" s="36">
        <f>IF(ISNA(VLOOKUP(A60,'Données projet'!$A$113:$I$133,3,0)),0,VLOOKUP(A60,'Données projet'!$A$113:$I$133,3,0))</f>
        <v>0</v>
      </c>
      <c r="BJ60" s="36">
        <f>IF(ISNA(VLOOKUP(A60,'Données projet'!$A$113:$I$133,4,0)),0,VLOOKUP(A60,'Données projet'!$A$113:$I$133,4,0))</f>
        <v>0</v>
      </c>
      <c r="BK60" s="37">
        <f>IF(ISNA(VLOOKUP(A60,'Données projet'!$A$113:$I$133,5,0)),0%,VLOOKUP(A60,'Données projet'!$A$113:$I$133,5,0)*VLOOKUP('Données projet'!$B$12,Paramètres!$A$1:$I$88,7,0))</f>
        <v>0</v>
      </c>
      <c r="BL60" s="37">
        <f>IF(ISNA(VLOOKUP(A60,'Données projet'!$A$113:$I$133,6,0)),0%,VLOOKUP(A60,'Données projet'!$A$113:$I$133,6,0)*VLOOKUP('Données projet'!$B$12,Paramètres!$A$1:$I$88,7,0))</f>
        <v>0</v>
      </c>
      <c r="BM60" s="37">
        <f>IF(ISNA(VLOOKUP(A60,'Données projet'!$A$113:$I$133,7,0)),0%,VLOOKUP(A60,'Données projet'!$A$113:$I$133,7,0))</f>
        <v>0</v>
      </c>
      <c r="BN60" s="45">
        <f>EXP(-LN(2)/35)*BN59+(1-EXP(-LN(2)/35))/(LN(2)/35)*BJ60*BK60*VLOOKUP('Données projet'!$B$9,Paramètres!$A$1:$I$88,3,0)*0.475*44/12</f>
        <v>0</v>
      </c>
      <c r="BO60" s="45">
        <f>EXP(-LN(2)/25)*BO59+(1-EXP(-LN(2)/25))/(LN(2)/25)*Calculateur!BJ60*Calculateur!BL60*VLOOKUP('Données projet'!$B$9,Paramètres!$A$1:$I$88,3,0)*0.475*44/12</f>
        <v>0</v>
      </c>
      <c r="BP60" s="45">
        <f>EXP(-LN(2)/2)*BP59+(1-EXP(-LN(2)/2))/(LN(2)/2)*BJ60*BM60*VLOOKUP('Données projet'!$B$9,Paramètres!$A$1:$I$88,3,0)*0.475*44/12</f>
        <v>0</v>
      </c>
      <c r="BQ60" s="46">
        <f t="shared" si="7"/>
        <v>0</v>
      </c>
      <c r="BR60" s="32" t="e">
        <f>VLOOKUP(A60,'Données projet'!$A$139:$I$159,2,0)</f>
        <v>#N/A</v>
      </c>
      <c r="BS60" s="33" t="e">
        <f>VLOOKUP(A60,'Données projet'!$A$139:$I$159,9,0)</f>
        <v>#N/A</v>
      </c>
      <c r="BT60" s="33">
        <f t="array" ref="BT60">INDEX(BS:BS,MIN(IF(ISNUMBER(BS60:BS256),ROW(BS60:BS256),"")))</f>
        <v>0</v>
      </c>
      <c r="BU60" s="33">
        <f t="shared" si="41"/>
        <v>0</v>
      </c>
      <c r="BV60" s="38" t="e">
        <f>BU60*VLOOKUP('Données projet'!$B$13,Paramètres!$A$1:$I$88,3,0)*VLOOKUP('Données projet'!$B$13,Paramètres!$A$1:$I$88,5,0)</f>
        <v>#N/A</v>
      </c>
      <c r="BW60" s="34" t="e">
        <f t="shared" si="30"/>
        <v>#N/A</v>
      </c>
      <c r="BX60" s="44" t="e">
        <f t="shared" si="8"/>
        <v>#N/A</v>
      </c>
      <c r="BY60" s="36">
        <f>IF(ISNA(VLOOKUP(A60,'Données projet'!$A$139:$I$159,3,0)),0,VLOOKUP(A60,'Données projet'!$A$139:$I$159,3,0))</f>
        <v>0</v>
      </c>
      <c r="BZ60" s="36">
        <f>IF(ISNA(VLOOKUP(A60,'Données projet'!$A$139:$I$159,4,0)),0,VLOOKUP(A60,'Données projet'!$A$139:$I$159,4,0))</f>
        <v>0</v>
      </c>
      <c r="CA60" s="37">
        <f>IF(ISNA(VLOOKUP(A60,'Données projet'!$A$139:$I$159,5,0)),0%,VLOOKUP(A60,'Données projet'!$A$139:$I$159,5,0)*VLOOKUP('Données projet'!$B$13,Paramètres!$A$1:$I$88,7,0))</f>
        <v>0</v>
      </c>
      <c r="CB60" s="37">
        <f>IF(ISNA(VLOOKUP(A60,'Données projet'!$A$139:$I$159,6,0)),0%,VLOOKUP(A60,'Données projet'!$A$139:$I$159,6,0)*VLOOKUP('Données projet'!$B$13,Paramètres!$A$1:$I$88,7,0))</f>
        <v>0</v>
      </c>
      <c r="CC60" s="37">
        <f>IF(ISNA(VLOOKUP(A60,'Données projet'!$A$139:$I$159,7,0)),0%,VLOOKUP(A60,'Données projet'!$A$139:$I$159,7,0))</f>
        <v>0</v>
      </c>
      <c r="CD60" s="45">
        <f>EXP(-LN(2)/35)*CD59+(1-EXP(-LN(2)/35))/(LN(2)/35)*BZ60*CA60*VLOOKUP('Données projet'!$B$9,Paramètres!$A$1:$I$88,3,0)*0.475*44/12</f>
        <v>0</v>
      </c>
      <c r="CE60" s="45">
        <f>EXP(-LN(2)/25)*CE59+(1-EXP(-LN(2)/25))/(LN(2)/25)*Calculateur!BZ60*Calculateur!CB60*VLOOKUP('Données projet'!$B$9,Paramètres!$A$1:$I$88,3,0)*0.475*44/12</f>
        <v>0</v>
      </c>
      <c r="CF60" s="45">
        <f>EXP(-LN(2)/2)*CF59+(1-EXP(-LN(2)/2))/(LN(2)/2)*BZ60*CC60*VLOOKUP('Données projet'!$B$9,Paramètres!$A$1:$I$88,3,0)*0.475*44/12</f>
        <v>0</v>
      </c>
      <c r="CG60" s="46">
        <f t="shared" si="9"/>
        <v>0</v>
      </c>
      <c r="CH60" s="32" t="e">
        <f>VLOOKUP(A60,'Données projet'!$A$165:$I$185,2,0)</f>
        <v>#N/A</v>
      </c>
      <c r="CI60" s="33" t="e">
        <f>VLOOKUP(A60,'Données projet'!$A$165:$I$185,9,0)</f>
        <v>#N/A</v>
      </c>
      <c r="CJ60" s="33">
        <f t="array" ref="CJ60">INDEX(CI:CI,MIN(IF(ISNUMBER(CI60:CI256),ROW(CI60:CI256),"")))</f>
        <v>0</v>
      </c>
      <c r="CK60" s="33">
        <f t="shared" si="31"/>
        <v>0</v>
      </c>
      <c r="CL60" s="38" t="e">
        <f>CK60*VLOOKUP('Données projet'!$B$14,Paramètres!$A$1:$I$88,3,0)*VLOOKUP('Données projet'!$B$14,Paramètres!$A$1:$I$88,5,0)</f>
        <v>#N/A</v>
      </c>
      <c r="CM60" s="34" t="e">
        <f t="shared" si="32"/>
        <v>#N/A</v>
      </c>
      <c r="CN60" s="44" t="e">
        <f t="shared" si="10"/>
        <v>#N/A</v>
      </c>
      <c r="CO60" s="36">
        <f>IF(ISNA(VLOOKUP(A60,'Données projet'!$A$165:$I$185,3,0)),0,VLOOKUP(A60,'Données projet'!$A$165:$I$185,3,0))</f>
        <v>0</v>
      </c>
      <c r="CP60" s="36">
        <f>IF(ISNA(VLOOKUP(A60,'Données projet'!$A$165:$I$185,4,0)),0,VLOOKUP(A60,'Données projet'!$A$165:$I$185,4,0))</f>
        <v>0</v>
      </c>
      <c r="CQ60" s="37">
        <f>IF(ISNA(VLOOKUP(A60,'Données projet'!$A$165:$I$185,5,0)),0%,VLOOKUP(A60,'Données projet'!$A$165:$I$185,5,0)*VLOOKUP('Données projet'!$B$14,Paramètres!$A$1:$I$88,7,0))</f>
        <v>0</v>
      </c>
      <c r="CR60" s="37">
        <f>IF(ISNA(VLOOKUP(A60,'Données projet'!$A$165:$I$185,6,0)),0%,VLOOKUP(A60,'Données projet'!$A$165:$I$185,6,0)*VLOOKUP('Données projet'!$B$14,Paramètres!$A$1:$I$88,7,0))</f>
        <v>0</v>
      </c>
      <c r="CS60" s="37">
        <f>IF(ISNA(VLOOKUP(A60,'Données projet'!$A$165:$I$185,7,0)),0%,VLOOKUP(A60,'Données projet'!$A$165:$I$185,7,0))</f>
        <v>0</v>
      </c>
      <c r="CT60" s="45">
        <f>EXP(-LN(2)/35)*CT59+(1-EXP(-LN(2)/35))/(LN(2)/35)*CP60*CQ60*VLOOKUP('Données projet'!$B$9,Paramètres!$A$1:$I$88,3,0)*0.475*44/12</f>
        <v>0</v>
      </c>
      <c r="CU60" s="45">
        <f>EXP(-LN(2)/25)*CU59+(1-EXP(-LN(2)/25))/(LN(2)/25)*Calculateur!CP60*Calculateur!CR60*VLOOKUP('Données projet'!$B$9,Paramètres!$A$1:$I$88,3,0)*0.475*44/12</f>
        <v>0</v>
      </c>
      <c r="CV60" s="45">
        <f>EXP(-LN(2)/2)*CV59+(1-EXP(-LN(2)/2))/(LN(2)/2)*CP60*CS60*VLOOKUP('Données projet'!$B$9,Paramètres!$A$1:$I$88,3,0)*0.475*44/12</f>
        <v>0</v>
      </c>
      <c r="CW60" s="46">
        <f t="shared" si="11"/>
        <v>0</v>
      </c>
      <c r="CX60" s="32" t="e">
        <f>VLOOKUP(A60,'Données projet'!$A$191:$I$211,2,0)</f>
        <v>#N/A</v>
      </c>
      <c r="CY60" s="33" t="e">
        <f>VLOOKUP(A60,'Données projet'!$A$191:$I$211,9,0)</f>
        <v>#N/A</v>
      </c>
      <c r="CZ60" s="33">
        <f t="array" ref="CZ60">INDEX(CY:CY,MIN(IF(ISNUMBER(CY60:CY256),ROW(CY60:CY256),"")))</f>
        <v>0</v>
      </c>
      <c r="DA60" s="33">
        <f t="shared" si="33"/>
        <v>0</v>
      </c>
      <c r="DB60" s="38" t="e">
        <f>DA60*VLOOKUP('Données projet'!$B$15,Paramètres!$A$1:$I$88,3,0)*VLOOKUP('Données projet'!$B$15,Paramètres!$A$1:$I$88,5,0)</f>
        <v>#N/A</v>
      </c>
      <c r="DC60" s="34" t="e">
        <f t="shared" si="34"/>
        <v>#N/A</v>
      </c>
      <c r="DD60" s="44" t="e">
        <f t="shared" si="12"/>
        <v>#N/A</v>
      </c>
      <c r="DE60" s="36">
        <f>IF(ISNA(VLOOKUP(A60,'Données projet'!$A$191:$I$211,3,0)),0,VLOOKUP(A60,'Données projet'!$A$191:$I$211,3,0))</f>
        <v>0</v>
      </c>
      <c r="DF60" s="36">
        <f>IF(ISNA(VLOOKUP(A60,'Données projet'!$A$191:$I$211,4,0)),0,VLOOKUP(A60,'Données projet'!$A$191:$I$211,4,0))</f>
        <v>0</v>
      </c>
      <c r="DG60" s="37">
        <f>IF(ISNA(VLOOKUP(A60,'Données projet'!$A$191:$I$211,5,0)),0%,VLOOKUP(A60,'Données projet'!$A$191:$I$211,5,0)*VLOOKUP('Données projet'!$B$15,Paramètres!$A$1:$I$88,7,0))</f>
        <v>0</v>
      </c>
      <c r="DH60" s="37">
        <f>IF(ISNA(VLOOKUP(A60,'Données projet'!$A$191:$I$211,6,0)),0%,VLOOKUP(A60,'Données projet'!$A$191:$I$211,6,0)*VLOOKUP('Données projet'!$B$15,Paramètres!$A$1:$I$88,7,0))</f>
        <v>0</v>
      </c>
      <c r="DI60" s="37">
        <f>IF(ISNA(VLOOKUP(A60,'Données projet'!$A$191:$I$211,7,0)),0%,VLOOKUP(A60,'Données projet'!$A$191:$I$211,7,0))</f>
        <v>0</v>
      </c>
      <c r="DJ60" s="45">
        <f>EXP(-LN(2)/35)*DJ59+(1-EXP(-LN(2)/35))/(LN(2)/35)*DF60*DG60*VLOOKUP('Données projet'!$B$9,Paramètres!$A$1:$I$88,3,0)*0.475*44/12</f>
        <v>0</v>
      </c>
      <c r="DK60" s="45">
        <f>EXP(-LN(2)/25)*DK59+(1-EXP(-LN(2)/25))/(LN(2)/25)*Calculateur!DF60*Calculateur!DH60*VLOOKUP('Données projet'!$B$9,Paramètres!$A$1:$I$88,3,0)*0.475*44/12</f>
        <v>0</v>
      </c>
      <c r="DL60" s="45">
        <f>EXP(-LN(2)/2)*DL59+(1-EXP(-LN(2)/2))/(LN(2)/2)*DF60*DI60*VLOOKUP('Données projet'!$B$9,Paramètres!$A$1:$I$88,3,0)*0.475*44/12</f>
        <v>0</v>
      </c>
      <c r="DM60" s="46">
        <f t="shared" si="13"/>
        <v>0</v>
      </c>
      <c r="DN60" s="32" t="e">
        <f>VLOOKUP(A60,'Données projet'!$A$217:$I$237,2,0)</f>
        <v>#N/A</v>
      </c>
      <c r="DO60" s="33" t="e">
        <f>VLOOKUP(A60,'Données projet'!$A$217:$I$237,9,0)</f>
        <v>#N/A</v>
      </c>
      <c r="DP60" s="33">
        <f t="array" ref="DP60">INDEX(DO:DO,MIN(IF(ISNUMBER(DO60:DO256),ROW(DO60:DO256),"")))</f>
        <v>0</v>
      </c>
      <c r="DQ60" s="33">
        <f t="shared" si="35"/>
        <v>0</v>
      </c>
      <c r="DR60" s="38" t="e">
        <f>DQ60*VLOOKUP('Données projet'!$B$16,Paramètres!$A$1:$I$88,3,0)*VLOOKUP('Données projet'!$B$16,Paramètres!$A$1:$I$88,5,0)</f>
        <v>#N/A</v>
      </c>
      <c r="DS60" s="34" t="e">
        <f t="shared" si="36"/>
        <v>#N/A</v>
      </c>
      <c r="DT60" s="44" t="e">
        <f t="shared" si="14"/>
        <v>#N/A</v>
      </c>
      <c r="DU60" s="36">
        <f>IF(ISNA(VLOOKUP(A60,'Données projet'!$A$217:$I$237,3,0)),0,VLOOKUP(A60,'Données projet'!$A$217:$I$237,3,0))</f>
        <v>0</v>
      </c>
      <c r="DV60" s="36">
        <f>IF(ISNA(VLOOKUP(A60,'Données projet'!$A$217:$I$237,4,0)),0,VLOOKUP(A60,'Données projet'!$A$217:$I$237,4,0))</f>
        <v>0</v>
      </c>
      <c r="DW60" s="37">
        <f>IF(ISNA(VLOOKUP(A60,'Données projet'!$A$217:$I$237,5,0)),0%,VLOOKUP(A60,'Données projet'!$A$217:$I$237,5,0)*VLOOKUP('Données projet'!$B$16,Paramètres!$A$1:$I$88,7,0))</f>
        <v>0</v>
      </c>
      <c r="DX60" s="37">
        <f>IF(ISNA(VLOOKUP(A60,'Données projet'!$A$217:$I$237,6,0)),0%,VLOOKUP(A60,'Données projet'!$A$217:$I$237,6,0)*VLOOKUP('Données projet'!$B$16,Paramètres!$A$1:$I$88,7,0))</f>
        <v>0</v>
      </c>
      <c r="DY60" s="37">
        <f>IF(ISNA(VLOOKUP(A60,'Données projet'!$A$217:$I$237,7,0)),0%,VLOOKUP(A60,'Données projet'!$A$217:$I$237,7,0))</f>
        <v>0</v>
      </c>
      <c r="DZ60" s="45">
        <f>EXP(-LN(2)/35)*DZ59+(1-EXP(-LN(2)/35))/(LN(2)/35)*DV60*DW60*VLOOKUP('Données projet'!$B$9,Paramètres!$A$1:$I$88,3,0)*0.475*44/12</f>
        <v>0</v>
      </c>
      <c r="EA60" s="45">
        <f>EXP(-LN(2)/25)*EA59+(1-EXP(-LN(2)/25))/(LN(2)/25)*Calculateur!DV60*Calculateur!DX60*VLOOKUP('Données projet'!$B$9,Paramètres!$A$1:$I$88,3,0)*0.475*44/12</f>
        <v>0</v>
      </c>
      <c r="EB60" s="45">
        <f>EXP(-LN(2)/2)*EB59+(1-EXP(-LN(2)/2))/(LN(2)/2)*DV60*DY60*VLOOKUP('Données projet'!$B$9,Paramètres!$A$1:$I$88,3,0)*0.475*44/12</f>
        <v>0</v>
      </c>
      <c r="EC60" s="46">
        <f t="shared" si="15"/>
        <v>0</v>
      </c>
      <c r="ED60" s="32" t="e">
        <f>VLOOKUP(A60,'Données projet'!$A$243:$I$263,2,0)</f>
        <v>#N/A</v>
      </c>
      <c r="EE60" s="33" t="e">
        <f>VLOOKUP(A60,'Données projet'!$A$243:$I$263,9,0)</f>
        <v>#N/A</v>
      </c>
      <c r="EF60" s="33">
        <f t="array" ref="EF60">INDEX(EE:EE,MIN(IF(ISNUMBER(EE60:EE256),ROW(EE60:EE256),"")))</f>
        <v>0</v>
      </c>
      <c r="EG60" s="33">
        <f t="shared" si="37"/>
        <v>0</v>
      </c>
      <c r="EH60" s="38" t="e">
        <f>EG60*VLOOKUP('Données projet'!$B$17,Paramètres!$A$1:$I$88,3,0)*VLOOKUP('Données projet'!$B$17,Paramètres!$A$1:$I$88,5,0)</f>
        <v>#N/A</v>
      </c>
      <c r="EI60" s="34" t="e">
        <f t="shared" si="38"/>
        <v>#N/A</v>
      </c>
      <c r="EJ60" s="44" t="e">
        <f t="shared" si="16"/>
        <v>#N/A</v>
      </c>
      <c r="EK60" s="36">
        <f>IF(ISNA(VLOOKUP(A60,'Données projet'!$A$243:$I$263,3,0)),0,VLOOKUP(A60,'Données projet'!$A$243:$I$263,3,0))</f>
        <v>0</v>
      </c>
      <c r="EL60" s="36">
        <f>IF(ISNA(VLOOKUP(A60,'Données projet'!$A$243:$I$263,4,0)),0,VLOOKUP(A60,'Données projet'!$A$243:$I$263,4,0))</f>
        <v>0</v>
      </c>
      <c r="EM60" s="37">
        <f>IF(ISNA(VLOOKUP(A60,'Données projet'!$A$243:$I$263,5,0)),0%,VLOOKUP(A60,'Données projet'!$A$243:$I$263,5,0)*VLOOKUP('Données projet'!$B$17,Paramètres!$A$1:$I$88,7,0))</f>
        <v>0</v>
      </c>
      <c r="EN60" s="37">
        <f>IF(ISNA(VLOOKUP(A60,'Données projet'!$A$243:$I$263,6,0)),0%,VLOOKUP(A60,'Données projet'!$A$243:$I$263,6,0)*VLOOKUP('Données projet'!$B$17,Paramètres!$A$1:$I$88,7,0))</f>
        <v>0</v>
      </c>
      <c r="EO60" s="37">
        <f>IF(ISNA(VLOOKUP(A60,'Données projet'!$A$243:$I$263,7,0)),0%,VLOOKUP(A60,'Données projet'!$A$243:$I$263,7,0))</f>
        <v>0</v>
      </c>
      <c r="EP60" s="45">
        <f>EXP(-LN(2)/35)*EP59+(1-EXP(-LN(2)/35))/(LN(2)/35)*EL60*EM60*VLOOKUP('Données projet'!$B$9,Paramètres!$A$1:$I$88,3,0)*0.475*44/12</f>
        <v>0</v>
      </c>
      <c r="EQ60" s="45">
        <f>EXP(-LN(2)/25)*EQ59+(1-EXP(-LN(2)/25))/(LN(2)/25)*Calculateur!EL60*Calculateur!EN60*VLOOKUP('Données projet'!$B$9,Paramètres!$A$1:$I$88,3,0)*0.475*44/12</f>
        <v>0</v>
      </c>
      <c r="ER60" s="45">
        <f>EXP(-LN(2)/2)*ER59+(1-EXP(-LN(2)/2))/(LN(2)/2)*EL60*EO60*VLOOKUP('Données projet'!$B$9,Paramètres!$A$1:$I$88,3,0)*0.475*44/12</f>
        <v>0</v>
      </c>
      <c r="ES60" s="46">
        <f t="shared" si="17"/>
        <v>0</v>
      </c>
      <c r="ET60" s="32" t="e">
        <f>VLOOKUP(A60,'Données projet'!$A$269:$I$289,2,0)</f>
        <v>#N/A</v>
      </c>
      <c r="EU60" s="33" t="e">
        <f>VLOOKUP(A60,'Données projet'!$A$269:$I$289,9,0)</f>
        <v>#N/A</v>
      </c>
      <c r="EV60" s="33">
        <f t="array" ref="EV60">INDEX(EU:EU,MIN(IF(ISNUMBER(EU60:EU256),ROW(EU60:EU256),"")))</f>
        <v>0</v>
      </c>
      <c r="EW60" s="33">
        <f t="shared" si="39"/>
        <v>0</v>
      </c>
      <c r="EX60" s="38" t="e">
        <f>EW60*VLOOKUP('Données projet'!$B$18,Paramètres!$A$1:$I$88,3,0)*VLOOKUP('Données projet'!$B$18,Paramètres!$A$1:$I$88,5,0)</f>
        <v>#N/A</v>
      </c>
      <c r="EY60" s="34" t="e">
        <f t="shared" si="40"/>
        <v>#N/A</v>
      </c>
      <c r="EZ60" s="44" t="e">
        <f t="shared" si="18"/>
        <v>#N/A</v>
      </c>
      <c r="FA60" s="36">
        <f>IF(ISNA(VLOOKUP(A60,'Données projet'!$A$269:$I$289,3,0)),0,VLOOKUP(A60,'Données projet'!$A$269:$I$289,3,0))</f>
        <v>0</v>
      </c>
      <c r="FB60" s="36">
        <f>IF(ISNA(VLOOKUP(A60,'Données projet'!$A$269:$I$289,4,0)),0,VLOOKUP(A60,'Données projet'!$A$269:$I$289,4,0))</f>
        <v>0</v>
      </c>
      <c r="FC60" s="37">
        <f>IF(ISNA(VLOOKUP(A60,'Données projet'!$A$269:$I$289,5,0)),0%,VLOOKUP(A60,'Données projet'!$A$269:$I$289,5,0)*VLOOKUP('Données projet'!$B$18,Paramètres!$A$1:$I$88,7,0))</f>
        <v>0</v>
      </c>
      <c r="FD60" s="37">
        <f>IF(ISNA(VLOOKUP(A60,'Données projet'!$A$269:$I$289,6,0)),0%,VLOOKUP(A60,'Données projet'!$A$269:$I$289,6,0)*VLOOKUP('Données projet'!$B$18,Paramètres!$A$1:$I$88,7,0))</f>
        <v>0</v>
      </c>
      <c r="FE60" s="37">
        <f>IF(ISNA(VLOOKUP(A60,'Données projet'!$A$269:$I$289,7,0)),0%,VLOOKUP(A60,'Données projet'!$A$269:$I$289,7,0))</f>
        <v>0</v>
      </c>
      <c r="FF60" s="45">
        <f>EXP(-LN(2)/35)*FF59+(1-EXP(-LN(2)/35))/(LN(2)/35)*FB60*FC60*VLOOKUP('Données projet'!$B$9,Paramètres!$A$1:$I$88,3,0)*0.475*44/12</f>
        <v>0</v>
      </c>
      <c r="FG60" s="45">
        <f>EXP(-LN(2)/25)*FG59+(1-EXP(-LN(2)/25))/(LN(2)/25)*Calculateur!FB60*Calculateur!FD60*VLOOKUP('Données projet'!$B$9,Paramètres!$A$1:$I$88,3,0)*0.475*44/12</f>
        <v>0</v>
      </c>
      <c r="FH60" s="45">
        <f>EXP(-LN(2)/2)*FH59+(1-EXP(-LN(2)/2))/(LN(2)/2)*FB60*FE60*VLOOKUP('Données projet'!$B$9,Paramètres!$A$1:$I$88,3,0)*0.475*44/12</f>
        <v>0</v>
      </c>
      <c r="FI60" s="46">
        <f t="shared" si="19"/>
        <v>0</v>
      </c>
    </row>
    <row r="61" spans="1:165" x14ac:dyDescent="0.25">
      <c r="A61" s="24">
        <f t="shared" si="20"/>
        <v>58</v>
      </c>
      <c r="B61" s="25">
        <f>IF('Scénario référence'!$N$1=1,5,0)</f>
        <v>0</v>
      </c>
      <c r="C61" s="40">
        <f>IF(OR('Scénario référence'!$N$1=2,'Scénario référence'!$N$1=4),C60+1*VLOOKUP('Scénario référence'!$G$14,Paramètres!$A$1:$I$88,3,0)*VLOOKUP('Scénario référence'!$G$14,Paramètres!$A$1:$I$88,5,0),IF(OR('Scénario référence'!$N$1=3,'Scénario référence'!$N$1=5),C60+0.5*VLOOKUP('Scénario référence'!$G$14,Paramètres!$A$1:$I$88,3,0)*VLOOKUP('Scénario référence'!$G$14,Paramètres!$A$1:$I$88,5,0),0))</f>
        <v>31.667999999999978</v>
      </c>
      <c r="D61" s="26">
        <f t="shared" si="21"/>
        <v>9.7611381424130617</v>
      </c>
      <c r="E61" s="27">
        <f>IF('Scénario référence'!$N$1=1,B61*44/12,(C61+D61)*0.475*44/12)</f>
        <v>72.155748931369359</v>
      </c>
      <c r="F61" s="28" t="e">
        <f>VLOOKUP(A61,'Données projet'!$A$35:$I$55,2,0)</f>
        <v>#N/A</v>
      </c>
      <c r="G61" s="28" t="e">
        <f>VLOOKUP(A61,'Données projet'!$A$35:$I$55,9,0)</f>
        <v>#N/A</v>
      </c>
      <c r="H61" s="33">
        <f t="array" ref="H61">INDEX(G:G,MIN(IF(ISNUMBER(G61:G257),ROW(G61:G257),"")))</f>
        <v>7.6</v>
      </c>
      <c r="I61" s="28">
        <f t="shared" si="22"/>
        <v>198.79999999999998</v>
      </c>
      <c r="J61" s="41">
        <f>I61*VLOOKUP('Données projet'!$B$9,Paramètres!$A$1:$I$88,3,0)*VLOOKUP('Données projet'!$B$9,Paramètres!$A$1:$I$88,5,0)</f>
        <v>201.58320000000001</v>
      </c>
      <c r="K61" s="41">
        <f t="shared" si="23"/>
        <v>50.091947337331924</v>
      </c>
      <c r="L61" s="42">
        <f t="shared" si="0"/>
        <v>438.33421494585309</v>
      </c>
      <c r="M61" s="30">
        <f>IF(ISNA(VLOOKUP(A61,'Données projet'!$A$35:$I$55,3,0)),0,VLOOKUP(A61,'Données projet'!$A$35:$I$55,3,0))</f>
        <v>0</v>
      </c>
      <c r="N61" s="30">
        <f>IF(ISNA(VLOOKUP(A61,'Données projet'!$A$35:$I$55,4,0)),0,VLOOKUP(A61,'Données projet'!$A$35:$I$55,4,0))</f>
        <v>0</v>
      </c>
      <c r="O61" s="31">
        <f>IF(ISNA(VLOOKUP(A61,'Données projet'!$A$35:$I$55,5,0)),0%,VLOOKUP(A61,'Données projet'!$A$35:$I$55,5,0)*VLOOKUP('Données projet'!$B$9,Paramètres!$A$1:$I$88,7,0))</f>
        <v>0</v>
      </c>
      <c r="P61" s="31">
        <f>IF(ISNA(VLOOKUP(A61,'Données projet'!$A$35:$I$55,6,0)),0%,VLOOKUP(A61,'Données projet'!$A$35:$I$55,6,0)*VLOOKUP('Données projet'!$B$9,Paramètres!$A$1:$I$88,7,0))</f>
        <v>0</v>
      </c>
      <c r="Q61" s="31">
        <f>IF(ISNA(VLOOKUP(A61,'Données projet'!$A$35:$I$55,7,0)),0%,VLOOKUP(A61,'Données projet'!$A$35:$I$55,7,0))</f>
        <v>0</v>
      </c>
      <c r="R61" s="43">
        <f>EXP(-LN(2)/35)*R60+(1-EXP(-LN(2)/35))/(LN(2)/35)*N61*O61*VLOOKUP('Données projet'!$B$9,Paramètres!$A$1:$I$88,3,0)*0.475*44/12</f>
        <v>0</v>
      </c>
      <c r="S61" s="43">
        <f>EXP(-LN(2)/25)*S60+(1-EXP(-LN(2)/25))/(LN(2)/25)*Calculateur!N61*Calculateur!P61*VLOOKUP('Données projet'!$B$9,Paramètres!$A$1:$I$88,3,0)*0.475*44/12</f>
        <v>0</v>
      </c>
      <c r="T61" s="43">
        <f>EXP(-LN(2)/2)*T60+(1-EXP(-LN(2)/2))/(LN(2)/2)*N61*Q61*VLOOKUP('Données projet'!$B$9,Paramètres!$A$1:$I$88,3,0)*0.475*44/12</f>
        <v>0</v>
      </c>
      <c r="U61" s="43">
        <f t="shared" si="1"/>
        <v>0</v>
      </c>
      <c r="V61" s="32" t="e">
        <f>VLOOKUP(A61,'Données projet'!$A$61:$I$81,2,0)</f>
        <v>#N/A</v>
      </c>
      <c r="W61" s="33" t="e">
        <f>VLOOKUP(A61,'Données projet'!$A$61:$I$81,9,0)</f>
        <v>#N/A</v>
      </c>
      <c r="X61" s="33">
        <f t="array" ref="X61">INDEX(W:W,MIN(IF(ISNUMBER(W61:W257),ROW(W61:W257),"")))</f>
        <v>0</v>
      </c>
      <c r="Y61" s="33">
        <f t="shared" si="24"/>
        <v>0</v>
      </c>
      <c r="Z61" s="34" t="e">
        <f>Y61*VLOOKUP('Données projet'!$B$10,Paramètres!$A$1:$I$88,3,0)*VLOOKUP('Données projet'!$B$10,Paramètres!$A$1:$I$88,5,0)</f>
        <v>#N/A</v>
      </c>
      <c r="AA61" s="34" t="e">
        <f t="shared" si="25"/>
        <v>#N/A</v>
      </c>
      <c r="AB61" s="44" t="e">
        <f t="shared" si="2"/>
        <v>#N/A</v>
      </c>
      <c r="AC61" s="36">
        <f>IF(ISNA(VLOOKUP(A61,'Données projet'!$A$61:$I$81,3,0)),0,VLOOKUP(A61,'Données projet'!$A$61:$I$81,3,0))</f>
        <v>0</v>
      </c>
      <c r="AD61" s="36">
        <f>IF(ISNA(VLOOKUP(A61,'Données projet'!$A$61:$I$81,4,0)),0,VLOOKUP(A61,'Données projet'!$A$61:$I$81,4,0))</f>
        <v>0</v>
      </c>
      <c r="AE61" s="37">
        <f>IF(ISNA(VLOOKUP(A61,'Données projet'!$A$61:$I$81,5,0)),0%,VLOOKUP(A61,'Données projet'!$A$61:$I$81,5,0)*VLOOKUP('Données projet'!$B$10,Paramètres!$A$1:$I$88,7,0))</f>
        <v>0</v>
      </c>
      <c r="AF61" s="37">
        <f>IF(ISNA(VLOOKUP(A61,'Données projet'!$A$61:$I$81,6,0)),0%,VLOOKUP(A61,'Données projet'!$A$61:$I$81,6,0)*VLOOKUP('Données projet'!$B$10,Paramètres!$A$1:$I$88,7,0))</f>
        <v>0</v>
      </c>
      <c r="AG61" s="37">
        <f>IF(ISNA(VLOOKUP(A61,'Données projet'!$A$61:$I$81,7,0)),0%,VLOOKUP(A61,'Données projet'!$A$61:$I$81,7,0))</f>
        <v>0</v>
      </c>
      <c r="AH61" s="45">
        <f>EXP(-LN(2)/35)*AH60+(1-EXP(-LN(2)/35))/(LN(2)/35)*AD61*AE61*VLOOKUP('Données projet'!$B$9,Paramètres!$A$1:$I$88,3,0)*0.475*44/12</f>
        <v>0</v>
      </c>
      <c r="AI61" s="45">
        <f>EXP(-LN(2)/25)*AI60+(1-EXP(-LN(2)/25))/(LN(2)/25)*Calculateur!AD61*Calculateur!AF61*VLOOKUP('Données projet'!$B$9,Paramètres!$A$1:$I$88,3,0)*0.475*44/12</f>
        <v>0</v>
      </c>
      <c r="AJ61" s="45">
        <f>EXP(-LN(2)/2)*AJ60+(1-EXP(-LN(2)/2))/(LN(2)/2)*AD61*AG61*VLOOKUP('Données projet'!$B$9,Paramètres!$A$1:$I$88,3,0)*0.475*44/12</f>
        <v>0</v>
      </c>
      <c r="AK61" s="45">
        <f t="shared" si="3"/>
        <v>0</v>
      </c>
      <c r="AL61" s="32" t="e">
        <f>VLOOKUP(A61,'Données projet'!$A$87:$I$107,2,0)</f>
        <v>#N/A</v>
      </c>
      <c r="AM61" s="33" t="e">
        <f>VLOOKUP(A61,'Données projet'!$A$87:$I$107,9,0)</f>
        <v>#N/A</v>
      </c>
      <c r="AN61" s="33">
        <f t="array" ref="AN61">INDEX(AM:AM,MIN(IF(ISNUMBER(AM61:AM257),ROW(AM61:AM257),"")))</f>
        <v>0</v>
      </c>
      <c r="AO61" s="33">
        <f t="shared" si="26"/>
        <v>0</v>
      </c>
      <c r="AP61" s="34" t="e">
        <f>AO61*VLOOKUP('Données projet'!$B$11,Paramètres!$A$1:$I$88,3,0)*VLOOKUP('Données projet'!$B$11,Paramètres!$A$1:$I$88,5,0)</f>
        <v>#N/A</v>
      </c>
      <c r="AQ61" s="34" t="e">
        <f t="shared" si="27"/>
        <v>#N/A</v>
      </c>
      <c r="AR61" s="44" t="e">
        <f t="shared" si="4"/>
        <v>#N/A</v>
      </c>
      <c r="AS61" s="36">
        <f>IF(ISNA(VLOOKUP(A61,'Données projet'!$A$87:$I$107,3,0)),0,VLOOKUP(A61,'Données projet'!$A$87:$I$107,3,0))</f>
        <v>0</v>
      </c>
      <c r="AT61" s="36">
        <f>IF(ISNA(VLOOKUP(A61,'Données projet'!$A$87:$I$107,4,0)),0,VLOOKUP(A61,'Données projet'!$A$87:$I$107,4,0))</f>
        <v>0</v>
      </c>
      <c r="AU61" s="37">
        <f>IF(ISNA(VLOOKUP(A61,'Données projet'!$A$87:$I$107,5,0)),0%,VLOOKUP(A61,'Données projet'!$A$87:$I$107,5,0)*VLOOKUP('Données projet'!$B$11,Paramètres!$A$1:$I$88,7,0))</f>
        <v>0</v>
      </c>
      <c r="AV61" s="37">
        <f>IF(ISNA(VLOOKUP(A61,'Données projet'!$A$87:$I$107,6,0)),0%,VLOOKUP(A61,'Données projet'!$A$87:$I$107,6,0)*VLOOKUP('Données projet'!$B$11,Paramètres!$A$1:$I$88,7,0))</f>
        <v>0</v>
      </c>
      <c r="AW61" s="37">
        <f>IF(ISNA(VLOOKUP(A61,'Données projet'!$A$87:$I$107,7,0)),0%,VLOOKUP(A61,'Données projet'!$A$87:$I$107,7,0))</f>
        <v>0</v>
      </c>
      <c r="AX61" s="45">
        <f>EXP(-LN(2)/35)*AX60+(1-EXP(-LN(2)/35))/(LN(2)/35)*AT61*AU61*VLOOKUP('Données projet'!$B$9,Paramètres!$A$1:$I$88,3,0)*0.475*44/12</f>
        <v>0</v>
      </c>
      <c r="AY61" s="45">
        <f>EXP(-LN(2)/25)*AY60+(1-EXP(-LN(2)/25))/(LN(2)/25)*Calculateur!AT61*Calculateur!AV61*VLOOKUP('Données projet'!$B$9,Paramètres!$A$1:$I$88,3,0)*0.475*44/12</f>
        <v>0</v>
      </c>
      <c r="AZ61" s="45">
        <f>EXP(-LN(2)/2)*AZ60+(1-EXP(-LN(2)/2))/(LN(2)/2)*AT61*AW61*VLOOKUP('Données projet'!$B$9,Paramètres!$A$1:$I$88,3,0)*0.475*44/12</f>
        <v>0</v>
      </c>
      <c r="BA61" s="46">
        <f t="shared" si="5"/>
        <v>0</v>
      </c>
      <c r="BB61" s="32" t="e">
        <f>VLOOKUP(A61,'Données projet'!$A$113:$I$133,2,0)</f>
        <v>#N/A</v>
      </c>
      <c r="BC61" s="33" t="e">
        <f>VLOOKUP(A61,'Données projet'!$A$113:$I$133,9,0)</f>
        <v>#N/A</v>
      </c>
      <c r="BD61" s="33">
        <f t="array" ref="BD61">INDEX(BC:BC,MIN(IF(ISNUMBER(BC61:BC257),ROW(BC61:BC257),"")))</f>
        <v>0</v>
      </c>
      <c r="BE61" s="33">
        <f t="shared" si="28"/>
        <v>0</v>
      </c>
      <c r="BF61" s="34" t="e">
        <f>BE61*VLOOKUP('Données projet'!$B$12,Paramètres!$A$1:$I$88,3,0)*VLOOKUP('Données projet'!$B$12,Paramètres!$A$1:$I$88,5,0)</f>
        <v>#N/A</v>
      </c>
      <c r="BG61" s="34" t="e">
        <f t="shared" si="29"/>
        <v>#N/A</v>
      </c>
      <c r="BH61" s="44" t="e">
        <f t="shared" si="6"/>
        <v>#N/A</v>
      </c>
      <c r="BI61" s="36">
        <f>IF(ISNA(VLOOKUP(A61,'Données projet'!$A$113:$I$133,3,0)),0,VLOOKUP(A61,'Données projet'!$A$113:$I$133,3,0))</f>
        <v>0</v>
      </c>
      <c r="BJ61" s="36">
        <f>IF(ISNA(VLOOKUP(A61,'Données projet'!$A$113:$I$133,4,0)),0,VLOOKUP(A61,'Données projet'!$A$113:$I$133,4,0))</f>
        <v>0</v>
      </c>
      <c r="BK61" s="37">
        <f>IF(ISNA(VLOOKUP(A61,'Données projet'!$A$113:$I$133,5,0)),0%,VLOOKUP(A61,'Données projet'!$A$113:$I$133,5,0)*VLOOKUP('Données projet'!$B$12,Paramètres!$A$1:$I$88,7,0))</f>
        <v>0</v>
      </c>
      <c r="BL61" s="37">
        <f>IF(ISNA(VLOOKUP(A61,'Données projet'!$A$113:$I$133,6,0)),0%,VLOOKUP(A61,'Données projet'!$A$113:$I$133,6,0)*VLOOKUP('Données projet'!$B$12,Paramètres!$A$1:$I$88,7,0))</f>
        <v>0</v>
      </c>
      <c r="BM61" s="37">
        <f>IF(ISNA(VLOOKUP(A61,'Données projet'!$A$113:$I$133,7,0)),0%,VLOOKUP(A61,'Données projet'!$A$113:$I$133,7,0))</f>
        <v>0</v>
      </c>
      <c r="BN61" s="45">
        <f>EXP(-LN(2)/35)*BN60+(1-EXP(-LN(2)/35))/(LN(2)/35)*BJ61*BK61*VLOOKUP('Données projet'!$B$9,Paramètres!$A$1:$I$88,3,0)*0.475*44/12</f>
        <v>0</v>
      </c>
      <c r="BO61" s="45">
        <f>EXP(-LN(2)/25)*BO60+(1-EXP(-LN(2)/25))/(LN(2)/25)*Calculateur!BJ61*Calculateur!BL61*VLOOKUP('Données projet'!$B$9,Paramètres!$A$1:$I$88,3,0)*0.475*44/12</f>
        <v>0</v>
      </c>
      <c r="BP61" s="45">
        <f>EXP(-LN(2)/2)*BP60+(1-EXP(-LN(2)/2))/(LN(2)/2)*BJ61*BM61*VLOOKUP('Données projet'!$B$9,Paramètres!$A$1:$I$88,3,0)*0.475*44/12</f>
        <v>0</v>
      </c>
      <c r="BQ61" s="46">
        <f t="shared" si="7"/>
        <v>0</v>
      </c>
      <c r="BR61" s="32" t="e">
        <f>VLOOKUP(A61,'Données projet'!$A$139:$I$159,2,0)</f>
        <v>#N/A</v>
      </c>
      <c r="BS61" s="33" t="e">
        <f>VLOOKUP(A61,'Données projet'!$A$139:$I$159,9,0)</f>
        <v>#N/A</v>
      </c>
      <c r="BT61" s="33">
        <f t="array" ref="BT61">INDEX(BS:BS,MIN(IF(ISNUMBER(BS61:BS257),ROW(BS61:BS257),"")))</f>
        <v>0</v>
      </c>
      <c r="BU61" s="33">
        <f t="shared" si="41"/>
        <v>0</v>
      </c>
      <c r="BV61" s="38" t="e">
        <f>BU61*VLOOKUP('Données projet'!$B$13,Paramètres!$A$1:$I$88,3,0)*VLOOKUP('Données projet'!$B$13,Paramètres!$A$1:$I$88,5,0)</f>
        <v>#N/A</v>
      </c>
      <c r="BW61" s="34" t="e">
        <f t="shared" si="30"/>
        <v>#N/A</v>
      </c>
      <c r="BX61" s="44" t="e">
        <f t="shared" si="8"/>
        <v>#N/A</v>
      </c>
      <c r="BY61" s="36">
        <f>IF(ISNA(VLOOKUP(A61,'Données projet'!$A$139:$I$159,3,0)),0,VLOOKUP(A61,'Données projet'!$A$139:$I$159,3,0))</f>
        <v>0</v>
      </c>
      <c r="BZ61" s="36">
        <f>IF(ISNA(VLOOKUP(A61,'Données projet'!$A$139:$I$159,4,0)),0,VLOOKUP(A61,'Données projet'!$A$139:$I$159,4,0))</f>
        <v>0</v>
      </c>
      <c r="CA61" s="37">
        <f>IF(ISNA(VLOOKUP(A61,'Données projet'!$A$139:$I$159,5,0)),0%,VLOOKUP(A61,'Données projet'!$A$139:$I$159,5,0)*VLOOKUP('Données projet'!$B$13,Paramètres!$A$1:$I$88,7,0))</f>
        <v>0</v>
      </c>
      <c r="CB61" s="37">
        <f>IF(ISNA(VLOOKUP(A61,'Données projet'!$A$139:$I$159,6,0)),0%,VLOOKUP(A61,'Données projet'!$A$139:$I$159,6,0)*VLOOKUP('Données projet'!$B$13,Paramètres!$A$1:$I$88,7,0))</f>
        <v>0</v>
      </c>
      <c r="CC61" s="37">
        <f>IF(ISNA(VLOOKUP(A61,'Données projet'!$A$139:$I$159,7,0)),0%,VLOOKUP(A61,'Données projet'!$A$139:$I$159,7,0))</f>
        <v>0</v>
      </c>
      <c r="CD61" s="45">
        <f>EXP(-LN(2)/35)*CD60+(1-EXP(-LN(2)/35))/(LN(2)/35)*BZ61*CA61*VLOOKUP('Données projet'!$B$9,Paramètres!$A$1:$I$88,3,0)*0.475*44/12</f>
        <v>0</v>
      </c>
      <c r="CE61" s="45">
        <f>EXP(-LN(2)/25)*CE60+(1-EXP(-LN(2)/25))/(LN(2)/25)*Calculateur!BZ61*Calculateur!CB61*VLOOKUP('Données projet'!$B$9,Paramètres!$A$1:$I$88,3,0)*0.475*44/12</f>
        <v>0</v>
      </c>
      <c r="CF61" s="45">
        <f>EXP(-LN(2)/2)*CF60+(1-EXP(-LN(2)/2))/(LN(2)/2)*BZ61*CC61*VLOOKUP('Données projet'!$B$9,Paramètres!$A$1:$I$88,3,0)*0.475*44/12</f>
        <v>0</v>
      </c>
      <c r="CG61" s="46">
        <f t="shared" si="9"/>
        <v>0</v>
      </c>
      <c r="CH61" s="32" t="e">
        <f>VLOOKUP(A61,'Données projet'!$A$165:$I$185,2,0)</f>
        <v>#N/A</v>
      </c>
      <c r="CI61" s="33" t="e">
        <f>VLOOKUP(A61,'Données projet'!$A$165:$I$185,9,0)</f>
        <v>#N/A</v>
      </c>
      <c r="CJ61" s="33">
        <f t="array" ref="CJ61">INDEX(CI:CI,MIN(IF(ISNUMBER(CI61:CI257),ROW(CI61:CI257),"")))</f>
        <v>0</v>
      </c>
      <c r="CK61" s="33">
        <f t="shared" si="31"/>
        <v>0</v>
      </c>
      <c r="CL61" s="38" t="e">
        <f>CK61*VLOOKUP('Données projet'!$B$14,Paramètres!$A$1:$I$88,3,0)*VLOOKUP('Données projet'!$B$14,Paramètres!$A$1:$I$88,5,0)</f>
        <v>#N/A</v>
      </c>
      <c r="CM61" s="34" t="e">
        <f t="shared" si="32"/>
        <v>#N/A</v>
      </c>
      <c r="CN61" s="44" t="e">
        <f t="shared" si="10"/>
        <v>#N/A</v>
      </c>
      <c r="CO61" s="36">
        <f>IF(ISNA(VLOOKUP(A61,'Données projet'!$A$165:$I$185,3,0)),0,VLOOKUP(A61,'Données projet'!$A$165:$I$185,3,0))</f>
        <v>0</v>
      </c>
      <c r="CP61" s="36">
        <f>IF(ISNA(VLOOKUP(A61,'Données projet'!$A$165:$I$185,4,0)),0,VLOOKUP(A61,'Données projet'!$A$165:$I$185,4,0))</f>
        <v>0</v>
      </c>
      <c r="CQ61" s="37">
        <f>IF(ISNA(VLOOKUP(A61,'Données projet'!$A$165:$I$185,5,0)),0%,VLOOKUP(A61,'Données projet'!$A$165:$I$185,5,0)*VLOOKUP('Données projet'!$B$14,Paramètres!$A$1:$I$88,7,0))</f>
        <v>0</v>
      </c>
      <c r="CR61" s="37">
        <f>IF(ISNA(VLOOKUP(A61,'Données projet'!$A$165:$I$185,6,0)),0%,VLOOKUP(A61,'Données projet'!$A$165:$I$185,6,0)*VLOOKUP('Données projet'!$B$14,Paramètres!$A$1:$I$88,7,0))</f>
        <v>0</v>
      </c>
      <c r="CS61" s="37">
        <f>IF(ISNA(VLOOKUP(A61,'Données projet'!$A$165:$I$185,7,0)),0%,VLOOKUP(A61,'Données projet'!$A$165:$I$185,7,0))</f>
        <v>0</v>
      </c>
      <c r="CT61" s="45">
        <f>EXP(-LN(2)/35)*CT60+(1-EXP(-LN(2)/35))/(LN(2)/35)*CP61*CQ61*VLOOKUP('Données projet'!$B$9,Paramètres!$A$1:$I$88,3,0)*0.475*44/12</f>
        <v>0</v>
      </c>
      <c r="CU61" s="45">
        <f>EXP(-LN(2)/25)*CU60+(1-EXP(-LN(2)/25))/(LN(2)/25)*Calculateur!CP61*Calculateur!CR61*VLOOKUP('Données projet'!$B$9,Paramètres!$A$1:$I$88,3,0)*0.475*44/12</f>
        <v>0</v>
      </c>
      <c r="CV61" s="45">
        <f>EXP(-LN(2)/2)*CV60+(1-EXP(-LN(2)/2))/(LN(2)/2)*CP61*CS61*VLOOKUP('Données projet'!$B$9,Paramètres!$A$1:$I$88,3,0)*0.475*44/12</f>
        <v>0</v>
      </c>
      <c r="CW61" s="46">
        <f t="shared" si="11"/>
        <v>0</v>
      </c>
      <c r="CX61" s="32" t="e">
        <f>VLOOKUP(A61,'Données projet'!$A$191:$I$211,2,0)</f>
        <v>#N/A</v>
      </c>
      <c r="CY61" s="33" t="e">
        <f>VLOOKUP(A61,'Données projet'!$A$191:$I$211,9,0)</f>
        <v>#N/A</v>
      </c>
      <c r="CZ61" s="33">
        <f t="array" ref="CZ61">INDEX(CY:CY,MIN(IF(ISNUMBER(CY61:CY257),ROW(CY61:CY257),"")))</f>
        <v>0</v>
      </c>
      <c r="DA61" s="33">
        <f t="shared" si="33"/>
        <v>0</v>
      </c>
      <c r="DB61" s="38" t="e">
        <f>DA61*VLOOKUP('Données projet'!$B$15,Paramètres!$A$1:$I$88,3,0)*VLOOKUP('Données projet'!$B$15,Paramètres!$A$1:$I$88,5,0)</f>
        <v>#N/A</v>
      </c>
      <c r="DC61" s="34" t="e">
        <f t="shared" si="34"/>
        <v>#N/A</v>
      </c>
      <c r="DD61" s="44" t="e">
        <f t="shared" si="12"/>
        <v>#N/A</v>
      </c>
      <c r="DE61" s="36">
        <f>IF(ISNA(VLOOKUP(A61,'Données projet'!$A$191:$I$211,3,0)),0,VLOOKUP(A61,'Données projet'!$A$191:$I$211,3,0))</f>
        <v>0</v>
      </c>
      <c r="DF61" s="36">
        <f>IF(ISNA(VLOOKUP(A61,'Données projet'!$A$191:$I$211,4,0)),0,VLOOKUP(A61,'Données projet'!$A$191:$I$211,4,0))</f>
        <v>0</v>
      </c>
      <c r="DG61" s="37">
        <f>IF(ISNA(VLOOKUP(A61,'Données projet'!$A$191:$I$211,5,0)),0%,VLOOKUP(A61,'Données projet'!$A$191:$I$211,5,0)*VLOOKUP('Données projet'!$B$15,Paramètres!$A$1:$I$88,7,0))</f>
        <v>0</v>
      </c>
      <c r="DH61" s="37">
        <f>IF(ISNA(VLOOKUP(A61,'Données projet'!$A$191:$I$211,6,0)),0%,VLOOKUP(A61,'Données projet'!$A$191:$I$211,6,0)*VLOOKUP('Données projet'!$B$15,Paramètres!$A$1:$I$88,7,0))</f>
        <v>0</v>
      </c>
      <c r="DI61" s="37">
        <f>IF(ISNA(VLOOKUP(A61,'Données projet'!$A$191:$I$211,7,0)),0%,VLOOKUP(A61,'Données projet'!$A$191:$I$211,7,0))</f>
        <v>0</v>
      </c>
      <c r="DJ61" s="45">
        <f>EXP(-LN(2)/35)*DJ60+(1-EXP(-LN(2)/35))/(LN(2)/35)*DF61*DG61*VLOOKUP('Données projet'!$B$9,Paramètres!$A$1:$I$88,3,0)*0.475*44/12</f>
        <v>0</v>
      </c>
      <c r="DK61" s="45">
        <f>EXP(-LN(2)/25)*DK60+(1-EXP(-LN(2)/25))/(LN(2)/25)*Calculateur!DF61*Calculateur!DH61*VLOOKUP('Données projet'!$B$9,Paramètres!$A$1:$I$88,3,0)*0.475*44/12</f>
        <v>0</v>
      </c>
      <c r="DL61" s="45">
        <f>EXP(-LN(2)/2)*DL60+(1-EXP(-LN(2)/2))/(LN(2)/2)*DF61*DI61*VLOOKUP('Données projet'!$B$9,Paramètres!$A$1:$I$88,3,0)*0.475*44/12</f>
        <v>0</v>
      </c>
      <c r="DM61" s="46">
        <f t="shared" si="13"/>
        <v>0</v>
      </c>
      <c r="DN61" s="32" t="e">
        <f>VLOOKUP(A61,'Données projet'!$A$217:$I$237,2,0)</f>
        <v>#N/A</v>
      </c>
      <c r="DO61" s="33" t="e">
        <f>VLOOKUP(A61,'Données projet'!$A$217:$I$237,9,0)</f>
        <v>#N/A</v>
      </c>
      <c r="DP61" s="33">
        <f t="array" ref="DP61">INDEX(DO:DO,MIN(IF(ISNUMBER(DO61:DO257),ROW(DO61:DO257),"")))</f>
        <v>0</v>
      </c>
      <c r="DQ61" s="33">
        <f t="shared" si="35"/>
        <v>0</v>
      </c>
      <c r="DR61" s="38" t="e">
        <f>DQ61*VLOOKUP('Données projet'!$B$16,Paramètres!$A$1:$I$88,3,0)*VLOOKUP('Données projet'!$B$16,Paramètres!$A$1:$I$88,5,0)</f>
        <v>#N/A</v>
      </c>
      <c r="DS61" s="34" t="e">
        <f t="shared" si="36"/>
        <v>#N/A</v>
      </c>
      <c r="DT61" s="44" t="e">
        <f t="shared" si="14"/>
        <v>#N/A</v>
      </c>
      <c r="DU61" s="36">
        <f>IF(ISNA(VLOOKUP(A61,'Données projet'!$A$217:$I$237,3,0)),0,VLOOKUP(A61,'Données projet'!$A$217:$I$237,3,0))</f>
        <v>0</v>
      </c>
      <c r="DV61" s="36">
        <f>IF(ISNA(VLOOKUP(A61,'Données projet'!$A$217:$I$237,4,0)),0,VLOOKUP(A61,'Données projet'!$A$217:$I$237,4,0))</f>
        <v>0</v>
      </c>
      <c r="DW61" s="37">
        <f>IF(ISNA(VLOOKUP(A61,'Données projet'!$A$217:$I$237,5,0)),0%,VLOOKUP(A61,'Données projet'!$A$217:$I$237,5,0)*VLOOKUP('Données projet'!$B$16,Paramètres!$A$1:$I$88,7,0))</f>
        <v>0</v>
      </c>
      <c r="DX61" s="37">
        <f>IF(ISNA(VLOOKUP(A61,'Données projet'!$A$217:$I$237,6,0)),0%,VLOOKUP(A61,'Données projet'!$A$217:$I$237,6,0)*VLOOKUP('Données projet'!$B$16,Paramètres!$A$1:$I$88,7,0))</f>
        <v>0</v>
      </c>
      <c r="DY61" s="37">
        <f>IF(ISNA(VLOOKUP(A61,'Données projet'!$A$217:$I$237,7,0)),0%,VLOOKUP(A61,'Données projet'!$A$217:$I$237,7,0))</f>
        <v>0</v>
      </c>
      <c r="DZ61" s="45">
        <f>EXP(-LN(2)/35)*DZ60+(1-EXP(-LN(2)/35))/(LN(2)/35)*DV61*DW61*VLOOKUP('Données projet'!$B$9,Paramètres!$A$1:$I$88,3,0)*0.475*44/12</f>
        <v>0</v>
      </c>
      <c r="EA61" s="45">
        <f>EXP(-LN(2)/25)*EA60+(1-EXP(-LN(2)/25))/(LN(2)/25)*Calculateur!DV61*Calculateur!DX61*VLOOKUP('Données projet'!$B$9,Paramètres!$A$1:$I$88,3,0)*0.475*44/12</f>
        <v>0</v>
      </c>
      <c r="EB61" s="45">
        <f>EXP(-LN(2)/2)*EB60+(1-EXP(-LN(2)/2))/(LN(2)/2)*DV61*DY61*VLOOKUP('Données projet'!$B$9,Paramètres!$A$1:$I$88,3,0)*0.475*44/12</f>
        <v>0</v>
      </c>
      <c r="EC61" s="46">
        <f t="shared" si="15"/>
        <v>0</v>
      </c>
      <c r="ED61" s="32" t="e">
        <f>VLOOKUP(A61,'Données projet'!$A$243:$I$263,2,0)</f>
        <v>#N/A</v>
      </c>
      <c r="EE61" s="33" t="e">
        <f>VLOOKUP(A61,'Données projet'!$A$243:$I$263,9,0)</f>
        <v>#N/A</v>
      </c>
      <c r="EF61" s="33">
        <f t="array" ref="EF61">INDEX(EE:EE,MIN(IF(ISNUMBER(EE61:EE257),ROW(EE61:EE257),"")))</f>
        <v>0</v>
      </c>
      <c r="EG61" s="33">
        <f t="shared" si="37"/>
        <v>0</v>
      </c>
      <c r="EH61" s="38" t="e">
        <f>EG61*VLOOKUP('Données projet'!$B$17,Paramètres!$A$1:$I$88,3,0)*VLOOKUP('Données projet'!$B$17,Paramètres!$A$1:$I$88,5,0)</f>
        <v>#N/A</v>
      </c>
      <c r="EI61" s="34" t="e">
        <f t="shared" si="38"/>
        <v>#N/A</v>
      </c>
      <c r="EJ61" s="44" t="e">
        <f t="shared" si="16"/>
        <v>#N/A</v>
      </c>
      <c r="EK61" s="36">
        <f>IF(ISNA(VLOOKUP(A61,'Données projet'!$A$243:$I$263,3,0)),0,VLOOKUP(A61,'Données projet'!$A$243:$I$263,3,0))</f>
        <v>0</v>
      </c>
      <c r="EL61" s="36">
        <f>IF(ISNA(VLOOKUP(A61,'Données projet'!$A$243:$I$263,4,0)),0,VLOOKUP(A61,'Données projet'!$A$243:$I$263,4,0))</f>
        <v>0</v>
      </c>
      <c r="EM61" s="37">
        <f>IF(ISNA(VLOOKUP(A61,'Données projet'!$A$243:$I$263,5,0)),0%,VLOOKUP(A61,'Données projet'!$A$243:$I$263,5,0)*VLOOKUP('Données projet'!$B$17,Paramètres!$A$1:$I$88,7,0))</f>
        <v>0</v>
      </c>
      <c r="EN61" s="37">
        <f>IF(ISNA(VLOOKUP(A61,'Données projet'!$A$243:$I$263,6,0)),0%,VLOOKUP(A61,'Données projet'!$A$243:$I$263,6,0)*VLOOKUP('Données projet'!$B$17,Paramètres!$A$1:$I$88,7,0))</f>
        <v>0</v>
      </c>
      <c r="EO61" s="37">
        <f>IF(ISNA(VLOOKUP(A61,'Données projet'!$A$243:$I$263,7,0)),0%,VLOOKUP(A61,'Données projet'!$A$243:$I$263,7,0))</f>
        <v>0</v>
      </c>
      <c r="EP61" s="45">
        <f>EXP(-LN(2)/35)*EP60+(1-EXP(-LN(2)/35))/(LN(2)/35)*EL61*EM61*VLOOKUP('Données projet'!$B$9,Paramètres!$A$1:$I$88,3,0)*0.475*44/12</f>
        <v>0</v>
      </c>
      <c r="EQ61" s="45">
        <f>EXP(-LN(2)/25)*EQ60+(1-EXP(-LN(2)/25))/(LN(2)/25)*Calculateur!EL61*Calculateur!EN61*VLOOKUP('Données projet'!$B$9,Paramètres!$A$1:$I$88,3,0)*0.475*44/12</f>
        <v>0</v>
      </c>
      <c r="ER61" s="45">
        <f>EXP(-LN(2)/2)*ER60+(1-EXP(-LN(2)/2))/(LN(2)/2)*EL61*EO61*VLOOKUP('Données projet'!$B$9,Paramètres!$A$1:$I$88,3,0)*0.475*44/12</f>
        <v>0</v>
      </c>
      <c r="ES61" s="46">
        <f t="shared" si="17"/>
        <v>0</v>
      </c>
      <c r="ET61" s="32" t="e">
        <f>VLOOKUP(A61,'Données projet'!$A$269:$I$289,2,0)</f>
        <v>#N/A</v>
      </c>
      <c r="EU61" s="33" t="e">
        <f>VLOOKUP(A61,'Données projet'!$A$269:$I$289,9,0)</f>
        <v>#N/A</v>
      </c>
      <c r="EV61" s="33">
        <f t="array" ref="EV61">INDEX(EU:EU,MIN(IF(ISNUMBER(EU61:EU257),ROW(EU61:EU257),"")))</f>
        <v>0</v>
      </c>
      <c r="EW61" s="33">
        <f t="shared" si="39"/>
        <v>0</v>
      </c>
      <c r="EX61" s="38" t="e">
        <f>EW61*VLOOKUP('Données projet'!$B$18,Paramètres!$A$1:$I$88,3,0)*VLOOKUP('Données projet'!$B$18,Paramètres!$A$1:$I$88,5,0)</f>
        <v>#N/A</v>
      </c>
      <c r="EY61" s="34" t="e">
        <f t="shared" si="40"/>
        <v>#N/A</v>
      </c>
      <c r="EZ61" s="44" t="e">
        <f t="shared" si="18"/>
        <v>#N/A</v>
      </c>
      <c r="FA61" s="36">
        <f>IF(ISNA(VLOOKUP(A61,'Données projet'!$A$269:$I$289,3,0)),0,VLOOKUP(A61,'Données projet'!$A$269:$I$289,3,0))</f>
        <v>0</v>
      </c>
      <c r="FB61" s="36">
        <f>IF(ISNA(VLOOKUP(A61,'Données projet'!$A$269:$I$289,4,0)),0,VLOOKUP(A61,'Données projet'!$A$269:$I$289,4,0))</f>
        <v>0</v>
      </c>
      <c r="FC61" s="37">
        <f>IF(ISNA(VLOOKUP(A61,'Données projet'!$A$269:$I$289,5,0)),0%,VLOOKUP(A61,'Données projet'!$A$269:$I$289,5,0)*VLOOKUP('Données projet'!$B$18,Paramètres!$A$1:$I$88,7,0))</f>
        <v>0</v>
      </c>
      <c r="FD61" s="37">
        <f>IF(ISNA(VLOOKUP(A61,'Données projet'!$A$269:$I$289,6,0)),0%,VLOOKUP(A61,'Données projet'!$A$269:$I$289,6,0)*VLOOKUP('Données projet'!$B$18,Paramètres!$A$1:$I$88,7,0))</f>
        <v>0</v>
      </c>
      <c r="FE61" s="37">
        <f>IF(ISNA(VLOOKUP(A61,'Données projet'!$A$269:$I$289,7,0)),0%,VLOOKUP(A61,'Données projet'!$A$269:$I$289,7,0))</f>
        <v>0</v>
      </c>
      <c r="FF61" s="45">
        <f>EXP(-LN(2)/35)*FF60+(1-EXP(-LN(2)/35))/(LN(2)/35)*FB61*FC61*VLOOKUP('Données projet'!$B$9,Paramètres!$A$1:$I$88,3,0)*0.475*44/12</f>
        <v>0</v>
      </c>
      <c r="FG61" s="45">
        <f>EXP(-LN(2)/25)*FG60+(1-EXP(-LN(2)/25))/(LN(2)/25)*Calculateur!FB61*Calculateur!FD61*VLOOKUP('Données projet'!$B$9,Paramètres!$A$1:$I$88,3,0)*0.475*44/12</f>
        <v>0</v>
      </c>
      <c r="FH61" s="45">
        <f>EXP(-LN(2)/2)*FH60+(1-EXP(-LN(2)/2))/(LN(2)/2)*FB61*FE61*VLOOKUP('Données projet'!$B$9,Paramètres!$A$1:$I$88,3,0)*0.475*44/12</f>
        <v>0</v>
      </c>
      <c r="FI61" s="46">
        <f t="shared" si="19"/>
        <v>0</v>
      </c>
    </row>
    <row r="62" spans="1:165" x14ac:dyDescent="0.25">
      <c r="A62" s="24">
        <f t="shared" si="20"/>
        <v>59</v>
      </c>
      <c r="B62" s="25">
        <f>IF('Scénario référence'!$N$1=1,5,0)</f>
        <v>0</v>
      </c>
      <c r="C62" s="40">
        <f>IF(OR('Scénario référence'!$N$1=2,'Scénario référence'!$N$1=4),C61+1*VLOOKUP('Scénario référence'!$G$14,Paramètres!$A$1:$I$88,3,0)*VLOOKUP('Scénario référence'!$G$14,Paramètres!$A$1:$I$88,5,0),IF(OR('Scénario référence'!$N$1=3,'Scénario référence'!$N$1=5),C61+0.5*VLOOKUP('Scénario référence'!$G$14,Paramètres!$A$1:$I$88,3,0)*VLOOKUP('Scénario référence'!$G$14,Paramètres!$A$1:$I$88,5,0),0))</f>
        <v>32.213999999999977</v>
      </c>
      <c r="D62" s="26">
        <f t="shared" si="21"/>
        <v>9.9096957632381564</v>
      </c>
      <c r="E62" s="27">
        <f>IF('Scénario référence'!$N$1=1,B62*44/12,(C62+D62)*0.475*44/12)</f>
        <v>73.365436787639737</v>
      </c>
      <c r="F62" s="28" t="e">
        <f>VLOOKUP(A62,'Données projet'!$A$35:$I$55,2,0)</f>
        <v>#N/A</v>
      </c>
      <c r="G62" s="28" t="e">
        <f>VLOOKUP(A62,'Données projet'!$A$35:$I$55,9,0)</f>
        <v>#N/A</v>
      </c>
      <c r="H62" s="33">
        <f t="array" ref="H62">INDEX(G:G,MIN(IF(ISNUMBER(G62:G258),ROW(G62:G258),"")))</f>
        <v>7.6</v>
      </c>
      <c r="I62" s="28">
        <f t="shared" si="22"/>
        <v>206.39999999999998</v>
      </c>
      <c r="J62" s="41">
        <f>I62*VLOOKUP('Données projet'!$B$9,Paramètres!$A$1:$I$88,3,0)*VLOOKUP('Données projet'!$B$9,Paramètres!$A$1:$I$88,5,0)</f>
        <v>209.28960000000001</v>
      </c>
      <c r="K62" s="41">
        <f t="shared" si="23"/>
        <v>51.780314822292169</v>
      </c>
      <c r="L62" s="42">
        <f t="shared" si="0"/>
        <v>454.69676831549214</v>
      </c>
      <c r="M62" s="30">
        <f>IF(ISNA(VLOOKUP(A62,'Données projet'!$A$35:$I$55,3,0)),0,VLOOKUP(A62,'Données projet'!$A$35:$I$55,3,0))</f>
        <v>0</v>
      </c>
      <c r="N62" s="30">
        <f>IF(ISNA(VLOOKUP(A62,'Données projet'!$A$35:$I$55,4,0)),0,VLOOKUP(A62,'Données projet'!$A$35:$I$55,4,0))</f>
        <v>0</v>
      </c>
      <c r="O62" s="31">
        <f>IF(ISNA(VLOOKUP(A62,'Données projet'!$A$35:$I$55,5,0)),0%,VLOOKUP(A62,'Données projet'!$A$35:$I$55,5,0)*VLOOKUP('Données projet'!$B$9,Paramètres!$A$1:$I$88,7,0))</f>
        <v>0</v>
      </c>
      <c r="P62" s="31">
        <f>IF(ISNA(VLOOKUP(A62,'Données projet'!$A$35:$I$55,6,0)),0%,VLOOKUP(A62,'Données projet'!$A$35:$I$55,6,0)*VLOOKUP('Données projet'!$B$9,Paramètres!$A$1:$I$88,7,0))</f>
        <v>0</v>
      </c>
      <c r="Q62" s="31">
        <f>IF(ISNA(VLOOKUP(A62,'Données projet'!$A$35:$I$55,7,0)),0%,VLOOKUP(A62,'Données projet'!$A$35:$I$55,7,0))</f>
        <v>0</v>
      </c>
      <c r="R62" s="43">
        <f>EXP(-LN(2)/35)*R61+(1-EXP(-LN(2)/35))/(LN(2)/35)*N62*O62*VLOOKUP('Données projet'!$B$9,Paramètres!$A$1:$I$88,3,0)*0.475*44/12</f>
        <v>0</v>
      </c>
      <c r="S62" s="43">
        <f>EXP(-LN(2)/25)*S61+(1-EXP(-LN(2)/25))/(LN(2)/25)*Calculateur!N62*Calculateur!P62*VLOOKUP('Données projet'!$B$9,Paramètres!$A$1:$I$88,3,0)*0.475*44/12</f>
        <v>0</v>
      </c>
      <c r="T62" s="43">
        <f>EXP(-LN(2)/2)*T61+(1-EXP(-LN(2)/2))/(LN(2)/2)*N62*Q62*VLOOKUP('Données projet'!$B$9,Paramètres!$A$1:$I$88,3,0)*0.475*44/12</f>
        <v>0</v>
      </c>
      <c r="U62" s="43">
        <f t="shared" si="1"/>
        <v>0</v>
      </c>
      <c r="V62" s="32" t="e">
        <f>VLOOKUP(A62,'Données projet'!$A$61:$I$81,2,0)</f>
        <v>#N/A</v>
      </c>
      <c r="W62" s="33" t="e">
        <f>VLOOKUP(A62,'Données projet'!$A$61:$I$81,9,0)</f>
        <v>#N/A</v>
      </c>
      <c r="X62" s="33">
        <f t="array" ref="X62">INDEX(W:W,MIN(IF(ISNUMBER(W62:W258),ROW(W62:W258),"")))</f>
        <v>0</v>
      </c>
      <c r="Y62" s="33">
        <f t="shared" si="24"/>
        <v>0</v>
      </c>
      <c r="Z62" s="34" t="e">
        <f>Y62*VLOOKUP('Données projet'!$B$10,Paramètres!$A$1:$I$88,3,0)*VLOOKUP('Données projet'!$B$10,Paramètres!$A$1:$I$88,5,0)</f>
        <v>#N/A</v>
      </c>
      <c r="AA62" s="34" t="e">
        <f t="shared" si="25"/>
        <v>#N/A</v>
      </c>
      <c r="AB62" s="44" t="e">
        <f t="shared" si="2"/>
        <v>#N/A</v>
      </c>
      <c r="AC62" s="36">
        <f>IF(ISNA(VLOOKUP(A62,'Données projet'!$A$61:$I$81,3,0)),0,VLOOKUP(A62,'Données projet'!$A$61:$I$81,3,0))</f>
        <v>0</v>
      </c>
      <c r="AD62" s="36">
        <f>IF(ISNA(VLOOKUP(A62,'Données projet'!$A$61:$I$81,4,0)),0,VLOOKUP(A62,'Données projet'!$A$61:$I$81,4,0))</f>
        <v>0</v>
      </c>
      <c r="AE62" s="37">
        <f>IF(ISNA(VLOOKUP(A62,'Données projet'!$A$61:$I$81,5,0)),0%,VLOOKUP(A62,'Données projet'!$A$61:$I$81,5,0)*VLOOKUP('Données projet'!$B$10,Paramètres!$A$1:$I$88,7,0))</f>
        <v>0</v>
      </c>
      <c r="AF62" s="37">
        <f>IF(ISNA(VLOOKUP(A62,'Données projet'!$A$61:$I$81,6,0)),0%,VLOOKUP(A62,'Données projet'!$A$61:$I$81,6,0)*VLOOKUP('Données projet'!$B$10,Paramètres!$A$1:$I$88,7,0))</f>
        <v>0</v>
      </c>
      <c r="AG62" s="37">
        <f>IF(ISNA(VLOOKUP(A62,'Données projet'!$A$61:$I$81,7,0)),0%,VLOOKUP(A62,'Données projet'!$A$61:$I$81,7,0))</f>
        <v>0</v>
      </c>
      <c r="AH62" s="45">
        <f>EXP(-LN(2)/35)*AH61+(1-EXP(-LN(2)/35))/(LN(2)/35)*AD62*AE62*VLOOKUP('Données projet'!$B$9,Paramètres!$A$1:$I$88,3,0)*0.475*44/12</f>
        <v>0</v>
      </c>
      <c r="AI62" s="45">
        <f>EXP(-LN(2)/25)*AI61+(1-EXP(-LN(2)/25))/(LN(2)/25)*Calculateur!AD62*Calculateur!AF62*VLOOKUP('Données projet'!$B$9,Paramètres!$A$1:$I$88,3,0)*0.475*44/12</f>
        <v>0</v>
      </c>
      <c r="AJ62" s="45">
        <f>EXP(-LN(2)/2)*AJ61+(1-EXP(-LN(2)/2))/(LN(2)/2)*AD62*AG62*VLOOKUP('Données projet'!$B$9,Paramètres!$A$1:$I$88,3,0)*0.475*44/12</f>
        <v>0</v>
      </c>
      <c r="AK62" s="45">
        <f t="shared" si="3"/>
        <v>0</v>
      </c>
      <c r="AL62" s="32" t="e">
        <f>VLOOKUP(A62,'Données projet'!$A$87:$I$107,2,0)</f>
        <v>#N/A</v>
      </c>
      <c r="AM62" s="33" t="e">
        <f>VLOOKUP(A62,'Données projet'!$A$87:$I$107,9,0)</f>
        <v>#N/A</v>
      </c>
      <c r="AN62" s="33">
        <f t="array" ref="AN62">INDEX(AM:AM,MIN(IF(ISNUMBER(AM62:AM258),ROW(AM62:AM258),"")))</f>
        <v>0</v>
      </c>
      <c r="AO62" s="33">
        <f t="shared" si="26"/>
        <v>0</v>
      </c>
      <c r="AP62" s="34" t="e">
        <f>AO62*VLOOKUP('Données projet'!$B$11,Paramètres!$A$1:$I$88,3,0)*VLOOKUP('Données projet'!$B$11,Paramètres!$A$1:$I$88,5,0)</f>
        <v>#N/A</v>
      </c>
      <c r="AQ62" s="34" t="e">
        <f t="shared" si="27"/>
        <v>#N/A</v>
      </c>
      <c r="AR62" s="44" t="e">
        <f t="shared" si="4"/>
        <v>#N/A</v>
      </c>
      <c r="AS62" s="36">
        <f>IF(ISNA(VLOOKUP(A62,'Données projet'!$A$87:$I$107,3,0)),0,VLOOKUP(A62,'Données projet'!$A$87:$I$107,3,0))</f>
        <v>0</v>
      </c>
      <c r="AT62" s="36">
        <f>IF(ISNA(VLOOKUP(A62,'Données projet'!$A$87:$I$107,4,0)),0,VLOOKUP(A62,'Données projet'!$A$87:$I$107,4,0))</f>
        <v>0</v>
      </c>
      <c r="AU62" s="37">
        <f>IF(ISNA(VLOOKUP(A62,'Données projet'!$A$87:$I$107,5,0)),0%,VLOOKUP(A62,'Données projet'!$A$87:$I$107,5,0)*VLOOKUP('Données projet'!$B$11,Paramètres!$A$1:$I$88,7,0))</f>
        <v>0</v>
      </c>
      <c r="AV62" s="37">
        <f>IF(ISNA(VLOOKUP(A62,'Données projet'!$A$87:$I$107,6,0)),0%,VLOOKUP(A62,'Données projet'!$A$87:$I$107,6,0)*VLOOKUP('Données projet'!$B$11,Paramètres!$A$1:$I$88,7,0))</f>
        <v>0</v>
      </c>
      <c r="AW62" s="37">
        <f>IF(ISNA(VLOOKUP(A62,'Données projet'!$A$87:$I$107,7,0)),0%,VLOOKUP(A62,'Données projet'!$A$87:$I$107,7,0))</f>
        <v>0</v>
      </c>
      <c r="AX62" s="45">
        <f>EXP(-LN(2)/35)*AX61+(1-EXP(-LN(2)/35))/(LN(2)/35)*AT62*AU62*VLOOKUP('Données projet'!$B$9,Paramètres!$A$1:$I$88,3,0)*0.475*44/12</f>
        <v>0</v>
      </c>
      <c r="AY62" s="45">
        <f>EXP(-LN(2)/25)*AY61+(1-EXP(-LN(2)/25))/(LN(2)/25)*Calculateur!AT62*Calculateur!AV62*VLOOKUP('Données projet'!$B$9,Paramètres!$A$1:$I$88,3,0)*0.475*44/12</f>
        <v>0</v>
      </c>
      <c r="AZ62" s="45">
        <f>EXP(-LN(2)/2)*AZ61+(1-EXP(-LN(2)/2))/(LN(2)/2)*AT62*AW62*VLOOKUP('Données projet'!$B$9,Paramètres!$A$1:$I$88,3,0)*0.475*44/12</f>
        <v>0</v>
      </c>
      <c r="BA62" s="46">
        <f t="shared" si="5"/>
        <v>0</v>
      </c>
      <c r="BB62" s="32" t="e">
        <f>VLOOKUP(A62,'Données projet'!$A$113:$I$133,2,0)</f>
        <v>#N/A</v>
      </c>
      <c r="BC62" s="33" t="e">
        <f>VLOOKUP(A62,'Données projet'!$A$113:$I$133,9,0)</f>
        <v>#N/A</v>
      </c>
      <c r="BD62" s="33">
        <f t="array" ref="BD62">INDEX(BC:BC,MIN(IF(ISNUMBER(BC62:BC258),ROW(BC62:BC258),"")))</f>
        <v>0</v>
      </c>
      <c r="BE62" s="33">
        <f t="shared" si="28"/>
        <v>0</v>
      </c>
      <c r="BF62" s="34" t="e">
        <f>BE62*VLOOKUP('Données projet'!$B$12,Paramètres!$A$1:$I$88,3,0)*VLOOKUP('Données projet'!$B$12,Paramètres!$A$1:$I$88,5,0)</f>
        <v>#N/A</v>
      </c>
      <c r="BG62" s="34" t="e">
        <f t="shared" si="29"/>
        <v>#N/A</v>
      </c>
      <c r="BH62" s="44" t="e">
        <f t="shared" si="6"/>
        <v>#N/A</v>
      </c>
      <c r="BI62" s="36">
        <f>IF(ISNA(VLOOKUP(A62,'Données projet'!$A$113:$I$133,3,0)),0,VLOOKUP(A62,'Données projet'!$A$113:$I$133,3,0))</f>
        <v>0</v>
      </c>
      <c r="BJ62" s="36">
        <f>IF(ISNA(VLOOKUP(A62,'Données projet'!$A$113:$I$133,4,0)),0,VLOOKUP(A62,'Données projet'!$A$113:$I$133,4,0))</f>
        <v>0</v>
      </c>
      <c r="BK62" s="37">
        <f>IF(ISNA(VLOOKUP(A62,'Données projet'!$A$113:$I$133,5,0)),0%,VLOOKUP(A62,'Données projet'!$A$113:$I$133,5,0)*VLOOKUP('Données projet'!$B$12,Paramètres!$A$1:$I$88,7,0))</f>
        <v>0</v>
      </c>
      <c r="BL62" s="37">
        <f>IF(ISNA(VLOOKUP(A62,'Données projet'!$A$113:$I$133,6,0)),0%,VLOOKUP(A62,'Données projet'!$A$113:$I$133,6,0)*VLOOKUP('Données projet'!$B$12,Paramètres!$A$1:$I$88,7,0))</f>
        <v>0</v>
      </c>
      <c r="BM62" s="37">
        <f>IF(ISNA(VLOOKUP(A62,'Données projet'!$A$113:$I$133,7,0)),0%,VLOOKUP(A62,'Données projet'!$A$113:$I$133,7,0))</f>
        <v>0</v>
      </c>
      <c r="BN62" s="45">
        <f>EXP(-LN(2)/35)*BN61+(1-EXP(-LN(2)/35))/(LN(2)/35)*BJ62*BK62*VLOOKUP('Données projet'!$B$9,Paramètres!$A$1:$I$88,3,0)*0.475*44/12</f>
        <v>0</v>
      </c>
      <c r="BO62" s="45">
        <f>EXP(-LN(2)/25)*BO61+(1-EXP(-LN(2)/25))/(LN(2)/25)*Calculateur!BJ62*Calculateur!BL62*VLOOKUP('Données projet'!$B$9,Paramètres!$A$1:$I$88,3,0)*0.475*44/12</f>
        <v>0</v>
      </c>
      <c r="BP62" s="45">
        <f>EXP(-LN(2)/2)*BP61+(1-EXP(-LN(2)/2))/(LN(2)/2)*BJ62*BM62*VLOOKUP('Données projet'!$B$9,Paramètres!$A$1:$I$88,3,0)*0.475*44/12</f>
        <v>0</v>
      </c>
      <c r="BQ62" s="46">
        <f t="shared" si="7"/>
        <v>0</v>
      </c>
      <c r="BR62" s="32" t="e">
        <f>VLOOKUP(A62,'Données projet'!$A$139:$I$159,2,0)</f>
        <v>#N/A</v>
      </c>
      <c r="BS62" s="33" t="e">
        <f>VLOOKUP(A62,'Données projet'!$A$139:$I$159,9,0)</f>
        <v>#N/A</v>
      </c>
      <c r="BT62" s="33">
        <f t="array" ref="BT62">INDEX(BS:BS,MIN(IF(ISNUMBER(BS62:BS258),ROW(BS62:BS258),"")))</f>
        <v>0</v>
      </c>
      <c r="BU62" s="33">
        <f t="shared" si="41"/>
        <v>0</v>
      </c>
      <c r="BV62" s="38" t="e">
        <f>BU62*VLOOKUP('Données projet'!$B$13,Paramètres!$A$1:$I$88,3,0)*VLOOKUP('Données projet'!$B$13,Paramètres!$A$1:$I$88,5,0)</f>
        <v>#N/A</v>
      </c>
      <c r="BW62" s="34" t="e">
        <f t="shared" si="30"/>
        <v>#N/A</v>
      </c>
      <c r="BX62" s="44" t="e">
        <f t="shared" si="8"/>
        <v>#N/A</v>
      </c>
      <c r="BY62" s="36">
        <f>IF(ISNA(VLOOKUP(A62,'Données projet'!$A$139:$I$159,3,0)),0,VLOOKUP(A62,'Données projet'!$A$139:$I$159,3,0))</f>
        <v>0</v>
      </c>
      <c r="BZ62" s="36">
        <f>IF(ISNA(VLOOKUP(A62,'Données projet'!$A$139:$I$159,4,0)),0,VLOOKUP(A62,'Données projet'!$A$139:$I$159,4,0))</f>
        <v>0</v>
      </c>
      <c r="CA62" s="37">
        <f>IF(ISNA(VLOOKUP(A62,'Données projet'!$A$139:$I$159,5,0)),0%,VLOOKUP(A62,'Données projet'!$A$139:$I$159,5,0)*VLOOKUP('Données projet'!$B$13,Paramètres!$A$1:$I$88,7,0))</f>
        <v>0</v>
      </c>
      <c r="CB62" s="37">
        <f>IF(ISNA(VLOOKUP(A62,'Données projet'!$A$139:$I$159,6,0)),0%,VLOOKUP(A62,'Données projet'!$A$139:$I$159,6,0)*VLOOKUP('Données projet'!$B$13,Paramètres!$A$1:$I$88,7,0))</f>
        <v>0</v>
      </c>
      <c r="CC62" s="37">
        <f>IF(ISNA(VLOOKUP(A62,'Données projet'!$A$139:$I$159,7,0)),0%,VLOOKUP(A62,'Données projet'!$A$139:$I$159,7,0))</f>
        <v>0</v>
      </c>
      <c r="CD62" s="45">
        <f>EXP(-LN(2)/35)*CD61+(1-EXP(-LN(2)/35))/(LN(2)/35)*BZ62*CA62*VLOOKUP('Données projet'!$B$9,Paramètres!$A$1:$I$88,3,0)*0.475*44/12</f>
        <v>0</v>
      </c>
      <c r="CE62" s="45">
        <f>EXP(-LN(2)/25)*CE61+(1-EXP(-LN(2)/25))/(LN(2)/25)*Calculateur!BZ62*Calculateur!CB62*VLOOKUP('Données projet'!$B$9,Paramètres!$A$1:$I$88,3,0)*0.475*44/12</f>
        <v>0</v>
      </c>
      <c r="CF62" s="45">
        <f>EXP(-LN(2)/2)*CF61+(1-EXP(-LN(2)/2))/(LN(2)/2)*BZ62*CC62*VLOOKUP('Données projet'!$B$9,Paramètres!$A$1:$I$88,3,0)*0.475*44/12</f>
        <v>0</v>
      </c>
      <c r="CG62" s="46">
        <f t="shared" si="9"/>
        <v>0</v>
      </c>
      <c r="CH62" s="32" t="e">
        <f>VLOOKUP(A62,'Données projet'!$A$165:$I$185,2,0)</f>
        <v>#N/A</v>
      </c>
      <c r="CI62" s="33" t="e">
        <f>VLOOKUP(A62,'Données projet'!$A$165:$I$185,9,0)</f>
        <v>#N/A</v>
      </c>
      <c r="CJ62" s="33">
        <f t="array" ref="CJ62">INDEX(CI:CI,MIN(IF(ISNUMBER(CI62:CI258),ROW(CI62:CI258),"")))</f>
        <v>0</v>
      </c>
      <c r="CK62" s="33">
        <f t="shared" si="31"/>
        <v>0</v>
      </c>
      <c r="CL62" s="38" t="e">
        <f>CK62*VLOOKUP('Données projet'!$B$14,Paramètres!$A$1:$I$88,3,0)*VLOOKUP('Données projet'!$B$14,Paramètres!$A$1:$I$88,5,0)</f>
        <v>#N/A</v>
      </c>
      <c r="CM62" s="34" t="e">
        <f t="shared" si="32"/>
        <v>#N/A</v>
      </c>
      <c r="CN62" s="44" t="e">
        <f t="shared" si="10"/>
        <v>#N/A</v>
      </c>
      <c r="CO62" s="36">
        <f>IF(ISNA(VLOOKUP(A62,'Données projet'!$A$165:$I$185,3,0)),0,VLOOKUP(A62,'Données projet'!$A$165:$I$185,3,0))</f>
        <v>0</v>
      </c>
      <c r="CP62" s="36">
        <f>IF(ISNA(VLOOKUP(A62,'Données projet'!$A$165:$I$185,4,0)),0,VLOOKUP(A62,'Données projet'!$A$165:$I$185,4,0))</f>
        <v>0</v>
      </c>
      <c r="CQ62" s="37">
        <f>IF(ISNA(VLOOKUP(A62,'Données projet'!$A$165:$I$185,5,0)),0%,VLOOKUP(A62,'Données projet'!$A$165:$I$185,5,0)*VLOOKUP('Données projet'!$B$14,Paramètres!$A$1:$I$88,7,0))</f>
        <v>0</v>
      </c>
      <c r="CR62" s="37">
        <f>IF(ISNA(VLOOKUP(A62,'Données projet'!$A$165:$I$185,6,0)),0%,VLOOKUP(A62,'Données projet'!$A$165:$I$185,6,0)*VLOOKUP('Données projet'!$B$14,Paramètres!$A$1:$I$88,7,0))</f>
        <v>0</v>
      </c>
      <c r="CS62" s="37">
        <f>IF(ISNA(VLOOKUP(A62,'Données projet'!$A$165:$I$185,7,0)),0%,VLOOKUP(A62,'Données projet'!$A$165:$I$185,7,0))</f>
        <v>0</v>
      </c>
      <c r="CT62" s="45">
        <f>EXP(-LN(2)/35)*CT61+(1-EXP(-LN(2)/35))/(LN(2)/35)*CP62*CQ62*VLOOKUP('Données projet'!$B$9,Paramètres!$A$1:$I$88,3,0)*0.475*44/12</f>
        <v>0</v>
      </c>
      <c r="CU62" s="45">
        <f>EXP(-LN(2)/25)*CU61+(1-EXP(-LN(2)/25))/(LN(2)/25)*Calculateur!CP62*Calculateur!CR62*VLOOKUP('Données projet'!$B$9,Paramètres!$A$1:$I$88,3,0)*0.475*44/12</f>
        <v>0</v>
      </c>
      <c r="CV62" s="45">
        <f>EXP(-LN(2)/2)*CV61+(1-EXP(-LN(2)/2))/(LN(2)/2)*CP62*CS62*VLOOKUP('Données projet'!$B$9,Paramètres!$A$1:$I$88,3,0)*0.475*44/12</f>
        <v>0</v>
      </c>
      <c r="CW62" s="46">
        <f t="shared" si="11"/>
        <v>0</v>
      </c>
      <c r="CX62" s="32" t="e">
        <f>VLOOKUP(A62,'Données projet'!$A$191:$I$211,2,0)</f>
        <v>#N/A</v>
      </c>
      <c r="CY62" s="33" t="e">
        <f>VLOOKUP(A62,'Données projet'!$A$191:$I$211,9,0)</f>
        <v>#N/A</v>
      </c>
      <c r="CZ62" s="33">
        <f t="array" ref="CZ62">INDEX(CY:CY,MIN(IF(ISNUMBER(CY62:CY258),ROW(CY62:CY258),"")))</f>
        <v>0</v>
      </c>
      <c r="DA62" s="33">
        <f t="shared" si="33"/>
        <v>0</v>
      </c>
      <c r="DB62" s="38" t="e">
        <f>DA62*VLOOKUP('Données projet'!$B$15,Paramètres!$A$1:$I$88,3,0)*VLOOKUP('Données projet'!$B$15,Paramètres!$A$1:$I$88,5,0)</f>
        <v>#N/A</v>
      </c>
      <c r="DC62" s="34" t="e">
        <f t="shared" si="34"/>
        <v>#N/A</v>
      </c>
      <c r="DD62" s="44" t="e">
        <f t="shared" si="12"/>
        <v>#N/A</v>
      </c>
      <c r="DE62" s="36">
        <f>IF(ISNA(VLOOKUP(A62,'Données projet'!$A$191:$I$211,3,0)),0,VLOOKUP(A62,'Données projet'!$A$191:$I$211,3,0))</f>
        <v>0</v>
      </c>
      <c r="DF62" s="36">
        <f>IF(ISNA(VLOOKUP(A62,'Données projet'!$A$191:$I$211,4,0)),0,VLOOKUP(A62,'Données projet'!$A$191:$I$211,4,0))</f>
        <v>0</v>
      </c>
      <c r="DG62" s="37">
        <f>IF(ISNA(VLOOKUP(A62,'Données projet'!$A$191:$I$211,5,0)),0%,VLOOKUP(A62,'Données projet'!$A$191:$I$211,5,0)*VLOOKUP('Données projet'!$B$15,Paramètres!$A$1:$I$88,7,0))</f>
        <v>0</v>
      </c>
      <c r="DH62" s="37">
        <f>IF(ISNA(VLOOKUP(A62,'Données projet'!$A$191:$I$211,6,0)),0%,VLOOKUP(A62,'Données projet'!$A$191:$I$211,6,0)*VLOOKUP('Données projet'!$B$15,Paramètres!$A$1:$I$88,7,0))</f>
        <v>0</v>
      </c>
      <c r="DI62" s="37">
        <f>IF(ISNA(VLOOKUP(A62,'Données projet'!$A$191:$I$211,7,0)),0%,VLOOKUP(A62,'Données projet'!$A$191:$I$211,7,0))</f>
        <v>0</v>
      </c>
      <c r="DJ62" s="45">
        <f>EXP(-LN(2)/35)*DJ61+(1-EXP(-LN(2)/35))/(LN(2)/35)*DF62*DG62*VLOOKUP('Données projet'!$B$9,Paramètres!$A$1:$I$88,3,0)*0.475*44/12</f>
        <v>0</v>
      </c>
      <c r="DK62" s="45">
        <f>EXP(-LN(2)/25)*DK61+(1-EXP(-LN(2)/25))/(LN(2)/25)*Calculateur!DF62*Calculateur!DH62*VLOOKUP('Données projet'!$B$9,Paramètres!$A$1:$I$88,3,0)*0.475*44/12</f>
        <v>0</v>
      </c>
      <c r="DL62" s="45">
        <f>EXP(-LN(2)/2)*DL61+(1-EXP(-LN(2)/2))/(LN(2)/2)*DF62*DI62*VLOOKUP('Données projet'!$B$9,Paramètres!$A$1:$I$88,3,0)*0.475*44/12</f>
        <v>0</v>
      </c>
      <c r="DM62" s="46">
        <f t="shared" si="13"/>
        <v>0</v>
      </c>
      <c r="DN62" s="32" t="e">
        <f>VLOOKUP(A62,'Données projet'!$A$217:$I$237,2,0)</f>
        <v>#N/A</v>
      </c>
      <c r="DO62" s="33" t="e">
        <f>VLOOKUP(A62,'Données projet'!$A$217:$I$237,9,0)</f>
        <v>#N/A</v>
      </c>
      <c r="DP62" s="33">
        <f t="array" ref="DP62">INDEX(DO:DO,MIN(IF(ISNUMBER(DO62:DO258),ROW(DO62:DO258),"")))</f>
        <v>0</v>
      </c>
      <c r="DQ62" s="33">
        <f t="shared" si="35"/>
        <v>0</v>
      </c>
      <c r="DR62" s="38" t="e">
        <f>DQ62*VLOOKUP('Données projet'!$B$16,Paramètres!$A$1:$I$88,3,0)*VLOOKUP('Données projet'!$B$16,Paramètres!$A$1:$I$88,5,0)</f>
        <v>#N/A</v>
      </c>
      <c r="DS62" s="34" t="e">
        <f t="shared" si="36"/>
        <v>#N/A</v>
      </c>
      <c r="DT62" s="44" t="e">
        <f t="shared" si="14"/>
        <v>#N/A</v>
      </c>
      <c r="DU62" s="36">
        <f>IF(ISNA(VLOOKUP(A62,'Données projet'!$A$217:$I$237,3,0)),0,VLOOKUP(A62,'Données projet'!$A$217:$I$237,3,0))</f>
        <v>0</v>
      </c>
      <c r="DV62" s="36">
        <f>IF(ISNA(VLOOKUP(A62,'Données projet'!$A$217:$I$237,4,0)),0,VLOOKUP(A62,'Données projet'!$A$217:$I$237,4,0))</f>
        <v>0</v>
      </c>
      <c r="DW62" s="37">
        <f>IF(ISNA(VLOOKUP(A62,'Données projet'!$A$217:$I$237,5,0)),0%,VLOOKUP(A62,'Données projet'!$A$217:$I$237,5,0)*VLOOKUP('Données projet'!$B$16,Paramètres!$A$1:$I$88,7,0))</f>
        <v>0</v>
      </c>
      <c r="DX62" s="37">
        <f>IF(ISNA(VLOOKUP(A62,'Données projet'!$A$217:$I$237,6,0)),0%,VLOOKUP(A62,'Données projet'!$A$217:$I$237,6,0)*VLOOKUP('Données projet'!$B$16,Paramètres!$A$1:$I$88,7,0))</f>
        <v>0</v>
      </c>
      <c r="DY62" s="37">
        <f>IF(ISNA(VLOOKUP(A62,'Données projet'!$A$217:$I$237,7,0)),0%,VLOOKUP(A62,'Données projet'!$A$217:$I$237,7,0))</f>
        <v>0</v>
      </c>
      <c r="DZ62" s="45">
        <f>EXP(-LN(2)/35)*DZ61+(1-EXP(-LN(2)/35))/(LN(2)/35)*DV62*DW62*VLOOKUP('Données projet'!$B$9,Paramètres!$A$1:$I$88,3,0)*0.475*44/12</f>
        <v>0</v>
      </c>
      <c r="EA62" s="45">
        <f>EXP(-LN(2)/25)*EA61+(1-EXP(-LN(2)/25))/(LN(2)/25)*Calculateur!DV62*Calculateur!DX62*VLOOKUP('Données projet'!$B$9,Paramètres!$A$1:$I$88,3,0)*0.475*44/12</f>
        <v>0</v>
      </c>
      <c r="EB62" s="45">
        <f>EXP(-LN(2)/2)*EB61+(1-EXP(-LN(2)/2))/(LN(2)/2)*DV62*DY62*VLOOKUP('Données projet'!$B$9,Paramètres!$A$1:$I$88,3,0)*0.475*44/12</f>
        <v>0</v>
      </c>
      <c r="EC62" s="46">
        <f t="shared" si="15"/>
        <v>0</v>
      </c>
      <c r="ED62" s="32" t="e">
        <f>VLOOKUP(A62,'Données projet'!$A$243:$I$263,2,0)</f>
        <v>#N/A</v>
      </c>
      <c r="EE62" s="33" t="e">
        <f>VLOOKUP(A62,'Données projet'!$A$243:$I$263,9,0)</f>
        <v>#N/A</v>
      </c>
      <c r="EF62" s="33">
        <f t="array" ref="EF62">INDEX(EE:EE,MIN(IF(ISNUMBER(EE62:EE258),ROW(EE62:EE258),"")))</f>
        <v>0</v>
      </c>
      <c r="EG62" s="33">
        <f t="shared" si="37"/>
        <v>0</v>
      </c>
      <c r="EH62" s="38" t="e">
        <f>EG62*VLOOKUP('Données projet'!$B$17,Paramètres!$A$1:$I$88,3,0)*VLOOKUP('Données projet'!$B$17,Paramètres!$A$1:$I$88,5,0)</f>
        <v>#N/A</v>
      </c>
      <c r="EI62" s="34" t="e">
        <f t="shared" si="38"/>
        <v>#N/A</v>
      </c>
      <c r="EJ62" s="44" t="e">
        <f t="shared" si="16"/>
        <v>#N/A</v>
      </c>
      <c r="EK62" s="36">
        <f>IF(ISNA(VLOOKUP(A62,'Données projet'!$A$243:$I$263,3,0)),0,VLOOKUP(A62,'Données projet'!$A$243:$I$263,3,0))</f>
        <v>0</v>
      </c>
      <c r="EL62" s="36">
        <f>IF(ISNA(VLOOKUP(A62,'Données projet'!$A$243:$I$263,4,0)),0,VLOOKUP(A62,'Données projet'!$A$243:$I$263,4,0))</f>
        <v>0</v>
      </c>
      <c r="EM62" s="37">
        <f>IF(ISNA(VLOOKUP(A62,'Données projet'!$A$243:$I$263,5,0)),0%,VLOOKUP(A62,'Données projet'!$A$243:$I$263,5,0)*VLOOKUP('Données projet'!$B$17,Paramètres!$A$1:$I$88,7,0))</f>
        <v>0</v>
      </c>
      <c r="EN62" s="37">
        <f>IF(ISNA(VLOOKUP(A62,'Données projet'!$A$243:$I$263,6,0)),0%,VLOOKUP(A62,'Données projet'!$A$243:$I$263,6,0)*VLOOKUP('Données projet'!$B$17,Paramètres!$A$1:$I$88,7,0))</f>
        <v>0</v>
      </c>
      <c r="EO62" s="37">
        <f>IF(ISNA(VLOOKUP(A62,'Données projet'!$A$243:$I$263,7,0)),0%,VLOOKUP(A62,'Données projet'!$A$243:$I$263,7,0))</f>
        <v>0</v>
      </c>
      <c r="EP62" s="45">
        <f>EXP(-LN(2)/35)*EP61+(1-EXP(-LN(2)/35))/(LN(2)/35)*EL62*EM62*VLOOKUP('Données projet'!$B$9,Paramètres!$A$1:$I$88,3,0)*0.475*44/12</f>
        <v>0</v>
      </c>
      <c r="EQ62" s="45">
        <f>EXP(-LN(2)/25)*EQ61+(1-EXP(-LN(2)/25))/(LN(2)/25)*Calculateur!EL62*Calculateur!EN62*VLOOKUP('Données projet'!$B$9,Paramètres!$A$1:$I$88,3,0)*0.475*44/12</f>
        <v>0</v>
      </c>
      <c r="ER62" s="45">
        <f>EXP(-LN(2)/2)*ER61+(1-EXP(-LN(2)/2))/(LN(2)/2)*EL62*EO62*VLOOKUP('Données projet'!$B$9,Paramètres!$A$1:$I$88,3,0)*0.475*44/12</f>
        <v>0</v>
      </c>
      <c r="ES62" s="46">
        <f t="shared" si="17"/>
        <v>0</v>
      </c>
      <c r="ET62" s="32" t="e">
        <f>VLOOKUP(A62,'Données projet'!$A$269:$I$289,2,0)</f>
        <v>#N/A</v>
      </c>
      <c r="EU62" s="33" t="e">
        <f>VLOOKUP(A62,'Données projet'!$A$269:$I$289,9,0)</f>
        <v>#N/A</v>
      </c>
      <c r="EV62" s="33">
        <f t="array" ref="EV62">INDEX(EU:EU,MIN(IF(ISNUMBER(EU62:EU258),ROW(EU62:EU258),"")))</f>
        <v>0</v>
      </c>
      <c r="EW62" s="33">
        <f t="shared" si="39"/>
        <v>0</v>
      </c>
      <c r="EX62" s="38" t="e">
        <f>EW62*VLOOKUP('Données projet'!$B$18,Paramètres!$A$1:$I$88,3,0)*VLOOKUP('Données projet'!$B$18,Paramètres!$A$1:$I$88,5,0)</f>
        <v>#N/A</v>
      </c>
      <c r="EY62" s="34" t="e">
        <f t="shared" si="40"/>
        <v>#N/A</v>
      </c>
      <c r="EZ62" s="44" t="e">
        <f t="shared" si="18"/>
        <v>#N/A</v>
      </c>
      <c r="FA62" s="36">
        <f>IF(ISNA(VLOOKUP(A62,'Données projet'!$A$269:$I$289,3,0)),0,VLOOKUP(A62,'Données projet'!$A$269:$I$289,3,0))</f>
        <v>0</v>
      </c>
      <c r="FB62" s="36">
        <f>IF(ISNA(VLOOKUP(A62,'Données projet'!$A$269:$I$289,4,0)),0,VLOOKUP(A62,'Données projet'!$A$269:$I$289,4,0))</f>
        <v>0</v>
      </c>
      <c r="FC62" s="37">
        <f>IF(ISNA(VLOOKUP(A62,'Données projet'!$A$269:$I$289,5,0)),0%,VLOOKUP(A62,'Données projet'!$A$269:$I$289,5,0)*VLOOKUP('Données projet'!$B$18,Paramètres!$A$1:$I$88,7,0))</f>
        <v>0</v>
      </c>
      <c r="FD62" s="37">
        <f>IF(ISNA(VLOOKUP(A62,'Données projet'!$A$269:$I$289,6,0)),0%,VLOOKUP(A62,'Données projet'!$A$269:$I$289,6,0)*VLOOKUP('Données projet'!$B$18,Paramètres!$A$1:$I$88,7,0))</f>
        <v>0</v>
      </c>
      <c r="FE62" s="37">
        <f>IF(ISNA(VLOOKUP(A62,'Données projet'!$A$269:$I$289,7,0)),0%,VLOOKUP(A62,'Données projet'!$A$269:$I$289,7,0))</f>
        <v>0</v>
      </c>
      <c r="FF62" s="45">
        <f>EXP(-LN(2)/35)*FF61+(1-EXP(-LN(2)/35))/(LN(2)/35)*FB62*FC62*VLOOKUP('Données projet'!$B$9,Paramètres!$A$1:$I$88,3,0)*0.475*44/12</f>
        <v>0</v>
      </c>
      <c r="FG62" s="45">
        <f>EXP(-LN(2)/25)*FG61+(1-EXP(-LN(2)/25))/(LN(2)/25)*Calculateur!FB62*Calculateur!FD62*VLOOKUP('Données projet'!$B$9,Paramètres!$A$1:$I$88,3,0)*0.475*44/12</f>
        <v>0</v>
      </c>
      <c r="FH62" s="45">
        <f>EXP(-LN(2)/2)*FH61+(1-EXP(-LN(2)/2))/(LN(2)/2)*FB62*FE62*VLOOKUP('Données projet'!$B$9,Paramètres!$A$1:$I$88,3,0)*0.475*44/12</f>
        <v>0</v>
      </c>
      <c r="FI62" s="46">
        <f t="shared" si="19"/>
        <v>0</v>
      </c>
    </row>
    <row r="63" spans="1:165" x14ac:dyDescent="0.25">
      <c r="A63" s="24">
        <f t="shared" si="20"/>
        <v>60</v>
      </c>
      <c r="B63" s="25">
        <f>IF('Scénario référence'!$N$1=1,5,0)</f>
        <v>0</v>
      </c>
      <c r="C63" s="40">
        <f>IF(OR('Scénario référence'!$N$1=2,'Scénario référence'!$N$1=4),C62+1*VLOOKUP('Scénario référence'!$G$14,Paramètres!$A$1:$I$88,3,0)*VLOOKUP('Scénario référence'!$G$14,Paramètres!$A$1:$I$88,5,0),IF(OR('Scénario référence'!$N$1=3,'Scénario référence'!$N$1=5),C62+0.5*VLOOKUP('Scénario référence'!$G$14,Paramètres!$A$1:$I$88,3,0)*VLOOKUP('Scénario référence'!$G$14,Paramètres!$A$1:$I$88,5,0),0))</f>
        <v>32.759999999999977</v>
      </c>
      <c r="D63" s="26">
        <f t="shared" si="21"/>
        <v>10.05796057160342</v>
      </c>
      <c r="E63" s="27">
        <f>IF('Scénario référence'!$N$1=1,B63*44/12,(C63+D63)*0.475*44/12)</f>
        <v>74.574614662209243</v>
      </c>
      <c r="F63" s="28">
        <f>VLOOKUP(A63,'Données projet'!$A$35:$I$55,2,0)</f>
        <v>214</v>
      </c>
      <c r="G63" s="28">
        <f>VLOOKUP(A63,'Données projet'!$A$35:$I$55,9,0)</f>
        <v>7.6</v>
      </c>
      <c r="H63" s="33">
        <f t="array" ref="H63">INDEX(G:G,MIN(IF(ISNUMBER(G63:G259),ROW(G63:G259),"")))</f>
        <v>7.6</v>
      </c>
      <c r="I63" s="28">
        <f t="shared" si="22"/>
        <v>213.99999999999997</v>
      </c>
      <c r="J63" s="41">
        <f>I63*VLOOKUP('Données projet'!$B$9,Paramètres!$A$1:$I$88,3,0)*VLOOKUP('Données projet'!$B$9,Paramètres!$A$1:$I$88,5,0)</f>
        <v>216.99600000000001</v>
      </c>
      <c r="K63" s="41">
        <f t="shared" si="23"/>
        <v>53.461459647386917</v>
      </c>
      <c r="L63" s="42">
        <f t="shared" si="0"/>
        <v>471.04674221919896</v>
      </c>
      <c r="M63" s="30">
        <f>IF(ISNA(VLOOKUP(A63,'Données projet'!$A$35:$I$55,3,0)),0,VLOOKUP(A63,'Données projet'!$A$35:$I$55,3,0))</f>
        <v>0</v>
      </c>
      <c r="N63" s="30">
        <f>IF(ISNA(VLOOKUP(A63,'Données projet'!$A$35:$I$55,4,0)),0,VLOOKUP(A63,'Données projet'!$A$35:$I$55,4,0))</f>
        <v>0</v>
      </c>
      <c r="O63" s="31">
        <f>IF(ISNA(VLOOKUP(A63,'Données projet'!$A$35:$I$55,5,0)),0%,VLOOKUP(A63,'Données projet'!$A$35:$I$55,5,0)*VLOOKUP('Données projet'!$B$9,Paramètres!$A$1:$I$88,7,0))</f>
        <v>0</v>
      </c>
      <c r="P63" s="31">
        <f>IF(ISNA(VLOOKUP(A63,'Données projet'!$A$35:$I$55,6,0)),0%,VLOOKUP(A63,'Données projet'!$A$35:$I$55,6,0)*VLOOKUP('Données projet'!$B$9,Paramètres!$A$1:$I$88,7,0))</f>
        <v>0</v>
      </c>
      <c r="Q63" s="31">
        <f>IF(ISNA(VLOOKUP(A63,'Données projet'!$A$35:$I$55,7,0)),0%,VLOOKUP(A63,'Données projet'!$A$35:$I$55,7,0))</f>
        <v>0</v>
      </c>
      <c r="R63" s="43">
        <f>EXP(-LN(2)/35)*R62+(1-EXP(-LN(2)/35))/(LN(2)/35)*N63*O63*VLOOKUP('Données projet'!$B$9,Paramètres!$A$1:$I$88,3,0)*0.475*44/12</f>
        <v>0</v>
      </c>
      <c r="S63" s="43">
        <f>EXP(-LN(2)/25)*S62+(1-EXP(-LN(2)/25))/(LN(2)/25)*Calculateur!N63*Calculateur!P63*VLOOKUP('Données projet'!$B$9,Paramètres!$A$1:$I$88,3,0)*0.475*44/12</f>
        <v>0</v>
      </c>
      <c r="T63" s="43">
        <f>EXP(-LN(2)/2)*T62+(1-EXP(-LN(2)/2))/(LN(2)/2)*N63*Q63*VLOOKUP('Données projet'!$B$9,Paramètres!$A$1:$I$88,3,0)*0.475*44/12</f>
        <v>0</v>
      </c>
      <c r="U63" s="43">
        <f t="shared" si="1"/>
        <v>0</v>
      </c>
      <c r="V63" s="32" t="e">
        <f>VLOOKUP(A63,'Données projet'!$A$61:$I$81,2,0)</f>
        <v>#N/A</v>
      </c>
      <c r="W63" s="33" t="e">
        <f>VLOOKUP(A63,'Données projet'!$A$61:$I$81,9,0)</f>
        <v>#N/A</v>
      </c>
      <c r="X63" s="33">
        <f t="array" ref="X63">INDEX(W:W,MIN(IF(ISNUMBER(W63:W259),ROW(W63:W259),"")))</f>
        <v>0</v>
      </c>
      <c r="Y63" s="33">
        <f t="shared" si="24"/>
        <v>0</v>
      </c>
      <c r="Z63" s="34" t="e">
        <f>Y63*VLOOKUP('Données projet'!$B$10,Paramètres!$A$1:$I$88,3,0)*VLOOKUP('Données projet'!$B$10,Paramètres!$A$1:$I$88,5,0)</f>
        <v>#N/A</v>
      </c>
      <c r="AA63" s="34" t="e">
        <f t="shared" si="25"/>
        <v>#N/A</v>
      </c>
      <c r="AB63" s="44" t="e">
        <f t="shared" si="2"/>
        <v>#N/A</v>
      </c>
      <c r="AC63" s="36">
        <f>IF(ISNA(VLOOKUP(A63,'Données projet'!$A$61:$I$81,3,0)),0,VLOOKUP(A63,'Données projet'!$A$61:$I$81,3,0))</f>
        <v>0</v>
      </c>
      <c r="AD63" s="36">
        <f>IF(ISNA(VLOOKUP(A63,'Données projet'!$A$61:$I$81,4,0)),0,VLOOKUP(A63,'Données projet'!$A$61:$I$81,4,0))</f>
        <v>0</v>
      </c>
      <c r="AE63" s="37">
        <f>IF(ISNA(VLOOKUP(A63,'Données projet'!$A$61:$I$81,5,0)),0%,VLOOKUP(A63,'Données projet'!$A$61:$I$81,5,0)*VLOOKUP('Données projet'!$B$10,Paramètres!$A$1:$I$88,7,0))</f>
        <v>0</v>
      </c>
      <c r="AF63" s="37">
        <f>IF(ISNA(VLOOKUP(A63,'Données projet'!$A$61:$I$81,6,0)),0%,VLOOKUP(A63,'Données projet'!$A$61:$I$81,6,0)*VLOOKUP('Données projet'!$B$10,Paramètres!$A$1:$I$88,7,0))</f>
        <v>0</v>
      </c>
      <c r="AG63" s="37">
        <f>IF(ISNA(VLOOKUP(A63,'Données projet'!$A$61:$I$81,7,0)),0%,VLOOKUP(A63,'Données projet'!$A$61:$I$81,7,0))</f>
        <v>0</v>
      </c>
      <c r="AH63" s="45">
        <f>EXP(-LN(2)/35)*AH62+(1-EXP(-LN(2)/35))/(LN(2)/35)*AD63*AE63*VLOOKUP('Données projet'!$B$9,Paramètres!$A$1:$I$88,3,0)*0.475*44/12</f>
        <v>0</v>
      </c>
      <c r="AI63" s="45">
        <f>EXP(-LN(2)/25)*AI62+(1-EXP(-LN(2)/25))/(LN(2)/25)*Calculateur!AD63*Calculateur!AF63*VLOOKUP('Données projet'!$B$9,Paramètres!$A$1:$I$88,3,0)*0.475*44/12</f>
        <v>0</v>
      </c>
      <c r="AJ63" s="45">
        <f>EXP(-LN(2)/2)*AJ62+(1-EXP(-LN(2)/2))/(LN(2)/2)*AD63*AG63*VLOOKUP('Données projet'!$B$9,Paramètres!$A$1:$I$88,3,0)*0.475*44/12</f>
        <v>0</v>
      </c>
      <c r="AK63" s="45">
        <f t="shared" si="3"/>
        <v>0</v>
      </c>
      <c r="AL63" s="32" t="e">
        <f>VLOOKUP(A63,'Données projet'!$A$87:$I$107,2,0)</f>
        <v>#N/A</v>
      </c>
      <c r="AM63" s="33" t="e">
        <f>VLOOKUP(A63,'Données projet'!$A$87:$I$107,9,0)</f>
        <v>#N/A</v>
      </c>
      <c r="AN63" s="33">
        <f t="array" ref="AN63">INDEX(AM:AM,MIN(IF(ISNUMBER(AM63:AM259),ROW(AM63:AM259),"")))</f>
        <v>0</v>
      </c>
      <c r="AO63" s="33">
        <f t="shared" si="26"/>
        <v>0</v>
      </c>
      <c r="AP63" s="34" t="e">
        <f>AO63*VLOOKUP('Données projet'!$B$11,Paramètres!$A$1:$I$88,3,0)*VLOOKUP('Données projet'!$B$11,Paramètres!$A$1:$I$88,5,0)</f>
        <v>#N/A</v>
      </c>
      <c r="AQ63" s="34" t="e">
        <f t="shared" si="27"/>
        <v>#N/A</v>
      </c>
      <c r="AR63" s="44" t="e">
        <f t="shared" si="4"/>
        <v>#N/A</v>
      </c>
      <c r="AS63" s="36">
        <f>IF(ISNA(VLOOKUP(A63,'Données projet'!$A$87:$I$107,3,0)),0,VLOOKUP(A63,'Données projet'!$A$87:$I$107,3,0))</f>
        <v>0</v>
      </c>
      <c r="AT63" s="36">
        <f>IF(ISNA(VLOOKUP(A63,'Données projet'!$A$87:$I$107,4,0)),0,VLOOKUP(A63,'Données projet'!$A$87:$I$107,4,0))</f>
        <v>0</v>
      </c>
      <c r="AU63" s="37">
        <f>IF(ISNA(VLOOKUP(A63,'Données projet'!$A$87:$I$107,5,0)),0%,VLOOKUP(A63,'Données projet'!$A$87:$I$107,5,0)*VLOOKUP('Données projet'!$B$11,Paramètres!$A$1:$I$88,7,0))</f>
        <v>0</v>
      </c>
      <c r="AV63" s="37">
        <f>IF(ISNA(VLOOKUP(A63,'Données projet'!$A$87:$I$107,6,0)),0%,VLOOKUP(A63,'Données projet'!$A$87:$I$107,6,0)*VLOOKUP('Données projet'!$B$11,Paramètres!$A$1:$I$88,7,0))</f>
        <v>0</v>
      </c>
      <c r="AW63" s="37">
        <f>IF(ISNA(VLOOKUP(A63,'Données projet'!$A$87:$I$107,7,0)),0%,VLOOKUP(A63,'Données projet'!$A$87:$I$107,7,0))</f>
        <v>0</v>
      </c>
      <c r="AX63" s="45">
        <f>EXP(-LN(2)/35)*AX62+(1-EXP(-LN(2)/35))/(LN(2)/35)*AT63*AU63*VLOOKUP('Données projet'!$B$9,Paramètres!$A$1:$I$88,3,0)*0.475*44/12</f>
        <v>0</v>
      </c>
      <c r="AY63" s="45">
        <f>EXP(-LN(2)/25)*AY62+(1-EXP(-LN(2)/25))/(LN(2)/25)*Calculateur!AT63*Calculateur!AV63*VLOOKUP('Données projet'!$B$9,Paramètres!$A$1:$I$88,3,0)*0.475*44/12</f>
        <v>0</v>
      </c>
      <c r="AZ63" s="45">
        <f>EXP(-LN(2)/2)*AZ62+(1-EXP(-LN(2)/2))/(LN(2)/2)*AT63*AW63*VLOOKUP('Données projet'!$B$9,Paramètres!$A$1:$I$88,3,0)*0.475*44/12</f>
        <v>0</v>
      </c>
      <c r="BA63" s="46">
        <f t="shared" si="5"/>
        <v>0</v>
      </c>
      <c r="BB63" s="32" t="e">
        <f>VLOOKUP(A63,'Données projet'!$A$113:$I$133,2,0)</f>
        <v>#N/A</v>
      </c>
      <c r="BC63" s="33" t="e">
        <f>VLOOKUP(A63,'Données projet'!$A$113:$I$133,9,0)</f>
        <v>#N/A</v>
      </c>
      <c r="BD63" s="33">
        <f t="array" ref="BD63">INDEX(BC:BC,MIN(IF(ISNUMBER(BC63:BC259),ROW(BC63:BC259),"")))</f>
        <v>0</v>
      </c>
      <c r="BE63" s="33">
        <f t="shared" si="28"/>
        <v>0</v>
      </c>
      <c r="BF63" s="34" t="e">
        <f>BE63*VLOOKUP('Données projet'!$B$12,Paramètres!$A$1:$I$88,3,0)*VLOOKUP('Données projet'!$B$12,Paramètres!$A$1:$I$88,5,0)</f>
        <v>#N/A</v>
      </c>
      <c r="BG63" s="34" t="e">
        <f t="shared" si="29"/>
        <v>#N/A</v>
      </c>
      <c r="BH63" s="44" t="e">
        <f t="shared" si="6"/>
        <v>#N/A</v>
      </c>
      <c r="BI63" s="36">
        <f>IF(ISNA(VLOOKUP(A63,'Données projet'!$A$113:$I$133,3,0)),0,VLOOKUP(A63,'Données projet'!$A$113:$I$133,3,0))</f>
        <v>0</v>
      </c>
      <c r="BJ63" s="36">
        <f>IF(ISNA(VLOOKUP(A63,'Données projet'!$A$113:$I$133,4,0)),0,VLOOKUP(A63,'Données projet'!$A$113:$I$133,4,0))</f>
        <v>0</v>
      </c>
      <c r="BK63" s="37">
        <f>IF(ISNA(VLOOKUP(A63,'Données projet'!$A$113:$I$133,5,0)),0%,VLOOKUP(A63,'Données projet'!$A$113:$I$133,5,0)*VLOOKUP('Données projet'!$B$12,Paramètres!$A$1:$I$88,7,0))</f>
        <v>0</v>
      </c>
      <c r="BL63" s="37">
        <f>IF(ISNA(VLOOKUP(A63,'Données projet'!$A$113:$I$133,6,0)),0%,VLOOKUP(A63,'Données projet'!$A$113:$I$133,6,0)*VLOOKUP('Données projet'!$B$12,Paramètres!$A$1:$I$88,7,0))</f>
        <v>0</v>
      </c>
      <c r="BM63" s="37">
        <f>IF(ISNA(VLOOKUP(A63,'Données projet'!$A$113:$I$133,7,0)),0%,VLOOKUP(A63,'Données projet'!$A$113:$I$133,7,0))</f>
        <v>0</v>
      </c>
      <c r="BN63" s="45">
        <f>EXP(-LN(2)/35)*BN62+(1-EXP(-LN(2)/35))/(LN(2)/35)*BJ63*BK63*VLOOKUP('Données projet'!$B$9,Paramètres!$A$1:$I$88,3,0)*0.475*44/12</f>
        <v>0</v>
      </c>
      <c r="BO63" s="45">
        <f>EXP(-LN(2)/25)*BO62+(1-EXP(-LN(2)/25))/(LN(2)/25)*Calculateur!BJ63*Calculateur!BL63*VLOOKUP('Données projet'!$B$9,Paramètres!$A$1:$I$88,3,0)*0.475*44/12</f>
        <v>0</v>
      </c>
      <c r="BP63" s="45">
        <f>EXP(-LN(2)/2)*BP62+(1-EXP(-LN(2)/2))/(LN(2)/2)*BJ63*BM63*VLOOKUP('Données projet'!$B$9,Paramètres!$A$1:$I$88,3,0)*0.475*44/12</f>
        <v>0</v>
      </c>
      <c r="BQ63" s="46">
        <f t="shared" si="7"/>
        <v>0</v>
      </c>
      <c r="BR63" s="32" t="e">
        <f>VLOOKUP(A63,'Données projet'!$A$139:$I$159,2,0)</f>
        <v>#N/A</v>
      </c>
      <c r="BS63" s="33" t="e">
        <f>VLOOKUP(A63,'Données projet'!$A$139:$I$159,9,0)</f>
        <v>#N/A</v>
      </c>
      <c r="BT63" s="33">
        <f t="array" ref="BT63">INDEX(BS:BS,MIN(IF(ISNUMBER(BS63:BS259),ROW(BS63:BS259),"")))</f>
        <v>0</v>
      </c>
      <c r="BU63" s="33">
        <f t="shared" si="41"/>
        <v>0</v>
      </c>
      <c r="BV63" s="38" t="e">
        <f>BU63*VLOOKUP('Données projet'!$B$13,Paramètres!$A$1:$I$88,3,0)*VLOOKUP('Données projet'!$B$13,Paramètres!$A$1:$I$88,5,0)</f>
        <v>#N/A</v>
      </c>
      <c r="BW63" s="34" t="e">
        <f t="shared" si="30"/>
        <v>#N/A</v>
      </c>
      <c r="BX63" s="44" t="e">
        <f t="shared" si="8"/>
        <v>#N/A</v>
      </c>
      <c r="BY63" s="36">
        <f>IF(ISNA(VLOOKUP(A63,'Données projet'!$A$139:$I$159,3,0)),0,VLOOKUP(A63,'Données projet'!$A$139:$I$159,3,0))</f>
        <v>0</v>
      </c>
      <c r="BZ63" s="36">
        <f>IF(ISNA(VLOOKUP(A63,'Données projet'!$A$139:$I$159,4,0)),0,VLOOKUP(A63,'Données projet'!$A$139:$I$159,4,0))</f>
        <v>0</v>
      </c>
      <c r="CA63" s="37">
        <f>IF(ISNA(VLOOKUP(A63,'Données projet'!$A$139:$I$159,5,0)),0%,VLOOKUP(A63,'Données projet'!$A$139:$I$159,5,0)*VLOOKUP('Données projet'!$B$13,Paramètres!$A$1:$I$88,7,0))</f>
        <v>0</v>
      </c>
      <c r="CB63" s="37">
        <f>IF(ISNA(VLOOKUP(A63,'Données projet'!$A$139:$I$159,6,0)),0%,VLOOKUP(A63,'Données projet'!$A$139:$I$159,6,0)*VLOOKUP('Données projet'!$B$13,Paramètres!$A$1:$I$88,7,0))</f>
        <v>0</v>
      </c>
      <c r="CC63" s="37">
        <f>IF(ISNA(VLOOKUP(A63,'Données projet'!$A$139:$I$159,7,0)),0%,VLOOKUP(A63,'Données projet'!$A$139:$I$159,7,0))</f>
        <v>0</v>
      </c>
      <c r="CD63" s="45">
        <f>EXP(-LN(2)/35)*CD62+(1-EXP(-LN(2)/35))/(LN(2)/35)*BZ63*CA63*VLOOKUP('Données projet'!$B$9,Paramètres!$A$1:$I$88,3,0)*0.475*44/12</f>
        <v>0</v>
      </c>
      <c r="CE63" s="45">
        <f>EXP(-LN(2)/25)*CE62+(1-EXP(-LN(2)/25))/(LN(2)/25)*Calculateur!BZ63*Calculateur!CB63*VLOOKUP('Données projet'!$B$9,Paramètres!$A$1:$I$88,3,0)*0.475*44/12</f>
        <v>0</v>
      </c>
      <c r="CF63" s="45">
        <f>EXP(-LN(2)/2)*CF62+(1-EXP(-LN(2)/2))/(LN(2)/2)*BZ63*CC63*VLOOKUP('Données projet'!$B$9,Paramètres!$A$1:$I$88,3,0)*0.475*44/12</f>
        <v>0</v>
      </c>
      <c r="CG63" s="46">
        <f t="shared" si="9"/>
        <v>0</v>
      </c>
      <c r="CH63" s="32" t="e">
        <f>VLOOKUP(A63,'Données projet'!$A$165:$I$185,2,0)</f>
        <v>#N/A</v>
      </c>
      <c r="CI63" s="33" t="e">
        <f>VLOOKUP(A63,'Données projet'!$A$165:$I$185,9,0)</f>
        <v>#N/A</v>
      </c>
      <c r="CJ63" s="33">
        <f t="array" ref="CJ63">INDEX(CI:CI,MIN(IF(ISNUMBER(CI63:CI259),ROW(CI63:CI259),"")))</f>
        <v>0</v>
      </c>
      <c r="CK63" s="33">
        <f t="shared" si="31"/>
        <v>0</v>
      </c>
      <c r="CL63" s="38" t="e">
        <f>CK63*VLOOKUP('Données projet'!$B$14,Paramètres!$A$1:$I$88,3,0)*VLOOKUP('Données projet'!$B$14,Paramètres!$A$1:$I$88,5,0)</f>
        <v>#N/A</v>
      </c>
      <c r="CM63" s="34" t="e">
        <f t="shared" si="32"/>
        <v>#N/A</v>
      </c>
      <c r="CN63" s="44" t="e">
        <f t="shared" si="10"/>
        <v>#N/A</v>
      </c>
      <c r="CO63" s="36">
        <f>IF(ISNA(VLOOKUP(A63,'Données projet'!$A$165:$I$185,3,0)),0,VLOOKUP(A63,'Données projet'!$A$165:$I$185,3,0))</f>
        <v>0</v>
      </c>
      <c r="CP63" s="36">
        <f>IF(ISNA(VLOOKUP(A63,'Données projet'!$A$165:$I$185,4,0)),0,VLOOKUP(A63,'Données projet'!$A$165:$I$185,4,0))</f>
        <v>0</v>
      </c>
      <c r="CQ63" s="37">
        <f>IF(ISNA(VLOOKUP(A63,'Données projet'!$A$165:$I$185,5,0)),0%,VLOOKUP(A63,'Données projet'!$A$165:$I$185,5,0)*VLOOKUP('Données projet'!$B$14,Paramètres!$A$1:$I$88,7,0))</f>
        <v>0</v>
      </c>
      <c r="CR63" s="37">
        <f>IF(ISNA(VLOOKUP(A63,'Données projet'!$A$165:$I$185,6,0)),0%,VLOOKUP(A63,'Données projet'!$A$165:$I$185,6,0)*VLOOKUP('Données projet'!$B$14,Paramètres!$A$1:$I$88,7,0))</f>
        <v>0</v>
      </c>
      <c r="CS63" s="37">
        <f>IF(ISNA(VLOOKUP(A63,'Données projet'!$A$165:$I$185,7,0)),0%,VLOOKUP(A63,'Données projet'!$A$165:$I$185,7,0))</f>
        <v>0</v>
      </c>
      <c r="CT63" s="45">
        <f>EXP(-LN(2)/35)*CT62+(1-EXP(-LN(2)/35))/(LN(2)/35)*CP63*CQ63*VLOOKUP('Données projet'!$B$9,Paramètres!$A$1:$I$88,3,0)*0.475*44/12</f>
        <v>0</v>
      </c>
      <c r="CU63" s="45">
        <f>EXP(-LN(2)/25)*CU62+(1-EXP(-LN(2)/25))/(LN(2)/25)*Calculateur!CP63*Calculateur!CR63*VLOOKUP('Données projet'!$B$9,Paramètres!$A$1:$I$88,3,0)*0.475*44/12</f>
        <v>0</v>
      </c>
      <c r="CV63" s="45">
        <f>EXP(-LN(2)/2)*CV62+(1-EXP(-LN(2)/2))/(LN(2)/2)*CP63*CS63*VLOOKUP('Données projet'!$B$9,Paramètres!$A$1:$I$88,3,0)*0.475*44/12</f>
        <v>0</v>
      </c>
      <c r="CW63" s="46">
        <f t="shared" si="11"/>
        <v>0</v>
      </c>
      <c r="CX63" s="32" t="e">
        <f>VLOOKUP(A63,'Données projet'!$A$191:$I$211,2,0)</f>
        <v>#N/A</v>
      </c>
      <c r="CY63" s="33" t="e">
        <f>VLOOKUP(A63,'Données projet'!$A$191:$I$211,9,0)</f>
        <v>#N/A</v>
      </c>
      <c r="CZ63" s="33">
        <f t="array" ref="CZ63">INDEX(CY:CY,MIN(IF(ISNUMBER(CY63:CY259),ROW(CY63:CY259),"")))</f>
        <v>0</v>
      </c>
      <c r="DA63" s="33">
        <f t="shared" si="33"/>
        <v>0</v>
      </c>
      <c r="DB63" s="38" t="e">
        <f>DA63*VLOOKUP('Données projet'!$B$15,Paramètres!$A$1:$I$88,3,0)*VLOOKUP('Données projet'!$B$15,Paramètres!$A$1:$I$88,5,0)</f>
        <v>#N/A</v>
      </c>
      <c r="DC63" s="34" t="e">
        <f t="shared" si="34"/>
        <v>#N/A</v>
      </c>
      <c r="DD63" s="44" t="e">
        <f t="shared" si="12"/>
        <v>#N/A</v>
      </c>
      <c r="DE63" s="36">
        <f>IF(ISNA(VLOOKUP(A63,'Données projet'!$A$191:$I$211,3,0)),0,VLOOKUP(A63,'Données projet'!$A$191:$I$211,3,0))</f>
        <v>0</v>
      </c>
      <c r="DF63" s="36">
        <f>IF(ISNA(VLOOKUP(A63,'Données projet'!$A$191:$I$211,4,0)),0,VLOOKUP(A63,'Données projet'!$A$191:$I$211,4,0))</f>
        <v>0</v>
      </c>
      <c r="DG63" s="37">
        <f>IF(ISNA(VLOOKUP(A63,'Données projet'!$A$191:$I$211,5,0)),0%,VLOOKUP(A63,'Données projet'!$A$191:$I$211,5,0)*VLOOKUP('Données projet'!$B$15,Paramètres!$A$1:$I$88,7,0))</f>
        <v>0</v>
      </c>
      <c r="DH63" s="37">
        <f>IF(ISNA(VLOOKUP(A63,'Données projet'!$A$191:$I$211,6,0)),0%,VLOOKUP(A63,'Données projet'!$A$191:$I$211,6,0)*VLOOKUP('Données projet'!$B$15,Paramètres!$A$1:$I$88,7,0))</f>
        <v>0</v>
      </c>
      <c r="DI63" s="37">
        <f>IF(ISNA(VLOOKUP(A63,'Données projet'!$A$191:$I$211,7,0)),0%,VLOOKUP(A63,'Données projet'!$A$191:$I$211,7,0))</f>
        <v>0</v>
      </c>
      <c r="DJ63" s="45">
        <f>EXP(-LN(2)/35)*DJ62+(1-EXP(-LN(2)/35))/(LN(2)/35)*DF63*DG63*VLOOKUP('Données projet'!$B$9,Paramètres!$A$1:$I$88,3,0)*0.475*44/12</f>
        <v>0</v>
      </c>
      <c r="DK63" s="45">
        <f>EXP(-LN(2)/25)*DK62+(1-EXP(-LN(2)/25))/(LN(2)/25)*Calculateur!DF63*Calculateur!DH63*VLOOKUP('Données projet'!$B$9,Paramètres!$A$1:$I$88,3,0)*0.475*44/12</f>
        <v>0</v>
      </c>
      <c r="DL63" s="45">
        <f>EXP(-LN(2)/2)*DL62+(1-EXP(-LN(2)/2))/(LN(2)/2)*DF63*DI63*VLOOKUP('Données projet'!$B$9,Paramètres!$A$1:$I$88,3,0)*0.475*44/12</f>
        <v>0</v>
      </c>
      <c r="DM63" s="46">
        <f t="shared" si="13"/>
        <v>0</v>
      </c>
      <c r="DN63" s="32" t="e">
        <f>VLOOKUP(A63,'Données projet'!$A$217:$I$237,2,0)</f>
        <v>#N/A</v>
      </c>
      <c r="DO63" s="33" t="e">
        <f>VLOOKUP(A63,'Données projet'!$A$217:$I$237,9,0)</f>
        <v>#N/A</v>
      </c>
      <c r="DP63" s="33">
        <f t="array" ref="DP63">INDEX(DO:DO,MIN(IF(ISNUMBER(DO63:DO259),ROW(DO63:DO259),"")))</f>
        <v>0</v>
      </c>
      <c r="DQ63" s="33">
        <f t="shared" si="35"/>
        <v>0</v>
      </c>
      <c r="DR63" s="38" t="e">
        <f>DQ63*VLOOKUP('Données projet'!$B$16,Paramètres!$A$1:$I$88,3,0)*VLOOKUP('Données projet'!$B$16,Paramètres!$A$1:$I$88,5,0)</f>
        <v>#N/A</v>
      </c>
      <c r="DS63" s="34" t="e">
        <f t="shared" si="36"/>
        <v>#N/A</v>
      </c>
      <c r="DT63" s="44" t="e">
        <f t="shared" si="14"/>
        <v>#N/A</v>
      </c>
      <c r="DU63" s="36">
        <f>IF(ISNA(VLOOKUP(A63,'Données projet'!$A$217:$I$237,3,0)),0,VLOOKUP(A63,'Données projet'!$A$217:$I$237,3,0))</f>
        <v>0</v>
      </c>
      <c r="DV63" s="36">
        <f>IF(ISNA(VLOOKUP(A63,'Données projet'!$A$217:$I$237,4,0)),0,VLOOKUP(A63,'Données projet'!$A$217:$I$237,4,0))</f>
        <v>0</v>
      </c>
      <c r="DW63" s="37">
        <f>IF(ISNA(VLOOKUP(A63,'Données projet'!$A$217:$I$237,5,0)),0%,VLOOKUP(A63,'Données projet'!$A$217:$I$237,5,0)*VLOOKUP('Données projet'!$B$16,Paramètres!$A$1:$I$88,7,0))</f>
        <v>0</v>
      </c>
      <c r="DX63" s="37">
        <f>IF(ISNA(VLOOKUP(A63,'Données projet'!$A$217:$I$237,6,0)),0%,VLOOKUP(A63,'Données projet'!$A$217:$I$237,6,0)*VLOOKUP('Données projet'!$B$16,Paramètres!$A$1:$I$88,7,0))</f>
        <v>0</v>
      </c>
      <c r="DY63" s="37">
        <f>IF(ISNA(VLOOKUP(A63,'Données projet'!$A$217:$I$237,7,0)),0%,VLOOKUP(A63,'Données projet'!$A$217:$I$237,7,0))</f>
        <v>0</v>
      </c>
      <c r="DZ63" s="45">
        <f>EXP(-LN(2)/35)*DZ62+(1-EXP(-LN(2)/35))/(LN(2)/35)*DV63*DW63*VLOOKUP('Données projet'!$B$9,Paramètres!$A$1:$I$88,3,0)*0.475*44/12</f>
        <v>0</v>
      </c>
      <c r="EA63" s="45">
        <f>EXP(-LN(2)/25)*EA62+(1-EXP(-LN(2)/25))/(LN(2)/25)*Calculateur!DV63*Calculateur!DX63*VLOOKUP('Données projet'!$B$9,Paramètres!$A$1:$I$88,3,0)*0.475*44/12</f>
        <v>0</v>
      </c>
      <c r="EB63" s="45">
        <f>EXP(-LN(2)/2)*EB62+(1-EXP(-LN(2)/2))/(LN(2)/2)*DV63*DY63*VLOOKUP('Données projet'!$B$9,Paramètres!$A$1:$I$88,3,0)*0.475*44/12</f>
        <v>0</v>
      </c>
      <c r="EC63" s="46">
        <f t="shared" si="15"/>
        <v>0</v>
      </c>
      <c r="ED63" s="32" t="e">
        <f>VLOOKUP(A63,'Données projet'!$A$243:$I$263,2,0)</f>
        <v>#N/A</v>
      </c>
      <c r="EE63" s="33" t="e">
        <f>VLOOKUP(A63,'Données projet'!$A$243:$I$263,9,0)</f>
        <v>#N/A</v>
      </c>
      <c r="EF63" s="33">
        <f t="array" ref="EF63">INDEX(EE:EE,MIN(IF(ISNUMBER(EE63:EE259),ROW(EE63:EE259),"")))</f>
        <v>0</v>
      </c>
      <c r="EG63" s="33">
        <f t="shared" si="37"/>
        <v>0</v>
      </c>
      <c r="EH63" s="38" t="e">
        <f>EG63*VLOOKUP('Données projet'!$B$17,Paramètres!$A$1:$I$88,3,0)*VLOOKUP('Données projet'!$B$17,Paramètres!$A$1:$I$88,5,0)</f>
        <v>#N/A</v>
      </c>
      <c r="EI63" s="34" t="e">
        <f t="shared" si="38"/>
        <v>#N/A</v>
      </c>
      <c r="EJ63" s="44" t="e">
        <f t="shared" si="16"/>
        <v>#N/A</v>
      </c>
      <c r="EK63" s="36">
        <f>IF(ISNA(VLOOKUP(A63,'Données projet'!$A$243:$I$263,3,0)),0,VLOOKUP(A63,'Données projet'!$A$243:$I$263,3,0))</f>
        <v>0</v>
      </c>
      <c r="EL63" s="36">
        <f>IF(ISNA(VLOOKUP(A63,'Données projet'!$A$243:$I$263,4,0)),0,VLOOKUP(A63,'Données projet'!$A$243:$I$263,4,0))</f>
        <v>0</v>
      </c>
      <c r="EM63" s="37">
        <f>IF(ISNA(VLOOKUP(A63,'Données projet'!$A$243:$I$263,5,0)),0%,VLOOKUP(A63,'Données projet'!$A$243:$I$263,5,0)*VLOOKUP('Données projet'!$B$17,Paramètres!$A$1:$I$88,7,0))</f>
        <v>0</v>
      </c>
      <c r="EN63" s="37">
        <f>IF(ISNA(VLOOKUP(A63,'Données projet'!$A$243:$I$263,6,0)),0%,VLOOKUP(A63,'Données projet'!$A$243:$I$263,6,0)*VLOOKUP('Données projet'!$B$17,Paramètres!$A$1:$I$88,7,0))</f>
        <v>0</v>
      </c>
      <c r="EO63" s="37">
        <f>IF(ISNA(VLOOKUP(A63,'Données projet'!$A$243:$I$263,7,0)),0%,VLOOKUP(A63,'Données projet'!$A$243:$I$263,7,0))</f>
        <v>0</v>
      </c>
      <c r="EP63" s="45">
        <f>EXP(-LN(2)/35)*EP62+(1-EXP(-LN(2)/35))/(LN(2)/35)*EL63*EM63*VLOOKUP('Données projet'!$B$9,Paramètres!$A$1:$I$88,3,0)*0.475*44/12</f>
        <v>0</v>
      </c>
      <c r="EQ63" s="45">
        <f>EXP(-LN(2)/25)*EQ62+(1-EXP(-LN(2)/25))/(LN(2)/25)*Calculateur!EL63*Calculateur!EN63*VLOOKUP('Données projet'!$B$9,Paramètres!$A$1:$I$88,3,0)*0.475*44/12</f>
        <v>0</v>
      </c>
      <c r="ER63" s="45">
        <f>EXP(-LN(2)/2)*ER62+(1-EXP(-LN(2)/2))/(LN(2)/2)*EL63*EO63*VLOOKUP('Données projet'!$B$9,Paramètres!$A$1:$I$88,3,0)*0.475*44/12</f>
        <v>0</v>
      </c>
      <c r="ES63" s="46">
        <f t="shared" si="17"/>
        <v>0</v>
      </c>
      <c r="ET63" s="32" t="e">
        <f>VLOOKUP(A63,'Données projet'!$A$269:$I$289,2,0)</f>
        <v>#N/A</v>
      </c>
      <c r="EU63" s="33" t="e">
        <f>VLOOKUP(A63,'Données projet'!$A$269:$I$289,9,0)</f>
        <v>#N/A</v>
      </c>
      <c r="EV63" s="33">
        <f t="array" ref="EV63">INDEX(EU:EU,MIN(IF(ISNUMBER(EU63:EU259),ROW(EU63:EU259),"")))</f>
        <v>0</v>
      </c>
      <c r="EW63" s="33">
        <f t="shared" si="39"/>
        <v>0</v>
      </c>
      <c r="EX63" s="38" t="e">
        <f>EW63*VLOOKUP('Données projet'!$B$18,Paramètres!$A$1:$I$88,3,0)*VLOOKUP('Données projet'!$B$18,Paramètres!$A$1:$I$88,5,0)</f>
        <v>#N/A</v>
      </c>
      <c r="EY63" s="34" t="e">
        <f t="shared" si="40"/>
        <v>#N/A</v>
      </c>
      <c r="EZ63" s="44" t="e">
        <f t="shared" si="18"/>
        <v>#N/A</v>
      </c>
      <c r="FA63" s="36">
        <f>IF(ISNA(VLOOKUP(A63,'Données projet'!$A$269:$I$289,3,0)),0,VLOOKUP(A63,'Données projet'!$A$269:$I$289,3,0))</f>
        <v>0</v>
      </c>
      <c r="FB63" s="36">
        <f>IF(ISNA(VLOOKUP(A63,'Données projet'!$A$269:$I$289,4,0)),0,VLOOKUP(A63,'Données projet'!$A$269:$I$289,4,0))</f>
        <v>0</v>
      </c>
      <c r="FC63" s="37">
        <f>IF(ISNA(VLOOKUP(A63,'Données projet'!$A$269:$I$289,5,0)),0%,VLOOKUP(A63,'Données projet'!$A$269:$I$289,5,0)*VLOOKUP('Données projet'!$B$18,Paramètres!$A$1:$I$88,7,0))</f>
        <v>0</v>
      </c>
      <c r="FD63" s="37">
        <f>IF(ISNA(VLOOKUP(A63,'Données projet'!$A$269:$I$289,6,0)),0%,VLOOKUP(A63,'Données projet'!$A$269:$I$289,6,0)*VLOOKUP('Données projet'!$B$18,Paramètres!$A$1:$I$88,7,0))</f>
        <v>0</v>
      </c>
      <c r="FE63" s="37">
        <f>IF(ISNA(VLOOKUP(A63,'Données projet'!$A$269:$I$289,7,0)),0%,VLOOKUP(A63,'Données projet'!$A$269:$I$289,7,0))</f>
        <v>0</v>
      </c>
      <c r="FF63" s="45">
        <f>EXP(-LN(2)/35)*FF62+(1-EXP(-LN(2)/35))/(LN(2)/35)*FB63*FC63*VLOOKUP('Données projet'!$B$9,Paramètres!$A$1:$I$88,3,0)*0.475*44/12</f>
        <v>0</v>
      </c>
      <c r="FG63" s="45">
        <f>EXP(-LN(2)/25)*FG62+(1-EXP(-LN(2)/25))/(LN(2)/25)*Calculateur!FB63*Calculateur!FD63*VLOOKUP('Données projet'!$B$9,Paramètres!$A$1:$I$88,3,0)*0.475*44/12</f>
        <v>0</v>
      </c>
      <c r="FH63" s="45">
        <f>EXP(-LN(2)/2)*FH62+(1-EXP(-LN(2)/2))/(LN(2)/2)*FB63*FE63*VLOOKUP('Données projet'!$B$9,Paramètres!$A$1:$I$88,3,0)*0.475*44/12</f>
        <v>0</v>
      </c>
      <c r="FI63" s="46">
        <f t="shared" si="19"/>
        <v>0</v>
      </c>
    </row>
    <row r="64" spans="1:165" x14ac:dyDescent="0.25">
      <c r="A64" s="24">
        <f t="shared" si="20"/>
        <v>61</v>
      </c>
      <c r="B64" s="25">
        <f>IF('Scénario référence'!$N$1=1,5,0)</f>
        <v>0</v>
      </c>
      <c r="C64" s="40">
        <f>IF(OR('Scénario référence'!$N$1=2,'Scénario référence'!$N$1=4),C63+1*VLOOKUP('Scénario référence'!$G$14,Paramètres!$A$1:$I$88,3,0)*VLOOKUP('Scénario référence'!$G$14,Paramètres!$A$1:$I$88,5,0),IF(OR('Scénario référence'!$N$1=3,'Scénario référence'!$N$1=5),C63+0.5*VLOOKUP('Scénario référence'!$G$14,Paramètres!$A$1:$I$88,3,0)*VLOOKUP('Scénario référence'!$G$14,Paramètres!$A$1:$I$88,5,0),0))</f>
        <v>33.305999999999976</v>
      </c>
      <c r="D64" s="26">
        <f t="shared" si="21"/>
        <v>10.205938010999123</v>
      </c>
      <c r="E64" s="27">
        <f>IF('Scénario référence'!$N$1=1,B64*44/12,(C64+D64)*0.475*44/12)</f>
        <v>75.783292035823436</v>
      </c>
      <c r="F64" s="28" t="e">
        <f>VLOOKUP(A64,'Données projet'!$A$35:$I$55,2,0)</f>
        <v>#N/A</v>
      </c>
      <c r="G64" s="28" t="e">
        <f>VLOOKUP(A64,'Données projet'!$A$35:$I$55,9,0)</f>
        <v>#N/A</v>
      </c>
      <c r="H64" s="33">
        <f t="array" ref="H64">INDEX(G:G,MIN(IF(ISNUMBER(G64:G260),ROW(G64:G260),"")))</f>
        <v>7.2</v>
      </c>
      <c r="I64" s="28">
        <f t="shared" si="22"/>
        <v>221.19999999999996</v>
      </c>
      <c r="J64" s="41">
        <f>I64*VLOOKUP('Données projet'!$B$9,Paramètres!$A$1:$I$88,3,0)*VLOOKUP('Données projet'!$B$9,Paramètres!$A$1:$I$88,5,0)</f>
        <v>224.29679999999996</v>
      </c>
      <c r="K64" s="41">
        <f t="shared" si="23"/>
        <v>55.047720057866165</v>
      </c>
      <c r="L64" s="42">
        <f t="shared" si="0"/>
        <v>486.52503910078349</v>
      </c>
      <c r="M64" s="30">
        <f>IF(ISNA(VLOOKUP(A64,'Données projet'!$A$35:$I$55,3,0)),0,VLOOKUP(A64,'Données projet'!$A$35:$I$55,3,0))</f>
        <v>0</v>
      </c>
      <c r="N64" s="30">
        <f>IF(ISNA(VLOOKUP(A64,'Données projet'!$A$35:$I$55,4,0)),0,VLOOKUP(A64,'Données projet'!$A$35:$I$55,4,0))</f>
        <v>0</v>
      </c>
      <c r="O64" s="31">
        <f>IF(ISNA(VLOOKUP(A64,'Données projet'!$A$35:$I$55,5,0)),0%,VLOOKUP(A64,'Données projet'!$A$35:$I$55,5,0)*VLOOKUP('Données projet'!$B$9,Paramètres!$A$1:$I$88,7,0))</f>
        <v>0</v>
      </c>
      <c r="P64" s="31">
        <f>IF(ISNA(VLOOKUP(A64,'Données projet'!$A$35:$I$55,6,0)),0%,VLOOKUP(A64,'Données projet'!$A$35:$I$55,6,0)*VLOOKUP('Données projet'!$B$9,Paramètres!$A$1:$I$88,7,0))</f>
        <v>0</v>
      </c>
      <c r="Q64" s="31">
        <f>IF(ISNA(VLOOKUP(A64,'Données projet'!$A$35:$I$55,7,0)),0%,VLOOKUP(A64,'Données projet'!$A$35:$I$55,7,0))</f>
        <v>0</v>
      </c>
      <c r="R64" s="43">
        <f>EXP(-LN(2)/35)*R63+(1-EXP(-LN(2)/35))/(LN(2)/35)*N64*O64*VLOOKUP('Données projet'!$B$9,Paramètres!$A$1:$I$88,3,0)*0.475*44/12</f>
        <v>0</v>
      </c>
      <c r="S64" s="43">
        <f>EXP(-LN(2)/25)*S63+(1-EXP(-LN(2)/25))/(LN(2)/25)*Calculateur!N64*Calculateur!P64*VLOOKUP('Données projet'!$B$9,Paramètres!$A$1:$I$88,3,0)*0.475*44/12</f>
        <v>0</v>
      </c>
      <c r="T64" s="43">
        <f>EXP(-LN(2)/2)*T63+(1-EXP(-LN(2)/2))/(LN(2)/2)*N64*Q64*VLOOKUP('Données projet'!$B$9,Paramètres!$A$1:$I$88,3,0)*0.475*44/12</f>
        <v>0</v>
      </c>
      <c r="U64" s="43">
        <f t="shared" si="1"/>
        <v>0</v>
      </c>
      <c r="V64" s="32" t="e">
        <f>VLOOKUP(A64,'Données projet'!$A$61:$I$81,2,0)</f>
        <v>#N/A</v>
      </c>
      <c r="W64" s="33" t="e">
        <f>VLOOKUP(A64,'Données projet'!$A$61:$I$81,9,0)</f>
        <v>#N/A</v>
      </c>
      <c r="X64" s="33">
        <f t="array" ref="X64">INDEX(W:W,MIN(IF(ISNUMBER(W64:W260),ROW(W64:W260),"")))</f>
        <v>0</v>
      </c>
      <c r="Y64" s="33">
        <f t="shared" si="24"/>
        <v>0</v>
      </c>
      <c r="Z64" s="34" t="e">
        <f>Y64*VLOOKUP('Données projet'!$B$10,Paramètres!$A$1:$I$88,3,0)*VLOOKUP('Données projet'!$B$10,Paramètres!$A$1:$I$88,5,0)</f>
        <v>#N/A</v>
      </c>
      <c r="AA64" s="34" t="e">
        <f t="shared" si="25"/>
        <v>#N/A</v>
      </c>
      <c r="AB64" s="44" t="e">
        <f t="shared" si="2"/>
        <v>#N/A</v>
      </c>
      <c r="AC64" s="36">
        <f>IF(ISNA(VLOOKUP(A64,'Données projet'!$A$61:$I$81,3,0)),0,VLOOKUP(A64,'Données projet'!$A$61:$I$81,3,0))</f>
        <v>0</v>
      </c>
      <c r="AD64" s="36">
        <f>IF(ISNA(VLOOKUP(A64,'Données projet'!$A$61:$I$81,4,0)),0,VLOOKUP(A64,'Données projet'!$A$61:$I$81,4,0))</f>
        <v>0</v>
      </c>
      <c r="AE64" s="37">
        <f>IF(ISNA(VLOOKUP(A64,'Données projet'!$A$61:$I$81,5,0)),0%,VLOOKUP(A64,'Données projet'!$A$61:$I$81,5,0)*VLOOKUP('Données projet'!$B$10,Paramètres!$A$1:$I$88,7,0))</f>
        <v>0</v>
      </c>
      <c r="AF64" s="37">
        <f>IF(ISNA(VLOOKUP(A64,'Données projet'!$A$61:$I$81,6,0)),0%,VLOOKUP(A64,'Données projet'!$A$61:$I$81,6,0)*VLOOKUP('Données projet'!$B$10,Paramètres!$A$1:$I$88,7,0))</f>
        <v>0</v>
      </c>
      <c r="AG64" s="37">
        <f>IF(ISNA(VLOOKUP(A64,'Données projet'!$A$61:$I$81,7,0)),0%,VLOOKUP(A64,'Données projet'!$A$61:$I$81,7,0))</f>
        <v>0</v>
      </c>
      <c r="AH64" s="45">
        <f>EXP(-LN(2)/35)*AH63+(1-EXP(-LN(2)/35))/(LN(2)/35)*AD64*AE64*VLOOKUP('Données projet'!$B$9,Paramètres!$A$1:$I$88,3,0)*0.475*44/12</f>
        <v>0</v>
      </c>
      <c r="AI64" s="45">
        <f>EXP(-LN(2)/25)*AI63+(1-EXP(-LN(2)/25))/(LN(2)/25)*Calculateur!AD64*Calculateur!AF64*VLOOKUP('Données projet'!$B$9,Paramètres!$A$1:$I$88,3,0)*0.475*44/12</f>
        <v>0</v>
      </c>
      <c r="AJ64" s="45">
        <f>EXP(-LN(2)/2)*AJ63+(1-EXP(-LN(2)/2))/(LN(2)/2)*AD64*AG64*VLOOKUP('Données projet'!$B$9,Paramètres!$A$1:$I$88,3,0)*0.475*44/12</f>
        <v>0</v>
      </c>
      <c r="AK64" s="45">
        <f t="shared" si="3"/>
        <v>0</v>
      </c>
      <c r="AL64" s="32" t="e">
        <f>VLOOKUP(A64,'Données projet'!$A$87:$I$107,2,0)</f>
        <v>#N/A</v>
      </c>
      <c r="AM64" s="33" t="e">
        <f>VLOOKUP(A64,'Données projet'!$A$87:$I$107,9,0)</f>
        <v>#N/A</v>
      </c>
      <c r="AN64" s="33">
        <f t="array" ref="AN64">INDEX(AM:AM,MIN(IF(ISNUMBER(AM64:AM260),ROW(AM64:AM260),"")))</f>
        <v>0</v>
      </c>
      <c r="AO64" s="33">
        <f t="shared" si="26"/>
        <v>0</v>
      </c>
      <c r="AP64" s="34" t="e">
        <f>AO64*VLOOKUP('Données projet'!$B$11,Paramètres!$A$1:$I$88,3,0)*VLOOKUP('Données projet'!$B$11,Paramètres!$A$1:$I$88,5,0)</f>
        <v>#N/A</v>
      </c>
      <c r="AQ64" s="34" t="e">
        <f t="shared" si="27"/>
        <v>#N/A</v>
      </c>
      <c r="AR64" s="44" t="e">
        <f t="shared" si="4"/>
        <v>#N/A</v>
      </c>
      <c r="AS64" s="36">
        <f>IF(ISNA(VLOOKUP(A64,'Données projet'!$A$87:$I$107,3,0)),0,VLOOKUP(A64,'Données projet'!$A$87:$I$107,3,0))</f>
        <v>0</v>
      </c>
      <c r="AT64" s="36">
        <f>IF(ISNA(VLOOKUP(A64,'Données projet'!$A$87:$I$107,4,0)),0,VLOOKUP(A64,'Données projet'!$A$87:$I$107,4,0))</f>
        <v>0</v>
      </c>
      <c r="AU64" s="37">
        <f>IF(ISNA(VLOOKUP(A64,'Données projet'!$A$87:$I$107,5,0)),0%,VLOOKUP(A64,'Données projet'!$A$87:$I$107,5,0)*VLOOKUP('Données projet'!$B$11,Paramètres!$A$1:$I$88,7,0))</f>
        <v>0</v>
      </c>
      <c r="AV64" s="37">
        <f>IF(ISNA(VLOOKUP(A64,'Données projet'!$A$87:$I$107,6,0)),0%,VLOOKUP(A64,'Données projet'!$A$87:$I$107,6,0)*VLOOKUP('Données projet'!$B$11,Paramètres!$A$1:$I$88,7,0))</f>
        <v>0</v>
      </c>
      <c r="AW64" s="37">
        <f>IF(ISNA(VLOOKUP(A64,'Données projet'!$A$87:$I$107,7,0)),0%,VLOOKUP(A64,'Données projet'!$A$87:$I$107,7,0))</f>
        <v>0</v>
      </c>
      <c r="AX64" s="45">
        <f>EXP(-LN(2)/35)*AX63+(1-EXP(-LN(2)/35))/(LN(2)/35)*AT64*AU64*VLOOKUP('Données projet'!$B$9,Paramètres!$A$1:$I$88,3,0)*0.475*44/12</f>
        <v>0</v>
      </c>
      <c r="AY64" s="45">
        <f>EXP(-LN(2)/25)*AY63+(1-EXP(-LN(2)/25))/(LN(2)/25)*Calculateur!AT64*Calculateur!AV64*VLOOKUP('Données projet'!$B$9,Paramètres!$A$1:$I$88,3,0)*0.475*44/12</f>
        <v>0</v>
      </c>
      <c r="AZ64" s="45">
        <f>EXP(-LN(2)/2)*AZ63+(1-EXP(-LN(2)/2))/(LN(2)/2)*AT64*AW64*VLOOKUP('Données projet'!$B$9,Paramètres!$A$1:$I$88,3,0)*0.475*44/12</f>
        <v>0</v>
      </c>
      <c r="BA64" s="46">
        <f t="shared" si="5"/>
        <v>0</v>
      </c>
      <c r="BB64" s="32" t="e">
        <f>VLOOKUP(A64,'Données projet'!$A$113:$I$133,2,0)</f>
        <v>#N/A</v>
      </c>
      <c r="BC64" s="33" t="e">
        <f>VLOOKUP(A64,'Données projet'!$A$113:$I$133,9,0)</f>
        <v>#N/A</v>
      </c>
      <c r="BD64" s="33">
        <f t="array" ref="BD64">INDEX(BC:BC,MIN(IF(ISNUMBER(BC64:BC260),ROW(BC64:BC260),"")))</f>
        <v>0</v>
      </c>
      <c r="BE64" s="33">
        <f t="shared" si="28"/>
        <v>0</v>
      </c>
      <c r="BF64" s="34" t="e">
        <f>BE64*VLOOKUP('Données projet'!$B$12,Paramètres!$A$1:$I$88,3,0)*VLOOKUP('Données projet'!$B$12,Paramètres!$A$1:$I$88,5,0)</f>
        <v>#N/A</v>
      </c>
      <c r="BG64" s="34" t="e">
        <f t="shared" si="29"/>
        <v>#N/A</v>
      </c>
      <c r="BH64" s="44" t="e">
        <f t="shared" si="6"/>
        <v>#N/A</v>
      </c>
      <c r="BI64" s="36">
        <f>IF(ISNA(VLOOKUP(A64,'Données projet'!$A$113:$I$133,3,0)),0,VLOOKUP(A64,'Données projet'!$A$113:$I$133,3,0))</f>
        <v>0</v>
      </c>
      <c r="BJ64" s="36">
        <f>IF(ISNA(VLOOKUP(A64,'Données projet'!$A$113:$I$133,4,0)),0,VLOOKUP(A64,'Données projet'!$A$113:$I$133,4,0))</f>
        <v>0</v>
      </c>
      <c r="BK64" s="37">
        <f>IF(ISNA(VLOOKUP(A64,'Données projet'!$A$113:$I$133,5,0)),0%,VLOOKUP(A64,'Données projet'!$A$113:$I$133,5,0)*VLOOKUP('Données projet'!$B$12,Paramètres!$A$1:$I$88,7,0))</f>
        <v>0</v>
      </c>
      <c r="BL64" s="37">
        <f>IF(ISNA(VLOOKUP(A64,'Données projet'!$A$113:$I$133,6,0)),0%,VLOOKUP(A64,'Données projet'!$A$113:$I$133,6,0)*VLOOKUP('Données projet'!$B$12,Paramètres!$A$1:$I$88,7,0))</f>
        <v>0</v>
      </c>
      <c r="BM64" s="37">
        <f>IF(ISNA(VLOOKUP(A64,'Données projet'!$A$113:$I$133,7,0)),0%,VLOOKUP(A64,'Données projet'!$A$113:$I$133,7,0))</f>
        <v>0</v>
      </c>
      <c r="BN64" s="45">
        <f>EXP(-LN(2)/35)*BN63+(1-EXP(-LN(2)/35))/(LN(2)/35)*BJ64*BK64*VLOOKUP('Données projet'!$B$9,Paramètres!$A$1:$I$88,3,0)*0.475*44/12</f>
        <v>0</v>
      </c>
      <c r="BO64" s="45">
        <f>EXP(-LN(2)/25)*BO63+(1-EXP(-LN(2)/25))/(LN(2)/25)*Calculateur!BJ64*Calculateur!BL64*VLOOKUP('Données projet'!$B$9,Paramètres!$A$1:$I$88,3,0)*0.475*44/12</f>
        <v>0</v>
      </c>
      <c r="BP64" s="45">
        <f>EXP(-LN(2)/2)*BP63+(1-EXP(-LN(2)/2))/(LN(2)/2)*BJ64*BM64*VLOOKUP('Données projet'!$B$9,Paramètres!$A$1:$I$88,3,0)*0.475*44/12</f>
        <v>0</v>
      </c>
      <c r="BQ64" s="46">
        <f t="shared" si="7"/>
        <v>0</v>
      </c>
      <c r="BR64" s="32" t="e">
        <f>VLOOKUP(A64,'Données projet'!$A$139:$I$159,2,0)</f>
        <v>#N/A</v>
      </c>
      <c r="BS64" s="33" t="e">
        <f>VLOOKUP(A64,'Données projet'!$A$139:$I$159,9,0)</f>
        <v>#N/A</v>
      </c>
      <c r="BT64" s="33">
        <f t="array" ref="BT64">INDEX(BS:BS,MIN(IF(ISNUMBER(BS64:BS260),ROW(BS64:BS260),"")))</f>
        <v>0</v>
      </c>
      <c r="BU64" s="33">
        <f t="shared" si="41"/>
        <v>0</v>
      </c>
      <c r="BV64" s="38" t="e">
        <f>BU64*VLOOKUP('Données projet'!$B$13,Paramètres!$A$1:$I$88,3,0)*VLOOKUP('Données projet'!$B$13,Paramètres!$A$1:$I$88,5,0)</f>
        <v>#N/A</v>
      </c>
      <c r="BW64" s="34" t="e">
        <f t="shared" si="30"/>
        <v>#N/A</v>
      </c>
      <c r="BX64" s="44" t="e">
        <f t="shared" si="8"/>
        <v>#N/A</v>
      </c>
      <c r="BY64" s="36">
        <f>IF(ISNA(VLOOKUP(A64,'Données projet'!$A$139:$I$159,3,0)),0,VLOOKUP(A64,'Données projet'!$A$139:$I$159,3,0))</f>
        <v>0</v>
      </c>
      <c r="BZ64" s="36">
        <f>IF(ISNA(VLOOKUP(A64,'Données projet'!$A$139:$I$159,4,0)),0,VLOOKUP(A64,'Données projet'!$A$139:$I$159,4,0))</f>
        <v>0</v>
      </c>
      <c r="CA64" s="37">
        <f>IF(ISNA(VLOOKUP(A64,'Données projet'!$A$139:$I$159,5,0)),0%,VLOOKUP(A64,'Données projet'!$A$139:$I$159,5,0)*VLOOKUP('Données projet'!$B$13,Paramètres!$A$1:$I$88,7,0))</f>
        <v>0</v>
      </c>
      <c r="CB64" s="37">
        <f>IF(ISNA(VLOOKUP(A64,'Données projet'!$A$139:$I$159,6,0)),0%,VLOOKUP(A64,'Données projet'!$A$139:$I$159,6,0)*VLOOKUP('Données projet'!$B$13,Paramètres!$A$1:$I$88,7,0))</f>
        <v>0</v>
      </c>
      <c r="CC64" s="37">
        <f>IF(ISNA(VLOOKUP(A64,'Données projet'!$A$139:$I$159,7,0)),0%,VLOOKUP(A64,'Données projet'!$A$139:$I$159,7,0))</f>
        <v>0</v>
      </c>
      <c r="CD64" s="45">
        <f>EXP(-LN(2)/35)*CD63+(1-EXP(-LN(2)/35))/(LN(2)/35)*BZ64*CA64*VLOOKUP('Données projet'!$B$9,Paramètres!$A$1:$I$88,3,0)*0.475*44/12</f>
        <v>0</v>
      </c>
      <c r="CE64" s="45">
        <f>EXP(-LN(2)/25)*CE63+(1-EXP(-LN(2)/25))/(LN(2)/25)*Calculateur!BZ64*Calculateur!CB64*VLOOKUP('Données projet'!$B$9,Paramètres!$A$1:$I$88,3,0)*0.475*44/12</f>
        <v>0</v>
      </c>
      <c r="CF64" s="45">
        <f>EXP(-LN(2)/2)*CF63+(1-EXP(-LN(2)/2))/(LN(2)/2)*BZ64*CC64*VLOOKUP('Données projet'!$B$9,Paramètres!$A$1:$I$88,3,0)*0.475*44/12</f>
        <v>0</v>
      </c>
      <c r="CG64" s="46">
        <f t="shared" si="9"/>
        <v>0</v>
      </c>
      <c r="CH64" s="32" t="e">
        <f>VLOOKUP(A64,'Données projet'!$A$165:$I$185,2,0)</f>
        <v>#N/A</v>
      </c>
      <c r="CI64" s="33" t="e">
        <f>VLOOKUP(A64,'Données projet'!$A$165:$I$185,9,0)</f>
        <v>#N/A</v>
      </c>
      <c r="CJ64" s="33">
        <f t="array" ref="CJ64">INDEX(CI:CI,MIN(IF(ISNUMBER(CI64:CI260),ROW(CI64:CI260),"")))</f>
        <v>0</v>
      </c>
      <c r="CK64" s="33">
        <f t="shared" si="31"/>
        <v>0</v>
      </c>
      <c r="CL64" s="38" t="e">
        <f>CK64*VLOOKUP('Données projet'!$B$14,Paramètres!$A$1:$I$88,3,0)*VLOOKUP('Données projet'!$B$14,Paramètres!$A$1:$I$88,5,0)</f>
        <v>#N/A</v>
      </c>
      <c r="CM64" s="34" t="e">
        <f t="shared" si="32"/>
        <v>#N/A</v>
      </c>
      <c r="CN64" s="44" t="e">
        <f t="shared" si="10"/>
        <v>#N/A</v>
      </c>
      <c r="CO64" s="36">
        <f>IF(ISNA(VLOOKUP(A64,'Données projet'!$A$165:$I$185,3,0)),0,VLOOKUP(A64,'Données projet'!$A$165:$I$185,3,0))</f>
        <v>0</v>
      </c>
      <c r="CP64" s="36">
        <f>IF(ISNA(VLOOKUP(A64,'Données projet'!$A$165:$I$185,4,0)),0,VLOOKUP(A64,'Données projet'!$A$165:$I$185,4,0))</f>
        <v>0</v>
      </c>
      <c r="CQ64" s="37">
        <f>IF(ISNA(VLOOKUP(A64,'Données projet'!$A$165:$I$185,5,0)),0%,VLOOKUP(A64,'Données projet'!$A$165:$I$185,5,0)*VLOOKUP('Données projet'!$B$14,Paramètres!$A$1:$I$88,7,0))</f>
        <v>0</v>
      </c>
      <c r="CR64" s="37">
        <f>IF(ISNA(VLOOKUP(A64,'Données projet'!$A$165:$I$185,6,0)),0%,VLOOKUP(A64,'Données projet'!$A$165:$I$185,6,0)*VLOOKUP('Données projet'!$B$14,Paramètres!$A$1:$I$88,7,0))</f>
        <v>0</v>
      </c>
      <c r="CS64" s="37">
        <f>IF(ISNA(VLOOKUP(A64,'Données projet'!$A$165:$I$185,7,0)),0%,VLOOKUP(A64,'Données projet'!$A$165:$I$185,7,0))</f>
        <v>0</v>
      </c>
      <c r="CT64" s="45">
        <f>EXP(-LN(2)/35)*CT63+(1-EXP(-LN(2)/35))/(LN(2)/35)*CP64*CQ64*VLOOKUP('Données projet'!$B$9,Paramètres!$A$1:$I$88,3,0)*0.475*44/12</f>
        <v>0</v>
      </c>
      <c r="CU64" s="45">
        <f>EXP(-LN(2)/25)*CU63+(1-EXP(-LN(2)/25))/(LN(2)/25)*Calculateur!CP64*Calculateur!CR64*VLOOKUP('Données projet'!$B$9,Paramètres!$A$1:$I$88,3,0)*0.475*44/12</f>
        <v>0</v>
      </c>
      <c r="CV64" s="45">
        <f>EXP(-LN(2)/2)*CV63+(1-EXP(-LN(2)/2))/(LN(2)/2)*CP64*CS64*VLOOKUP('Données projet'!$B$9,Paramètres!$A$1:$I$88,3,0)*0.475*44/12</f>
        <v>0</v>
      </c>
      <c r="CW64" s="46">
        <f t="shared" si="11"/>
        <v>0</v>
      </c>
      <c r="CX64" s="32" t="e">
        <f>VLOOKUP(A64,'Données projet'!$A$191:$I$211,2,0)</f>
        <v>#N/A</v>
      </c>
      <c r="CY64" s="33" t="e">
        <f>VLOOKUP(A64,'Données projet'!$A$191:$I$211,9,0)</f>
        <v>#N/A</v>
      </c>
      <c r="CZ64" s="33">
        <f t="array" ref="CZ64">INDEX(CY:CY,MIN(IF(ISNUMBER(CY64:CY260),ROW(CY64:CY260),"")))</f>
        <v>0</v>
      </c>
      <c r="DA64" s="33">
        <f t="shared" si="33"/>
        <v>0</v>
      </c>
      <c r="DB64" s="38" t="e">
        <f>DA64*VLOOKUP('Données projet'!$B$15,Paramètres!$A$1:$I$88,3,0)*VLOOKUP('Données projet'!$B$15,Paramètres!$A$1:$I$88,5,0)</f>
        <v>#N/A</v>
      </c>
      <c r="DC64" s="34" t="e">
        <f t="shared" si="34"/>
        <v>#N/A</v>
      </c>
      <c r="DD64" s="44" t="e">
        <f t="shared" si="12"/>
        <v>#N/A</v>
      </c>
      <c r="DE64" s="36">
        <f>IF(ISNA(VLOOKUP(A64,'Données projet'!$A$191:$I$211,3,0)),0,VLOOKUP(A64,'Données projet'!$A$191:$I$211,3,0))</f>
        <v>0</v>
      </c>
      <c r="DF64" s="36">
        <f>IF(ISNA(VLOOKUP(A64,'Données projet'!$A$191:$I$211,4,0)),0,VLOOKUP(A64,'Données projet'!$A$191:$I$211,4,0))</f>
        <v>0</v>
      </c>
      <c r="DG64" s="37">
        <f>IF(ISNA(VLOOKUP(A64,'Données projet'!$A$191:$I$211,5,0)),0%,VLOOKUP(A64,'Données projet'!$A$191:$I$211,5,0)*VLOOKUP('Données projet'!$B$15,Paramètres!$A$1:$I$88,7,0))</f>
        <v>0</v>
      </c>
      <c r="DH64" s="37">
        <f>IF(ISNA(VLOOKUP(A64,'Données projet'!$A$191:$I$211,6,0)),0%,VLOOKUP(A64,'Données projet'!$A$191:$I$211,6,0)*VLOOKUP('Données projet'!$B$15,Paramètres!$A$1:$I$88,7,0))</f>
        <v>0</v>
      </c>
      <c r="DI64" s="37">
        <f>IF(ISNA(VLOOKUP(A64,'Données projet'!$A$191:$I$211,7,0)),0%,VLOOKUP(A64,'Données projet'!$A$191:$I$211,7,0))</f>
        <v>0</v>
      </c>
      <c r="DJ64" s="45">
        <f>EXP(-LN(2)/35)*DJ63+(1-EXP(-LN(2)/35))/(LN(2)/35)*DF64*DG64*VLOOKUP('Données projet'!$B$9,Paramètres!$A$1:$I$88,3,0)*0.475*44/12</f>
        <v>0</v>
      </c>
      <c r="DK64" s="45">
        <f>EXP(-LN(2)/25)*DK63+(1-EXP(-LN(2)/25))/(LN(2)/25)*Calculateur!DF64*Calculateur!DH64*VLOOKUP('Données projet'!$B$9,Paramètres!$A$1:$I$88,3,0)*0.475*44/12</f>
        <v>0</v>
      </c>
      <c r="DL64" s="45">
        <f>EXP(-LN(2)/2)*DL63+(1-EXP(-LN(2)/2))/(LN(2)/2)*DF64*DI64*VLOOKUP('Données projet'!$B$9,Paramètres!$A$1:$I$88,3,0)*0.475*44/12</f>
        <v>0</v>
      </c>
      <c r="DM64" s="46">
        <f t="shared" si="13"/>
        <v>0</v>
      </c>
      <c r="DN64" s="32" t="e">
        <f>VLOOKUP(A64,'Données projet'!$A$217:$I$237,2,0)</f>
        <v>#N/A</v>
      </c>
      <c r="DO64" s="33" t="e">
        <f>VLOOKUP(A64,'Données projet'!$A$217:$I$237,9,0)</f>
        <v>#N/A</v>
      </c>
      <c r="DP64" s="33">
        <f t="array" ref="DP64">INDEX(DO:DO,MIN(IF(ISNUMBER(DO64:DO260),ROW(DO64:DO260),"")))</f>
        <v>0</v>
      </c>
      <c r="DQ64" s="33">
        <f t="shared" si="35"/>
        <v>0</v>
      </c>
      <c r="DR64" s="38" t="e">
        <f>DQ64*VLOOKUP('Données projet'!$B$16,Paramètres!$A$1:$I$88,3,0)*VLOOKUP('Données projet'!$B$16,Paramètres!$A$1:$I$88,5,0)</f>
        <v>#N/A</v>
      </c>
      <c r="DS64" s="34" t="e">
        <f t="shared" si="36"/>
        <v>#N/A</v>
      </c>
      <c r="DT64" s="44" t="e">
        <f t="shared" si="14"/>
        <v>#N/A</v>
      </c>
      <c r="DU64" s="36">
        <f>IF(ISNA(VLOOKUP(A64,'Données projet'!$A$217:$I$237,3,0)),0,VLOOKUP(A64,'Données projet'!$A$217:$I$237,3,0))</f>
        <v>0</v>
      </c>
      <c r="DV64" s="36">
        <f>IF(ISNA(VLOOKUP(A64,'Données projet'!$A$217:$I$237,4,0)),0,VLOOKUP(A64,'Données projet'!$A$217:$I$237,4,0))</f>
        <v>0</v>
      </c>
      <c r="DW64" s="37">
        <f>IF(ISNA(VLOOKUP(A64,'Données projet'!$A$217:$I$237,5,0)),0%,VLOOKUP(A64,'Données projet'!$A$217:$I$237,5,0)*VLOOKUP('Données projet'!$B$16,Paramètres!$A$1:$I$88,7,0))</f>
        <v>0</v>
      </c>
      <c r="DX64" s="37">
        <f>IF(ISNA(VLOOKUP(A64,'Données projet'!$A$217:$I$237,6,0)),0%,VLOOKUP(A64,'Données projet'!$A$217:$I$237,6,0)*VLOOKUP('Données projet'!$B$16,Paramètres!$A$1:$I$88,7,0))</f>
        <v>0</v>
      </c>
      <c r="DY64" s="37">
        <f>IF(ISNA(VLOOKUP(A64,'Données projet'!$A$217:$I$237,7,0)),0%,VLOOKUP(A64,'Données projet'!$A$217:$I$237,7,0))</f>
        <v>0</v>
      </c>
      <c r="DZ64" s="45">
        <f>EXP(-LN(2)/35)*DZ63+(1-EXP(-LN(2)/35))/(LN(2)/35)*DV64*DW64*VLOOKUP('Données projet'!$B$9,Paramètres!$A$1:$I$88,3,0)*0.475*44/12</f>
        <v>0</v>
      </c>
      <c r="EA64" s="45">
        <f>EXP(-LN(2)/25)*EA63+(1-EXP(-LN(2)/25))/(LN(2)/25)*Calculateur!DV64*Calculateur!DX64*VLOOKUP('Données projet'!$B$9,Paramètres!$A$1:$I$88,3,0)*0.475*44/12</f>
        <v>0</v>
      </c>
      <c r="EB64" s="45">
        <f>EXP(-LN(2)/2)*EB63+(1-EXP(-LN(2)/2))/(LN(2)/2)*DV64*DY64*VLOOKUP('Données projet'!$B$9,Paramètres!$A$1:$I$88,3,0)*0.475*44/12</f>
        <v>0</v>
      </c>
      <c r="EC64" s="46">
        <f t="shared" si="15"/>
        <v>0</v>
      </c>
      <c r="ED64" s="32" t="e">
        <f>VLOOKUP(A64,'Données projet'!$A$243:$I$263,2,0)</f>
        <v>#N/A</v>
      </c>
      <c r="EE64" s="33" t="e">
        <f>VLOOKUP(A64,'Données projet'!$A$243:$I$263,9,0)</f>
        <v>#N/A</v>
      </c>
      <c r="EF64" s="33">
        <f t="array" ref="EF64">INDEX(EE:EE,MIN(IF(ISNUMBER(EE64:EE260),ROW(EE64:EE260),"")))</f>
        <v>0</v>
      </c>
      <c r="EG64" s="33">
        <f t="shared" si="37"/>
        <v>0</v>
      </c>
      <c r="EH64" s="38" t="e">
        <f>EG64*VLOOKUP('Données projet'!$B$17,Paramètres!$A$1:$I$88,3,0)*VLOOKUP('Données projet'!$B$17,Paramètres!$A$1:$I$88,5,0)</f>
        <v>#N/A</v>
      </c>
      <c r="EI64" s="34" t="e">
        <f t="shared" si="38"/>
        <v>#N/A</v>
      </c>
      <c r="EJ64" s="44" t="e">
        <f t="shared" si="16"/>
        <v>#N/A</v>
      </c>
      <c r="EK64" s="36">
        <f>IF(ISNA(VLOOKUP(A64,'Données projet'!$A$243:$I$263,3,0)),0,VLOOKUP(A64,'Données projet'!$A$243:$I$263,3,0))</f>
        <v>0</v>
      </c>
      <c r="EL64" s="36">
        <f>IF(ISNA(VLOOKUP(A64,'Données projet'!$A$243:$I$263,4,0)),0,VLOOKUP(A64,'Données projet'!$A$243:$I$263,4,0))</f>
        <v>0</v>
      </c>
      <c r="EM64" s="37">
        <f>IF(ISNA(VLOOKUP(A64,'Données projet'!$A$243:$I$263,5,0)),0%,VLOOKUP(A64,'Données projet'!$A$243:$I$263,5,0)*VLOOKUP('Données projet'!$B$17,Paramètres!$A$1:$I$88,7,0))</f>
        <v>0</v>
      </c>
      <c r="EN64" s="37">
        <f>IF(ISNA(VLOOKUP(A64,'Données projet'!$A$243:$I$263,6,0)),0%,VLOOKUP(A64,'Données projet'!$A$243:$I$263,6,0)*VLOOKUP('Données projet'!$B$17,Paramètres!$A$1:$I$88,7,0))</f>
        <v>0</v>
      </c>
      <c r="EO64" s="37">
        <f>IF(ISNA(VLOOKUP(A64,'Données projet'!$A$243:$I$263,7,0)),0%,VLOOKUP(A64,'Données projet'!$A$243:$I$263,7,0))</f>
        <v>0</v>
      </c>
      <c r="EP64" s="45">
        <f>EXP(-LN(2)/35)*EP63+(1-EXP(-LN(2)/35))/(LN(2)/35)*EL64*EM64*VLOOKUP('Données projet'!$B$9,Paramètres!$A$1:$I$88,3,0)*0.475*44/12</f>
        <v>0</v>
      </c>
      <c r="EQ64" s="45">
        <f>EXP(-LN(2)/25)*EQ63+(1-EXP(-LN(2)/25))/(LN(2)/25)*Calculateur!EL64*Calculateur!EN64*VLOOKUP('Données projet'!$B$9,Paramètres!$A$1:$I$88,3,0)*0.475*44/12</f>
        <v>0</v>
      </c>
      <c r="ER64" s="45">
        <f>EXP(-LN(2)/2)*ER63+(1-EXP(-LN(2)/2))/(LN(2)/2)*EL64*EO64*VLOOKUP('Données projet'!$B$9,Paramètres!$A$1:$I$88,3,0)*0.475*44/12</f>
        <v>0</v>
      </c>
      <c r="ES64" s="46">
        <f t="shared" si="17"/>
        <v>0</v>
      </c>
      <c r="ET64" s="32" t="e">
        <f>VLOOKUP(A64,'Données projet'!$A$269:$I$289,2,0)</f>
        <v>#N/A</v>
      </c>
      <c r="EU64" s="33" t="e">
        <f>VLOOKUP(A64,'Données projet'!$A$269:$I$289,9,0)</f>
        <v>#N/A</v>
      </c>
      <c r="EV64" s="33">
        <f t="array" ref="EV64">INDEX(EU:EU,MIN(IF(ISNUMBER(EU64:EU260),ROW(EU64:EU260),"")))</f>
        <v>0</v>
      </c>
      <c r="EW64" s="33">
        <f t="shared" si="39"/>
        <v>0</v>
      </c>
      <c r="EX64" s="38" t="e">
        <f>EW64*VLOOKUP('Données projet'!$B$18,Paramètres!$A$1:$I$88,3,0)*VLOOKUP('Données projet'!$B$18,Paramètres!$A$1:$I$88,5,0)</f>
        <v>#N/A</v>
      </c>
      <c r="EY64" s="34" t="e">
        <f t="shared" si="40"/>
        <v>#N/A</v>
      </c>
      <c r="EZ64" s="44" t="e">
        <f t="shared" si="18"/>
        <v>#N/A</v>
      </c>
      <c r="FA64" s="36">
        <f>IF(ISNA(VLOOKUP(A64,'Données projet'!$A$269:$I$289,3,0)),0,VLOOKUP(A64,'Données projet'!$A$269:$I$289,3,0))</f>
        <v>0</v>
      </c>
      <c r="FB64" s="36">
        <f>IF(ISNA(VLOOKUP(A64,'Données projet'!$A$269:$I$289,4,0)),0,VLOOKUP(A64,'Données projet'!$A$269:$I$289,4,0))</f>
        <v>0</v>
      </c>
      <c r="FC64" s="37">
        <f>IF(ISNA(VLOOKUP(A64,'Données projet'!$A$269:$I$289,5,0)),0%,VLOOKUP(A64,'Données projet'!$A$269:$I$289,5,0)*VLOOKUP('Données projet'!$B$18,Paramètres!$A$1:$I$88,7,0))</f>
        <v>0</v>
      </c>
      <c r="FD64" s="37">
        <f>IF(ISNA(VLOOKUP(A64,'Données projet'!$A$269:$I$289,6,0)),0%,VLOOKUP(A64,'Données projet'!$A$269:$I$289,6,0)*VLOOKUP('Données projet'!$B$18,Paramètres!$A$1:$I$88,7,0))</f>
        <v>0</v>
      </c>
      <c r="FE64" s="37">
        <f>IF(ISNA(VLOOKUP(A64,'Données projet'!$A$269:$I$289,7,0)),0%,VLOOKUP(A64,'Données projet'!$A$269:$I$289,7,0))</f>
        <v>0</v>
      </c>
      <c r="FF64" s="45">
        <f>EXP(-LN(2)/35)*FF63+(1-EXP(-LN(2)/35))/(LN(2)/35)*FB64*FC64*VLOOKUP('Données projet'!$B$9,Paramètres!$A$1:$I$88,3,0)*0.475*44/12</f>
        <v>0</v>
      </c>
      <c r="FG64" s="45">
        <f>EXP(-LN(2)/25)*FG63+(1-EXP(-LN(2)/25))/(LN(2)/25)*Calculateur!FB64*Calculateur!FD64*VLOOKUP('Données projet'!$B$9,Paramètres!$A$1:$I$88,3,0)*0.475*44/12</f>
        <v>0</v>
      </c>
      <c r="FH64" s="45">
        <f>EXP(-LN(2)/2)*FH63+(1-EXP(-LN(2)/2))/(LN(2)/2)*FB64*FE64*VLOOKUP('Données projet'!$B$9,Paramètres!$A$1:$I$88,3,0)*0.475*44/12</f>
        <v>0</v>
      </c>
      <c r="FI64" s="46">
        <f t="shared" si="19"/>
        <v>0</v>
      </c>
    </row>
    <row r="65" spans="1:165" x14ac:dyDescent="0.25">
      <c r="A65" s="24">
        <f t="shared" si="20"/>
        <v>62</v>
      </c>
      <c r="B65" s="25">
        <f>IF('Scénario référence'!$N$1=1,5,0)</f>
        <v>0</v>
      </c>
      <c r="C65" s="40">
        <f>IF(OR('Scénario référence'!$N$1=2,'Scénario référence'!$N$1=4),C64+1*VLOOKUP('Scénario référence'!$G$14,Paramètres!$A$1:$I$88,3,0)*VLOOKUP('Scénario référence'!$G$14,Paramètres!$A$1:$I$88,5,0),IF(OR('Scénario référence'!$N$1=3,'Scénario référence'!$N$1=5),C64+0.5*VLOOKUP('Scénario référence'!$G$14,Paramètres!$A$1:$I$88,3,0)*VLOOKUP('Scénario référence'!$G$14,Paramètres!$A$1:$I$88,5,0),0))</f>
        <v>33.851999999999975</v>
      </c>
      <c r="D65" s="26">
        <f t="shared" si="21"/>
        <v>10.353633336208009</v>
      </c>
      <c r="E65" s="27">
        <f>IF('Scénario référence'!$N$1=1,B65*44/12,(C65+D65)*0.475*44/12)</f>
        <v>76.99147806056223</v>
      </c>
      <c r="F65" s="28" t="e">
        <f>VLOOKUP(A65,'Données projet'!$A$35:$I$55,2,0)</f>
        <v>#N/A</v>
      </c>
      <c r="G65" s="28" t="e">
        <f>VLOOKUP(A65,'Données projet'!$A$35:$I$55,9,0)</f>
        <v>#N/A</v>
      </c>
      <c r="H65" s="33">
        <f t="array" ref="H65">INDEX(G:G,MIN(IF(ISNUMBER(G65:G261),ROW(G65:G261),"")))</f>
        <v>7.2</v>
      </c>
      <c r="I65" s="28">
        <f t="shared" si="22"/>
        <v>228.39999999999995</v>
      </c>
      <c r="J65" s="41">
        <f>I65*VLOOKUP('Données projet'!$B$9,Paramètres!$A$1:$I$88,3,0)*VLOOKUP('Données projet'!$B$9,Paramètres!$A$1:$I$88,5,0)</f>
        <v>231.59759999999997</v>
      </c>
      <c r="K65" s="41">
        <f t="shared" si="23"/>
        <v>56.627980714948151</v>
      </c>
      <c r="L65" s="42">
        <f t="shared" si="0"/>
        <v>501.99288641186791</v>
      </c>
      <c r="M65" s="30">
        <f>IF(ISNA(VLOOKUP(A65,'Données projet'!$A$35:$I$55,3,0)),0,VLOOKUP(A65,'Données projet'!$A$35:$I$55,3,0))</f>
        <v>0</v>
      </c>
      <c r="N65" s="30">
        <f>IF(ISNA(VLOOKUP(A65,'Données projet'!$A$35:$I$55,4,0)),0,VLOOKUP(A65,'Données projet'!$A$35:$I$55,4,0))</f>
        <v>0</v>
      </c>
      <c r="O65" s="31">
        <f>IF(ISNA(VLOOKUP(A65,'Données projet'!$A$35:$I$55,5,0)),0%,VLOOKUP(A65,'Données projet'!$A$35:$I$55,5,0)*VLOOKUP('Données projet'!$B$9,Paramètres!$A$1:$I$88,7,0))</f>
        <v>0</v>
      </c>
      <c r="P65" s="31">
        <f>IF(ISNA(VLOOKUP(A65,'Données projet'!$A$35:$I$55,6,0)),0%,VLOOKUP(A65,'Données projet'!$A$35:$I$55,6,0)*VLOOKUP('Données projet'!$B$9,Paramètres!$A$1:$I$88,7,0))</f>
        <v>0</v>
      </c>
      <c r="Q65" s="31">
        <f>IF(ISNA(VLOOKUP(A65,'Données projet'!$A$35:$I$55,7,0)),0%,VLOOKUP(A65,'Données projet'!$A$35:$I$55,7,0))</f>
        <v>0</v>
      </c>
      <c r="R65" s="43">
        <f>EXP(-LN(2)/35)*R64+(1-EXP(-LN(2)/35))/(LN(2)/35)*N65*O65*VLOOKUP('Données projet'!$B$9,Paramètres!$A$1:$I$88,3,0)*0.475*44/12</f>
        <v>0</v>
      </c>
      <c r="S65" s="43">
        <f>EXP(-LN(2)/25)*S64+(1-EXP(-LN(2)/25))/(LN(2)/25)*Calculateur!N65*Calculateur!P65*VLOOKUP('Données projet'!$B$9,Paramètres!$A$1:$I$88,3,0)*0.475*44/12</f>
        <v>0</v>
      </c>
      <c r="T65" s="43">
        <f>EXP(-LN(2)/2)*T64+(1-EXP(-LN(2)/2))/(LN(2)/2)*N65*Q65*VLOOKUP('Données projet'!$B$9,Paramètres!$A$1:$I$88,3,0)*0.475*44/12</f>
        <v>0</v>
      </c>
      <c r="U65" s="43">
        <f t="shared" si="1"/>
        <v>0</v>
      </c>
      <c r="V65" s="32" t="e">
        <f>VLOOKUP(A65,'Données projet'!$A$61:$I$81,2,0)</f>
        <v>#N/A</v>
      </c>
      <c r="W65" s="33" t="e">
        <f>VLOOKUP(A65,'Données projet'!$A$61:$I$81,9,0)</f>
        <v>#N/A</v>
      </c>
      <c r="X65" s="33">
        <f t="array" ref="X65">INDEX(W:W,MIN(IF(ISNUMBER(W65:W261),ROW(W65:W261),"")))</f>
        <v>0</v>
      </c>
      <c r="Y65" s="33">
        <f t="shared" si="24"/>
        <v>0</v>
      </c>
      <c r="Z65" s="34" t="e">
        <f>Y65*VLOOKUP('Données projet'!$B$10,Paramètres!$A$1:$I$88,3,0)*VLOOKUP('Données projet'!$B$10,Paramètres!$A$1:$I$88,5,0)</f>
        <v>#N/A</v>
      </c>
      <c r="AA65" s="34" t="e">
        <f t="shared" si="25"/>
        <v>#N/A</v>
      </c>
      <c r="AB65" s="44" t="e">
        <f t="shared" si="2"/>
        <v>#N/A</v>
      </c>
      <c r="AC65" s="36">
        <f>IF(ISNA(VLOOKUP(A65,'Données projet'!$A$61:$I$81,3,0)),0,VLOOKUP(A65,'Données projet'!$A$61:$I$81,3,0))</f>
        <v>0</v>
      </c>
      <c r="AD65" s="36">
        <f>IF(ISNA(VLOOKUP(A65,'Données projet'!$A$61:$I$81,4,0)),0,VLOOKUP(A65,'Données projet'!$A$61:$I$81,4,0))</f>
        <v>0</v>
      </c>
      <c r="AE65" s="37">
        <f>IF(ISNA(VLOOKUP(A65,'Données projet'!$A$61:$I$81,5,0)),0%,VLOOKUP(A65,'Données projet'!$A$61:$I$81,5,0)*VLOOKUP('Données projet'!$B$10,Paramètres!$A$1:$I$88,7,0))</f>
        <v>0</v>
      </c>
      <c r="AF65" s="37">
        <f>IF(ISNA(VLOOKUP(A65,'Données projet'!$A$61:$I$81,6,0)),0%,VLOOKUP(A65,'Données projet'!$A$61:$I$81,6,0)*VLOOKUP('Données projet'!$B$10,Paramètres!$A$1:$I$88,7,0))</f>
        <v>0</v>
      </c>
      <c r="AG65" s="37">
        <f>IF(ISNA(VLOOKUP(A65,'Données projet'!$A$61:$I$81,7,0)),0%,VLOOKUP(A65,'Données projet'!$A$61:$I$81,7,0))</f>
        <v>0</v>
      </c>
      <c r="AH65" s="45">
        <f>EXP(-LN(2)/35)*AH64+(1-EXP(-LN(2)/35))/(LN(2)/35)*AD65*AE65*VLOOKUP('Données projet'!$B$9,Paramètres!$A$1:$I$88,3,0)*0.475*44/12</f>
        <v>0</v>
      </c>
      <c r="AI65" s="45">
        <f>EXP(-LN(2)/25)*AI64+(1-EXP(-LN(2)/25))/(LN(2)/25)*Calculateur!AD65*Calculateur!AF65*VLOOKUP('Données projet'!$B$9,Paramètres!$A$1:$I$88,3,0)*0.475*44/12</f>
        <v>0</v>
      </c>
      <c r="AJ65" s="45">
        <f>EXP(-LN(2)/2)*AJ64+(1-EXP(-LN(2)/2))/(LN(2)/2)*AD65*AG65*VLOOKUP('Données projet'!$B$9,Paramètres!$A$1:$I$88,3,0)*0.475*44/12</f>
        <v>0</v>
      </c>
      <c r="AK65" s="45">
        <f t="shared" si="3"/>
        <v>0</v>
      </c>
      <c r="AL65" s="32" t="e">
        <f>VLOOKUP(A65,'Données projet'!$A$87:$I$107,2,0)</f>
        <v>#N/A</v>
      </c>
      <c r="AM65" s="33" t="e">
        <f>VLOOKUP(A65,'Données projet'!$A$87:$I$107,9,0)</f>
        <v>#N/A</v>
      </c>
      <c r="AN65" s="33">
        <f t="array" ref="AN65">INDEX(AM:AM,MIN(IF(ISNUMBER(AM65:AM261),ROW(AM65:AM261),"")))</f>
        <v>0</v>
      </c>
      <c r="AO65" s="33">
        <f t="shared" si="26"/>
        <v>0</v>
      </c>
      <c r="AP65" s="34" t="e">
        <f>AO65*VLOOKUP('Données projet'!$B$11,Paramètres!$A$1:$I$88,3,0)*VLOOKUP('Données projet'!$B$11,Paramètres!$A$1:$I$88,5,0)</f>
        <v>#N/A</v>
      </c>
      <c r="AQ65" s="34" t="e">
        <f t="shared" si="27"/>
        <v>#N/A</v>
      </c>
      <c r="AR65" s="44" t="e">
        <f t="shared" si="4"/>
        <v>#N/A</v>
      </c>
      <c r="AS65" s="36">
        <f>IF(ISNA(VLOOKUP(A65,'Données projet'!$A$87:$I$107,3,0)),0,VLOOKUP(A65,'Données projet'!$A$87:$I$107,3,0))</f>
        <v>0</v>
      </c>
      <c r="AT65" s="36">
        <f>IF(ISNA(VLOOKUP(A65,'Données projet'!$A$87:$I$107,4,0)),0,VLOOKUP(A65,'Données projet'!$A$87:$I$107,4,0))</f>
        <v>0</v>
      </c>
      <c r="AU65" s="37">
        <f>IF(ISNA(VLOOKUP(A65,'Données projet'!$A$87:$I$107,5,0)),0%,VLOOKUP(A65,'Données projet'!$A$87:$I$107,5,0)*VLOOKUP('Données projet'!$B$11,Paramètres!$A$1:$I$88,7,0))</f>
        <v>0</v>
      </c>
      <c r="AV65" s="37">
        <f>IF(ISNA(VLOOKUP(A65,'Données projet'!$A$87:$I$107,6,0)),0%,VLOOKUP(A65,'Données projet'!$A$87:$I$107,6,0)*VLOOKUP('Données projet'!$B$11,Paramètres!$A$1:$I$88,7,0))</f>
        <v>0</v>
      </c>
      <c r="AW65" s="37">
        <f>IF(ISNA(VLOOKUP(A65,'Données projet'!$A$87:$I$107,7,0)),0%,VLOOKUP(A65,'Données projet'!$A$87:$I$107,7,0))</f>
        <v>0</v>
      </c>
      <c r="AX65" s="45">
        <f>EXP(-LN(2)/35)*AX64+(1-EXP(-LN(2)/35))/(LN(2)/35)*AT65*AU65*VLOOKUP('Données projet'!$B$9,Paramètres!$A$1:$I$88,3,0)*0.475*44/12</f>
        <v>0</v>
      </c>
      <c r="AY65" s="45">
        <f>EXP(-LN(2)/25)*AY64+(1-EXP(-LN(2)/25))/(LN(2)/25)*Calculateur!AT65*Calculateur!AV65*VLOOKUP('Données projet'!$B$9,Paramètres!$A$1:$I$88,3,0)*0.475*44/12</f>
        <v>0</v>
      </c>
      <c r="AZ65" s="45">
        <f>EXP(-LN(2)/2)*AZ64+(1-EXP(-LN(2)/2))/(LN(2)/2)*AT65*AW65*VLOOKUP('Données projet'!$B$9,Paramètres!$A$1:$I$88,3,0)*0.475*44/12</f>
        <v>0</v>
      </c>
      <c r="BA65" s="46">
        <f t="shared" si="5"/>
        <v>0</v>
      </c>
      <c r="BB65" s="32" t="e">
        <f>VLOOKUP(A65,'Données projet'!$A$113:$I$133,2,0)</f>
        <v>#N/A</v>
      </c>
      <c r="BC65" s="33" t="e">
        <f>VLOOKUP(A65,'Données projet'!$A$113:$I$133,9,0)</f>
        <v>#N/A</v>
      </c>
      <c r="BD65" s="33">
        <f t="array" ref="BD65">INDEX(BC:BC,MIN(IF(ISNUMBER(BC65:BC261),ROW(BC65:BC261),"")))</f>
        <v>0</v>
      </c>
      <c r="BE65" s="33">
        <f t="shared" si="28"/>
        <v>0</v>
      </c>
      <c r="BF65" s="34" t="e">
        <f>BE65*VLOOKUP('Données projet'!$B$12,Paramètres!$A$1:$I$88,3,0)*VLOOKUP('Données projet'!$B$12,Paramètres!$A$1:$I$88,5,0)</f>
        <v>#N/A</v>
      </c>
      <c r="BG65" s="34" t="e">
        <f t="shared" si="29"/>
        <v>#N/A</v>
      </c>
      <c r="BH65" s="44" t="e">
        <f t="shared" si="6"/>
        <v>#N/A</v>
      </c>
      <c r="BI65" s="36">
        <f>IF(ISNA(VLOOKUP(A65,'Données projet'!$A$113:$I$133,3,0)),0,VLOOKUP(A65,'Données projet'!$A$113:$I$133,3,0))</f>
        <v>0</v>
      </c>
      <c r="BJ65" s="36">
        <f>IF(ISNA(VLOOKUP(A65,'Données projet'!$A$113:$I$133,4,0)),0,VLOOKUP(A65,'Données projet'!$A$113:$I$133,4,0))</f>
        <v>0</v>
      </c>
      <c r="BK65" s="37">
        <f>IF(ISNA(VLOOKUP(A65,'Données projet'!$A$113:$I$133,5,0)),0%,VLOOKUP(A65,'Données projet'!$A$113:$I$133,5,0)*VLOOKUP('Données projet'!$B$12,Paramètres!$A$1:$I$88,7,0))</f>
        <v>0</v>
      </c>
      <c r="BL65" s="37">
        <f>IF(ISNA(VLOOKUP(A65,'Données projet'!$A$113:$I$133,6,0)),0%,VLOOKUP(A65,'Données projet'!$A$113:$I$133,6,0)*VLOOKUP('Données projet'!$B$12,Paramètres!$A$1:$I$88,7,0))</f>
        <v>0</v>
      </c>
      <c r="BM65" s="37">
        <f>IF(ISNA(VLOOKUP(A65,'Données projet'!$A$113:$I$133,7,0)),0%,VLOOKUP(A65,'Données projet'!$A$113:$I$133,7,0))</f>
        <v>0</v>
      </c>
      <c r="BN65" s="45">
        <f>EXP(-LN(2)/35)*BN64+(1-EXP(-LN(2)/35))/(LN(2)/35)*BJ65*BK65*VLOOKUP('Données projet'!$B$9,Paramètres!$A$1:$I$88,3,0)*0.475*44/12</f>
        <v>0</v>
      </c>
      <c r="BO65" s="45">
        <f>EXP(-LN(2)/25)*BO64+(1-EXP(-LN(2)/25))/(LN(2)/25)*Calculateur!BJ65*Calculateur!BL65*VLOOKUP('Données projet'!$B$9,Paramètres!$A$1:$I$88,3,0)*0.475*44/12</f>
        <v>0</v>
      </c>
      <c r="BP65" s="45">
        <f>EXP(-LN(2)/2)*BP64+(1-EXP(-LN(2)/2))/(LN(2)/2)*BJ65*BM65*VLOOKUP('Données projet'!$B$9,Paramètres!$A$1:$I$88,3,0)*0.475*44/12</f>
        <v>0</v>
      </c>
      <c r="BQ65" s="46">
        <f t="shared" si="7"/>
        <v>0</v>
      </c>
      <c r="BR65" s="32" t="e">
        <f>VLOOKUP(A65,'Données projet'!$A$139:$I$159,2,0)</f>
        <v>#N/A</v>
      </c>
      <c r="BS65" s="33" t="e">
        <f>VLOOKUP(A65,'Données projet'!$A$139:$I$159,9,0)</f>
        <v>#N/A</v>
      </c>
      <c r="BT65" s="33">
        <f t="array" ref="BT65">INDEX(BS:BS,MIN(IF(ISNUMBER(BS65:BS261),ROW(BS65:BS261),"")))</f>
        <v>0</v>
      </c>
      <c r="BU65" s="33">
        <f t="shared" si="41"/>
        <v>0</v>
      </c>
      <c r="BV65" s="38" t="e">
        <f>BU65*VLOOKUP('Données projet'!$B$13,Paramètres!$A$1:$I$88,3,0)*VLOOKUP('Données projet'!$B$13,Paramètres!$A$1:$I$88,5,0)</f>
        <v>#N/A</v>
      </c>
      <c r="BW65" s="34" t="e">
        <f t="shared" si="30"/>
        <v>#N/A</v>
      </c>
      <c r="BX65" s="44" t="e">
        <f t="shared" si="8"/>
        <v>#N/A</v>
      </c>
      <c r="BY65" s="36">
        <f>IF(ISNA(VLOOKUP(A65,'Données projet'!$A$139:$I$159,3,0)),0,VLOOKUP(A65,'Données projet'!$A$139:$I$159,3,0))</f>
        <v>0</v>
      </c>
      <c r="BZ65" s="36">
        <f>IF(ISNA(VLOOKUP(A65,'Données projet'!$A$139:$I$159,4,0)),0,VLOOKUP(A65,'Données projet'!$A$139:$I$159,4,0))</f>
        <v>0</v>
      </c>
      <c r="CA65" s="37">
        <f>IF(ISNA(VLOOKUP(A65,'Données projet'!$A$139:$I$159,5,0)),0%,VLOOKUP(A65,'Données projet'!$A$139:$I$159,5,0)*VLOOKUP('Données projet'!$B$13,Paramètres!$A$1:$I$88,7,0))</f>
        <v>0</v>
      </c>
      <c r="CB65" s="37">
        <f>IF(ISNA(VLOOKUP(A65,'Données projet'!$A$139:$I$159,6,0)),0%,VLOOKUP(A65,'Données projet'!$A$139:$I$159,6,0)*VLOOKUP('Données projet'!$B$13,Paramètres!$A$1:$I$88,7,0))</f>
        <v>0</v>
      </c>
      <c r="CC65" s="37">
        <f>IF(ISNA(VLOOKUP(A65,'Données projet'!$A$139:$I$159,7,0)),0%,VLOOKUP(A65,'Données projet'!$A$139:$I$159,7,0))</f>
        <v>0</v>
      </c>
      <c r="CD65" s="45">
        <f>EXP(-LN(2)/35)*CD64+(1-EXP(-LN(2)/35))/(LN(2)/35)*BZ65*CA65*VLOOKUP('Données projet'!$B$9,Paramètres!$A$1:$I$88,3,0)*0.475*44/12</f>
        <v>0</v>
      </c>
      <c r="CE65" s="45">
        <f>EXP(-LN(2)/25)*CE64+(1-EXP(-LN(2)/25))/(LN(2)/25)*Calculateur!BZ65*Calculateur!CB65*VLOOKUP('Données projet'!$B$9,Paramètres!$A$1:$I$88,3,0)*0.475*44/12</f>
        <v>0</v>
      </c>
      <c r="CF65" s="45">
        <f>EXP(-LN(2)/2)*CF64+(1-EXP(-LN(2)/2))/(LN(2)/2)*BZ65*CC65*VLOOKUP('Données projet'!$B$9,Paramètres!$A$1:$I$88,3,0)*0.475*44/12</f>
        <v>0</v>
      </c>
      <c r="CG65" s="46">
        <f t="shared" si="9"/>
        <v>0</v>
      </c>
      <c r="CH65" s="32" t="e">
        <f>VLOOKUP(A65,'Données projet'!$A$165:$I$185,2,0)</f>
        <v>#N/A</v>
      </c>
      <c r="CI65" s="33" t="e">
        <f>VLOOKUP(A65,'Données projet'!$A$165:$I$185,9,0)</f>
        <v>#N/A</v>
      </c>
      <c r="CJ65" s="33">
        <f t="array" ref="CJ65">INDEX(CI:CI,MIN(IF(ISNUMBER(CI65:CI261),ROW(CI65:CI261),"")))</f>
        <v>0</v>
      </c>
      <c r="CK65" s="33">
        <f t="shared" si="31"/>
        <v>0</v>
      </c>
      <c r="CL65" s="38" t="e">
        <f>CK65*VLOOKUP('Données projet'!$B$14,Paramètres!$A$1:$I$88,3,0)*VLOOKUP('Données projet'!$B$14,Paramètres!$A$1:$I$88,5,0)</f>
        <v>#N/A</v>
      </c>
      <c r="CM65" s="34" t="e">
        <f t="shared" si="32"/>
        <v>#N/A</v>
      </c>
      <c r="CN65" s="44" t="e">
        <f t="shared" si="10"/>
        <v>#N/A</v>
      </c>
      <c r="CO65" s="36">
        <f>IF(ISNA(VLOOKUP(A65,'Données projet'!$A$165:$I$185,3,0)),0,VLOOKUP(A65,'Données projet'!$A$165:$I$185,3,0))</f>
        <v>0</v>
      </c>
      <c r="CP65" s="36">
        <f>IF(ISNA(VLOOKUP(A65,'Données projet'!$A$165:$I$185,4,0)),0,VLOOKUP(A65,'Données projet'!$A$165:$I$185,4,0))</f>
        <v>0</v>
      </c>
      <c r="CQ65" s="37">
        <f>IF(ISNA(VLOOKUP(A65,'Données projet'!$A$165:$I$185,5,0)),0%,VLOOKUP(A65,'Données projet'!$A$165:$I$185,5,0)*VLOOKUP('Données projet'!$B$14,Paramètres!$A$1:$I$88,7,0))</f>
        <v>0</v>
      </c>
      <c r="CR65" s="37">
        <f>IF(ISNA(VLOOKUP(A65,'Données projet'!$A$165:$I$185,6,0)),0%,VLOOKUP(A65,'Données projet'!$A$165:$I$185,6,0)*VLOOKUP('Données projet'!$B$14,Paramètres!$A$1:$I$88,7,0))</f>
        <v>0</v>
      </c>
      <c r="CS65" s="37">
        <f>IF(ISNA(VLOOKUP(A65,'Données projet'!$A$165:$I$185,7,0)),0%,VLOOKUP(A65,'Données projet'!$A$165:$I$185,7,0))</f>
        <v>0</v>
      </c>
      <c r="CT65" s="45">
        <f>EXP(-LN(2)/35)*CT64+(1-EXP(-LN(2)/35))/(LN(2)/35)*CP65*CQ65*VLOOKUP('Données projet'!$B$9,Paramètres!$A$1:$I$88,3,0)*0.475*44/12</f>
        <v>0</v>
      </c>
      <c r="CU65" s="45">
        <f>EXP(-LN(2)/25)*CU64+(1-EXP(-LN(2)/25))/(LN(2)/25)*Calculateur!CP65*Calculateur!CR65*VLOOKUP('Données projet'!$B$9,Paramètres!$A$1:$I$88,3,0)*0.475*44/12</f>
        <v>0</v>
      </c>
      <c r="CV65" s="45">
        <f>EXP(-LN(2)/2)*CV64+(1-EXP(-LN(2)/2))/(LN(2)/2)*CP65*CS65*VLOOKUP('Données projet'!$B$9,Paramètres!$A$1:$I$88,3,0)*0.475*44/12</f>
        <v>0</v>
      </c>
      <c r="CW65" s="46">
        <f t="shared" si="11"/>
        <v>0</v>
      </c>
      <c r="CX65" s="32" t="e">
        <f>VLOOKUP(A65,'Données projet'!$A$191:$I$211,2,0)</f>
        <v>#N/A</v>
      </c>
      <c r="CY65" s="33" t="e">
        <f>VLOOKUP(A65,'Données projet'!$A$191:$I$211,9,0)</f>
        <v>#N/A</v>
      </c>
      <c r="CZ65" s="33">
        <f t="array" ref="CZ65">INDEX(CY:CY,MIN(IF(ISNUMBER(CY65:CY261),ROW(CY65:CY261),"")))</f>
        <v>0</v>
      </c>
      <c r="DA65" s="33">
        <f t="shared" si="33"/>
        <v>0</v>
      </c>
      <c r="DB65" s="38" t="e">
        <f>DA65*VLOOKUP('Données projet'!$B$15,Paramètres!$A$1:$I$88,3,0)*VLOOKUP('Données projet'!$B$15,Paramètres!$A$1:$I$88,5,0)</f>
        <v>#N/A</v>
      </c>
      <c r="DC65" s="34" t="e">
        <f t="shared" si="34"/>
        <v>#N/A</v>
      </c>
      <c r="DD65" s="44" t="e">
        <f t="shared" si="12"/>
        <v>#N/A</v>
      </c>
      <c r="DE65" s="36">
        <f>IF(ISNA(VLOOKUP(A65,'Données projet'!$A$191:$I$211,3,0)),0,VLOOKUP(A65,'Données projet'!$A$191:$I$211,3,0))</f>
        <v>0</v>
      </c>
      <c r="DF65" s="36">
        <f>IF(ISNA(VLOOKUP(A65,'Données projet'!$A$191:$I$211,4,0)),0,VLOOKUP(A65,'Données projet'!$A$191:$I$211,4,0))</f>
        <v>0</v>
      </c>
      <c r="DG65" s="37">
        <f>IF(ISNA(VLOOKUP(A65,'Données projet'!$A$191:$I$211,5,0)),0%,VLOOKUP(A65,'Données projet'!$A$191:$I$211,5,0)*VLOOKUP('Données projet'!$B$15,Paramètres!$A$1:$I$88,7,0))</f>
        <v>0</v>
      </c>
      <c r="DH65" s="37">
        <f>IF(ISNA(VLOOKUP(A65,'Données projet'!$A$191:$I$211,6,0)),0%,VLOOKUP(A65,'Données projet'!$A$191:$I$211,6,0)*VLOOKUP('Données projet'!$B$15,Paramètres!$A$1:$I$88,7,0))</f>
        <v>0</v>
      </c>
      <c r="DI65" s="37">
        <f>IF(ISNA(VLOOKUP(A65,'Données projet'!$A$191:$I$211,7,0)),0%,VLOOKUP(A65,'Données projet'!$A$191:$I$211,7,0))</f>
        <v>0</v>
      </c>
      <c r="DJ65" s="45">
        <f>EXP(-LN(2)/35)*DJ64+(1-EXP(-LN(2)/35))/(LN(2)/35)*DF65*DG65*VLOOKUP('Données projet'!$B$9,Paramètres!$A$1:$I$88,3,0)*0.475*44/12</f>
        <v>0</v>
      </c>
      <c r="DK65" s="45">
        <f>EXP(-LN(2)/25)*DK64+(1-EXP(-LN(2)/25))/(LN(2)/25)*Calculateur!DF65*Calculateur!DH65*VLOOKUP('Données projet'!$B$9,Paramètres!$A$1:$I$88,3,0)*0.475*44/12</f>
        <v>0</v>
      </c>
      <c r="DL65" s="45">
        <f>EXP(-LN(2)/2)*DL64+(1-EXP(-LN(2)/2))/(LN(2)/2)*DF65*DI65*VLOOKUP('Données projet'!$B$9,Paramètres!$A$1:$I$88,3,0)*0.475*44/12</f>
        <v>0</v>
      </c>
      <c r="DM65" s="46">
        <f t="shared" si="13"/>
        <v>0</v>
      </c>
      <c r="DN65" s="32" t="e">
        <f>VLOOKUP(A65,'Données projet'!$A$217:$I$237,2,0)</f>
        <v>#N/A</v>
      </c>
      <c r="DO65" s="33" t="e">
        <f>VLOOKUP(A65,'Données projet'!$A$217:$I$237,9,0)</f>
        <v>#N/A</v>
      </c>
      <c r="DP65" s="33">
        <f t="array" ref="DP65">INDEX(DO:DO,MIN(IF(ISNUMBER(DO65:DO261),ROW(DO65:DO261),"")))</f>
        <v>0</v>
      </c>
      <c r="DQ65" s="33">
        <f t="shared" si="35"/>
        <v>0</v>
      </c>
      <c r="DR65" s="38" t="e">
        <f>DQ65*VLOOKUP('Données projet'!$B$16,Paramètres!$A$1:$I$88,3,0)*VLOOKUP('Données projet'!$B$16,Paramètres!$A$1:$I$88,5,0)</f>
        <v>#N/A</v>
      </c>
      <c r="DS65" s="34" t="e">
        <f t="shared" si="36"/>
        <v>#N/A</v>
      </c>
      <c r="DT65" s="44" t="e">
        <f t="shared" si="14"/>
        <v>#N/A</v>
      </c>
      <c r="DU65" s="36">
        <f>IF(ISNA(VLOOKUP(A65,'Données projet'!$A$217:$I$237,3,0)),0,VLOOKUP(A65,'Données projet'!$A$217:$I$237,3,0))</f>
        <v>0</v>
      </c>
      <c r="DV65" s="36">
        <f>IF(ISNA(VLOOKUP(A65,'Données projet'!$A$217:$I$237,4,0)),0,VLOOKUP(A65,'Données projet'!$A$217:$I$237,4,0))</f>
        <v>0</v>
      </c>
      <c r="DW65" s="37">
        <f>IF(ISNA(VLOOKUP(A65,'Données projet'!$A$217:$I$237,5,0)),0%,VLOOKUP(A65,'Données projet'!$A$217:$I$237,5,0)*VLOOKUP('Données projet'!$B$16,Paramètres!$A$1:$I$88,7,0))</f>
        <v>0</v>
      </c>
      <c r="DX65" s="37">
        <f>IF(ISNA(VLOOKUP(A65,'Données projet'!$A$217:$I$237,6,0)),0%,VLOOKUP(A65,'Données projet'!$A$217:$I$237,6,0)*VLOOKUP('Données projet'!$B$16,Paramètres!$A$1:$I$88,7,0))</f>
        <v>0</v>
      </c>
      <c r="DY65" s="37">
        <f>IF(ISNA(VLOOKUP(A65,'Données projet'!$A$217:$I$237,7,0)),0%,VLOOKUP(A65,'Données projet'!$A$217:$I$237,7,0))</f>
        <v>0</v>
      </c>
      <c r="DZ65" s="45">
        <f>EXP(-LN(2)/35)*DZ64+(1-EXP(-LN(2)/35))/(LN(2)/35)*DV65*DW65*VLOOKUP('Données projet'!$B$9,Paramètres!$A$1:$I$88,3,0)*0.475*44/12</f>
        <v>0</v>
      </c>
      <c r="EA65" s="45">
        <f>EXP(-LN(2)/25)*EA64+(1-EXP(-LN(2)/25))/(LN(2)/25)*Calculateur!DV65*Calculateur!DX65*VLOOKUP('Données projet'!$B$9,Paramètres!$A$1:$I$88,3,0)*0.475*44/12</f>
        <v>0</v>
      </c>
      <c r="EB65" s="45">
        <f>EXP(-LN(2)/2)*EB64+(1-EXP(-LN(2)/2))/(LN(2)/2)*DV65*DY65*VLOOKUP('Données projet'!$B$9,Paramètres!$A$1:$I$88,3,0)*0.475*44/12</f>
        <v>0</v>
      </c>
      <c r="EC65" s="46">
        <f t="shared" si="15"/>
        <v>0</v>
      </c>
      <c r="ED65" s="32" t="e">
        <f>VLOOKUP(A65,'Données projet'!$A$243:$I$263,2,0)</f>
        <v>#N/A</v>
      </c>
      <c r="EE65" s="33" t="e">
        <f>VLOOKUP(A65,'Données projet'!$A$243:$I$263,9,0)</f>
        <v>#N/A</v>
      </c>
      <c r="EF65" s="33">
        <f t="array" ref="EF65">INDEX(EE:EE,MIN(IF(ISNUMBER(EE65:EE261),ROW(EE65:EE261),"")))</f>
        <v>0</v>
      </c>
      <c r="EG65" s="33">
        <f t="shared" si="37"/>
        <v>0</v>
      </c>
      <c r="EH65" s="38" t="e">
        <f>EG65*VLOOKUP('Données projet'!$B$17,Paramètres!$A$1:$I$88,3,0)*VLOOKUP('Données projet'!$B$17,Paramètres!$A$1:$I$88,5,0)</f>
        <v>#N/A</v>
      </c>
      <c r="EI65" s="34" t="e">
        <f t="shared" si="38"/>
        <v>#N/A</v>
      </c>
      <c r="EJ65" s="44" t="e">
        <f t="shared" si="16"/>
        <v>#N/A</v>
      </c>
      <c r="EK65" s="36">
        <f>IF(ISNA(VLOOKUP(A65,'Données projet'!$A$243:$I$263,3,0)),0,VLOOKUP(A65,'Données projet'!$A$243:$I$263,3,0))</f>
        <v>0</v>
      </c>
      <c r="EL65" s="36">
        <f>IF(ISNA(VLOOKUP(A65,'Données projet'!$A$243:$I$263,4,0)),0,VLOOKUP(A65,'Données projet'!$A$243:$I$263,4,0))</f>
        <v>0</v>
      </c>
      <c r="EM65" s="37">
        <f>IF(ISNA(VLOOKUP(A65,'Données projet'!$A$243:$I$263,5,0)),0%,VLOOKUP(A65,'Données projet'!$A$243:$I$263,5,0)*VLOOKUP('Données projet'!$B$17,Paramètres!$A$1:$I$88,7,0))</f>
        <v>0</v>
      </c>
      <c r="EN65" s="37">
        <f>IF(ISNA(VLOOKUP(A65,'Données projet'!$A$243:$I$263,6,0)),0%,VLOOKUP(A65,'Données projet'!$A$243:$I$263,6,0)*VLOOKUP('Données projet'!$B$17,Paramètres!$A$1:$I$88,7,0))</f>
        <v>0</v>
      </c>
      <c r="EO65" s="37">
        <f>IF(ISNA(VLOOKUP(A65,'Données projet'!$A$243:$I$263,7,0)),0%,VLOOKUP(A65,'Données projet'!$A$243:$I$263,7,0))</f>
        <v>0</v>
      </c>
      <c r="EP65" s="45">
        <f>EXP(-LN(2)/35)*EP64+(1-EXP(-LN(2)/35))/(LN(2)/35)*EL65*EM65*VLOOKUP('Données projet'!$B$9,Paramètres!$A$1:$I$88,3,0)*0.475*44/12</f>
        <v>0</v>
      </c>
      <c r="EQ65" s="45">
        <f>EXP(-LN(2)/25)*EQ64+(1-EXP(-LN(2)/25))/(LN(2)/25)*Calculateur!EL65*Calculateur!EN65*VLOOKUP('Données projet'!$B$9,Paramètres!$A$1:$I$88,3,0)*0.475*44/12</f>
        <v>0</v>
      </c>
      <c r="ER65" s="45">
        <f>EXP(-LN(2)/2)*ER64+(1-EXP(-LN(2)/2))/(LN(2)/2)*EL65*EO65*VLOOKUP('Données projet'!$B$9,Paramètres!$A$1:$I$88,3,0)*0.475*44/12</f>
        <v>0</v>
      </c>
      <c r="ES65" s="46">
        <f t="shared" si="17"/>
        <v>0</v>
      </c>
      <c r="ET65" s="32" t="e">
        <f>VLOOKUP(A65,'Données projet'!$A$269:$I$289,2,0)</f>
        <v>#N/A</v>
      </c>
      <c r="EU65" s="33" t="e">
        <f>VLOOKUP(A65,'Données projet'!$A$269:$I$289,9,0)</f>
        <v>#N/A</v>
      </c>
      <c r="EV65" s="33">
        <f t="array" ref="EV65">INDEX(EU:EU,MIN(IF(ISNUMBER(EU65:EU261),ROW(EU65:EU261),"")))</f>
        <v>0</v>
      </c>
      <c r="EW65" s="33">
        <f t="shared" si="39"/>
        <v>0</v>
      </c>
      <c r="EX65" s="38" t="e">
        <f>EW65*VLOOKUP('Données projet'!$B$18,Paramètres!$A$1:$I$88,3,0)*VLOOKUP('Données projet'!$B$18,Paramètres!$A$1:$I$88,5,0)</f>
        <v>#N/A</v>
      </c>
      <c r="EY65" s="34" t="e">
        <f t="shared" si="40"/>
        <v>#N/A</v>
      </c>
      <c r="EZ65" s="44" t="e">
        <f t="shared" si="18"/>
        <v>#N/A</v>
      </c>
      <c r="FA65" s="36">
        <f>IF(ISNA(VLOOKUP(A65,'Données projet'!$A$269:$I$289,3,0)),0,VLOOKUP(A65,'Données projet'!$A$269:$I$289,3,0))</f>
        <v>0</v>
      </c>
      <c r="FB65" s="36">
        <f>IF(ISNA(VLOOKUP(A65,'Données projet'!$A$269:$I$289,4,0)),0,VLOOKUP(A65,'Données projet'!$A$269:$I$289,4,0))</f>
        <v>0</v>
      </c>
      <c r="FC65" s="37">
        <f>IF(ISNA(VLOOKUP(A65,'Données projet'!$A$269:$I$289,5,0)),0%,VLOOKUP(A65,'Données projet'!$A$269:$I$289,5,0)*VLOOKUP('Données projet'!$B$18,Paramètres!$A$1:$I$88,7,0))</f>
        <v>0</v>
      </c>
      <c r="FD65" s="37">
        <f>IF(ISNA(VLOOKUP(A65,'Données projet'!$A$269:$I$289,6,0)),0%,VLOOKUP(A65,'Données projet'!$A$269:$I$289,6,0)*VLOOKUP('Données projet'!$B$18,Paramètres!$A$1:$I$88,7,0))</f>
        <v>0</v>
      </c>
      <c r="FE65" s="37">
        <f>IF(ISNA(VLOOKUP(A65,'Données projet'!$A$269:$I$289,7,0)),0%,VLOOKUP(A65,'Données projet'!$A$269:$I$289,7,0))</f>
        <v>0</v>
      </c>
      <c r="FF65" s="45">
        <f>EXP(-LN(2)/35)*FF64+(1-EXP(-LN(2)/35))/(LN(2)/35)*FB65*FC65*VLOOKUP('Données projet'!$B$9,Paramètres!$A$1:$I$88,3,0)*0.475*44/12</f>
        <v>0</v>
      </c>
      <c r="FG65" s="45">
        <f>EXP(-LN(2)/25)*FG64+(1-EXP(-LN(2)/25))/(LN(2)/25)*Calculateur!FB65*Calculateur!FD65*VLOOKUP('Données projet'!$B$9,Paramètres!$A$1:$I$88,3,0)*0.475*44/12</f>
        <v>0</v>
      </c>
      <c r="FH65" s="45">
        <f>EXP(-LN(2)/2)*FH64+(1-EXP(-LN(2)/2))/(LN(2)/2)*FB65*FE65*VLOOKUP('Données projet'!$B$9,Paramètres!$A$1:$I$88,3,0)*0.475*44/12</f>
        <v>0</v>
      </c>
      <c r="FI65" s="46">
        <f t="shared" si="19"/>
        <v>0</v>
      </c>
    </row>
    <row r="66" spans="1:165" x14ac:dyDescent="0.25">
      <c r="A66" s="24">
        <f t="shared" si="20"/>
        <v>63</v>
      </c>
      <c r="B66" s="25">
        <f>IF('Scénario référence'!$N$1=1,5,0)</f>
        <v>0</v>
      </c>
      <c r="C66" s="40">
        <f>IF(OR('Scénario référence'!$N$1=2,'Scénario référence'!$N$1=4),C65+1*VLOOKUP('Scénario référence'!$G$14,Paramètres!$A$1:$I$88,3,0)*VLOOKUP('Scénario référence'!$G$14,Paramètres!$A$1:$I$88,5,0),IF(OR('Scénario référence'!$N$1=3,'Scénario référence'!$N$1=5),C65+0.5*VLOOKUP('Scénario référence'!$G$14,Paramètres!$A$1:$I$88,3,0)*VLOOKUP('Scénario référence'!$G$14,Paramètres!$A$1:$I$88,5,0),0))</f>
        <v>34.397999999999975</v>
      </c>
      <c r="D66" s="26">
        <f t="shared" si="21"/>
        <v>10.501051622783336</v>
      </c>
      <c r="E66" s="27">
        <f>IF('Scénario référence'!$N$1=1,B66*44/12,(C66+D66)*0.475*44/12)</f>
        <v>78.199181576347598</v>
      </c>
      <c r="F66" s="28" t="e">
        <f>VLOOKUP(A66,'Données projet'!$A$35:$I$55,2,0)</f>
        <v>#N/A</v>
      </c>
      <c r="G66" s="28" t="e">
        <f>VLOOKUP(A66,'Données projet'!$A$35:$I$55,9,0)</f>
        <v>#N/A</v>
      </c>
      <c r="H66" s="33">
        <f t="array" ref="H66">INDEX(G:G,MIN(IF(ISNUMBER(G66:G262),ROW(G66:G262),"")))</f>
        <v>7.2</v>
      </c>
      <c r="I66" s="28">
        <f t="shared" si="22"/>
        <v>235.59999999999994</v>
      </c>
      <c r="J66" s="41">
        <f>I66*VLOOKUP('Données projet'!$B$9,Paramètres!$A$1:$I$88,3,0)*VLOOKUP('Données projet'!$B$9,Paramètres!$A$1:$I$88,5,0)</f>
        <v>238.89839999999995</v>
      </c>
      <c r="K66" s="41">
        <f t="shared" si="23"/>
        <v>58.202452451868851</v>
      </c>
      <c r="L66" s="42">
        <f t="shared" si="0"/>
        <v>517.45065135367156</v>
      </c>
      <c r="M66" s="30">
        <f>IF(ISNA(VLOOKUP(A66,'Données projet'!$A$35:$I$55,3,0)),0,VLOOKUP(A66,'Données projet'!$A$35:$I$55,3,0))</f>
        <v>0</v>
      </c>
      <c r="N66" s="30">
        <f>IF(ISNA(VLOOKUP(A66,'Données projet'!$A$35:$I$55,4,0)),0,VLOOKUP(A66,'Données projet'!$A$35:$I$55,4,0))</f>
        <v>0</v>
      </c>
      <c r="O66" s="31">
        <f>IF(ISNA(VLOOKUP(A66,'Données projet'!$A$35:$I$55,5,0)),0%,VLOOKUP(A66,'Données projet'!$A$35:$I$55,5,0)*VLOOKUP('Données projet'!$B$9,Paramètres!$A$1:$I$88,7,0))</f>
        <v>0</v>
      </c>
      <c r="P66" s="31">
        <f>IF(ISNA(VLOOKUP(A66,'Données projet'!$A$35:$I$55,6,0)),0%,VLOOKUP(A66,'Données projet'!$A$35:$I$55,6,0)*VLOOKUP('Données projet'!$B$9,Paramètres!$A$1:$I$88,7,0))</f>
        <v>0</v>
      </c>
      <c r="Q66" s="31">
        <f>IF(ISNA(VLOOKUP(A66,'Données projet'!$A$35:$I$55,7,0)),0%,VLOOKUP(A66,'Données projet'!$A$35:$I$55,7,0))</f>
        <v>0</v>
      </c>
      <c r="R66" s="43">
        <f>EXP(-LN(2)/35)*R65+(1-EXP(-LN(2)/35))/(LN(2)/35)*N66*O66*VLOOKUP('Données projet'!$B$9,Paramètres!$A$1:$I$88,3,0)*0.475*44/12</f>
        <v>0</v>
      </c>
      <c r="S66" s="43">
        <f>EXP(-LN(2)/25)*S65+(1-EXP(-LN(2)/25))/(LN(2)/25)*Calculateur!N66*Calculateur!P66*VLOOKUP('Données projet'!$B$9,Paramètres!$A$1:$I$88,3,0)*0.475*44/12</f>
        <v>0</v>
      </c>
      <c r="T66" s="43">
        <f>EXP(-LN(2)/2)*T65+(1-EXP(-LN(2)/2))/(LN(2)/2)*N66*Q66*VLOOKUP('Données projet'!$B$9,Paramètres!$A$1:$I$88,3,0)*0.475*44/12</f>
        <v>0</v>
      </c>
      <c r="U66" s="43">
        <f t="shared" si="1"/>
        <v>0</v>
      </c>
      <c r="V66" s="32" t="e">
        <f>VLOOKUP(A66,'Données projet'!$A$61:$I$81,2,0)</f>
        <v>#N/A</v>
      </c>
      <c r="W66" s="33" t="e">
        <f>VLOOKUP(A66,'Données projet'!$A$61:$I$81,9,0)</f>
        <v>#N/A</v>
      </c>
      <c r="X66" s="33">
        <f t="array" ref="X66">INDEX(W:W,MIN(IF(ISNUMBER(W66:W262),ROW(W66:W262),"")))</f>
        <v>0</v>
      </c>
      <c r="Y66" s="33">
        <f t="shared" si="24"/>
        <v>0</v>
      </c>
      <c r="Z66" s="34" t="e">
        <f>Y66*VLOOKUP('Données projet'!$B$10,Paramètres!$A$1:$I$88,3,0)*VLOOKUP('Données projet'!$B$10,Paramètres!$A$1:$I$88,5,0)</f>
        <v>#N/A</v>
      </c>
      <c r="AA66" s="34" t="e">
        <f t="shared" si="25"/>
        <v>#N/A</v>
      </c>
      <c r="AB66" s="44" t="e">
        <f t="shared" si="2"/>
        <v>#N/A</v>
      </c>
      <c r="AC66" s="36">
        <f>IF(ISNA(VLOOKUP(A66,'Données projet'!$A$61:$I$81,3,0)),0,VLOOKUP(A66,'Données projet'!$A$61:$I$81,3,0))</f>
        <v>0</v>
      </c>
      <c r="AD66" s="36">
        <f>IF(ISNA(VLOOKUP(A66,'Données projet'!$A$61:$I$81,4,0)),0,VLOOKUP(A66,'Données projet'!$A$61:$I$81,4,0))</f>
        <v>0</v>
      </c>
      <c r="AE66" s="37">
        <f>IF(ISNA(VLOOKUP(A66,'Données projet'!$A$61:$I$81,5,0)),0%,VLOOKUP(A66,'Données projet'!$A$61:$I$81,5,0)*VLOOKUP('Données projet'!$B$10,Paramètres!$A$1:$I$88,7,0))</f>
        <v>0</v>
      </c>
      <c r="AF66" s="37">
        <f>IF(ISNA(VLOOKUP(A66,'Données projet'!$A$61:$I$81,6,0)),0%,VLOOKUP(A66,'Données projet'!$A$61:$I$81,6,0)*VLOOKUP('Données projet'!$B$10,Paramètres!$A$1:$I$88,7,0))</f>
        <v>0</v>
      </c>
      <c r="AG66" s="37">
        <f>IF(ISNA(VLOOKUP(A66,'Données projet'!$A$61:$I$81,7,0)),0%,VLOOKUP(A66,'Données projet'!$A$61:$I$81,7,0))</f>
        <v>0</v>
      </c>
      <c r="AH66" s="45">
        <f>EXP(-LN(2)/35)*AH65+(1-EXP(-LN(2)/35))/(LN(2)/35)*AD66*AE66*VLOOKUP('Données projet'!$B$9,Paramètres!$A$1:$I$88,3,0)*0.475*44/12</f>
        <v>0</v>
      </c>
      <c r="AI66" s="45">
        <f>EXP(-LN(2)/25)*AI65+(1-EXP(-LN(2)/25))/(LN(2)/25)*Calculateur!AD66*Calculateur!AF66*VLOOKUP('Données projet'!$B$9,Paramètres!$A$1:$I$88,3,0)*0.475*44/12</f>
        <v>0</v>
      </c>
      <c r="AJ66" s="45">
        <f>EXP(-LN(2)/2)*AJ65+(1-EXP(-LN(2)/2))/(LN(2)/2)*AD66*AG66*VLOOKUP('Données projet'!$B$9,Paramètres!$A$1:$I$88,3,0)*0.475*44/12</f>
        <v>0</v>
      </c>
      <c r="AK66" s="45">
        <f t="shared" si="3"/>
        <v>0</v>
      </c>
      <c r="AL66" s="32" t="e">
        <f>VLOOKUP(A66,'Données projet'!$A$87:$I$107,2,0)</f>
        <v>#N/A</v>
      </c>
      <c r="AM66" s="33" t="e">
        <f>VLOOKUP(A66,'Données projet'!$A$87:$I$107,9,0)</f>
        <v>#N/A</v>
      </c>
      <c r="AN66" s="33">
        <f t="array" ref="AN66">INDEX(AM:AM,MIN(IF(ISNUMBER(AM66:AM262),ROW(AM66:AM262),"")))</f>
        <v>0</v>
      </c>
      <c r="AO66" s="33">
        <f t="shared" si="26"/>
        <v>0</v>
      </c>
      <c r="AP66" s="34" t="e">
        <f>AO66*VLOOKUP('Données projet'!$B$11,Paramètres!$A$1:$I$88,3,0)*VLOOKUP('Données projet'!$B$11,Paramètres!$A$1:$I$88,5,0)</f>
        <v>#N/A</v>
      </c>
      <c r="AQ66" s="34" t="e">
        <f t="shared" si="27"/>
        <v>#N/A</v>
      </c>
      <c r="AR66" s="44" t="e">
        <f t="shared" si="4"/>
        <v>#N/A</v>
      </c>
      <c r="AS66" s="36">
        <f>IF(ISNA(VLOOKUP(A66,'Données projet'!$A$87:$I$107,3,0)),0,VLOOKUP(A66,'Données projet'!$A$87:$I$107,3,0))</f>
        <v>0</v>
      </c>
      <c r="AT66" s="36">
        <f>IF(ISNA(VLOOKUP(A66,'Données projet'!$A$87:$I$107,4,0)),0,VLOOKUP(A66,'Données projet'!$A$87:$I$107,4,0))</f>
        <v>0</v>
      </c>
      <c r="AU66" s="37">
        <f>IF(ISNA(VLOOKUP(A66,'Données projet'!$A$87:$I$107,5,0)),0%,VLOOKUP(A66,'Données projet'!$A$87:$I$107,5,0)*VLOOKUP('Données projet'!$B$11,Paramètres!$A$1:$I$88,7,0))</f>
        <v>0</v>
      </c>
      <c r="AV66" s="37">
        <f>IF(ISNA(VLOOKUP(A66,'Données projet'!$A$87:$I$107,6,0)),0%,VLOOKUP(A66,'Données projet'!$A$87:$I$107,6,0)*VLOOKUP('Données projet'!$B$11,Paramètres!$A$1:$I$88,7,0))</f>
        <v>0</v>
      </c>
      <c r="AW66" s="37">
        <f>IF(ISNA(VLOOKUP(A66,'Données projet'!$A$87:$I$107,7,0)),0%,VLOOKUP(A66,'Données projet'!$A$87:$I$107,7,0))</f>
        <v>0</v>
      </c>
      <c r="AX66" s="45">
        <f>EXP(-LN(2)/35)*AX65+(1-EXP(-LN(2)/35))/(LN(2)/35)*AT66*AU66*VLOOKUP('Données projet'!$B$9,Paramètres!$A$1:$I$88,3,0)*0.475*44/12</f>
        <v>0</v>
      </c>
      <c r="AY66" s="45">
        <f>EXP(-LN(2)/25)*AY65+(1-EXP(-LN(2)/25))/(LN(2)/25)*Calculateur!AT66*Calculateur!AV66*VLOOKUP('Données projet'!$B$9,Paramètres!$A$1:$I$88,3,0)*0.475*44/12</f>
        <v>0</v>
      </c>
      <c r="AZ66" s="45">
        <f>EXP(-LN(2)/2)*AZ65+(1-EXP(-LN(2)/2))/(LN(2)/2)*AT66*AW66*VLOOKUP('Données projet'!$B$9,Paramètres!$A$1:$I$88,3,0)*0.475*44/12</f>
        <v>0</v>
      </c>
      <c r="BA66" s="46">
        <f t="shared" si="5"/>
        <v>0</v>
      </c>
      <c r="BB66" s="32" t="e">
        <f>VLOOKUP(A66,'Données projet'!$A$113:$I$133,2,0)</f>
        <v>#N/A</v>
      </c>
      <c r="BC66" s="33" t="e">
        <f>VLOOKUP(A66,'Données projet'!$A$113:$I$133,9,0)</f>
        <v>#N/A</v>
      </c>
      <c r="BD66" s="33">
        <f t="array" ref="BD66">INDEX(BC:BC,MIN(IF(ISNUMBER(BC66:BC262),ROW(BC66:BC262),"")))</f>
        <v>0</v>
      </c>
      <c r="BE66" s="33">
        <f t="shared" si="28"/>
        <v>0</v>
      </c>
      <c r="BF66" s="34" t="e">
        <f>BE66*VLOOKUP('Données projet'!$B$12,Paramètres!$A$1:$I$88,3,0)*VLOOKUP('Données projet'!$B$12,Paramètres!$A$1:$I$88,5,0)</f>
        <v>#N/A</v>
      </c>
      <c r="BG66" s="34" t="e">
        <f t="shared" si="29"/>
        <v>#N/A</v>
      </c>
      <c r="BH66" s="44" t="e">
        <f t="shared" si="6"/>
        <v>#N/A</v>
      </c>
      <c r="BI66" s="36">
        <f>IF(ISNA(VLOOKUP(A66,'Données projet'!$A$113:$I$133,3,0)),0,VLOOKUP(A66,'Données projet'!$A$113:$I$133,3,0))</f>
        <v>0</v>
      </c>
      <c r="BJ66" s="36">
        <f>IF(ISNA(VLOOKUP(A66,'Données projet'!$A$113:$I$133,4,0)),0,VLOOKUP(A66,'Données projet'!$A$113:$I$133,4,0))</f>
        <v>0</v>
      </c>
      <c r="BK66" s="37">
        <f>IF(ISNA(VLOOKUP(A66,'Données projet'!$A$113:$I$133,5,0)),0%,VLOOKUP(A66,'Données projet'!$A$113:$I$133,5,0)*VLOOKUP('Données projet'!$B$12,Paramètres!$A$1:$I$88,7,0))</f>
        <v>0</v>
      </c>
      <c r="BL66" s="37">
        <f>IF(ISNA(VLOOKUP(A66,'Données projet'!$A$113:$I$133,6,0)),0%,VLOOKUP(A66,'Données projet'!$A$113:$I$133,6,0)*VLOOKUP('Données projet'!$B$12,Paramètres!$A$1:$I$88,7,0))</f>
        <v>0</v>
      </c>
      <c r="BM66" s="37">
        <f>IF(ISNA(VLOOKUP(A66,'Données projet'!$A$113:$I$133,7,0)),0%,VLOOKUP(A66,'Données projet'!$A$113:$I$133,7,0))</f>
        <v>0</v>
      </c>
      <c r="BN66" s="45">
        <f>EXP(-LN(2)/35)*BN65+(1-EXP(-LN(2)/35))/(LN(2)/35)*BJ66*BK66*VLOOKUP('Données projet'!$B$9,Paramètres!$A$1:$I$88,3,0)*0.475*44/12</f>
        <v>0</v>
      </c>
      <c r="BO66" s="45">
        <f>EXP(-LN(2)/25)*BO65+(1-EXP(-LN(2)/25))/(LN(2)/25)*Calculateur!BJ66*Calculateur!BL66*VLOOKUP('Données projet'!$B$9,Paramètres!$A$1:$I$88,3,0)*0.475*44/12</f>
        <v>0</v>
      </c>
      <c r="BP66" s="45">
        <f>EXP(-LN(2)/2)*BP65+(1-EXP(-LN(2)/2))/(LN(2)/2)*BJ66*BM66*VLOOKUP('Données projet'!$B$9,Paramètres!$A$1:$I$88,3,0)*0.475*44/12</f>
        <v>0</v>
      </c>
      <c r="BQ66" s="46">
        <f t="shared" si="7"/>
        <v>0</v>
      </c>
      <c r="BR66" s="32" t="e">
        <f>VLOOKUP(A66,'Données projet'!$A$139:$I$159,2,0)</f>
        <v>#N/A</v>
      </c>
      <c r="BS66" s="33" t="e">
        <f>VLOOKUP(A66,'Données projet'!$A$139:$I$159,9,0)</f>
        <v>#N/A</v>
      </c>
      <c r="BT66" s="33">
        <f t="array" ref="BT66">INDEX(BS:BS,MIN(IF(ISNUMBER(BS66:BS262),ROW(BS66:BS262),"")))</f>
        <v>0</v>
      </c>
      <c r="BU66" s="33">
        <f t="shared" si="41"/>
        <v>0</v>
      </c>
      <c r="BV66" s="38" t="e">
        <f>BU66*VLOOKUP('Données projet'!$B$13,Paramètres!$A$1:$I$88,3,0)*VLOOKUP('Données projet'!$B$13,Paramètres!$A$1:$I$88,5,0)</f>
        <v>#N/A</v>
      </c>
      <c r="BW66" s="34" t="e">
        <f t="shared" si="30"/>
        <v>#N/A</v>
      </c>
      <c r="BX66" s="44" t="e">
        <f t="shared" si="8"/>
        <v>#N/A</v>
      </c>
      <c r="BY66" s="36">
        <f>IF(ISNA(VLOOKUP(A66,'Données projet'!$A$139:$I$159,3,0)),0,VLOOKUP(A66,'Données projet'!$A$139:$I$159,3,0))</f>
        <v>0</v>
      </c>
      <c r="BZ66" s="36">
        <f>IF(ISNA(VLOOKUP(A66,'Données projet'!$A$139:$I$159,4,0)),0,VLOOKUP(A66,'Données projet'!$A$139:$I$159,4,0))</f>
        <v>0</v>
      </c>
      <c r="CA66" s="37">
        <f>IF(ISNA(VLOOKUP(A66,'Données projet'!$A$139:$I$159,5,0)),0%,VLOOKUP(A66,'Données projet'!$A$139:$I$159,5,0)*VLOOKUP('Données projet'!$B$13,Paramètres!$A$1:$I$88,7,0))</f>
        <v>0</v>
      </c>
      <c r="CB66" s="37">
        <f>IF(ISNA(VLOOKUP(A66,'Données projet'!$A$139:$I$159,6,0)),0%,VLOOKUP(A66,'Données projet'!$A$139:$I$159,6,0)*VLOOKUP('Données projet'!$B$13,Paramètres!$A$1:$I$88,7,0))</f>
        <v>0</v>
      </c>
      <c r="CC66" s="37">
        <f>IF(ISNA(VLOOKUP(A66,'Données projet'!$A$139:$I$159,7,0)),0%,VLOOKUP(A66,'Données projet'!$A$139:$I$159,7,0))</f>
        <v>0</v>
      </c>
      <c r="CD66" s="45">
        <f>EXP(-LN(2)/35)*CD65+(1-EXP(-LN(2)/35))/(LN(2)/35)*BZ66*CA66*VLOOKUP('Données projet'!$B$9,Paramètres!$A$1:$I$88,3,0)*0.475*44/12</f>
        <v>0</v>
      </c>
      <c r="CE66" s="45">
        <f>EXP(-LN(2)/25)*CE65+(1-EXP(-LN(2)/25))/(LN(2)/25)*Calculateur!BZ66*Calculateur!CB66*VLOOKUP('Données projet'!$B$9,Paramètres!$A$1:$I$88,3,0)*0.475*44/12</f>
        <v>0</v>
      </c>
      <c r="CF66" s="45">
        <f>EXP(-LN(2)/2)*CF65+(1-EXP(-LN(2)/2))/(LN(2)/2)*BZ66*CC66*VLOOKUP('Données projet'!$B$9,Paramètres!$A$1:$I$88,3,0)*0.475*44/12</f>
        <v>0</v>
      </c>
      <c r="CG66" s="46">
        <f t="shared" si="9"/>
        <v>0</v>
      </c>
      <c r="CH66" s="32" t="e">
        <f>VLOOKUP(A66,'Données projet'!$A$165:$I$185,2,0)</f>
        <v>#N/A</v>
      </c>
      <c r="CI66" s="33" t="e">
        <f>VLOOKUP(A66,'Données projet'!$A$165:$I$185,9,0)</f>
        <v>#N/A</v>
      </c>
      <c r="CJ66" s="33">
        <f t="array" ref="CJ66">INDEX(CI:CI,MIN(IF(ISNUMBER(CI66:CI262),ROW(CI66:CI262),"")))</f>
        <v>0</v>
      </c>
      <c r="CK66" s="33">
        <f t="shared" si="31"/>
        <v>0</v>
      </c>
      <c r="CL66" s="38" t="e">
        <f>CK66*VLOOKUP('Données projet'!$B$14,Paramètres!$A$1:$I$88,3,0)*VLOOKUP('Données projet'!$B$14,Paramètres!$A$1:$I$88,5,0)</f>
        <v>#N/A</v>
      </c>
      <c r="CM66" s="34" t="e">
        <f t="shared" si="32"/>
        <v>#N/A</v>
      </c>
      <c r="CN66" s="44" t="e">
        <f t="shared" si="10"/>
        <v>#N/A</v>
      </c>
      <c r="CO66" s="36">
        <f>IF(ISNA(VLOOKUP(A66,'Données projet'!$A$165:$I$185,3,0)),0,VLOOKUP(A66,'Données projet'!$A$165:$I$185,3,0))</f>
        <v>0</v>
      </c>
      <c r="CP66" s="36">
        <f>IF(ISNA(VLOOKUP(A66,'Données projet'!$A$165:$I$185,4,0)),0,VLOOKUP(A66,'Données projet'!$A$165:$I$185,4,0))</f>
        <v>0</v>
      </c>
      <c r="CQ66" s="37">
        <f>IF(ISNA(VLOOKUP(A66,'Données projet'!$A$165:$I$185,5,0)),0%,VLOOKUP(A66,'Données projet'!$A$165:$I$185,5,0)*VLOOKUP('Données projet'!$B$14,Paramètres!$A$1:$I$88,7,0))</f>
        <v>0</v>
      </c>
      <c r="CR66" s="37">
        <f>IF(ISNA(VLOOKUP(A66,'Données projet'!$A$165:$I$185,6,0)),0%,VLOOKUP(A66,'Données projet'!$A$165:$I$185,6,0)*VLOOKUP('Données projet'!$B$14,Paramètres!$A$1:$I$88,7,0))</f>
        <v>0</v>
      </c>
      <c r="CS66" s="37">
        <f>IF(ISNA(VLOOKUP(A66,'Données projet'!$A$165:$I$185,7,0)),0%,VLOOKUP(A66,'Données projet'!$A$165:$I$185,7,0))</f>
        <v>0</v>
      </c>
      <c r="CT66" s="45">
        <f>EXP(-LN(2)/35)*CT65+(1-EXP(-LN(2)/35))/(LN(2)/35)*CP66*CQ66*VLOOKUP('Données projet'!$B$9,Paramètres!$A$1:$I$88,3,0)*0.475*44/12</f>
        <v>0</v>
      </c>
      <c r="CU66" s="45">
        <f>EXP(-LN(2)/25)*CU65+(1-EXP(-LN(2)/25))/(LN(2)/25)*Calculateur!CP66*Calculateur!CR66*VLOOKUP('Données projet'!$B$9,Paramètres!$A$1:$I$88,3,0)*0.475*44/12</f>
        <v>0</v>
      </c>
      <c r="CV66" s="45">
        <f>EXP(-LN(2)/2)*CV65+(1-EXP(-LN(2)/2))/(LN(2)/2)*CP66*CS66*VLOOKUP('Données projet'!$B$9,Paramètres!$A$1:$I$88,3,0)*0.475*44/12</f>
        <v>0</v>
      </c>
      <c r="CW66" s="46">
        <f t="shared" si="11"/>
        <v>0</v>
      </c>
      <c r="CX66" s="32" t="e">
        <f>VLOOKUP(A66,'Données projet'!$A$191:$I$211,2,0)</f>
        <v>#N/A</v>
      </c>
      <c r="CY66" s="33" t="e">
        <f>VLOOKUP(A66,'Données projet'!$A$191:$I$211,9,0)</f>
        <v>#N/A</v>
      </c>
      <c r="CZ66" s="33">
        <f t="array" ref="CZ66">INDEX(CY:CY,MIN(IF(ISNUMBER(CY66:CY262),ROW(CY66:CY262),"")))</f>
        <v>0</v>
      </c>
      <c r="DA66" s="33">
        <f t="shared" si="33"/>
        <v>0</v>
      </c>
      <c r="DB66" s="38" t="e">
        <f>DA66*VLOOKUP('Données projet'!$B$15,Paramètres!$A$1:$I$88,3,0)*VLOOKUP('Données projet'!$B$15,Paramètres!$A$1:$I$88,5,0)</f>
        <v>#N/A</v>
      </c>
      <c r="DC66" s="34" t="e">
        <f t="shared" si="34"/>
        <v>#N/A</v>
      </c>
      <c r="DD66" s="44" t="e">
        <f t="shared" si="12"/>
        <v>#N/A</v>
      </c>
      <c r="DE66" s="36">
        <f>IF(ISNA(VLOOKUP(A66,'Données projet'!$A$191:$I$211,3,0)),0,VLOOKUP(A66,'Données projet'!$A$191:$I$211,3,0))</f>
        <v>0</v>
      </c>
      <c r="DF66" s="36">
        <f>IF(ISNA(VLOOKUP(A66,'Données projet'!$A$191:$I$211,4,0)),0,VLOOKUP(A66,'Données projet'!$A$191:$I$211,4,0))</f>
        <v>0</v>
      </c>
      <c r="DG66" s="37">
        <f>IF(ISNA(VLOOKUP(A66,'Données projet'!$A$191:$I$211,5,0)),0%,VLOOKUP(A66,'Données projet'!$A$191:$I$211,5,0)*VLOOKUP('Données projet'!$B$15,Paramètres!$A$1:$I$88,7,0))</f>
        <v>0</v>
      </c>
      <c r="DH66" s="37">
        <f>IF(ISNA(VLOOKUP(A66,'Données projet'!$A$191:$I$211,6,0)),0%,VLOOKUP(A66,'Données projet'!$A$191:$I$211,6,0)*VLOOKUP('Données projet'!$B$15,Paramètres!$A$1:$I$88,7,0))</f>
        <v>0</v>
      </c>
      <c r="DI66" s="37">
        <f>IF(ISNA(VLOOKUP(A66,'Données projet'!$A$191:$I$211,7,0)),0%,VLOOKUP(A66,'Données projet'!$A$191:$I$211,7,0))</f>
        <v>0</v>
      </c>
      <c r="DJ66" s="45">
        <f>EXP(-LN(2)/35)*DJ65+(1-EXP(-LN(2)/35))/(LN(2)/35)*DF66*DG66*VLOOKUP('Données projet'!$B$9,Paramètres!$A$1:$I$88,3,0)*0.475*44/12</f>
        <v>0</v>
      </c>
      <c r="DK66" s="45">
        <f>EXP(-LN(2)/25)*DK65+(1-EXP(-LN(2)/25))/(LN(2)/25)*Calculateur!DF66*Calculateur!DH66*VLOOKUP('Données projet'!$B$9,Paramètres!$A$1:$I$88,3,0)*0.475*44/12</f>
        <v>0</v>
      </c>
      <c r="DL66" s="45">
        <f>EXP(-LN(2)/2)*DL65+(1-EXP(-LN(2)/2))/(LN(2)/2)*DF66*DI66*VLOOKUP('Données projet'!$B$9,Paramètres!$A$1:$I$88,3,0)*0.475*44/12</f>
        <v>0</v>
      </c>
      <c r="DM66" s="46">
        <f t="shared" si="13"/>
        <v>0</v>
      </c>
      <c r="DN66" s="32" t="e">
        <f>VLOOKUP(A66,'Données projet'!$A$217:$I$237,2,0)</f>
        <v>#N/A</v>
      </c>
      <c r="DO66" s="33" t="e">
        <f>VLOOKUP(A66,'Données projet'!$A$217:$I$237,9,0)</f>
        <v>#N/A</v>
      </c>
      <c r="DP66" s="33">
        <f t="array" ref="DP66">INDEX(DO:DO,MIN(IF(ISNUMBER(DO66:DO262),ROW(DO66:DO262),"")))</f>
        <v>0</v>
      </c>
      <c r="DQ66" s="33">
        <f t="shared" si="35"/>
        <v>0</v>
      </c>
      <c r="DR66" s="38" t="e">
        <f>DQ66*VLOOKUP('Données projet'!$B$16,Paramètres!$A$1:$I$88,3,0)*VLOOKUP('Données projet'!$B$16,Paramètres!$A$1:$I$88,5,0)</f>
        <v>#N/A</v>
      </c>
      <c r="DS66" s="34" t="e">
        <f t="shared" si="36"/>
        <v>#N/A</v>
      </c>
      <c r="DT66" s="44" t="e">
        <f t="shared" si="14"/>
        <v>#N/A</v>
      </c>
      <c r="DU66" s="36">
        <f>IF(ISNA(VLOOKUP(A66,'Données projet'!$A$217:$I$237,3,0)),0,VLOOKUP(A66,'Données projet'!$A$217:$I$237,3,0))</f>
        <v>0</v>
      </c>
      <c r="DV66" s="36">
        <f>IF(ISNA(VLOOKUP(A66,'Données projet'!$A$217:$I$237,4,0)),0,VLOOKUP(A66,'Données projet'!$A$217:$I$237,4,0))</f>
        <v>0</v>
      </c>
      <c r="DW66" s="37">
        <f>IF(ISNA(VLOOKUP(A66,'Données projet'!$A$217:$I$237,5,0)),0%,VLOOKUP(A66,'Données projet'!$A$217:$I$237,5,0)*VLOOKUP('Données projet'!$B$16,Paramètres!$A$1:$I$88,7,0))</f>
        <v>0</v>
      </c>
      <c r="DX66" s="37">
        <f>IF(ISNA(VLOOKUP(A66,'Données projet'!$A$217:$I$237,6,0)),0%,VLOOKUP(A66,'Données projet'!$A$217:$I$237,6,0)*VLOOKUP('Données projet'!$B$16,Paramètres!$A$1:$I$88,7,0))</f>
        <v>0</v>
      </c>
      <c r="DY66" s="37">
        <f>IF(ISNA(VLOOKUP(A66,'Données projet'!$A$217:$I$237,7,0)),0%,VLOOKUP(A66,'Données projet'!$A$217:$I$237,7,0))</f>
        <v>0</v>
      </c>
      <c r="DZ66" s="45">
        <f>EXP(-LN(2)/35)*DZ65+(1-EXP(-LN(2)/35))/(LN(2)/35)*DV66*DW66*VLOOKUP('Données projet'!$B$9,Paramètres!$A$1:$I$88,3,0)*0.475*44/12</f>
        <v>0</v>
      </c>
      <c r="EA66" s="45">
        <f>EXP(-LN(2)/25)*EA65+(1-EXP(-LN(2)/25))/(LN(2)/25)*Calculateur!DV66*Calculateur!DX66*VLOOKUP('Données projet'!$B$9,Paramètres!$A$1:$I$88,3,0)*0.475*44/12</f>
        <v>0</v>
      </c>
      <c r="EB66" s="45">
        <f>EXP(-LN(2)/2)*EB65+(1-EXP(-LN(2)/2))/(LN(2)/2)*DV66*DY66*VLOOKUP('Données projet'!$B$9,Paramètres!$A$1:$I$88,3,0)*0.475*44/12</f>
        <v>0</v>
      </c>
      <c r="EC66" s="46">
        <f t="shared" si="15"/>
        <v>0</v>
      </c>
      <c r="ED66" s="32" t="e">
        <f>VLOOKUP(A66,'Données projet'!$A$243:$I$263,2,0)</f>
        <v>#N/A</v>
      </c>
      <c r="EE66" s="33" t="e">
        <f>VLOOKUP(A66,'Données projet'!$A$243:$I$263,9,0)</f>
        <v>#N/A</v>
      </c>
      <c r="EF66" s="33">
        <f t="array" ref="EF66">INDEX(EE:EE,MIN(IF(ISNUMBER(EE66:EE262),ROW(EE66:EE262),"")))</f>
        <v>0</v>
      </c>
      <c r="EG66" s="33">
        <f t="shared" si="37"/>
        <v>0</v>
      </c>
      <c r="EH66" s="38" t="e">
        <f>EG66*VLOOKUP('Données projet'!$B$17,Paramètres!$A$1:$I$88,3,0)*VLOOKUP('Données projet'!$B$17,Paramètres!$A$1:$I$88,5,0)</f>
        <v>#N/A</v>
      </c>
      <c r="EI66" s="34" t="e">
        <f t="shared" si="38"/>
        <v>#N/A</v>
      </c>
      <c r="EJ66" s="44" t="e">
        <f t="shared" si="16"/>
        <v>#N/A</v>
      </c>
      <c r="EK66" s="36">
        <f>IF(ISNA(VLOOKUP(A66,'Données projet'!$A$243:$I$263,3,0)),0,VLOOKUP(A66,'Données projet'!$A$243:$I$263,3,0))</f>
        <v>0</v>
      </c>
      <c r="EL66" s="36">
        <f>IF(ISNA(VLOOKUP(A66,'Données projet'!$A$243:$I$263,4,0)),0,VLOOKUP(A66,'Données projet'!$A$243:$I$263,4,0))</f>
        <v>0</v>
      </c>
      <c r="EM66" s="37">
        <f>IF(ISNA(VLOOKUP(A66,'Données projet'!$A$243:$I$263,5,0)),0%,VLOOKUP(A66,'Données projet'!$A$243:$I$263,5,0)*VLOOKUP('Données projet'!$B$17,Paramètres!$A$1:$I$88,7,0))</f>
        <v>0</v>
      </c>
      <c r="EN66" s="37">
        <f>IF(ISNA(VLOOKUP(A66,'Données projet'!$A$243:$I$263,6,0)),0%,VLOOKUP(A66,'Données projet'!$A$243:$I$263,6,0)*VLOOKUP('Données projet'!$B$17,Paramètres!$A$1:$I$88,7,0))</f>
        <v>0</v>
      </c>
      <c r="EO66" s="37">
        <f>IF(ISNA(VLOOKUP(A66,'Données projet'!$A$243:$I$263,7,0)),0%,VLOOKUP(A66,'Données projet'!$A$243:$I$263,7,0))</f>
        <v>0</v>
      </c>
      <c r="EP66" s="45">
        <f>EXP(-LN(2)/35)*EP65+(1-EXP(-LN(2)/35))/(LN(2)/35)*EL66*EM66*VLOOKUP('Données projet'!$B$9,Paramètres!$A$1:$I$88,3,0)*0.475*44/12</f>
        <v>0</v>
      </c>
      <c r="EQ66" s="45">
        <f>EXP(-LN(2)/25)*EQ65+(1-EXP(-LN(2)/25))/(LN(2)/25)*Calculateur!EL66*Calculateur!EN66*VLOOKUP('Données projet'!$B$9,Paramètres!$A$1:$I$88,3,0)*0.475*44/12</f>
        <v>0</v>
      </c>
      <c r="ER66" s="45">
        <f>EXP(-LN(2)/2)*ER65+(1-EXP(-LN(2)/2))/(LN(2)/2)*EL66*EO66*VLOOKUP('Données projet'!$B$9,Paramètres!$A$1:$I$88,3,0)*0.475*44/12</f>
        <v>0</v>
      </c>
      <c r="ES66" s="46">
        <f t="shared" si="17"/>
        <v>0</v>
      </c>
      <c r="ET66" s="32" t="e">
        <f>VLOOKUP(A66,'Données projet'!$A$269:$I$289,2,0)</f>
        <v>#N/A</v>
      </c>
      <c r="EU66" s="33" t="e">
        <f>VLOOKUP(A66,'Données projet'!$A$269:$I$289,9,0)</f>
        <v>#N/A</v>
      </c>
      <c r="EV66" s="33">
        <f t="array" ref="EV66">INDEX(EU:EU,MIN(IF(ISNUMBER(EU66:EU262),ROW(EU66:EU262),"")))</f>
        <v>0</v>
      </c>
      <c r="EW66" s="33">
        <f t="shared" si="39"/>
        <v>0</v>
      </c>
      <c r="EX66" s="38" t="e">
        <f>EW66*VLOOKUP('Données projet'!$B$18,Paramètres!$A$1:$I$88,3,0)*VLOOKUP('Données projet'!$B$18,Paramètres!$A$1:$I$88,5,0)</f>
        <v>#N/A</v>
      </c>
      <c r="EY66" s="34" t="e">
        <f t="shared" si="40"/>
        <v>#N/A</v>
      </c>
      <c r="EZ66" s="44" t="e">
        <f t="shared" si="18"/>
        <v>#N/A</v>
      </c>
      <c r="FA66" s="36">
        <f>IF(ISNA(VLOOKUP(A66,'Données projet'!$A$269:$I$289,3,0)),0,VLOOKUP(A66,'Données projet'!$A$269:$I$289,3,0))</f>
        <v>0</v>
      </c>
      <c r="FB66" s="36">
        <f>IF(ISNA(VLOOKUP(A66,'Données projet'!$A$269:$I$289,4,0)),0,VLOOKUP(A66,'Données projet'!$A$269:$I$289,4,0))</f>
        <v>0</v>
      </c>
      <c r="FC66" s="37">
        <f>IF(ISNA(VLOOKUP(A66,'Données projet'!$A$269:$I$289,5,0)),0%,VLOOKUP(A66,'Données projet'!$A$269:$I$289,5,0)*VLOOKUP('Données projet'!$B$18,Paramètres!$A$1:$I$88,7,0))</f>
        <v>0</v>
      </c>
      <c r="FD66" s="37">
        <f>IF(ISNA(VLOOKUP(A66,'Données projet'!$A$269:$I$289,6,0)),0%,VLOOKUP(A66,'Données projet'!$A$269:$I$289,6,0)*VLOOKUP('Données projet'!$B$18,Paramètres!$A$1:$I$88,7,0))</f>
        <v>0</v>
      </c>
      <c r="FE66" s="37">
        <f>IF(ISNA(VLOOKUP(A66,'Données projet'!$A$269:$I$289,7,0)),0%,VLOOKUP(A66,'Données projet'!$A$269:$I$289,7,0))</f>
        <v>0</v>
      </c>
      <c r="FF66" s="45">
        <f>EXP(-LN(2)/35)*FF65+(1-EXP(-LN(2)/35))/(LN(2)/35)*FB66*FC66*VLOOKUP('Données projet'!$B$9,Paramètres!$A$1:$I$88,3,0)*0.475*44/12</f>
        <v>0</v>
      </c>
      <c r="FG66" s="45">
        <f>EXP(-LN(2)/25)*FG65+(1-EXP(-LN(2)/25))/(LN(2)/25)*Calculateur!FB66*Calculateur!FD66*VLOOKUP('Données projet'!$B$9,Paramètres!$A$1:$I$88,3,0)*0.475*44/12</f>
        <v>0</v>
      </c>
      <c r="FH66" s="45">
        <f>EXP(-LN(2)/2)*FH65+(1-EXP(-LN(2)/2))/(LN(2)/2)*FB66*FE66*VLOOKUP('Données projet'!$B$9,Paramètres!$A$1:$I$88,3,0)*0.475*44/12</f>
        <v>0</v>
      </c>
      <c r="FI66" s="46">
        <f t="shared" si="19"/>
        <v>0</v>
      </c>
    </row>
    <row r="67" spans="1:165" x14ac:dyDescent="0.25">
      <c r="A67" s="24">
        <f t="shared" si="20"/>
        <v>64</v>
      </c>
      <c r="B67" s="25">
        <f>IF('Scénario référence'!$N$1=1,5,0)</f>
        <v>0</v>
      </c>
      <c r="C67" s="40">
        <f>IF(OR('Scénario référence'!$N$1=2,'Scénario référence'!$N$1=4),C66+1*VLOOKUP('Scénario référence'!$G$14,Paramètres!$A$1:$I$88,3,0)*VLOOKUP('Scénario référence'!$G$14,Paramètres!$A$1:$I$88,5,0),IF(OR('Scénario référence'!$N$1=3,'Scénario référence'!$N$1=5),C66+0.5*VLOOKUP('Scénario référence'!$G$14,Paramètres!$A$1:$I$88,3,0)*VLOOKUP('Scénario référence'!$G$14,Paramètres!$A$1:$I$88,5,0),0))</f>
        <v>34.943999999999974</v>
      </c>
      <c r="D67" s="26">
        <f t="shared" si="21"/>
        <v>10.648197775908036</v>
      </c>
      <c r="E67" s="27">
        <f>IF('Scénario référence'!$N$1=1,B67*44/12,(C67+D67)*0.475*44/12)</f>
        <v>79.406411126373115</v>
      </c>
      <c r="F67" s="28" t="e">
        <f>VLOOKUP(A67,'Données projet'!$A$35:$I$55,2,0)</f>
        <v>#N/A</v>
      </c>
      <c r="G67" s="28" t="e">
        <f>VLOOKUP(A67,'Données projet'!$A$35:$I$55,9,0)</f>
        <v>#N/A</v>
      </c>
      <c r="H67" s="33">
        <f t="array" ref="H67">INDEX(G:G,MIN(IF(ISNUMBER(G67:G263),ROW(G67:G263),"")))</f>
        <v>7.2</v>
      </c>
      <c r="I67" s="28">
        <f t="shared" si="22"/>
        <v>242.79999999999993</v>
      </c>
      <c r="J67" s="41">
        <f>I67*VLOOKUP('Données projet'!$B$9,Paramètres!$A$1:$I$88,3,0)*VLOOKUP('Données projet'!$B$9,Paramètres!$A$1:$I$88,5,0)</f>
        <v>246.19919999999996</v>
      </c>
      <c r="K67" s="41">
        <f t="shared" si="23"/>
        <v>59.77133248344078</v>
      </c>
      <c r="L67" s="42">
        <f t="shared" si="0"/>
        <v>532.8986774086593</v>
      </c>
      <c r="M67" s="30">
        <f>IF(ISNA(VLOOKUP(A67,'Données projet'!$A$35:$I$55,3,0)),0,VLOOKUP(A67,'Données projet'!$A$35:$I$55,3,0))</f>
        <v>0</v>
      </c>
      <c r="N67" s="30">
        <f>IF(ISNA(VLOOKUP(A67,'Données projet'!$A$35:$I$55,4,0)),0,VLOOKUP(A67,'Données projet'!$A$35:$I$55,4,0))</f>
        <v>0</v>
      </c>
      <c r="O67" s="31">
        <f>IF(ISNA(VLOOKUP(A67,'Données projet'!$A$35:$I$55,5,0)),0%,VLOOKUP(A67,'Données projet'!$A$35:$I$55,5,0)*VLOOKUP('Données projet'!$B$9,Paramètres!$A$1:$I$88,7,0))</f>
        <v>0</v>
      </c>
      <c r="P67" s="31">
        <f>IF(ISNA(VLOOKUP(A67,'Données projet'!$A$35:$I$55,6,0)),0%,VLOOKUP(A67,'Données projet'!$A$35:$I$55,6,0)*VLOOKUP('Données projet'!$B$9,Paramètres!$A$1:$I$88,7,0))</f>
        <v>0</v>
      </c>
      <c r="Q67" s="31">
        <f>IF(ISNA(VLOOKUP(A67,'Données projet'!$A$35:$I$55,7,0)),0%,VLOOKUP(A67,'Données projet'!$A$35:$I$55,7,0))</f>
        <v>0</v>
      </c>
      <c r="R67" s="43">
        <f>EXP(-LN(2)/35)*R66+(1-EXP(-LN(2)/35))/(LN(2)/35)*N67*O67*VLOOKUP('Données projet'!$B$9,Paramètres!$A$1:$I$88,3,0)*0.475*44/12</f>
        <v>0</v>
      </c>
      <c r="S67" s="43">
        <f>EXP(-LN(2)/25)*S66+(1-EXP(-LN(2)/25))/(LN(2)/25)*Calculateur!N67*Calculateur!P67*VLOOKUP('Données projet'!$B$9,Paramètres!$A$1:$I$88,3,0)*0.475*44/12</f>
        <v>0</v>
      </c>
      <c r="T67" s="43">
        <f>EXP(-LN(2)/2)*T66+(1-EXP(-LN(2)/2))/(LN(2)/2)*N67*Q67*VLOOKUP('Données projet'!$B$9,Paramètres!$A$1:$I$88,3,0)*0.475*44/12</f>
        <v>0</v>
      </c>
      <c r="U67" s="43">
        <f t="shared" si="1"/>
        <v>0</v>
      </c>
      <c r="V67" s="32" t="e">
        <f>VLOOKUP(A67,'Données projet'!$A$61:$I$81,2,0)</f>
        <v>#N/A</v>
      </c>
      <c r="W67" s="33" t="e">
        <f>VLOOKUP(A67,'Données projet'!$A$61:$I$81,9,0)</f>
        <v>#N/A</v>
      </c>
      <c r="X67" s="33">
        <f t="array" ref="X67">INDEX(W:W,MIN(IF(ISNUMBER(W67:W263),ROW(W67:W263),"")))</f>
        <v>0</v>
      </c>
      <c r="Y67" s="33">
        <f t="shared" si="24"/>
        <v>0</v>
      </c>
      <c r="Z67" s="34" t="e">
        <f>Y67*VLOOKUP('Données projet'!$B$10,Paramètres!$A$1:$I$88,3,0)*VLOOKUP('Données projet'!$B$10,Paramètres!$A$1:$I$88,5,0)</f>
        <v>#N/A</v>
      </c>
      <c r="AA67" s="34" t="e">
        <f t="shared" si="25"/>
        <v>#N/A</v>
      </c>
      <c r="AB67" s="44" t="e">
        <f t="shared" si="2"/>
        <v>#N/A</v>
      </c>
      <c r="AC67" s="36">
        <f>IF(ISNA(VLOOKUP(A67,'Données projet'!$A$61:$I$81,3,0)),0,VLOOKUP(A67,'Données projet'!$A$61:$I$81,3,0))</f>
        <v>0</v>
      </c>
      <c r="AD67" s="36">
        <f>IF(ISNA(VLOOKUP(A67,'Données projet'!$A$61:$I$81,4,0)),0,VLOOKUP(A67,'Données projet'!$A$61:$I$81,4,0))</f>
        <v>0</v>
      </c>
      <c r="AE67" s="37">
        <f>IF(ISNA(VLOOKUP(A67,'Données projet'!$A$61:$I$81,5,0)),0%,VLOOKUP(A67,'Données projet'!$A$61:$I$81,5,0)*VLOOKUP('Données projet'!$B$10,Paramètres!$A$1:$I$88,7,0))</f>
        <v>0</v>
      </c>
      <c r="AF67" s="37">
        <f>IF(ISNA(VLOOKUP(A67,'Données projet'!$A$61:$I$81,6,0)),0%,VLOOKUP(A67,'Données projet'!$A$61:$I$81,6,0)*VLOOKUP('Données projet'!$B$10,Paramètres!$A$1:$I$88,7,0))</f>
        <v>0</v>
      </c>
      <c r="AG67" s="37">
        <f>IF(ISNA(VLOOKUP(A67,'Données projet'!$A$61:$I$81,7,0)),0%,VLOOKUP(A67,'Données projet'!$A$61:$I$81,7,0))</f>
        <v>0</v>
      </c>
      <c r="AH67" s="45">
        <f>EXP(-LN(2)/35)*AH66+(1-EXP(-LN(2)/35))/(LN(2)/35)*AD67*AE67*VLOOKUP('Données projet'!$B$9,Paramètres!$A$1:$I$88,3,0)*0.475*44/12</f>
        <v>0</v>
      </c>
      <c r="AI67" s="45">
        <f>EXP(-LN(2)/25)*AI66+(1-EXP(-LN(2)/25))/(LN(2)/25)*Calculateur!AD67*Calculateur!AF67*VLOOKUP('Données projet'!$B$9,Paramètres!$A$1:$I$88,3,0)*0.475*44/12</f>
        <v>0</v>
      </c>
      <c r="AJ67" s="45">
        <f>EXP(-LN(2)/2)*AJ66+(1-EXP(-LN(2)/2))/(LN(2)/2)*AD67*AG67*VLOOKUP('Données projet'!$B$9,Paramètres!$A$1:$I$88,3,0)*0.475*44/12</f>
        <v>0</v>
      </c>
      <c r="AK67" s="45">
        <f t="shared" si="3"/>
        <v>0</v>
      </c>
      <c r="AL67" s="32" t="e">
        <f>VLOOKUP(A67,'Données projet'!$A$87:$I$107,2,0)</f>
        <v>#N/A</v>
      </c>
      <c r="AM67" s="33" t="e">
        <f>VLOOKUP(A67,'Données projet'!$A$87:$I$107,9,0)</f>
        <v>#N/A</v>
      </c>
      <c r="AN67" s="33">
        <f t="array" ref="AN67">INDEX(AM:AM,MIN(IF(ISNUMBER(AM67:AM263),ROW(AM67:AM263),"")))</f>
        <v>0</v>
      </c>
      <c r="AO67" s="33">
        <f t="shared" si="26"/>
        <v>0</v>
      </c>
      <c r="AP67" s="34" t="e">
        <f>AO67*VLOOKUP('Données projet'!$B$11,Paramètres!$A$1:$I$88,3,0)*VLOOKUP('Données projet'!$B$11,Paramètres!$A$1:$I$88,5,0)</f>
        <v>#N/A</v>
      </c>
      <c r="AQ67" s="34" t="e">
        <f t="shared" si="27"/>
        <v>#N/A</v>
      </c>
      <c r="AR67" s="44" t="e">
        <f t="shared" si="4"/>
        <v>#N/A</v>
      </c>
      <c r="AS67" s="36">
        <f>IF(ISNA(VLOOKUP(A67,'Données projet'!$A$87:$I$107,3,0)),0,VLOOKUP(A67,'Données projet'!$A$87:$I$107,3,0))</f>
        <v>0</v>
      </c>
      <c r="AT67" s="36">
        <f>IF(ISNA(VLOOKUP(A67,'Données projet'!$A$87:$I$107,4,0)),0,VLOOKUP(A67,'Données projet'!$A$87:$I$107,4,0))</f>
        <v>0</v>
      </c>
      <c r="AU67" s="37">
        <f>IF(ISNA(VLOOKUP(A67,'Données projet'!$A$87:$I$107,5,0)),0%,VLOOKUP(A67,'Données projet'!$A$87:$I$107,5,0)*VLOOKUP('Données projet'!$B$11,Paramètres!$A$1:$I$88,7,0))</f>
        <v>0</v>
      </c>
      <c r="AV67" s="37">
        <f>IF(ISNA(VLOOKUP(A67,'Données projet'!$A$87:$I$107,6,0)),0%,VLOOKUP(A67,'Données projet'!$A$87:$I$107,6,0)*VLOOKUP('Données projet'!$B$11,Paramètres!$A$1:$I$88,7,0))</f>
        <v>0</v>
      </c>
      <c r="AW67" s="37">
        <f>IF(ISNA(VLOOKUP(A67,'Données projet'!$A$87:$I$107,7,0)),0%,VLOOKUP(A67,'Données projet'!$A$87:$I$107,7,0))</f>
        <v>0</v>
      </c>
      <c r="AX67" s="45">
        <f>EXP(-LN(2)/35)*AX66+(1-EXP(-LN(2)/35))/(LN(2)/35)*AT67*AU67*VLOOKUP('Données projet'!$B$9,Paramètres!$A$1:$I$88,3,0)*0.475*44/12</f>
        <v>0</v>
      </c>
      <c r="AY67" s="45">
        <f>EXP(-LN(2)/25)*AY66+(1-EXP(-LN(2)/25))/(LN(2)/25)*Calculateur!AT67*Calculateur!AV67*VLOOKUP('Données projet'!$B$9,Paramètres!$A$1:$I$88,3,0)*0.475*44/12</f>
        <v>0</v>
      </c>
      <c r="AZ67" s="45">
        <f>EXP(-LN(2)/2)*AZ66+(1-EXP(-LN(2)/2))/(LN(2)/2)*AT67*AW67*VLOOKUP('Données projet'!$B$9,Paramètres!$A$1:$I$88,3,0)*0.475*44/12</f>
        <v>0</v>
      </c>
      <c r="BA67" s="46">
        <f t="shared" si="5"/>
        <v>0</v>
      </c>
      <c r="BB67" s="32" t="e">
        <f>VLOOKUP(A67,'Données projet'!$A$113:$I$133,2,0)</f>
        <v>#N/A</v>
      </c>
      <c r="BC67" s="33" t="e">
        <f>VLOOKUP(A67,'Données projet'!$A$113:$I$133,9,0)</f>
        <v>#N/A</v>
      </c>
      <c r="BD67" s="33">
        <f t="array" ref="BD67">INDEX(BC:BC,MIN(IF(ISNUMBER(BC67:BC263),ROW(BC67:BC263),"")))</f>
        <v>0</v>
      </c>
      <c r="BE67" s="33">
        <f t="shared" si="28"/>
        <v>0</v>
      </c>
      <c r="BF67" s="34" t="e">
        <f>BE67*VLOOKUP('Données projet'!$B$12,Paramètres!$A$1:$I$88,3,0)*VLOOKUP('Données projet'!$B$12,Paramètres!$A$1:$I$88,5,0)</f>
        <v>#N/A</v>
      </c>
      <c r="BG67" s="34" t="e">
        <f t="shared" si="29"/>
        <v>#N/A</v>
      </c>
      <c r="BH67" s="44" t="e">
        <f t="shared" si="6"/>
        <v>#N/A</v>
      </c>
      <c r="BI67" s="36">
        <f>IF(ISNA(VLOOKUP(A67,'Données projet'!$A$113:$I$133,3,0)),0,VLOOKUP(A67,'Données projet'!$A$113:$I$133,3,0))</f>
        <v>0</v>
      </c>
      <c r="BJ67" s="36">
        <f>IF(ISNA(VLOOKUP(A67,'Données projet'!$A$113:$I$133,4,0)),0,VLOOKUP(A67,'Données projet'!$A$113:$I$133,4,0))</f>
        <v>0</v>
      </c>
      <c r="BK67" s="37">
        <f>IF(ISNA(VLOOKUP(A67,'Données projet'!$A$113:$I$133,5,0)),0%,VLOOKUP(A67,'Données projet'!$A$113:$I$133,5,0)*VLOOKUP('Données projet'!$B$12,Paramètres!$A$1:$I$88,7,0))</f>
        <v>0</v>
      </c>
      <c r="BL67" s="37">
        <f>IF(ISNA(VLOOKUP(A67,'Données projet'!$A$113:$I$133,6,0)),0%,VLOOKUP(A67,'Données projet'!$A$113:$I$133,6,0)*VLOOKUP('Données projet'!$B$12,Paramètres!$A$1:$I$88,7,0))</f>
        <v>0</v>
      </c>
      <c r="BM67" s="37">
        <f>IF(ISNA(VLOOKUP(A67,'Données projet'!$A$113:$I$133,7,0)),0%,VLOOKUP(A67,'Données projet'!$A$113:$I$133,7,0))</f>
        <v>0</v>
      </c>
      <c r="BN67" s="45">
        <f>EXP(-LN(2)/35)*BN66+(1-EXP(-LN(2)/35))/(LN(2)/35)*BJ67*BK67*VLOOKUP('Données projet'!$B$9,Paramètres!$A$1:$I$88,3,0)*0.475*44/12</f>
        <v>0</v>
      </c>
      <c r="BO67" s="45">
        <f>EXP(-LN(2)/25)*BO66+(1-EXP(-LN(2)/25))/(LN(2)/25)*Calculateur!BJ67*Calculateur!BL67*VLOOKUP('Données projet'!$B$9,Paramètres!$A$1:$I$88,3,0)*0.475*44/12</f>
        <v>0</v>
      </c>
      <c r="BP67" s="45">
        <f>EXP(-LN(2)/2)*BP66+(1-EXP(-LN(2)/2))/(LN(2)/2)*BJ67*BM67*VLOOKUP('Données projet'!$B$9,Paramètres!$A$1:$I$88,3,0)*0.475*44/12</f>
        <v>0</v>
      </c>
      <c r="BQ67" s="46">
        <f t="shared" si="7"/>
        <v>0</v>
      </c>
      <c r="BR67" s="32" t="e">
        <f>VLOOKUP(A67,'Données projet'!$A$139:$I$159,2,0)</f>
        <v>#N/A</v>
      </c>
      <c r="BS67" s="33" t="e">
        <f>VLOOKUP(A67,'Données projet'!$A$139:$I$159,9,0)</f>
        <v>#N/A</v>
      </c>
      <c r="BT67" s="33">
        <f t="array" ref="BT67">INDEX(BS:BS,MIN(IF(ISNUMBER(BS67:BS263),ROW(BS67:BS263),"")))</f>
        <v>0</v>
      </c>
      <c r="BU67" s="33">
        <f t="shared" si="41"/>
        <v>0</v>
      </c>
      <c r="BV67" s="38" t="e">
        <f>BU67*VLOOKUP('Données projet'!$B$13,Paramètres!$A$1:$I$88,3,0)*VLOOKUP('Données projet'!$B$13,Paramètres!$A$1:$I$88,5,0)</f>
        <v>#N/A</v>
      </c>
      <c r="BW67" s="34" t="e">
        <f t="shared" si="30"/>
        <v>#N/A</v>
      </c>
      <c r="BX67" s="44" t="e">
        <f t="shared" si="8"/>
        <v>#N/A</v>
      </c>
      <c r="BY67" s="36">
        <f>IF(ISNA(VLOOKUP(A67,'Données projet'!$A$139:$I$159,3,0)),0,VLOOKUP(A67,'Données projet'!$A$139:$I$159,3,0))</f>
        <v>0</v>
      </c>
      <c r="BZ67" s="36">
        <f>IF(ISNA(VLOOKUP(A67,'Données projet'!$A$139:$I$159,4,0)),0,VLOOKUP(A67,'Données projet'!$A$139:$I$159,4,0))</f>
        <v>0</v>
      </c>
      <c r="CA67" s="37">
        <f>IF(ISNA(VLOOKUP(A67,'Données projet'!$A$139:$I$159,5,0)),0%,VLOOKUP(A67,'Données projet'!$A$139:$I$159,5,0)*VLOOKUP('Données projet'!$B$13,Paramètres!$A$1:$I$88,7,0))</f>
        <v>0</v>
      </c>
      <c r="CB67" s="37">
        <f>IF(ISNA(VLOOKUP(A67,'Données projet'!$A$139:$I$159,6,0)),0%,VLOOKUP(A67,'Données projet'!$A$139:$I$159,6,0)*VLOOKUP('Données projet'!$B$13,Paramètres!$A$1:$I$88,7,0))</f>
        <v>0</v>
      </c>
      <c r="CC67" s="37">
        <f>IF(ISNA(VLOOKUP(A67,'Données projet'!$A$139:$I$159,7,0)),0%,VLOOKUP(A67,'Données projet'!$A$139:$I$159,7,0))</f>
        <v>0</v>
      </c>
      <c r="CD67" s="45">
        <f>EXP(-LN(2)/35)*CD66+(1-EXP(-LN(2)/35))/(LN(2)/35)*BZ67*CA67*VLOOKUP('Données projet'!$B$9,Paramètres!$A$1:$I$88,3,0)*0.475*44/12</f>
        <v>0</v>
      </c>
      <c r="CE67" s="45">
        <f>EXP(-LN(2)/25)*CE66+(1-EXP(-LN(2)/25))/(LN(2)/25)*Calculateur!BZ67*Calculateur!CB67*VLOOKUP('Données projet'!$B$9,Paramètres!$A$1:$I$88,3,0)*0.475*44/12</f>
        <v>0</v>
      </c>
      <c r="CF67" s="45">
        <f>EXP(-LN(2)/2)*CF66+(1-EXP(-LN(2)/2))/(LN(2)/2)*BZ67*CC67*VLOOKUP('Données projet'!$B$9,Paramètres!$A$1:$I$88,3,0)*0.475*44/12</f>
        <v>0</v>
      </c>
      <c r="CG67" s="46">
        <f t="shared" si="9"/>
        <v>0</v>
      </c>
      <c r="CH67" s="32" t="e">
        <f>VLOOKUP(A67,'Données projet'!$A$165:$I$185,2,0)</f>
        <v>#N/A</v>
      </c>
      <c r="CI67" s="33" t="e">
        <f>VLOOKUP(A67,'Données projet'!$A$165:$I$185,9,0)</f>
        <v>#N/A</v>
      </c>
      <c r="CJ67" s="33">
        <f t="array" ref="CJ67">INDEX(CI:CI,MIN(IF(ISNUMBER(CI67:CI263),ROW(CI67:CI263),"")))</f>
        <v>0</v>
      </c>
      <c r="CK67" s="33">
        <f t="shared" si="31"/>
        <v>0</v>
      </c>
      <c r="CL67" s="38" t="e">
        <f>CK67*VLOOKUP('Données projet'!$B$14,Paramètres!$A$1:$I$88,3,0)*VLOOKUP('Données projet'!$B$14,Paramètres!$A$1:$I$88,5,0)</f>
        <v>#N/A</v>
      </c>
      <c r="CM67" s="34" t="e">
        <f t="shared" si="32"/>
        <v>#N/A</v>
      </c>
      <c r="CN67" s="44" t="e">
        <f t="shared" si="10"/>
        <v>#N/A</v>
      </c>
      <c r="CO67" s="36">
        <f>IF(ISNA(VLOOKUP(A67,'Données projet'!$A$165:$I$185,3,0)),0,VLOOKUP(A67,'Données projet'!$A$165:$I$185,3,0))</f>
        <v>0</v>
      </c>
      <c r="CP67" s="36">
        <f>IF(ISNA(VLOOKUP(A67,'Données projet'!$A$165:$I$185,4,0)),0,VLOOKUP(A67,'Données projet'!$A$165:$I$185,4,0))</f>
        <v>0</v>
      </c>
      <c r="CQ67" s="37">
        <f>IF(ISNA(VLOOKUP(A67,'Données projet'!$A$165:$I$185,5,0)),0%,VLOOKUP(A67,'Données projet'!$A$165:$I$185,5,0)*VLOOKUP('Données projet'!$B$14,Paramètres!$A$1:$I$88,7,0))</f>
        <v>0</v>
      </c>
      <c r="CR67" s="37">
        <f>IF(ISNA(VLOOKUP(A67,'Données projet'!$A$165:$I$185,6,0)),0%,VLOOKUP(A67,'Données projet'!$A$165:$I$185,6,0)*VLOOKUP('Données projet'!$B$14,Paramètres!$A$1:$I$88,7,0))</f>
        <v>0</v>
      </c>
      <c r="CS67" s="37">
        <f>IF(ISNA(VLOOKUP(A67,'Données projet'!$A$165:$I$185,7,0)),0%,VLOOKUP(A67,'Données projet'!$A$165:$I$185,7,0))</f>
        <v>0</v>
      </c>
      <c r="CT67" s="45">
        <f>EXP(-LN(2)/35)*CT66+(1-EXP(-LN(2)/35))/(LN(2)/35)*CP67*CQ67*VLOOKUP('Données projet'!$B$9,Paramètres!$A$1:$I$88,3,0)*0.475*44/12</f>
        <v>0</v>
      </c>
      <c r="CU67" s="45">
        <f>EXP(-LN(2)/25)*CU66+(1-EXP(-LN(2)/25))/(LN(2)/25)*Calculateur!CP67*Calculateur!CR67*VLOOKUP('Données projet'!$B$9,Paramètres!$A$1:$I$88,3,0)*0.475*44/12</f>
        <v>0</v>
      </c>
      <c r="CV67" s="45">
        <f>EXP(-LN(2)/2)*CV66+(1-EXP(-LN(2)/2))/(LN(2)/2)*CP67*CS67*VLOOKUP('Données projet'!$B$9,Paramètres!$A$1:$I$88,3,0)*0.475*44/12</f>
        <v>0</v>
      </c>
      <c r="CW67" s="46">
        <f t="shared" si="11"/>
        <v>0</v>
      </c>
      <c r="CX67" s="32" t="e">
        <f>VLOOKUP(A67,'Données projet'!$A$191:$I$211,2,0)</f>
        <v>#N/A</v>
      </c>
      <c r="CY67" s="33" t="e">
        <f>VLOOKUP(A67,'Données projet'!$A$191:$I$211,9,0)</f>
        <v>#N/A</v>
      </c>
      <c r="CZ67" s="33">
        <f t="array" ref="CZ67">INDEX(CY:CY,MIN(IF(ISNUMBER(CY67:CY263),ROW(CY67:CY263),"")))</f>
        <v>0</v>
      </c>
      <c r="DA67" s="33">
        <f t="shared" si="33"/>
        <v>0</v>
      </c>
      <c r="DB67" s="38" t="e">
        <f>DA67*VLOOKUP('Données projet'!$B$15,Paramètres!$A$1:$I$88,3,0)*VLOOKUP('Données projet'!$B$15,Paramètres!$A$1:$I$88,5,0)</f>
        <v>#N/A</v>
      </c>
      <c r="DC67" s="34" t="e">
        <f t="shared" si="34"/>
        <v>#N/A</v>
      </c>
      <c r="DD67" s="44" t="e">
        <f t="shared" si="12"/>
        <v>#N/A</v>
      </c>
      <c r="DE67" s="36">
        <f>IF(ISNA(VLOOKUP(A67,'Données projet'!$A$191:$I$211,3,0)),0,VLOOKUP(A67,'Données projet'!$A$191:$I$211,3,0))</f>
        <v>0</v>
      </c>
      <c r="DF67" s="36">
        <f>IF(ISNA(VLOOKUP(A67,'Données projet'!$A$191:$I$211,4,0)),0,VLOOKUP(A67,'Données projet'!$A$191:$I$211,4,0))</f>
        <v>0</v>
      </c>
      <c r="DG67" s="37">
        <f>IF(ISNA(VLOOKUP(A67,'Données projet'!$A$191:$I$211,5,0)),0%,VLOOKUP(A67,'Données projet'!$A$191:$I$211,5,0)*VLOOKUP('Données projet'!$B$15,Paramètres!$A$1:$I$88,7,0))</f>
        <v>0</v>
      </c>
      <c r="DH67" s="37">
        <f>IF(ISNA(VLOOKUP(A67,'Données projet'!$A$191:$I$211,6,0)),0%,VLOOKUP(A67,'Données projet'!$A$191:$I$211,6,0)*VLOOKUP('Données projet'!$B$15,Paramètres!$A$1:$I$88,7,0))</f>
        <v>0</v>
      </c>
      <c r="DI67" s="37">
        <f>IF(ISNA(VLOOKUP(A67,'Données projet'!$A$191:$I$211,7,0)),0%,VLOOKUP(A67,'Données projet'!$A$191:$I$211,7,0))</f>
        <v>0</v>
      </c>
      <c r="DJ67" s="45">
        <f>EXP(-LN(2)/35)*DJ66+(1-EXP(-LN(2)/35))/(LN(2)/35)*DF67*DG67*VLOOKUP('Données projet'!$B$9,Paramètres!$A$1:$I$88,3,0)*0.475*44/12</f>
        <v>0</v>
      </c>
      <c r="DK67" s="45">
        <f>EXP(-LN(2)/25)*DK66+(1-EXP(-LN(2)/25))/(LN(2)/25)*Calculateur!DF67*Calculateur!DH67*VLOOKUP('Données projet'!$B$9,Paramètres!$A$1:$I$88,3,0)*0.475*44/12</f>
        <v>0</v>
      </c>
      <c r="DL67" s="45">
        <f>EXP(-LN(2)/2)*DL66+(1-EXP(-LN(2)/2))/(LN(2)/2)*DF67*DI67*VLOOKUP('Données projet'!$B$9,Paramètres!$A$1:$I$88,3,0)*0.475*44/12</f>
        <v>0</v>
      </c>
      <c r="DM67" s="46">
        <f t="shared" si="13"/>
        <v>0</v>
      </c>
      <c r="DN67" s="32" t="e">
        <f>VLOOKUP(A67,'Données projet'!$A$217:$I$237,2,0)</f>
        <v>#N/A</v>
      </c>
      <c r="DO67" s="33" t="e">
        <f>VLOOKUP(A67,'Données projet'!$A$217:$I$237,9,0)</f>
        <v>#N/A</v>
      </c>
      <c r="DP67" s="33">
        <f t="array" ref="DP67">INDEX(DO:DO,MIN(IF(ISNUMBER(DO67:DO263),ROW(DO67:DO263),"")))</f>
        <v>0</v>
      </c>
      <c r="DQ67" s="33">
        <f t="shared" si="35"/>
        <v>0</v>
      </c>
      <c r="DR67" s="38" t="e">
        <f>DQ67*VLOOKUP('Données projet'!$B$16,Paramètres!$A$1:$I$88,3,0)*VLOOKUP('Données projet'!$B$16,Paramètres!$A$1:$I$88,5,0)</f>
        <v>#N/A</v>
      </c>
      <c r="DS67" s="34" t="e">
        <f t="shared" si="36"/>
        <v>#N/A</v>
      </c>
      <c r="DT67" s="44" t="e">
        <f t="shared" si="14"/>
        <v>#N/A</v>
      </c>
      <c r="DU67" s="36">
        <f>IF(ISNA(VLOOKUP(A67,'Données projet'!$A$217:$I$237,3,0)),0,VLOOKUP(A67,'Données projet'!$A$217:$I$237,3,0))</f>
        <v>0</v>
      </c>
      <c r="DV67" s="36">
        <f>IF(ISNA(VLOOKUP(A67,'Données projet'!$A$217:$I$237,4,0)),0,VLOOKUP(A67,'Données projet'!$A$217:$I$237,4,0))</f>
        <v>0</v>
      </c>
      <c r="DW67" s="37">
        <f>IF(ISNA(VLOOKUP(A67,'Données projet'!$A$217:$I$237,5,0)),0%,VLOOKUP(A67,'Données projet'!$A$217:$I$237,5,0)*VLOOKUP('Données projet'!$B$16,Paramètres!$A$1:$I$88,7,0))</f>
        <v>0</v>
      </c>
      <c r="DX67" s="37">
        <f>IF(ISNA(VLOOKUP(A67,'Données projet'!$A$217:$I$237,6,0)),0%,VLOOKUP(A67,'Données projet'!$A$217:$I$237,6,0)*VLOOKUP('Données projet'!$B$16,Paramètres!$A$1:$I$88,7,0))</f>
        <v>0</v>
      </c>
      <c r="DY67" s="37">
        <f>IF(ISNA(VLOOKUP(A67,'Données projet'!$A$217:$I$237,7,0)),0%,VLOOKUP(A67,'Données projet'!$A$217:$I$237,7,0))</f>
        <v>0</v>
      </c>
      <c r="DZ67" s="45">
        <f>EXP(-LN(2)/35)*DZ66+(1-EXP(-LN(2)/35))/(LN(2)/35)*DV67*DW67*VLOOKUP('Données projet'!$B$9,Paramètres!$A$1:$I$88,3,0)*0.475*44/12</f>
        <v>0</v>
      </c>
      <c r="EA67" s="45">
        <f>EXP(-LN(2)/25)*EA66+(1-EXP(-LN(2)/25))/(LN(2)/25)*Calculateur!DV67*Calculateur!DX67*VLOOKUP('Données projet'!$B$9,Paramètres!$A$1:$I$88,3,0)*0.475*44/12</f>
        <v>0</v>
      </c>
      <c r="EB67" s="45">
        <f>EXP(-LN(2)/2)*EB66+(1-EXP(-LN(2)/2))/(LN(2)/2)*DV67*DY67*VLOOKUP('Données projet'!$B$9,Paramètres!$A$1:$I$88,3,0)*0.475*44/12</f>
        <v>0</v>
      </c>
      <c r="EC67" s="46">
        <f t="shared" si="15"/>
        <v>0</v>
      </c>
      <c r="ED67" s="32" t="e">
        <f>VLOOKUP(A67,'Données projet'!$A$243:$I$263,2,0)</f>
        <v>#N/A</v>
      </c>
      <c r="EE67" s="33" t="e">
        <f>VLOOKUP(A67,'Données projet'!$A$243:$I$263,9,0)</f>
        <v>#N/A</v>
      </c>
      <c r="EF67" s="33">
        <f t="array" ref="EF67">INDEX(EE:EE,MIN(IF(ISNUMBER(EE67:EE263),ROW(EE67:EE263),"")))</f>
        <v>0</v>
      </c>
      <c r="EG67" s="33">
        <f t="shared" si="37"/>
        <v>0</v>
      </c>
      <c r="EH67" s="38" t="e">
        <f>EG67*VLOOKUP('Données projet'!$B$17,Paramètres!$A$1:$I$88,3,0)*VLOOKUP('Données projet'!$B$17,Paramètres!$A$1:$I$88,5,0)</f>
        <v>#N/A</v>
      </c>
      <c r="EI67" s="34" t="e">
        <f t="shared" si="38"/>
        <v>#N/A</v>
      </c>
      <c r="EJ67" s="44" t="e">
        <f t="shared" si="16"/>
        <v>#N/A</v>
      </c>
      <c r="EK67" s="36">
        <f>IF(ISNA(VLOOKUP(A67,'Données projet'!$A$243:$I$263,3,0)),0,VLOOKUP(A67,'Données projet'!$A$243:$I$263,3,0))</f>
        <v>0</v>
      </c>
      <c r="EL67" s="36">
        <f>IF(ISNA(VLOOKUP(A67,'Données projet'!$A$243:$I$263,4,0)),0,VLOOKUP(A67,'Données projet'!$A$243:$I$263,4,0))</f>
        <v>0</v>
      </c>
      <c r="EM67" s="37">
        <f>IF(ISNA(VLOOKUP(A67,'Données projet'!$A$243:$I$263,5,0)),0%,VLOOKUP(A67,'Données projet'!$A$243:$I$263,5,0)*VLOOKUP('Données projet'!$B$17,Paramètres!$A$1:$I$88,7,0))</f>
        <v>0</v>
      </c>
      <c r="EN67" s="37">
        <f>IF(ISNA(VLOOKUP(A67,'Données projet'!$A$243:$I$263,6,0)),0%,VLOOKUP(A67,'Données projet'!$A$243:$I$263,6,0)*VLOOKUP('Données projet'!$B$17,Paramètres!$A$1:$I$88,7,0))</f>
        <v>0</v>
      </c>
      <c r="EO67" s="37">
        <f>IF(ISNA(VLOOKUP(A67,'Données projet'!$A$243:$I$263,7,0)),0%,VLOOKUP(A67,'Données projet'!$A$243:$I$263,7,0))</f>
        <v>0</v>
      </c>
      <c r="EP67" s="45">
        <f>EXP(-LN(2)/35)*EP66+(1-EXP(-LN(2)/35))/(LN(2)/35)*EL67*EM67*VLOOKUP('Données projet'!$B$9,Paramètres!$A$1:$I$88,3,0)*0.475*44/12</f>
        <v>0</v>
      </c>
      <c r="EQ67" s="45">
        <f>EXP(-LN(2)/25)*EQ66+(1-EXP(-LN(2)/25))/(LN(2)/25)*Calculateur!EL67*Calculateur!EN67*VLOOKUP('Données projet'!$B$9,Paramètres!$A$1:$I$88,3,0)*0.475*44/12</f>
        <v>0</v>
      </c>
      <c r="ER67" s="45">
        <f>EXP(-LN(2)/2)*ER66+(1-EXP(-LN(2)/2))/(LN(2)/2)*EL67*EO67*VLOOKUP('Données projet'!$B$9,Paramètres!$A$1:$I$88,3,0)*0.475*44/12</f>
        <v>0</v>
      </c>
      <c r="ES67" s="46">
        <f t="shared" si="17"/>
        <v>0</v>
      </c>
      <c r="ET67" s="32" t="e">
        <f>VLOOKUP(A67,'Données projet'!$A$269:$I$289,2,0)</f>
        <v>#N/A</v>
      </c>
      <c r="EU67" s="33" t="e">
        <f>VLOOKUP(A67,'Données projet'!$A$269:$I$289,9,0)</f>
        <v>#N/A</v>
      </c>
      <c r="EV67" s="33">
        <f t="array" ref="EV67">INDEX(EU:EU,MIN(IF(ISNUMBER(EU67:EU263),ROW(EU67:EU263),"")))</f>
        <v>0</v>
      </c>
      <c r="EW67" s="33">
        <f t="shared" si="39"/>
        <v>0</v>
      </c>
      <c r="EX67" s="38" t="e">
        <f>EW67*VLOOKUP('Données projet'!$B$18,Paramètres!$A$1:$I$88,3,0)*VLOOKUP('Données projet'!$B$18,Paramètres!$A$1:$I$88,5,0)</f>
        <v>#N/A</v>
      </c>
      <c r="EY67" s="34" t="e">
        <f t="shared" si="40"/>
        <v>#N/A</v>
      </c>
      <c r="EZ67" s="44" t="e">
        <f t="shared" si="18"/>
        <v>#N/A</v>
      </c>
      <c r="FA67" s="36">
        <f>IF(ISNA(VLOOKUP(A67,'Données projet'!$A$269:$I$289,3,0)),0,VLOOKUP(A67,'Données projet'!$A$269:$I$289,3,0))</f>
        <v>0</v>
      </c>
      <c r="FB67" s="36">
        <f>IF(ISNA(VLOOKUP(A67,'Données projet'!$A$269:$I$289,4,0)),0,VLOOKUP(A67,'Données projet'!$A$269:$I$289,4,0))</f>
        <v>0</v>
      </c>
      <c r="FC67" s="37">
        <f>IF(ISNA(VLOOKUP(A67,'Données projet'!$A$269:$I$289,5,0)),0%,VLOOKUP(A67,'Données projet'!$A$269:$I$289,5,0)*VLOOKUP('Données projet'!$B$18,Paramètres!$A$1:$I$88,7,0))</f>
        <v>0</v>
      </c>
      <c r="FD67" s="37">
        <f>IF(ISNA(VLOOKUP(A67,'Données projet'!$A$269:$I$289,6,0)),0%,VLOOKUP(A67,'Données projet'!$A$269:$I$289,6,0)*VLOOKUP('Données projet'!$B$18,Paramètres!$A$1:$I$88,7,0))</f>
        <v>0</v>
      </c>
      <c r="FE67" s="37">
        <f>IF(ISNA(VLOOKUP(A67,'Données projet'!$A$269:$I$289,7,0)),0%,VLOOKUP(A67,'Données projet'!$A$269:$I$289,7,0))</f>
        <v>0</v>
      </c>
      <c r="FF67" s="45">
        <f>EXP(-LN(2)/35)*FF66+(1-EXP(-LN(2)/35))/(LN(2)/35)*FB67*FC67*VLOOKUP('Données projet'!$B$9,Paramètres!$A$1:$I$88,3,0)*0.475*44/12</f>
        <v>0</v>
      </c>
      <c r="FG67" s="45">
        <f>EXP(-LN(2)/25)*FG66+(1-EXP(-LN(2)/25))/(LN(2)/25)*Calculateur!FB67*Calculateur!FD67*VLOOKUP('Données projet'!$B$9,Paramètres!$A$1:$I$88,3,0)*0.475*44/12</f>
        <v>0</v>
      </c>
      <c r="FH67" s="45">
        <f>EXP(-LN(2)/2)*FH66+(1-EXP(-LN(2)/2))/(LN(2)/2)*FB67*FE67*VLOOKUP('Données projet'!$B$9,Paramètres!$A$1:$I$88,3,0)*0.475*44/12</f>
        <v>0</v>
      </c>
      <c r="FI67" s="46">
        <f t="shared" si="19"/>
        <v>0</v>
      </c>
    </row>
    <row r="68" spans="1:165" x14ac:dyDescent="0.25">
      <c r="A68" s="24">
        <f t="shared" si="20"/>
        <v>65</v>
      </c>
      <c r="B68" s="25">
        <f>IF('Scénario référence'!$N$1=1,5,0)</f>
        <v>0</v>
      </c>
      <c r="C68" s="40">
        <f>IF(OR('Scénario référence'!$N$1=2,'Scénario référence'!$N$1=4),C67+1*VLOOKUP('Scénario référence'!$G$14,Paramètres!$A$1:$I$88,3,0)*VLOOKUP('Scénario référence'!$G$14,Paramètres!$A$1:$I$88,5,0),IF(OR('Scénario référence'!$N$1=3,'Scénario référence'!$N$1=5),C67+0.5*VLOOKUP('Scénario référence'!$G$14,Paramètres!$A$1:$I$88,3,0)*VLOOKUP('Scénario référence'!$G$14,Paramètres!$A$1:$I$88,5,0),0))</f>
        <v>35.489999999999974</v>
      </c>
      <c r="D68" s="26">
        <f t="shared" si="21"/>
        <v>10.795076538684501</v>
      </c>
      <c r="E68" s="27">
        <f>IF('Scénario référence'!$N$1=1,B68*44/12,(C68+D68)*0.475*44/12)</f>
        <v>80.613174971542136</v>
      </c>
      <c r="F68" s="28">
        <f>VLOOKUP(A68,'Données projet'!$A$35:$I$55,2,0)</f>
        <v>250</v>
      </c>
      <c r="G68" s="28">
        <f>VLOOKUP(A68,'Données projet'!$A$35:$I$55,9,0)</f>
        <v>7.2</v>
      </c>
      <c r="H68" s="33">
        <f t="array" ref="H68">INDEX(G:G,MIN(IF(ISNUMBER(G68:G264),ROW(G68:G264),"")))</f>
        <v>7.2</v>
      </c>
      <c r="I68" s="28">
        <f t="shared" si="22"/>
        <v>249.99999999999991</v>
      </c>
      <c r="J68" s="41">
        <f>I68*VLOOKUP('Données projet'!$B$9,Paramètres!$A$1:$I$88,3,0)*VLOOKUP('Données projet'!$B$9,Paramètres!$A$1:$I$88,5,0)</f>
        <v>253.49999999999991</v>
      </c>
      <c r="K68" s="41">
        <f t="shared" si="23"/>
        <v>61.334805663162498</v>
      </c>
      <c r="L68" s="42">
        <f t="shared" ref="L68:L131" si="42">(J68+K68)*0.475*44/12</f>
        <v>548.33728653000776</v>
      </c>
      <c r="M68" s="30">
        <f>IF(ISNA(VLOOKUP(A68,'Données projet'!$A$35:$I$55,3,0)),0,VLOOKUP(A68,'Données projet'!$A$35:$I$55,3,0))</f>
        <v>5</v>
      </c>
      <c r="N68" s="30">
        <f>IF(ISNA(VLOOKUP(A68,'Données projet'!$A$35:$I$55,4,0)),0,VLOOKUP(A68,'Données projet'!$A$35:$I$55,4,0))</f>
        <v>42</v>
      </c>
      <c r="O68" s="31">
        <f>IF(ISNA(VLOOKUP(A68,'Données projet'!$A$35:$I$55,5,0)),0%,VLOOKUP(A68,'Données projet'!$A$35:$I$55,5,0)*VLOOKUP('Données projet'!$B$9,Paramètres!$A$1:$I$88,7,0))</f>
        <v>0</v>
      </c>
      <c r="P68" s="31">
        <f>IF(ISNA(VLOOKUP(A68,'Données projet'!$A$35:$I$55,6,0)),0%,VLOOKUP(A68,'Données projet'!$A$35:$I$55,6,0)*VLOOKUP('Données projet'!$B$9,Paramètres!$A$1:$I$88,7,0))</f>
        <v>0</v>
      </c>
      <c r="Q68" s="31">
        <f>IF(ISNA(VLOOKUP(A68,'Données projet'!$A$35:$I$55,7,0)),0%,VLOOKUP(A68,'Données projet'!$A$35:$I$55,7,0))</f>
        <v>0</v>
      </c>
      <c r="R68" s="43">
        <f>EXP(-LN(2)/35)*R67+(1-EXP(-LN(2)/35))/(LN(2)/35)*N68*O68*VLOOKUP('Données projet'!$B$9,Paramètres!$A$1:$I$88,3,0)*0.475*44/12</f>
        <v>0</v>
      </c>
      <c r="S68" s="43">
        <f>EXP(-LN(2)/25)*S67+(1-EXP(-LN(2)/25))/(LN(2)/25)*Calculateur!N68*Calculateur!P68*VLOOKUP('Données projet'!$B$9,Paramètres!$A$1:$I$88,3,0)*0.475*44/12</f>
        <v>0</v>
      </c>
      <c r="T68" s="43">
        <f>EXP(-LN(2)/2)*T67+(1-EXP(-LN(2)/2))/(LN(2)/2)*N68*Q68*VLOOKUP('Données projet'!$B$9,Paramètres!$A$1:$I$88,3,0)*0.475*44/12</f>
        <v>0</v>
      </c>
      <c r="U68" s="43">
        <f t="shared" ref="U68:U131" si="43">SUM(R68:T68)</f>
        <v>0</v>
      </c>
      <c r="V68" s="32" t="e">
        <f>VLOOKUP(A68,'Données projet'!$A$61:$I$81,2,0)</f>
        <v>#N/A</v>
      </c>
      <c r="W68" s="33" t="e">
        <f>VLOOKUP(A68,'Données projet'!$A$61:$I$81,9,0)</f>
        <v>#N/A</v>
      </c>
      <c r="X68" s="33">
        <f t="array" ref="X68">INDEX(W:W,MIN(IF(ISNUMBER(W68:W264),ROW(W68:W264),"")))</f>
        <v>0</v>
      </c>
      <c r="Y68" s="33">
        <f t="shared" si="24"/>
        <v>0</v>
      </c>
      <c r="Z68" s="34" t="e">
        <f>Y68*VLOOKUP('Données projet'!$B$10,Paramètres!$A$1:$I$88,3,0)*VLOOKUP('Données projet'!$B$10,Paramètres!$A$1:$I$88,5,0)</f>
        <v>#N/A</v>
      </c>
      <c r="AA68" s="34" t="e">
        <f t="shared" si="25"/>
        <v>#N/A</v>
      </c>
      <c r="AB68" s="44" t="e">
        <f t="shared" ref="AB68:AB131" si="44">(Z68+AA68)*0.475*44/12</f>
        <v>#N/A</v>
      </c>
      <c r="AC68" s="36">
        <f>IF(ISNA(VLOOKUP(A68,'Données projet'!$A$61:$I$81,3,0)),0,VLOOKUP(A68,'Données projet'!$A$61:$I$81,3,0))</f>
        <v>0</v>
      </c>
      <c r="AD68" s="36">
        <f>IF(ISNA(VLOOKUP(A68,'Données projet'!$A$61:$I$81,4,0)),0,VLOOKUP(A68,'Données projet'!$A$61:$I$81,4,0))</f>
        <v>0</v>
      </c>
      <c r="AE68" s="37">
        <f>IF(ISNA(VLOOKUP(A68,'Données projet'!$A$61:$I$81,5,0)),0%,VLOOKUP(A68,'Données projet'!$A$61:$I$81,5,0)*VLOOKUP('Données projet'!$B$10,Paramètres!$A$1:$I$88,7,0))</f>
        <v>0</v>
      </c>
      <c r="AF68" s="37">
        <f>IF(ISNA(VLOOKUP(A68,'Données projet'!$A$61:$I$81,6,0)),0%,VLOOKUP(A68,'Données projet'!$A$61:$I$81,6,0)*VLOOKUP('Données projet'!$B$10,Paramètres!$A$1:$I$88,7,0))</f>
        <v>0</v>
      </c>
      <c r="AG68" s="37">
        <f>IF(ISNA(VLOOKUP(A68,'Données projet'!$A$61:$I$81,7,0)),0%,VLOOKUP(A68,'Données projet'!$A$61:$I$81,7,0))</f>
        <v>0</v>
      </c>
      <c r="AH68" s="45">
        <f>EXP(-LN(2)/35)*AH67+(1-EXP(-LN(2)/35))/(LN(2)/35)*AD68*AE68*VLOOKUP('Données projet'!$B$9,Paramètres!$A$1:$I$88,3,0)*0.475*44/12</f>
        <v>0</v>
      </c>
      <c r="AI68" s="45">
        <f>EXP(-LN(2)/25)*AI67+(1-EXP(-LN(2)/25))/(LN(2)/25)*Calculateur!AD68*Calculateur!AF68*VLOOKUP('Données projet'!$B$9,Paramètres!$A$1:$I$88,3,0)*0.475*44/12</f>
        <v>0</v>
      </c>
      <c r="AJ68" s="45">
        <f>EXP(-LN(2)/2)*AJ67+(1-EXP(-LN(2)/2))/(LN(2)/2)*AD68*AG68*VLOOKUP('Données projet'!$B$9,Paramètres!$A$1:$I$88,3,0)*0.475*44/12</f>
        <v>0</v>
      </c>
      <c r="AK68" s="45">
        <f t="shared" ref="AK68:AK131" si="45">SUM(AH68:AJ68)</f>
        <v>0</v>
      </c>
      <c r="AL68" s="32" t="e">
        <f>VLOOKUP(A68,'Données projet'!$A$87:$I$107,2,0)</f>
        <v>#N/A</v>
      </c>
      <c r="AM68" s="33" t="e">
        <f>VLOOKUP(A68,'Données projet'!$A$87:$I$107,9,0)</f>
        <v>#N/A</v>
      </c>
      <c r="AN68" s="33">
        <f t="array" ref="AN68">INDEX(AM:AM,MIN(IF(ISNUMBER(AM68:AM264),ROW(AM68:AM264),"")))</f>
        <v>0</v>
      </c>
      <c r="AO68" s="33">
        <f t="shared" si="26"/>
        <v>0</v>
      </c>
      <c r="AP68" s="34" t="e">
        <f>AO68*VLOOKUP('Données projet'!$B$11,Paramètres!$A$1:$I$88,3,0)*VLOOKUP('Données projet'!$B$11,Paramètres!$A$1:$I$88,5,0)</f>
        <v>#N/A</v>
      </c>
      <c r="AQ68" s="34" t="e">
        <f t="shared" si="27"/>
        <v>#N/A</v>
      </c>
      <c r="AR68" s="44" t="e">
        <f t="shared" ref="AR68:AR131" si="46">(AP68+AQ68)*0.475*44/12</f>
        <v>#N/A</v>
      </c>
      <c r="AS68" s="36">
        <f>IF(ISNA(VLOOKUP(A68,'Données projet'!$A$87:$I$107,3,0)),0,VLOOKUP(A68,'Données projet'!$A$87:$I$107,3,0))</f>
        <v>0</v>
      </c>
      <c r="AT68" s="36">
        <f>IF(ISNA(VLOOKUP(A68,'Données projet'!$A$87:$I$107,4,0)),0,VLOOKUP(A68,'Données projet'!$A$87:$I$107,4,0))</f>
        <v>0</v>
      </c>
      <c r="AU68" s="37">
        <f>IF(ISNA(VLOOKUP(A68,'Données projet'!$A$87:$I$107,5,0)),0%,VLOOKUP(A68,'Données projet'!$A$87:$I$107,5,0)*VLOOKUP('Données projet'!$B$11,Paramètres!$A$1:$I$88,7,0))</f>
        <v>0</v>
      </c>
      <c r="AV68" s="37">
        <f>IF(ISNA(VLOOKUP(A68,'Données projet'!$A$87:$I$107,6,0)),0%,VLOOKUP(A68,'Données projet'!$A$87:$I$107,6,0)*VLOOKUP('Données projet'!$B$11,Paramètres!$A$1:$I$88,7,0))</f>
        <v>0</v>
      </c>
      <c r="AW68" s="37">
        <f>IF(ISNA(VLOOKUP(A68,'Données projet'!$A$87:$I$107,7,0)),0%,VLOOKUP(A68,'Données projet'!$A$87:$I$107,7,0))</f>
        <v>0</v>
      </c>
      <c r="AX68" s="45">
        <f>EXP(-LN(2)/35)*AX67+(1-EXP(-LN(2)/35))/(LN(2)/35)*AT68*AU68*VLOOKUP('Données projet'!$B$9,Paramètres!$A$1:$I$88,3,0)*0.475*44/12</f>
        <v>0</v>
      </c>
      <c r="AY68" s="45">
        <f>EXP(-LN(2)/25)*AY67+(1-EXP(-LN(2)/25))/(LN(2)/25)*Calculateur!AT68*Calculateur!AV68*VLOOKUP('Données projet'!$B$9,Paramètres!$A$1:$I$88,3,0)*0.475*44/12</f>
        <v>0</v>
      </c>
      <c r="AZ68" s="45">
        <f>EXP(-LN(2)/2)*AZ67+(1-EXP(-LN(2)/2))/(LN(2)/2)*AT68*AW68*VLOOKUP('Données projet'!$B$9,Paramètres!$A$1:$I$88,3,0)*0.475*44/12</f>
        <v>0</v>
      </c>
      <c r="BA68" s="46">
        <f t="shared" ref="BA68:BA131" si="47">SUM(AX68:AZ68)</f>
        <v>0</v>
      </c>
      <c r="BB68" s="32" t="e">
        <f>VLOOKUP(A68,'Données projet'!$A$113:$I$133,2,0)</f>
        <v>#N/A</v>
      </c>
      <c r="BC68" s="33" t="e">
        <f>VLOOKUP(A68,'Données projet'!$A$113:$I$133,9,0)</f>
        <v>#N/A</v>
      </c>
      <c r="BD68" s="33">
        <f t="array" ref="BD68">INDEX(BC:BC,MIN(IF(ISNUMBER(BC68:BC264),ROW(BC68:BC264),"")))</f>
        <v>0</v>
      </c>
      <c r="BE68" s="33">
        <f t="shared" si="28"/>
        <v>0</v>
      </c>
      <c r="BF68" s="34" t="e">
        <f>BE68*VLOOKUP('Données projet'!$B$12,Paramètres!$A$1:$I$88,3,0)*VLOOKUP('Données projet'!$B$12,Paramètres!$A$1:$I$88,5,0)</f>
        <v>#N/A</v>
      </c>
      <c r="BG68" s="34" t="e">
        <f t="shared" si="29"/>
        <v>#N/A</v>
      </c>
      <c r="BH68" s="44" t="e">
        <f t="shared" ref="BH68:BH131" si="48">(BF68+BG68)*0.475*44/12</f>
        <v>#N/A</v>
      </c>
      <c r="BI68" s="36">
        <f>IF(ISNA(VLOOKUP(A68,'Données projet'!$A$113:$I$133,3,0)),0,VLOOKUP(A68,'Données projet'!$A$113:$I$133,3,0))</f>
        <v>0</v>
      </c>
      <c r="BJ68" s="36">
        <f>IF(ISNA(VLOOKUP(A68,'Données projet'!$A$113:$I$133,4,0)),0,VLOOKUP(A68,'Données projet'!$A$113:$I$133,4,0))</f>
        <v>0</v>
      </c>
      <c r="BK68" s="37">
        <f>IF(ISNA(VLOOKUP(A68,'Données projet'!$A$113:$I$133,5,0)),0%,VLOOKUP(A68,'Données projet'!$A$113:$I$133,5,0)*VLOOKUP('Données projet'!$B$12,Paramètres!$A$1:$I$88,7,0))</f>
        <v>0</v>
      </c>
      <c r="BL68" s="37">
        <f>IF(ISNA(VLOOKUP(A68,'Données projet'!$A$113:$I$133,6,0)),0%,VLOOKUP(A68,'Données projet'!$A$113:$I$133,6,0)*VLOOKUP('Données projet'!$B$12,Paramètres!$A$1:$I$88,7,0))</f>
        <v>0</v>
      </c>
      <c r="BM68" s="37">
        <f>IF(ISNA(VLOOKUP(A68,'Données projet'!$A$113:$I$133,7,0)),0%,VLOOKUP(A68,'Données projet'!$A$113:$I$133,7,0))</f>
        <v>0</v>
      </c>
      <c r="BN68" s="45">
        <f>EXP(-LN(2)/35)*BN67+(1-EXP(-LN(2)/35))/(LN(2)/35)*BJ68*BK68*VLOOKUP('Données projet'!$B$9,Paramètres!$A$1:$I$88,3,0)*0.475*44/12</f>
        <v>0</v>
      </c>
      <c r="BO68" s="45">
        <f>EXP(-LN(2)/25)*BO67+(1-EXP(-LN(2)/25))/(LN(2)/25)*Calculateur!BJ68*Calculateur!BL68*VLOOKUP('Données projet'!$B$9,Paramètres!$A$1:$I$88,3,0)*0.475*44/12</f>
        <v>0</v>
      </c>
      <c r="BP68" s="45">
        <f>EXP(-LN(2)/2)*BP67+(1-EXP(-LN(2)/2))/(LN(2)/2)*BJ68*BM68*VLOOKUP('Données projet'!$B$9,Paramètres!$A$1:$I$88,3,0)*0.475*44/12</f>
        <v>0</v>
      </c>
      <c r="BQ68" s="46">
        <f t="shared" ref="BQ68:BQ131" si="49">SUM(BN68:BP68)</f>
        <v>0</v>
      </c>
      <c r="BR68" s="32" t="e">
        <f>VLOOKUP(A68,'Données projet'!$A$139:$I$159,2,0)</f>
        <v>#N/A</v>
      </c>
      <c r="BS68" s="33" t="e">
        <f>VLOOKUP(A68,'Données projet'!$A$139:$I$159,9,0)</f>
        <v>#N/A</v>
      </c>
      <c r="BT68" s="33">
        <f t="array" ref="BT68">INDEX(BS:BS,MIN(IF(ISNUMBER(BS68:BS264),ROW(BS68:BS264),"")))</f>
        <v>0</v>
      </c>
      <c r="BU68" s="33">
        <f t="shared" si="41"/>
        <v>0</v>
      </c>
      <c r="BV68" s="38" t="e">
        <f>BU68*VLOOKUP('Données projet'!$B$13,Paramètres!$A$1:$I$88,3,0)*VLOOKUP('Données projet'!$B$13,Paramètres!$A$1:$I$88,5,0)</f>
        <v>#N/A</v>
      </c>
      <c r="BW68" s="34" t="e">
        <f t="shared" si="30"/>
        <v>#N/A</v>
      </c>
      <c r="BX68" s="44" t="e">
        <f t="shared" ref="BX68:BX131" si="50">(BV68+BW68)*0.475*44/12</f>
        <v>#N/A</v>
      </c>
      <c r="BY68" s="36">
        <f>IF(ISNA(VLOOKUP(A68,'Données projet'!$A$139:$I$159,3,0)),0,VLOOKUP(A68,'Données projet'!$A$139:$I$159,3,0))</f>
        <v>0</v>
      </c>
      <c r="BZ68" s="36">
        <f>IF(ISNA(VLOOKUP(A68,'Données projet'!$A$139:$I$159,4,0)),0,VLOOKUP(A68,'Données projet'!$A$139:$I$159,4,0))</f>
        <v>0</v>
      </c>
      <c r="CA68" s="37">
        <f>IF(ISNA(VLOOKUP(A68,'Données projet'!$A$139:$I$159,5,0)),0%,VLOOKUP(A68,'Données projet'!$A$139:$I$159,5,0)*VLOOKUP('Données projet'!$B$13,Paramètres!$A$1:$I$88,7,0))</f>
        <v>0</v>
      </c>
      <c r="CB68" s="37">
        <f>IF(ISNA(VLOOKUP(A68,'Données projet'!$A$139:$I$159,6,0)),0%,VLOOKUP(A68,'Données projet'!$A$139:$I$159,6,0)*VLOOKUP('Données projet'!$B$13,Paramètres!$A$1:$I$88,7,0))</f>
        <v>0</v>
      </c>
      <c r="CC68" s="37">
        <f>IF(ISNA(VLOOKUP(A68,'Données projet'!$A$139:$I$159,7,0)),0%,VLOOKUP(A68,'Données projet'!$A$139:$I$159,7,0))</f>
        <v>0</v>
      </c>
      <c r="CD68" s="45">
        <f>EXP(-LN(2)/35)*CD67+(1-EXP(-LN(2)/35))/(LN(2)/35)*BZ68*CA68*VLOOKUP('Données projet'!$B$9,Paramètres!$A$1:$I$88,3,0)*0.475*44/12</f>
        <v>0</v>
      </c>
      <c r="CE68" s="45">
        <f>EXP(-LN(2)/25)*CE67+(1-EXP(-LN(2)/25))/(LN(2)/25)*Calculateur!BZ68*Calculateur!CB68*VLOOKUP('Données projet'!$B$9,Paramètres!$A$1:$I$88,3,0)*0.475*44/12</f>
        <v>0</v>
      </c>
      <c r="CF68" s="45">
        <f>EXP(-LN(2)/2)*CF67+(1-EXP(-LN(2)/2))/(LN(2)/2)*BZ68*CC68*VLOOKUP('Données projet'!$B$9,Paramètres!$A$1:$I$88,3,0)*0.475*44/12</f>
        <v>0</v>
      </c>
      <c r="CG68" s="46">
        <f t="shared" ref="CG68:CG131" si="51">SUM(CD68:CF68)</f>
        <v>0</v>
      </c>
      <c r="CH68" s="32" t="e">
        <f>VLOOKUP(A68,'Données projet'!$A$165:$I$185,2,0)</f>
        <v>#N/A</v>
      </c>
      <c r="CI68" s="33" t="e">
        <f>VLOOKUP(A68,'Données projet'!$A$165:$I$185,9,0)</f>
        <v>#N/A</v>
      </c>
      <c r="CJ68" s="33">
        <f t="array" ref="CJ68">INDEX(CI:CI,MIN(IF(ISNUMBER(CI68:CI264),ROW(CI68:CI264),"")))</f>
        <v>0</v>
      </c>
      <c r="CK68" s="33">
        <f t="shared" si="31"/>
        <v>0</v>
      </c>
      <c r="CL68" s="38" t="e">
        <f>CK68*VLOOKUP('Données projet'!$B$14,Paramètres!$A$1:$I$88,3,0)*VLOOKUP('Données projet'!$B$14,Paramètres!$A$1:$I$88,5,0)</f>
        <v>#N/A</v>
      </c>
      <c r="CM68" s="34" t="e">
        <f t="shared" si="32"/>
        <v>#N/A</v>
      </c>
      <c r="CN68" s="44" t="e">
        <f t="shared" ref="CN68:CN131" si="52">(CL68+CM68)*0.475*44/12</f>
        <v>#N/A</v>
      </c>
      <c r="CO68" s="36">
        <f>IF(ISNA(VLOOKUP(A68,'Données projet'!$A$165:$I$185,3,0)),0,VLOOKUP(A68,'Données projet'!$A$165:$I$185,3,0))</f>
        <v>0</v>
      </c>
      <c r="CP68" s="36">
        <f>IF(ISNA(VLOOKUP(A68,'Données projet'!$A$165:$I$185,4,0)),0,VLOOKUP(A68,'Données projet'!$A$165:$I$185,4,0))</f>
        <v>0</v>
      </c>
      <c r="CQ68" s="37">
        <f>IF(ISNA(VLOOKUP(A68,'Données projet'!$A$165:$I$185,5,0)),0%,VLOOKUP(A68,'Données projet'!$A$165:$I$185,5,0)*VLOOKUP('Données projet'!$B$14,Paramètres!$A$1:$I$88,7,0))</f>
        <v>0</v>
      </c>
      <c r="CR68" s="37">
        <f>IF(ISNA(VLOOKUP(A68,'Données projet'!$A$165:$I$185,6,0)),0%,VLOOKUP(A68,'Données projet'!$A$165:$I$185,6,0)*VLOOKUP('Données projet'!$B$14,Paramètres!$A$1:$I$88,7,0))</f>
        <v>0</v>
      </c>
      <c r="CS68" s="37">
        <f>IF(ISNA(VLOOKUP(A68,'Données projet'!$A$165:$I$185,7,0)),0%,VLOOKUP(A68,'Données projet'!$A$165:$I$185,7,0))</f>
        <v>0</v>
      </c>
      <c r="CT68" s="45">
        <f>EXP(-LN(2)/35)*CT67+(1-EXP(-LN(2)/35))/(LN(2)/35)*CP68*CQ68*VLOOKUP('Données projet'!$B$9,Paramètres!$A$1:$I$88,3,0)*0.475*44/12</f>
        <v>0</v>
      </c>
      <c r="CU68" s="45">
        <f>EXP(-LN(2)/25)*CU67+(1-EXP(-LN(2)/25))/(LN(2)/25)*Calculateur!CP68*Calculateur!CR68*VLOOKUP('Données projet'!$B$9,Paramètres!$A$1:$I$88,3,0)*0.475*44/12</f>
        <v>0</v>
      </c>
      <c r="CV68" s="45">
        <f>EXP(-LN(2)/2)*CV67+(1-EXP(-LN(2)/2))/(LN(2)/2)*CP68*CS68*VLOOKUP('Données projet'!$B$9,Paramètres!$A$1:$I$88,3,0)*0.475*44/12</f>
        <v>0</v>
      </c>
      <c r="CW68" s="46">
        <f t="shared" ref="CW68:CW131" si="53">SUM(CT68:CV68)</f>
        <v>0</v>
      </c>
      <c r="CX68" s="32" t="e">
        <f>VLOOKUP(A68,'Données projet'!$A$191:$I$211,2,0)</f>
        <v>#N/A</v>
      </c>
      <c r="CY68" s="33" t="e">
        <f>VLOOKUP(A68,'Données projet'!$A$191:$I$211,9,0)</f>
        <v>#N/A</v>
      </c>
      <c r="CZ68" s="33">
        <f t="array" ref="CZ68">INDEX(CY:CY,MIN(IF(ISNUMBER(CY68:CY264),ROW(CY68:CY264),"")))</f>
        <v>0</v>
      </c>
      <c r="DA68" s="33">
        <f t="shared" si="33"/>
        <v>0</v>
      </c>
      <c r="DB68" s="38" t="e">
        <f>DA68*VLOOKUP('Données projet'!$B$15,Paramètres!$A$1:$I$88,3,0)*VLOOKUP('Données projet'!$B$15,Paramètres!$A$1:$I$88,5,0)</f>
        <v>#N/A</v>
      </c>
      <c r="DC68" s="34" t="e">
        <f t="shared" si="34"/>
        <v>#N/A</v>
      </c>
      <c r="DD68" s="44" t="e">
        <f t="shared" ref="DD68:DD131" si="54">(DB68+DC68)*0.475*44/12</f>
        <v>#N/A</v>
      </c>
      <c r="DE68" s="36">
        <f>IF(ISNA(VLOOKUP(A68,'Données projet'!$A$191:$I$211,3,0)),0,VLOOKUP(A68,'Données projet'!$A$191:$I$211,3,0))</f>
        <v>0</v>
      </c>
      <c r="DF68" s="36">
        <f>IF(ISNA(VLOOKUP(A68,'Données projet'!$A$191:$I$211,4,0)),0,VLOOKUP(A68,'Données projet'!$A$191:$I$211,4,0))</f>
        <v>0</v>
      </c>
      <c r="DG68" s="37">
        <f>IF(ISNA(VLOOKUP(A68,'Données projet'!$A$191:$I$211,5,0)),0%,VLOOKUP(A68,'Données projet'!$A$191:$I$211,5,0)*VLOOKUP('Données projet'!$B$15,Paramètres!$A$1:$I$88,7,0))</f>
        <v>0</v>
      </c>
      <c r="DH68" s="37">
        <f>IF(ISNA(VLOOKUP(A68,'Données projet'!$A$191:$I$211,6,0)),0%,VLOOKUP(A68,'Données projet'!$A$191:$I$211,6,0)*VLOOKUP('Données projet'!$B$15,Paramètres!$A$1:$I$88,7,0))</f>
        <v>0</v>
      </c>
      <c r="DI68" s="37">
        <f>IF(ISNA(VLOOKUP(A68,'Données projet'!$A$191:$I$211,7,0)),0%,VLOOKUP(A68,'Données projet'!$A$191:$I$211,7,0))</f>
        <v>0</v>
      </c>
      <c r="DJ68" s="45">
        <f>EXP(-LN(2)/35)*DJ67+(1-EXP(-LN(2)/35))/(LN(2)/35)*DF68*DG68*VLOOKUP('Données projet'!$B$9,Paramètres!$A$1:$I$88,3,0)*0.475*44/12</f>
        <v>0</v>
      </c>
      <c r="DK68" s="45">
        <f>EXP(-LN(2)/25)*DK67+(1-EXP(-LN(2)/25))/(LN(2)/25)*Calculateur!DF68*Calculateur!DH68*VLOOKUP('Données projet'!$B$9,Paramètres!$A$1:$I$88,3,0)*0.475*44/12</f>
        <v>0</v>
      </c>
      <c r="DL68" s="45">
        <f>EXP(-LN(2)/2)*DL67+(1-EXP(-LN(2)/2))/(LN(2)/2)*DF68*DI68*VLOOKUP('Données projet'!$B$9,Paramètres!$A$1:$I$88,3,0)*0.475*44/12</f>
        <v>0</v>
      </c>
      <c r="DM68" s="46">
        <f t="shared" ref="DM68:DM131" si="55">SUM(DJ68:DL68)</f>
        <v>0</v>
      </c>
      <c r="DN68" s="32" t="e">
        <f>VLOOKUP(A68,'Données projet'!$A$217:$I$237,2,0)</f>
        <v>#N/A</v>
      </c>
      <c r="DO68" s="33" t="e">
        <f>VLOOKUP(A68,'Données projet'!$A$217:$I$237,9,0)</f>
        <v>#N/A</v>
      </c>
      <c r="DP68" s="33">
        <f t="array" ref="DP68">INDEX(DO:DO,MIN(IF(ISNUMBER(DO68:DO264),ROW(DO68:DO264),"")))</f>
        <v>0</v>
      </c>
      <c r="DQ68" s="33">
        <f t="shared" si="35"/>
        <v>0</v>
      </c>
      <c r="DR68" s="38" t="e">
        <f>DQ68*VLOOKUP('Données projet'!$B$16,Paramètres!$A$1:$I$88,3,0)*VLOOKUP('Données projet'!$B$16,Paramètres!$A$1:$I$88,5,0)</f>
        <v>#N/A</v>
      </c>
      <c r="DS68" s="34" t="e">
        <f t="shared" si="36"/>
        <v>#N/A</v>
      </c>
      <c r="DT68" s="44" t="e">
        <f t="shared" ref="DT68:DT131" si="56">(DR68+DS68)*0.475*44/12</f>
        <v>#N/A</v>
      </c>
      <c r="DU68" s="36">
        <f>IF(ISNA(VLOOKUP(A68,'Données projet'!$A$217:$I$237,3,0)),0,VLOOKUP(A68,'Données projet'!$A$217:$I$237,3,0))</f>
        <v>0</v>
      </c>
      <c r="DV68" s="36">
        <f>IF(ISNA(VLOOKUP(A68,'Données projet'!$A$217:$I$237,4,0)),0,VLOOKUP(A68,'Données projet'!$A$217:$I$237,4,0))</f>
        <v>0</v>
      </c>
      <c r="DW68" s="37">
        <f>IF(ISNA(VLOOKUP(A68,'Données projet'!$A$217:$I$237,5,0)),0%,VLOOKUP(A68,'Données projet'!$A$217:$I$237,5,0)*VLOOKUP('Données projet'!$B$16,Paramètres!$A$1:$I$88,7,0))</f>
        <v>0</v>
      </c>
      <c r="DX68" s="37">
        <f>IF(ISNA(VLOOKUP(A68,'Données projet'!$A$217:$I$237,6,0)),0%,VLOOKUP(A68,'Données projet'!$A$217:$I$237,6,0)*VLOOKUP('Données projet'!$B$16,Paramètres!$A$1:$I$88,7,0))</f>
        <v>0</v>
      </c>
      <c r="DY68" s="37">
        <f>IF(ISNA(VLOOKUP(A68,'Données projet'!$A$217:$I$237,7,0)),0%,VLOOKUP(A68,'Données projet'!$A$217:$I$237,7,0))</f>
        <v>0</v>
      </c>
      <c r="DZ68" s="45">
        <f>EXP(-LN(2)/35)*DZ67+(1-EXP(-LN(2)/35))/(LN(2)/35)*DV68*DW68*VLOOKUP('Données projet'!$B$9,Paramètres!$A$1:$I$88,3,0)*0.475*44/12</f>
        <v>0</v>
      </c>
      <c r="EA68" s="45">
        <f>EXP(-LN(2)/25)*EA67+(1-EXP(-LN(2)/25))/(LN(2)/25)*Calculateur!DV68*Calculateur!DX68*VLOOKUP('Données projet'!$B$9,Paramètres!$A$1:$I$88,3,0)*0.475*44/12</f>
        <v>0</v>
      </c>
      <c r="EB68" s="45">
        <f>EXP(-LN(2)/2)*EB67+(1-EXP(-LN(2)/2))/(LN(2)/2)*DV68*DY68*VLOOKUP('Données projet'!$B$9,Paramètres!$A$1:$I$88,3,0)*0.475*44/12</f>
        <v>0</v>
      </c>
      <c r="EC68" s="46">
        <f t="shared" ref="EC68:EC131" si="57">SUM(DZ68:EB68)</f>
        <v>0</v>
      </c>
      <c r="ED68" s="32" t="e">
        <f>VLOOKUP(A68,'Données projet'!$A$243:$I$263,2,0)</f>
        <v>#N/A</v>
      </c>
      <c r="EE68" s="33" t="e">
        <f>VLOOKUP(A68,'Données projet'!$A$243:$I$263,9,0)</f>
        <v>#N/A</v>
      </c>
      <c r="EF68" s="33">
        <f t="array" ref="EF68">INDEX(EE:EE,MIN(IF(ISNUMBER(EE68:EE264),ROW(EE68:EE264),"")))</f>
        <v>0</v>
      </c>
      <c r="EG68" s="33">
        <f t="shared" si="37"/>
        <v>0</v>
      </c>
      <c r="EH68" s="38" t="e">
        <f>EG68*VLOOKUP('Données projet'!$B$17,Paramètres!$A$1:$I$88,3,0)*VLOOKUP('Données projet'!$B$17,Paramètres!$A$1:$I$88,5,0)</f>
        <v>#N/A</v>
      </c>
      <c r="EI68" s="34" t="e">
        <f t="shared" si="38"/>
        <v>#N/A</v>
      </c>
      <c r="EJ68" s="44" t="e">
        <f t="shared" ref="EJ68:EJ131" si="58">(EH68+EI68)*0.475*44/12</f>
        <v>#N/A</v>
      </c>
      <c r="EK68" s="36">
        <f>IF(ISNA(VLOOKUP(A68,'Données projet'!$A$243:$I$263,3,0)),0,VLOOKUP(A68,'Données projet'!$A$243:$I$263,3,0))</f>
        <v>0</v>
      </c>
      <c r="EL68" s="36">
        <f>IF(ISNA(VLOOKUP(A68,'Données projet'!$A$243:$I$263,4,0)),0,VLOOKUP(A68,'Données projet'!$A$243:$I$263,4,0))</f>
        <v>0</v>
      </c>
      <c r="EM68" s="37">
        <f>IF(ISNA(VLOOKUP(A68,'Données projet'!$A$243:$I$263,5,0)),0%,VLOOKUP(A68,'Données projet'!$A$243:$I$263,5,0)*VLOOKUP('Données projet'!$B$17,Paramètres!$A$1:$I$88,7,0))</f>
        <v>0</v>
      </c>
      <c r="EN68" s="37">
        <f>IF(ISNA(VLOOKUP(A68,'Données projet'!$A$243:$I$263,6,0)),0%,VLOOKUP(A68,'Données projet'!$A$243:$I$263,6,0)*VLOOKUP('Données projet'!$B$17,Paramètres!$A$1:$I$88,7,0))</f>
        <v>0</v>
      </c>
      <c r="EO68" s="37">
        <f>IF(ISNA(VLOOKUP(A68,'Données projet'!$A$243:$I$263,7,0)),0%,VLOOKUP(A68,'Données projet'!$A$243:$I$263,7,0))</f>
        <v>0</v>
      </c>
      <c r="EP68" s="45">
        <f>EXP(-LN(2)/35)*EP67+(1-EXP(-LN(2)/35))/(LN(2)/35)*EL68*EM68*VLOOKUP('Données projet'!$B$9,Paramètres!$A$1:$I$88,3,0)*0.475*44/12</f>
        <v>0</v>
      </c>
      <c r="EQ68" s="45">
        <f>EXP(-LN(2)/25)*EQ67+(1-EXP(-LN(2)/25))/(LN(2)/25)*Calculateur!EL68*Calculateur!EN68*VLOOKUP('Données projet'!$B$9,Paramètres!$A$1:$I$88,3,0)*0.475*44/12</f>
        <v>0</v>
      </c>
      <c r="ER68" s="45">
        <f>EXP(-LN(2)/2)*ER67+(1-EXP(-LN(2)/2))/(LN(2)/2)*EL68*EO68*VLOOKUP('Données projet'!$B$9,Paramètres!$A$1:$I$88,3,0)*0.475*44/12</f>
        <v>0</v>
      </c>
      <c r="ES68" s="46">
        <f t="shared" ref="ES68:ES131" si="59">SUM(EP68:ER68)</f>
        <v>0</v>
      </c>
      <c r="ET68" s="32" t="e">
        <f>VLOOKUP(A68,'Données projet'!$A$269:$I$289,2,0)</f>
        <v>#N/A</v>
      </c>
      <c r="EU68" s="33" t="e">
        <f>VLOOKUP(A68,'Données projet'!$A$269:$I$289,9,0)</f>
        <v>#N/A</v>
      </c>
      <c r="EV68" s="33">
        <f t="array" ref="EV68">INDEX(EU:EU,MIN(IF(ISNUMBER(EU68:EU264),ROW(EU68:EU264),"")))</f>
        <v>0</v>
      </c>
      <c r="EW68" s="33">
        <f t="shared" si="39"/>
        <v>0</v>
      </c>
      <c r="EX68" s="38" t="e">
        <f>EW68*VLOOKUP('Données projet'!$B$18,Paramètres!$A$1:$I$88,3,0)*VLOOKUP('Données projet'!$B$18,Paramètres!$A$1:$I$88,5,0)</f>
        <v>#N/A</v>
      </c>
      <c r="EY68" s="34" t="e">
        <f t="shared" si="40"/>
        <v>#N/A</v>
      </c>
      <c r="EZ68" s="44" t="e">
        <f t="shared" ref="EZ68:EZ131" si="60">(EX68+EY68)*0.475*44/12</f>
        <v>#N/A</v>
      </c>
      <c r="FA68" s="36">
        <f>IF(ISNA(VLOOKUP(A68,'Données projet'!$A$269:$I$289,3,0)),0,VLOOKUP(A68,'Données projet'!$A$269:$I$289,3,0))</f>
        <v>0</v>
      </c>
      <c r="FB68" s="36">
        <f>IF(ISNA(VLOOKUP(A68,'Données projet'!$A$269:$I$289,4,0)),0,VLOOKUP(A68,'Données projet'!$A$269:$I$289,4,0))</f>
        <v>0</v>
      </c>
      <c r="FC68" s="37">
        <f>IF(ISNA(VLOOKUP(A68,'Données projet'!$A$269:$I$289,5,0)),0%,VLOOKUP(A68,'Données projet'!$A$269:$I$289,5,0)*VLOOKUP('Données projet'!$B$18,Paramètres!$A$1:$I$88,7,0))</f>
        <v>0</v>
      </c>
      <c r="FD68" s="37">
        <f>IF(ISNA(VLOOKUP(A68,'Données projet'!$A$269:$I$289,6,0)),0%,VLOOKUP(A68,'Données projet'!$A$269:$I$289,6,0)*VLOOKUP('Données projet'!$B$18,Paramètres!$A$1:$I$88,7,0))</f>
        <v>0</v>
      </c>
      <c r="FE68" s="37">
        <f>IF(ISNA(VLOOKUP(A68,'Données projet'!$A$269:$I$289,7,0)),0%,VLOOKUP(A68,'Données projet'!$A$269:$I$289,7,0))</f>
        <v>0</v>
      </c>
      <c r="FF68" s="45">
        <f>EXP(-LN(2)/35)*FF67+(1-EXP(-LN(2)/35))/(LN(2)/35)*FB68*FC68*VLOOKUP('Données projet'!$B$9,Paramètres!$A$1:$I$88,3,0)*0.475*44/12</f>
        <v>0</v>
      </c>
      <c r="FG68" s="45">
        <f>EXP(-LN(2)/25)*FG67+(1-EXP(-LN(2)/25))/(LN(2)/25)*Calculateur!FB68*Calculateur!FD68*VLOOKUP('Données projet'!$B$9,Paramètres!$A$1:$I$88,3,0)*0.475*44/12</f>
        <v>0</v>
      </c>
      <c r="FH68" s="45">
        <f>EXP(-LN(2)/2)*FH67+(1-EXP(-LN(2)/2))/(LN(2)/2)*FB68*FE68*VLOOKUP('Données projet'!$B$9,Paramètres!$A$1:$I$88,3,0)*0.475*44/12</f>
        <v>0</v>
      </c>
      <c r="FI68" s="46">
        <f t="shared" ref="FI68:FI131" si="61">SUM(FF68:FH68)</f>
        <v>0</v>
      </c>
    </row>
    <row r="69" spans="1:165" x14ac:dyDescent="0.25">
      <c r="A69" s="24">
        <f t="shared" ref="A69:A132" si="62">A68+1</f>
        <v>66</v>
      </c>
      <c r="B69" s="25">
        <f>IF('Scénario référence'!$N$1=1,5,0)</f>
        <v>0</v>
      </c>
      <c r="C69" s="40">
        <f>IF(OR('Scénario référence'!$N$1=2,'Scénario référence'!$N$1=4),C68+1*VLOOKUP('Scénario référence'!$G$14,Paramètres!$A$1:$I$88,3,0)*VLOOKUP('Scénario référence'!$G$14,Paramètres!$A$1:$I$88,5,0),IF(OR('Scénario référence'!$N$1=3,'Scénario référence'!$N$1=5),C68+0.5*VLOOKUP('Scénario référence'!$G$14,Paramètres!$A$1:$I$88,3,0)*VLOOKUP('Scénario référence'!$G$14,Paramètres!$A$1:$I$88,5,0),0))</f>
        <v>36.035999999999973</v>
      </c>
      <c r="D69" s="26">
        <f t="shared" ref="D69:D132" si="63">IFERROR(EXP(-1.0587+0.8836*LN(C69)+0.284),0)</f>
        <v>10.941692499899732</v>
      </c>
      <c r="E69" s="27">
        <f>IF('Scénario référence'!$N$1=1,B69*44/12,(C69+D69)*0.475*44/12)</f>
        <v>81.819481103991976</v>
      </c>
      <c r="F69" s="28" t="e">
        <f>VLOOKUP(A69,'Données projet'!$A$35:$I$55,2,0)</f>
        <v>#N/A</v>
      </c>
      <c r="G69" s="28" t="e">
        <f>VLOOKUP(A69,'Données projet'!$A$35:$I$55,9,0)</f>
        <v>#N/A</v>
      </c>
      <c r="H69" s="33">
        <f t="array" ref="H69">INDEX(G:G,MIN(IF(ISNUMBER(G69:G265),ROW(G69:G265),"")))</f>
        <v>6.8</v>
      </c>
      <c r="I69" s="28">
        <f t="shared" ref="I69:I132" si="64">I68+H69-N68</f>
        <v>214.7999999999999</v>
      </c>
      <c r="J69" s="41">
        <f>I69*VLOOKUP('Données projet'!$B$9,Paramètres!$A$1:$I$88,3,0)*VLOOKUP('Données projet'!$B$9,Paramètres!$A$1:$I$88,5,0)</f>
        <v>217.80719999999994</v>
      </c>
      <c r="K69" s="41">
        <f t="shared" ref="K69:K132" si="65">EXP(-1.0587+0.8836*LN(J69)+0.284)</f>
        <v>53.638013973813976</v>
      </c>
      <c r="L69" s="42">
        <f t="shared" si="42"/>
        <v>472.76708100439259</v>
      </c>
      <c r="M69" s="30">
        <f>IF(ISNA(VLOOKUP(A69,'Données projet'!$A$35:$I$55,3,0)),0,VLOOKUP(A69,'Données projet'!$A$35:$I$55,3,0))</f>
        <v>0</v>
      </c>
      <c r="N69" s="30">
        <f>IF(ISNA(VLOOKUP(A69,'Données projet'!$A$35:$I$55,4,0)),0,VLOOKUP(A69,'Données projet'!$A$35:$I$55,4,0))</f>
        <v>0</v>
      </c>
      <c r="O69" s="31">
        <f>IF(ISNA(VLOOKUP(A69,'Données projet'!$A$35:$I$55,5,0)),0%,VLOOKUP(A69,'Données projet'!$A$35:$I$55,5,0)*VLOOKUP('Données projet'!$B$9,Paramètres!$A$1:$I$88,7,0))</f>
        <v>0</v>
      </c>
      <c r="P69" s="31">
        <f>IF(ISNA(VLOOKUP(A69,'Données projet'!$A$35:$I$55,6,0)),0%,VLOOKUP(A69,'Données projet'!$A$35:$I$55,6,0)*VLOOKUP('Données projet'!$B$9,Paramètres!$A$1:$I$88,7,0))</f>
        <v>0</v>
      </c>
      <c r="Q69" s="31">
        <f>IF(ISNA(VLOOKUP(A69,'Données projet'!$A$35:$I$55,7,0)),0%,VLOOKUP(A69,'Données projet'!$A$35:$I$55,7,0))</f>
        <v>0</v>
      </c>
      <c r="R69" s="43">
        <f>EXP(-LN(2)/35)*R68+(1-EXP(-LN(2)/35))/(LN(2)/35)*N69*O69*VLOOKUP('Données projet'!$B$9,Paramètres!$A$1:$I$88,3,0)*0.475*44/12</f>
        <v>0</v>
      </c>
      <c r="S69" s="43">
        <f>EXP(-LN(2)/25)*S68+(1-EXP(-LN(2)/25))/(LN(2)/25)*Calculateur!N69*Calculateur!P69*VLOOKUP('Données projet'!$B$9,Paramètres!$A$1:$I$88,3,0)*0.475*44/12</f>
        <v>0</v>
      </c>
      <c r="T69" s="43">
        <f>EXP(-LN(2)/2)*T68+(1-EXP(-LN(2)/2))/(LN(2)/2)*N69*Q69*VLOOKUP('Données projet'!$B$9,Paramètres!$A$1:$I$88,3,0)*0.475*44/12</f>
        <v>0</v>
      </c>
      <c r="U69" s="43">
        <f t="shared" si="43"/>
        <v>0</v>
      </c>
      <c r="V69" s="32" t="e">
        <f>VLOOKUP(A69,'Données projet'!$A$61:$I$81,2,0)</f>
        <v>#N/A</v>
      </c>
      <c r="W69" s="33" t="e">
        <f>VLOOKUP(A69,'Données projet'!$A$61:$I$81,9,0)</f>
        <v>#N/A</v>
      </c>
      <c r="X69" s="33">
        <f t="array" ref="X69">INDEX(W:W,MIN(IF(ISNUMBER(W69:W265),ROW(W69:W265),"")))</f>
        <v>0</v>
      </c>
      <c r="Y69" s="33">
        <f t="shared" ref="Y69:Y132" si="66">Y68+X69-AD68</f>
        <v>0</v>
      </c>
      <c r="Z69" s="34" t="e">
        <f>Y69*VLOOKUP('Données projet'!$B$10,Paramètres!$A$1:$I$88,3,0)*VLOOKUP('Données projet'!$B$10,Paramètres!$A$1:$I$88,5,0)</f>
        <v>#N/A</v>
      </c>
      <c r="AA69" s="34" t="e">
        <f t="shared" ref="AA69:AA132" si="67">EXP(-1.0587+0.8836*LN(Z69)+0.284)</f>
        <v>#N/A</v>
      </c>
      <c r="AB69" s="44" t="e">
        <f t="shared" si="44"/>
        <v>#N/A</v>
      </c>
      <c r="AC69" s="36">
        <f>IF(ISNA(VLOOKUP(A69,'Données projet'!$A$61:$I$81,3,0)),0,VLOOKUP(A69,'Données projet'!$A$61:$I$81,3,0))</f>
        <v>0</v>
      </c>
      <c r="AD69" s="36">
        <f>IF(ISNA(VLOOKUP(A69,'Données projet'!$A$61:$I$81,4,0)),0,VLOOKUP(A69,'Données projet'!$A$61:$I$81,4,0))</f>
        <v>0</v>
      </c>
      <c r="AE69" s="37">
        <f>IF(ISNA(VLOOKUP(A69,'Données projet'!$A$61:$I$81,5,0)),0%,VLOOKUP(A69,'Données projet'!$A$61:$I$81,5,0)*VLOOKUP('Données projet'!$B$10,Paramètres!$A$1:$I$88,7,0))</f>
        <v>0</v>
      </c>
      <c r="AF69" s="37">
        <f>IF(ISNA(VLOOKUP(A69,'Données projet'!$A$61:$I$81,6,0)),0%,VLOOKUP(A69,'Données projet'!$A$61:$I$81,6,0)*VLOOKUP('Données projet'!$B$10,Paramètres!$A$1:$I$88,7,0))</f>
        <v>0</v>
      </c>
      <c r="AG69" s="37">
        <f>IF(ISNA(VLOOKUP(A69,'Données projet'!$A$61:$I$81,7,0)),0%,VLOOKUP(A69,'Données projet'!$A$61:$I$81,7,0))</f>
        <v>0</v>
      </c>
      <c r="AH69" s="45">
        <f>EXP(-LN(2)/35)*AH68+(1-EXP(-LN(2)/35))/(LN(2)/35)*AD69*AE69*VLOOKUP('Données projet'!$B$9,Paramètres!$A$1:$I$88,3,0)*0.475*44/12</f>
        <v>0</v>
      </c>
      <c r="AI69" s="45">
        <f>EXP(-LN(2)/25)*AI68+(1-EXP(-LN(2)/25))/(LN(2)/25)*Calculateur!AD69*Calculateur!AF69*VLOOKUP('Données projet'!$B$9,Paramètres!$A$1:$I$88,3,0)*0.475*44/12</f>
        <v>0</v>
      </c>
      <c r="AJ69" s="45">
        <f>EXP(-LN(2)/2)*AJ68+(1-EXP(-LN(2)/2))/(LN(2)/2)*AD69*AG69*VLOOKUP('Données projet'!$B$9,Paramètres!$A$1:$I$88,3,0)*0.475*44/12</f>
        <v>0</v>
      </c>
      <c r="AK69" s="45">
        <f t="shared" si="45"/>
        <v>0</v>
      </c>
      <c r="AL69" s="32" t="e">
        <f>VLOOKUP(A69,'Données projet'!$A$87:$I$107,2,0)</f>
        <v>#N/A</v>
      </c>
      <c r="AM69" s="33" t="e">
        <f>VLOOKUP(A69,'Données projet'!$A$87:$I$107,9,0)</f>
        <v>#N/A</v>
      </c>
      <c r="AN69" s="33">
        <f t="array" ref="AN69">INDEX(AM:AM,MIN(IF(ISNUMBER(AM69:AM265),ROW(AM69:AM265),"")))</f>
        <v>0</v>
      </c>
      <c r="AO69" s="33">
        <f t="shared" ref="AO69:AO132" si="68">AO68+AN69-AT68</f>
        <v>0</v>
      </c>
      <c r="AP69" s="34" t="e">
        <f>AO69*VLOOKUP('Données projet'!$B$11,Paramètres!$A$1:$I$88,3,0)*VLOOKUP('Données projet'!$B$11,Paramètres!$A$1:$I$88,5,0)</f>
        <v>#N/A</v>
      </c>
      <c r="AQ69" s="34" t="e">
        <f t="shared" ref="AQ69:AQ132" si="69">EXP(-1.0587+0.8836*LN(AP69)+0.284)</f>
        <v>#N/A</v>
      </c>
      <c r="AR69" s="44" t="e">
        <f t="shared" si="46"/>
        <v>#N/A</v>
      </c>
      <c r="AS69" s="36">
        <f>IF(ISNA(VLOOKUP(A69,'Données projet'!$A$87:$I$107,3,0)),0,VLOOKUP(A69,'Données projet'!$A$87:$I$107,3,0))</f>
        <v>0</v>
      </c>
      <c r="AT69" s="36">
        <f>IF(ISNA(VLOOKUP(A69,'Données projet'!$A$87:$I$107,4,0)),0,VLOOKUP(A69,'Données projet'!$A$87:$I$107,4,0))</f>
        <v>0</v>
      </c>
      <c r="AU69" s="37">
        <f>IF(ISNA(VLOOKUP(A69,'Données projet'!$A$87:$I$107,5,0)),0%,VLOOKUP(A69,'Données projet'!$A$87:$I$107,5,0)*VLOOKUP('Données projet'!$B$11,Paramètres!$A$1:$I$88,7,0))</f>
        <v>0</v>
      </c>
      <c r="AV69" s="37">
        <f>IF(ISNA(VLOOKUP(A69,'Données projet'!$A$87:$I$107,6,0)),0%,VLOOKUP(A69,'Données projet'!$A$87:$I$107,6,0)*VLOOKUP('Données projet'!$B$11,Paramètres!$A$1:$I$88,7,0))</f>
        <v>0</v>
      </c>
      <c r="AW69" s="37">
        <f>IF(ISNA(VLOOKUP(A69,'Données projet'!$A$87:$I$107,7,0)),0%,VLOOKUP(A69,'Données projet'!$A$87:$I$107,7,0))</f>
        <v>0</v>
      </c>
      <c r="AX69" s="45">
        <f>EXP(-LN(2)/35)*AX68+(1-EXP(-LN(2)/35))/(LN(2)/35)*AT69*AU69*VLOOKUP('Données projet'!$B$9,Paramètres!$A$1:$I$88,3,0)*0.475*44/12</f>
        <v>0</v>
      </c>
      <c r="AY69" s="45">
        <f>EXP(-LN(2)/25)*AY68+(1-EXP(-LN(2)/25))/(LN(2)/25)*Calculateur!AT69*Calculateur!AV69*VLOOKUP('Données projet'!$B$9,Paramètres!$A$1:$I$88,3,0)*0.475*44/12</f>
        <v>0</v>
      </c>
      <c r="AZ69" s="45">
        <f>EXP(-LN(2)/2)*AZ68+(1-EXP(-LN(2)/2))/(LN(2)/2)*AT69*AW69*VLOOKUP('Données projet'!$B$9,Paramètres!$A$1:$I$88,3,0)*0.475*44/12</f>
        <v>0</v>
      </c>
      <c r="BA69" s="46">
        <f t="shared" si="47"/>
        <v>0</v>
      </c>
      <c r="BB69" s="32" t="e">
        <f>VLOOKUP(A69,'Données projet'!$A$113:$I$133,2,0)</f>
        <v>#N/A</v>
      </c>
      <c r="BC69" s="33" t="e">
        <f>VLOOKUP(A69,'Données projet'!$A$113:$I$133,9,0)</f>
        <v>#N/A</v>
      </c>
      <c r="BD69" s="33">
        <f t="array" ref="BD69">INDEX(BC:BC,MIN(IF(ISNUMBER(BC69:BC265),ROW(BC69:BC265),"")))</f>
        <v>0</v>
      </c>
      <c r="BE69" s="33">
        <f t="shared" ref="BE69:BE132" si="70">BE68+BD69-BJ68</f>
        <v>0</v>
      </c>
      <c r="BF69" s="34" t="e">
        <f>BE69*VLOOKUP('Données projet'!$B$12,Paramètres!$A$1:$I$88,3,0)*VLOOKUP('Données projet'!$B$12,Paramètres!$A$1:$I$88,5,0)</f>
        <v>#N/A</v>
      </c>
      <c r="BG69" s="34" t="e">
        <f t="shared" ref="BG69:BG132" si="71">EXP(-1.0587+0.8836*LN(BF69)+0.284)</f>
        <v>#N/A</v>
      </c>
      <c r="BH69" s="44" t="e">
        <f t="shared" si="48"/>
        <v>#N/A</v>
      </c>
      <c r="BI69" s="36">
        <f>IF(ISNA(VLOOKUP(A69,'Données projet'!$A$113:$I$133,3,0)),0,VLOOKUP(A69,'Données projet'!$A$113:$I$133,3,0))</f>
        <v>0</v>
      </c>
      <c r="BJ69" s="36">
        <f>IF(ISNA(VLOOKUP(A69,'Données projet'!$A$113:$I$133,4,0)),0,VLOOKUP(A69,'Données projet'!$A$113:$I$133,4,0))</f>
        <v>0</v>
      </c>
      <c r="BK69" s="37">
        <f>IF(ISNA(VLOOKUP(A69,'Données projet'!$A$113:$I$133,5,0)),0%,VLOOKUP(A69,'Données projet'!$A$113:$I$133,5,0)*VLOOKUP('Données projet'!$B$12,Paramètres!$A$1:$I$88,7,0))</f>
        <v>0</v>
      </c>
      <c r="BL69" s="37">
        <f>IF(ISNA(VLOOKUP(A69,'Données projet'!$A$113:$I$133,6,0)),0%,VLOOKUP(A69,'Données projet'!$A$113:$I$133,6,0)*VLOOKUP('Données projet'!$B$12,Paramètres!$A$1:$I$88,7,0))</f>
        <v>0</v>
      </c>
      <c r="BM69" s="37">
        <f>IF(ISNA(VLOOKUP(A69,'Données projet'!$A$113:$I$133,7,0)),0%,VLOOKUP(A69,'Données projet'!$A$113:$I$133,7,0))</f>
        <v>0</v>
      </c>
      <c r="BN69" s="45">
        <f>EXP(-LN(2)/35)*BN68+(1-EXP(-LN(2)/35))/(LN(2)/35)*BJ69*BK69*VLOOKUP('Données projet'!$B$9,Paramètres!$A$1:$I$88,3,0)*0.475*44/12</f>
        <v>0</v>
      </c>
      <c r="BO69" s="45">
        <f>EXP(-LN(2)/25)*BO68+(1-EXP(-LN(2)/25))/(LN(2)/25)*Calculateur!BJ69*Calculateur!BL69*VLOOKUP('Données projet'!$B$9,Paramètres!$A$1:$I$88,3,0)*0.475*44/12</f>
        <v>0</v>
      </c>
      <c r="BP69" s="45">
        <f>EXP(-LN(2)/2)*BP68+(1-EXP(-LN(2)/2))/(LN(2)/2)*BJ69*BM69*VLOOKUP('Données projet'!$B$9,Paramètres!$A$1:$I$88,3,0)*0.475*44/12</f>
        <v>0</v>
      </c>
      <c r="BQ69" s="46">
        <f t="shared" si="49"/>
        <v>0</v>
      </c>
      <c r="BR69" s="32" t="e">
        <f>VLOOKUP(A69,'Données projet'!$A$139:$I$159,2,0)</f>
        <v>#N/A</v>
      </c>
      <c r="BS69" s="33" t="e">
        <f>VLOOKUP(A69,'Données projet'!$A$139:$I$159,9,0)</f>
        <v>#N/A</v>
      </c>
      <c r="BT69" s="33">
        <f t="array" ref="BT69">INDEX(BS:BS,MIN(IF(ISNUMBER(BS69:BS265),ROW(BS69:BS265),"")))</f>
        <v>0</v>
      </c>
      <c r="BU69" s="33">
        <f t="shared" ref="BU69:BU132" si="72">BU68+BT69-BZ68</f>
        <v>0</v>
      </c>
      <c r="BV69" s="38" t="e">
        <f>BU69*VLOOKUP('Données projet'!$B$13,Paramètres!$A$1:$I$88,3,0)*VLOOKUP('Données projet'!$B$13,Paramètres!$A$1:$I$88,5,0)</f>
        <v>#N/A</v>
      </c>
      <c r="BW69" s="34" t="e">
        <f t="shared" ref="BW69:BW132" si="73">EXP(-1.0587+0.8836*LN(BV69)+0.284)</f>
        <v>#N/A</v>
      </c>
      <c r="BX69" s="44" t="e">
        <f t="shared" si="50"/>
        <v>#N/A</v>
      </c>
      <c r="BY69" s="36">
        <f>IF(ISNA(VLOOKUP(A69,'Données projet'!$A$139:$I$159,3,0)),0,VLOOKUP(A69,'Données projet'!$A$139:$I$159,3,0))</f>
        <v>0</v>
      </c>
      <c r="BZ69" s="36">
        <f>IF(ISNA(VLOOKUP(A69,'Données projet'!$A$139:$I$159,4,0)),0,VLOOKUP(A69,'Données projet'!$A$139:$I$159,4,0))</f>
        <v>0</v>
      </c>
      <c r="CA69" s="37">
        <f>IF(ISNA(VLOOKUP(A69,'Données projet'!$A$139:$I$159,5,0)),0%,VLOOKUP(A69,'Données projet'!$A$139:$I$159,5,0)*VLOOKUP('Données projet'!$B$13,Paramètres!$A$1:$I$88,7,0))</f>
        <v>0</v>
      </c>
      <c r="CB69" s="37">
        <f>IF(ISNA(VLOOKUP(A69,'Données projet'!$A$139:$I$159,6,0)),0%,VLOOKUP(A69,'Données projet'!$A$139:$I$159,6,0)*VLOOKUP('Données projet'!$B$13,Paramètres!$A$1:$I$88,7,0))</f>
        <v>0</v>
      </c>
      <c r="CC69" s="37">
        <f>IF(ISNA(VLOOKUP(A69,'Données projet'!$A$139:$I$159,7,0)),0%,VLOOKUP(A69,'Données projet'!$A$139:$I$159,7,0))</f>
        <v>0</v>
      </c>
      <c r="CD69" s="45">
        <f>EXP(-LN(2)/35)*CD68+(1-EXP(-LN(2)/35))/(LN(2)/35)*BZ69*CA69*VLOOKUP('Données projet'!$B$9,Paramètres!$A$1:$I$88,3,0)*0.475*44/12</f>
        <v>0</v>
      </c>
      <c r="CE69" s="45">
        <f>EXP(-LN(2)/25)*CE68+(1-EXP(-LN(2)/25))/(LN(2)/25)*Calculateur!BZ69*Calculateur!CB69*VLOOKUP('Données projet'!$B$9,Paramètres!$A$1:$I$88,3,0)*0.475*44/12</f>
        <v>0</v>
      </c>
      <c r="CF69" s="45">
        <f>EXP(-LN(2)/2)*CF68+(1-EXP(-LN(2)/2))/(LN(2)/2)*BZ69*CC69*VLOOKUP('Données projet'!$B$9,Paramètres!$A$1:$I$88,3,0)*0.475*44/12</f>
        <v>0</v>
      </c>
      <c r="CG69" s="46">
        <f t="shared" si="51"/>
        <v>0</v>
      </c>
      <c r="CH69" s="32" t="e">
        <f>VLOOKUP(A69,'Données projet'!$A$165:$I$185,2,0)</f>
        <v>#N/A</v>
      </c>
      <c r="CI69" s="33" t="e">
        <f>VLOOKUP(A69,'Données projet'!$A$165:$I$185,9,0)</f>
        <v>#N/A</v>
      </c>
      <c r="CJ69" s="33">
        <f t="array" ref="CJ69">INDEX(CI:CI,MIN(IF(ISNUMBER(CI69:CI265),ROW(CI69:CI265),"")))</f>
        <v>0</v>
      </c>
      <c r="CK69" s="33">
        <f t="shared" ref="CK69:CK132" si="74">CK68+CJ69-CP68</f>
        <v>0</v>
      </c>
      <c r="CL69" s="38" t="e">
        <f>CK69*VLOOKUP('Données projet'!$B$14,Paramètres!$A$1:$I$88,3,0)*VLOOKUP('Données projet'!$B$14,Paramètres!$A$1:$I$88,5,0)</f>
        <v>#N/A</v>
      </c>
      <c r="CM69" s="34" t="e">
        <f t="shared" ref="CM69:CM132" si="75">EXP(-1.0587+0.8836*LN(CL69)+0.284)</f>
        <v>#N/A</v>
      </c>
      <c r="CN69" s="44" t="e">
        <f t="shared" si="52"/>
        <v>#N/A</v>
      </c>
      <c r="CO69" s="36">
        <f>IF(ISNA(VLOOKUP(A69,'Données projet'!$A$165:$I$185,3,0)),0,VLOOKUP(A69,'Données projet'!$A$165:$I$185,3,0))</f>
        <v>0</v>
      </c>
      <c r="CP69" s="36">
        <f>IF(ISNA(VLOOKUP(A69,'Données projet'!$A$165:$I$185,4,0)),0,VLOOKUP(A69,'Données projet'!$A$165:$I$185,4,0))</f>
        <v>0</v>
      </c>
      <c r="CQ69" s="37">
        <f>IF(ISNA(VLOOKUP(A69,'Données projet'!$A$165:$I$185,5,0)),0%,VLOOKUP(A69,'Données projet'!$A$165:$I$185,5,0)*VLOOKUP('Données projet'!$B$14,Paramètres!$A$1:$I$88,7,0))</f>
        <v>0</v>
      </c>
      <c r="CR69" s="37">
        <f>IF(ISNA(VLOOKUP(A69,'Données projet'!$A$165:$I$185,6,0)),0%,VLOOKUP(A69,'Données projet'!$A$165:$I$185,6,0)*VLOOKUP('Données projet'!$B$14,Paramètres!$A$1:$I$88,7,0))</f>
        <v>0</v>
      </c>
      <c r="CS69" s="37">
        <f>IF(ISNA(VLOOKUP(A69,'Données projet'!$A$165:$I$185,7,0)),0%,VLOOKUP(A69,'Données projet'!$A$165:$I$185,7,0))</f>
        <v>0</v>
      </c>
      <c r="CT69" s="45">
        <f>EXP(-LN(2)/35)*CT68+(1-EXP(-LN(2)/35))/(LN(2)/35)*CP69*CQ69*VLOOKUP('Données projet'!$B$9,Paramètres!$A$1:$I$88,3,0)*0.475*44/12</f>
        <v>0</v>
      </c>
      <c r="CU69" s="45">
        <f>EXP(-LN(2)/25)*CU68+(1-EXP(-LN(2)/25))/(LN(2)/25)*Calculateur!CP69*Calculateur!CR69*VLOOKUP('Données projet'!$B$9,Paramètres!$A$1:$I$88,3,0)*0.475*44/12</f>
        <v>0</v>
      </c>
      <c r="CV69" s="45">
        <f>EXP(-LN(2)/2)*CV68+(1-EXP(-LN(2)/2))/(LN(2)/2)*CP69*CS69*VLOOKUP('Données projet'!$B$9,Paramètres!$A$1:$I$88,3,0)*0.475*44/12</f>
        <v>0</v>
      </c>
      <c r="CW69" s="46">
        <f t="shared" si="53"/>
        <v>0</v>
      </c>
      <c r="CX69" s="32" t="e">
        <f>VLOOKUP(A69,'Données projet'!$A$191:$I$211,2,0)</f>
        <v>#N/A</v>
      </c>
      <c r="CY69" s="33" t="e">
        <f>VLOOKUP(A69,'Données projet'!$A$191:$I$211,9,0)</f>
        <v>#N/A</v>
      </c>
      <c r="CZ69" s="33">
        <f t="array" ref="CZ69">INDEX(CY:CY,MIN(IF(ISNUMBER(CY69:CY265),ROW(CY69:CY265),"")))</f>
        <v>0</v>
      </c>
      <c r="DA69" s="33">
        <f t="shared" ref="DA69:DA132" si="76">DA68+CZ69-DF68</f>
        <v>0</v>
      </c>
      <c r="DB69" s="38" t="e">
        <f>DA69*VLOOKUP('Données projet'!$B$15,Paramètres!$A$1:$I$88,3,0)*VLOOKUP('Données projet'!$B$15,Paramètres!$A$1:$I$88,5,0)</f>
        <v>#N/A</v>
      </c>
      <c r="DC69" s="34" t="e">
        <f t="shared" ref="DC69:DC132" si="77">EXP(-1.0587+0.8836*LN(DB69)+0.284)</f>
        <v>#N/A</v>
      </c>
      <c r="DD69" s="44" t="e">
        <f t="shared" si="54"/>
        <v>#N/A</v>
      </c>
      <c r="DE69" s="36">
        <f>IF(ISNA(VLOOKUP(A69,'Données projet'!$A$191:$I$211,3,0)),0,VLOOKUP(A69,'Données projet'!$A$191:$I$211,3,0))</f>
        <v>0</v>
      </c>
      <c r="DF69" s="36">
        <f>IF(ISNA(VLOOKUP(A69,'Données projet'!$A$191:$I$211,4,0)),0,VLOOKUP(A69,'Données projet'!$A$191:$I$211,4,0))</f>
        <v>0</v>
      </c>
      <c r="DG69" s="37">
        <f>IF(ISNA(VLOOKUP(A69,'Données projet'!$A$191:$I$211,5,0)),0%,VLOOKUP(A69,'Données projet'!$A$191:$I$211,5,0)*VLOOKUP('Données projet'!$B$15,Paramètres!$A$1:$I$88,7,0))</f>
        <v>0</v>
      </c>
      <c r="DH69" s="37">
        <f>IF(ISNA(VLOOKUP(A69,'Données projet'!$A$191:$I$211,6,0)),0%,VLOOKUP(A69,'Données projet'!$A$191:$I$211,6,0)*VLOOKUP('Données projet'!$B$15,Paramètres!$A$1:$I$88,7,0))</f>
        <v>0</v>
      </c>
      <c r="DI69" s="37">
        <f>IF(ISNA(VLOOKUP(A69,'Données projet'!$A$191:$I$211,7,0)),0%,VLOOKUP(A69,'Données projet'!$A$191:$I$211,7,0))</f>
        <v>0</v>
      </c>
      <c r="DJ69" s="45">
        <f>EXP(-LN(2)/35)*DJ68+(1-EXP(-LN(2)/35))/(LN(2)/35)*DF69*DG69*VLOOKUP('Données projet'!$B$9,Paramètres!$A$1:$I$88,3,0)*0.475*44/12</f>
        <v>0</v>
      </c>
      <c r="DK69" s="45">
        <f>EXP(-LN(2)/25)*DK68+(1-EXP(-LN(2)/25))/(LN(2)/25)*Calculateur!DF69*Calculateur!DH69*VLOOKUP('Données projet'!$B$9,Paramètres!$A$1:$I$88,3,0)*0.475*44/12</f>
        <v>0</v>
      </c>
      <c r="DL69" s="45">
        <f>EXP(-LN(2)/2)*DL68+(1-EXP(-LN(2)/2))/(LN(2)/2)*DF69*DI69*VLOOKUP('Données projet'!$B$9,Paramètres!$A$1:$I$88,3,0)*0.475*44/12</f>
        <v>0</v>
      </c>
      <c r="DM69" s="46">
        <f t="shared" si="55"/>
        <v>0</v>
      </c>
      <c r="DN69" s="32" t="e">
        <f>VLOOKUP(A69,'Données projet'!$A$217:$I$237,2,0)</f>
        <v>#N/A</v>
      </c>
      <c r="DO69" s="33" t="e">
        <f>VLOOKUP(A69,'Données projet'!$A$217:$I$237,9,0)</f>
        <v>#N/A</v>
      </c>
      <c r="DP69" s="33">
        <f t="array" ref="DP69">INDEX(DO:DO,MIN(IF(ISNUMBER(DO69:DO265),ROW(DO69:DO265),"")))</f>
        <v>0</v>
      </c>
      <c r="DQ69" s="33">
        <f t="shared" ref="DQ69:DQ132" si="78">DQ68+DP69-DV68</f>
        <v>0</v>
      </c>
      <c r="DR69" s="38" t="e">
        <f>DQ69*VLOOKUP('Données projet'!$B$16,Paramètres!$A$1:$I$88,3,0)*VLOOKUP('Données projet'!$B$16,Paramètres!$A$1:$I$88,5,0)</f>
        <v>#N/A</v>
      </c>
      <c r="DS69" s="34" t="e">
        <f t="shared" ref="DS69:DS132" si="79">EXP(-1.0587+0.8836*LN(DR69)+0.284)</f>
        <v>#N/A</v>
      </c>
      <c r="DT69" s="44" t="e">
        <f t="shared" si="56"/>
        <v>#N/A</v>
      </c>
      <c r="DU69" s="36">
        <f>IF(ISNA(VLOOKUP(A69,'Données projet'!$A$217:$I$237,3,0)),0,VLOOKUP(A69,'Données projet'!$A$217:$I$237,3,0))</f>
        <v>0</v>
      </c>
      <c r="DV69" s="36">
        <f>IF(ISNA(VLOOKUP(A69,'Données projet'!$A$217:$I$237,4,0)),0,VLOOKUP(A69,'Données projet'!$A$217:$I$237,4,0))</f>
        <v>0</v>
      </c>
      <c r="DW69" s="37">
        <f>IF(ISNA(VLOOKUP(A69,'Données projet'!$A$217:$I$237,5,0)),0%,VLOOKUP(A69,'Données projet'!$A$217:$I$237,5,0)*VLOOKUP('Données projet'!$B$16,Paramètres!$A$1:$I$88,7,0))</f>
        <v>0</v>
      </c>
      <c r="DX69" s="37">
        <f>IF(ISNA(VLOOKUP(A69,'Données projet'!$A$217:$I$237,6,0)),0%,VLOOKUP(A69,'Données projet'!$A$217:$I$237,6,0)*VLOOKUP('Données projet'!$B$16,Paramètres!$A$1:$I$88,7,0))</f>
        <v>0</v>
      </c>
      <c r="DY69" s="37">
        <f>IF(ISNA(VLOOKUP(A69,'Données projet'!$A$217:$I$237,7,0)),0%,VLOOKUP(A69,'Données projet'!$A$217:$I$237,7,0))</f>
        <v>0</v>
      </c>
      <c r="DZ69" s="45">
        <f>EXP(-LN(2)/35)*DZ68+(1-EXP(-LN(2)/35))/(LN(2)/35)*DV69*DW69*VLOOKUP('Données projet'!$B$9,Paramètres!$A$1:$I$88,3,0)*0.475*44/12</f>
        <v>0</v>
      </c>
      <c r="EA69" s="45">
        <f>EXP(-LN(2)/25)*EA68+(1-EXP(-LN(2)/25))/(LN(2)/25)*Calculateur!DV69*Calculateur!DX69*VLOOKUP('Données projet'!$B$9,Paramètres!$A$1:$I$88,3,0)*0.475*44/12</f>
        <v>0</v>
      </c>
      <c r="EB69" s="45">
        <f>EXP(-LN(2)/2)*EB68+(1-EXP(-LN(2)/2))/(LN(2)/2)*DV69*DY69*VLOOKUP('Données projet'!$B$9,Paramètres!$A$1:$I$88,3,0)*0.475*44/12</f>
        <v>0</v>
      </c>
      <c r="EC69" s="46">
        <f t="shared" si="57"/>
        <v>0</v>
      </c>
      <c r="ED69" s="32" t="e">
        <f>VLOOKUP(A69,'Données projet'!$A$243:$I$263,2,0)</f>
        <v>#N/A</v>
      </c>
      <c r="EE69" s="33" t="e">
        <f>VLOOKUP(A69,'Données projet'!$A$243:$I$263,9,0)</f>
        <v>#N/A</v>
      </c>
      <c r="EF69" s="33">
        <f t="array" ref="EF69">INDEX(EE:EE,MIN(IF(ISNUMBER(EE69:EE265),ROW(EE69:EE265),"")))</f>
        <v>0</v>
      </c>
      <c r="EG69" s="33">
        <f t="shared" ref="EG69:EG132" si="80">EG68+EF69-EL68</f>
        <v>0</v>
      </c>
      <c r="EH69" s="38" t="e">
        <f>EG69*VLOOKUP('Données projet'!$B$17,Paramètres!$A$1:$I$88,3,0)*VLOOKUP('Données projet'!$B$17,Paramètres!$A$1:$I$88,5,0)</f>
        <v>#N/A</v>
      </c>
      <c r="EI69" s="34" t="e">
        <f t="shared" ref="EI69:EI132" si="81">EXP(-1.0587+0.8836*LN(EH69)+0.284)</f>
        <v>#N/A</v>
      </c>
      <c r="EJ69" s="44" t="e">
        <f t="shared" si="58"/>
        <v>#N/A</v>
      </c>
      <c r="EK69" s="36">
        <f>IF(ISNA(VLOOKUP(A69,'Données projet'!$A$243:$I$263,3,0)),0,VLOOKUP(A69,'Données projet'!$A$243:$I$263,3,0))</f>
        <v>0</v>
      </c>
      <c r="EL69" s="36">
        <f>IF(ISNA(VLOOKUP(A69,'Données projet'!$A$243:$I$263,4,0)),0,VLOOKUP(A69,'Données projet'!$A$243:$I$263,4,0))</f>
        <v>0</v>
      </c>
      <c r="EM69" s="37">
        <f>IF(ISNA(VLOOKUP(A69,'Données projet'!$A$243:$I$263,5,0)),0%,VLOOKUP(A69,'Données projet'!$A$243:$I$263,5,0)*VLOOKUP('Données projet'!$B$17,Paramètres!$A$1:$I$88,7,0))</f>
        <v>0</v>
      </c>
      <c r="EN69" s="37">
        <f>IF(ISNA(VLOOKUP(A69,'Données projet'!$A$243:$I$263,6,0)),0%,VLOOKUP(A69,'Données projet'!$A$243:$I$263,6,0)*VLOOKUP('Données projet'!$B$17,Paramètres!$A$1:$I$88,7,0))</f>
        <v>0</v>
      </c>
      <c r="EO69" s="37">
        <f>IF(ISNA(VLOOKUP(A69,'Données projet'!$A$243:$I$263,7,0)),0%,VLOOKUP(A69,'Données projet'!$A$243:$I$263,7,0))</f>
        <v>0</v>
      </c>
      <c r="EP69" s="45">
        <f>EXP(-LN(2)/35)*EP68+(1-EXP(-LN(2)/35))/(LN(2)/35)*EL69*EM69*VLOOKUP('Données projet'!$B$9,Paramètres!$A$1:$I$88,3,0)*0.475*44/12</f>
        <v>0</v>
      </c>
      <c r="EQ69" s="45">
        <f>EXP(-LN(2)/25)*EQ68+(1-EXP(-LN(2)/25))/(LN(2)/25)*Calculateur!EL69*Calculateur!EN69*VLOOKUP('Données projet'!$B$9,Paramètres!$A$1:$I$88,3,0)*0.475*44/12</f>
        <v>0</v>
      </c>
      <c r="ER69" s="45">
        <f>EXP(-LN(2)/2)*ER68+(1-EXP(-LN(2)/2))/(LN(2)/2)*EL69*EO69*VLOOKUP('Données projet'!$B$9,Paramètres!$A$1:$I$88,3,0)*0.475*44/12</f>
        <v>0</v>
      </c>
      <c r="ES69" s="46">
        <f t="shared" si="59"/>
        <v>0</v>
      </c>
      <c r="ET69" s="32" t="e">
        <f>VLOOKUP(A69,'Données projet'!$A$269:$I$289,2,0)</f>
        <v>#N/A</v>
      </c>
      <c r="EU69" s="33" t="e">
        <f>VLOOKUP(A69,'Données projet'!$A$269:$I$289,9,0)</f>
        <v>#N/A</v>
      </c>
      <c r="EV69" s="33">
        <f t="array" ref="EV69">INDEX(EU:EU,MIN(IF(ISNUMBER(EU69:EU265),ROW(EU69:EU265),"")))</f>
        <v>0</v>
      </c>
      <c r="EW69" s="33">
        <f t="shared" ref="EW69:EW132" si="82">EW68+EV69-FB68</f>
        <v>0</v>
      </c>
      <c r="EX69" s="38" t="e">
        <f>EW69*VLOOKUP('Données projet'!$B$18,Paramètres!$A$1:$I$88,3,0)*VLOOKUP('Données projet'!$B$18,Paramètres!$A$1:$I$88,5,0)</f>
        <v>#N/A</v>
      </c>
      <c r="EY69" s="34" t="e">
        <f t="shared" ref="EY69:EY132" si="83">EXP(-1.0587+0.8836*LN(EX69)+0.284)</f>
        <v>#N/A</v>
      </c>
      <c r="EZ69" s="44" t="e">
        <f t="shared" si="60"/>
        <v>#N/A</v>
      </c>
      <c r="FA69" s="36">
        <f>IF(ISNA(VLOOKUP(A69,'Données projet'!$A$269:$I$289,3,0)),0,VLOOKUP(A69,'Données projet'!$A$269:$I$289,3,0))</f>
        <v>0</v>
      </c>
      <c r="FB69" s="36">
        <f>IF(ISNA(VLOOKUP(A69,'Données projet'!$A$269:$I$289,4,0)),0,VLOOKUP(A69,'Données projet'!$A$269:$I$289,4,0))</f>
        <v>0</v>
      </c>
      <c r="FC69" s="37">
        <f>IF(ISNA(VLOOKUP(A69,'Données projet'!$A$269:$I$289,5,0)),0%,VLOOKUP(A69,'Données projet'!$A$269:$I$289,5,0)*VLOOKUP('Données projet'!$B$18,Paramètres!$A$1:$I$88,7,0))</f>
        <v>0</v>
      </c>
      <c r="FD69" s="37">
        <f>IF(ISNA(VLOOKUP(A69,'Données projet'!$A$269:$I$289,6,0)),0%,VLOOKUP(A69,'Données projet'!$A$269:$I$289,6,0)*VLOOKUP('Données projet'!$B$18,Paramètres!$A$1:$I$88,7,0))</f>
        <v>0</v>
      </c>
      <c r="FE69" s="37">
        <f>IF(ISNA(VLOOKUP(A69,'Données projet'!$A$269:$I$289,7,0)),0%,VLOOKUP(A69,'Données projet'!$A$269:$I$289,7,0))</f>
        <v>0</v>
      </c>
      <c r="FF69" s="45">
        <f>EXP(-LN(2)/35)*FF68+(1-EXP(-LN(2)/35))/(LN(2)/35)*FB69*FC69*VLOOKUP('Données projet'!$B$9,Paramètres!$A$1:$I$88,3,0)*0.475*44/12</f>
        <v>0</v>
      </c>
      <c r="FG69" s="45">
        <f>EXP(-LN(2)/25)*FG68+(1-EXP(-LN(2)/25))/(LN(2)/25)*Calculateur!FB69*Calculateur!FD69*VLOOKUP('Données projet'!$B$9,Paramètres!$A$1:$I$88,3,0)*0.475*44/12</f>
        <v>0</v>
      </c>
      <c r="FH69" s="45">
        <f>EXP(-LN(2)/2)*FH68+(1-EXP(-LN(2)/2))/(LN(2)/2)*FB69*FE69*VLOOKUP('Données projet'!$B$9,Paramètres!$A$1:$I$88,3,0)*0.475*44/12</f>
        <v>0</v>
      </c>
      <c r="FI69" s="46">
        <f t="shared" si="61"/>
        <v>0</v>
      </c>
    </row>
    <row r="70" spans="1:165" x14ac:dyDescent="0.25">
      <c r="A70" s="24">
        <f t="shared" si="62"/>
        <v>67</v>
      </c>
      <c r="B70" s="25">
        <f>IF('Scénario référence'!$N$1=1,5,0)</f>
        <v>0</v>
      </c>
      <c r="C70" s="40">
        <f>IF(OR('Scénario référence'!$N$1=2,'Scénario référence'!$N$1=4),C69+1*VLOOKUP('Scénario référence'!$G$14,Paramètres!$A$1:$I$88,3,0)*VLOOKUP('Scénario référence'!$G$14,Paramètres!$A$1:$I$88,5,0),IF(OR('Scénario référence'!$N$1=3,'Scénario référence'!$N$1=5),C69+0.5*VLOOKUP('Scénario référence'!$G$14,Paramètres!$A$1:$I$88,3,0)*VLOOKUP('Scénario référence'!$G$14,Paramètres!$A$1:$I$88,5,0),0))</f>
        <v>36.581999999999972</v>
      </c>
      <c r="D70" s="26">
        <f t="shared" si="63"/>
        <v>11.088050101306514</v>
      </c>
      <c r="E70" s="27">
        <f>IF('Scénario référence'!$N$1=1,B70*44/12,(C70+D70)*0.475*44/12)</f>
        <v>83.025337259775469</v>
      </c>
      <c r="F70" s="28" t="e">
        <f>VLOOKUP(A70,'Données projet'!$A$35:$I$55,2,0)</f>
        <v>#N/A</v>
      </c>
      <c r="G70" s="28" t="e">
        <f>VLOOKUP(A70,'Données projet'!$A$35:$I$55,9,0)</f>
        <v>#N/A</v>
      </c>
      <c r="H70" s="33">
        <f t="array" ref="H70">INDEX(G:G,MIN(IF(ISNUMBER(G70:G266),ROW(G70:G266),"")))</f>
        <v>6.8</v>
      </c>
      <c r="I70" s="28">
        <f t="shared" si="64"/>
        <v>221.59999999999991</v>
      </c>
      <c r="J70" s="41">
        <f>I70*VLOOKUP('Données projet'!$B$9,Paramètres!$A$1:$I$88,3,0)*VLOOKUP('Données projet'!$B$9,Paramètres!$A$1:$I$88,5,0)</f>
        <v>224.7023999999999</v>
      </c>
      <c r="K70" s="41">
        <f t="shared" si="65"/>
        <v>55.135667706678262</v>
      </c>
      <c r="L70" s="42">
        <f t="shared" si="42"/>
        <v>487.38463458913111</v>
      </c>
      <c r="M70" s="30">
        <f>IF(ISNA(VLOOKUP(A70,'Données projet'!$A$35:$I$55,3,0)),0,VLOOKUP(A70,'Données projet'!$A$35:$I$55,3,0))</f>
        <v>0</v>
      </c>
      <c r="N70" s="30">
        <f>IF(ISNA(VLOOKUP(A70,'Données projet'!$A$35:$I$55,4,0)),0,VLOOKUP(A70,'Données projet'!$A$35:$I$55,4,0))</f>
        <v>0</v>
      </c>
      <c r="O70" s="31">
        <f>IF(ISNA(VLOOKUP(A70,'Données projet'!$A$35:$I$55,5,0)),0%,VLOOKUP(A70,'Données projet'!$A$35:$I$55,5,0)*VLOOKUP('Données projet'!$B$9,Paramètres!$A$1:$I$88,7,0))</f>
        <v>0</v>
      </c>
      <c r="P70" s="31">
        <f>IF(ISNA(VLOOKUP(A70,'Données projet'!$A$35:$I$55,6,0)),0%,VLOOKUP(A70,'Données projet'!$A$35:$I$55,6,0)*VLOOKUP('Données projet'!$B$9,Paramètres!$A$1:$I$88,7,0))</f>
        <v>0</v>
      </c>
      <c r="Q70" s="31">
        <f>IF(ISNA(VLOOKUP(A70,'Données projet'!$A$35:$I$55,7,0)),0%,VLOOKUP(A70,'Données projet'!$A$35:$I$55,7,0))</f>
        <v>0</v>
      </c>
      <c r="R70" s="43">
        <f>EXP(-LN(2)/35)*R69+(1-EXP(-LN(2)/35))/(LN(2)/35)*N70*O70*VLOOKUP('Données projet'!$B$9,Paramètres!$A$1:$I$88,3,0)*0.475*44/12</f>
        <v>0</v>
      </c>
      <c r="S70" s="43">
        <f>EXP(-LN(2)/25)*S69+(1-EXP(-LN(2)/25))/(LN(2)/25)*Calculateur!N70*Calculateur!P70*VLOOKUP('Données projet'!$B$9,Paramètres!$A$1:$I$88,3,0)*0.475*44/12</f>
        <v>0</v>
      </c>
      <c r="T70" s="43">
        <f>EXP(-LN(2)/2)*T69+(1-EXP(-LN(2)/2))/(LN(2)/2)*N70*Q70*VLOOKUP('Données projet'!$B$9,Paramètres!$A$1:$I$88,3,0)*0.475*44/12</f>
        <v>0</v>
      </c>
      <c r="U70" s="43">
        <f t="shared" si="43"/>
        <v>0</v>
      </c>
      <c r="V70" s="32" t="e">
        <f>VLOOKUP(A70,'Données projet'!$A$61:$I$81,2,0)</f>
        <v>#N/A</v>
      </c>
      <c r="W70" s="33" t="e">
        <f>VLOOKUP(A70,'Données projet'!$A$61:$I$81,9,0)</f>
        <v>#N/A</v>
      </c>
      <c r="X70" s="33">
        <f t="array" ref="X70">INDEX(W:W,MIN(IF(ISNUMBER(W70:W266),ROW(W70:W266),"")))</f>
        <v>0</v>
      </c>
      <c r="Y70" s="33">
        <f t="shared" si="66"/>
        <v>0</v>
      </c>
      <c r="Z70" s="34" t="e">
        <f>Y70*VLOOKUP('Données projet'!$B$10,Paramètres!$A$1:$I$88,3,0)*VLOOKUP('Données projet'!$B$10,Paramètres!$A$1:$I$88,5,0)</f>
        <v>#N/A</v>
      </c>
      <c r="AA70" s="34" t="e">
        <f t="shared" si="67"/>
        <v>#N/A</v>
      </c>
      <c r="AB70" s="44" t="e">
        <f t="shared" si="44"/>
        <v>#N/A</v>
      </c>
      <c r="AC70" s="36">
        <f>IF(ISNA(VLOOKUP(A70,'Données projet'!$A$61:$I$81,3,0)),0,VLOOKUP(A70,'Données projet'!$A$61:$I$81,3,0))</f>
        <v>0</v>
      </c>
      <c r="AD70" s="36">
        <f>IF(ISNA(VLOOKUP(A70,'Données projet'!$A$61:$I$81,4,0)),0,VLOOKUP(A70,'Données projet'!$A$61:$I$81,4,0))</f>
        <v>0</v>
      </c>
      <c r="AE70" s="37">
        <f>IF(ISNA(VLOOKUP(A70,'Données projet'!$A$61:$I$81,5,0)),0%,VLOOKUP(A70,'Données projet'!$A$61:$I$81,5,0)*VLOOKUP('Données projet'!$B$10,Paramètres!$A$1:$I$88,7,0))</f>
        <v>0</v>
      </c>
      <c r="AF70" s="37">
        <f>IF(ISNA(VLOOKUP(A70,'Données projet'!$A$61:$I$81,6,0)),0%,VLOOKUP(A70,'Données projet'!$A$61:$I$81,6,0)*VLOOKUP('Données projet'!$B$10,Paramètres!$A$1:$I$88,7,0))</f>
        <v>0</v>
      </c>
      <c r="AG70" s="37">
        <f>IF(ISNA(VLOOKUP(A70,'Données projet'!$A$61:$I$81,7,0)),0%,VLOOKUP(A70,'Données projet'!$A$61:$I$81,7,0))</f>
        <v>0</v>
      </c>
      <c r="AH70" s="45">
        <f>EXP(-LN(2)/35)*AH69+(1-EXP(-LN(2)/35))/(LN(2)/35)*AD70*AE70*VLOOKUP('Données projet'!$B$9,Paramètres!$A$1:$I$88,3,0)*0.475*44/12</f>
        <v>0</v>
      </c>
      <c r="AI70" s="45">
        <f>EXP(-LN(2)/25)*AI69+(1-EXP(-LN(2)/25))/(LN(2)/25)*Calculateur!AD70*Calculateur!AF70*VLOOKUP('Données projet'!$B$9,Paramètres!$A$1:$I$88,3,0)*0.475*44/12</f>
        <v>0</v>
      </c>
      <c r="AJ70" s="45">
        <f>EXP(-LN(2)/2)*AJ69+(1-EXP(-LN(2)/2))/(LN(2)/2)*AD70*AG70*VLOOKUP('Données projet'!$B$9,Paramètres!$A$1:$I$88,3,0)*0.475*44/12</f>
        <v>0</v>
      </c>
      <c r="AK70" s="45">
        <f t="shared" si="45"/>
        <v>0</v>
      </c>
      <c r="AL70" s="32" t="e">
        <f>VLOOKUP(A70,'Données projet'!$A$87:$I$107,2,0)</f>
        <v>#N/A</v>
      </c>
      <c r="AM70" s="33" t="e">
        <f>VLOOKUP(A70,'Données projet'!$A$87:$I$107,9,0)</f>
        <v>#N/A</v>
      </c>
      <c r="AN70" s="33">
        <f t="array" ref="AN70">INDEX(AM:AM,MIN(IF(ISNUMBER(AM70:AM266),ROW(AM70:AM266),"")))</f>
        <v>0</v>
      </c>
      <c r="AO70" s="33">
        <f t="shared" si="68"/>
        <v>0</v>
      </c>
      <c r="AP70" s="34" t="e">
        <f>AO70*VLOOKUP('Données projet'!$B$11,Paramètres!$A$1:$I$88,3,0)*VLOOKUP('Données projet'!$B$11,Paramètres!$A$1:$I$88,5,0)</f>
        <v>#N/A</v>
      </c>
      <c r="AQ70" s="34" t="e">
        <f t="shared" si="69"/>
        <v>#N/A</v>
      </c>
      <c r="AR70" s="44" t="e">
        <f t="shared" si="46"/>
        <v>#N/A</v>
      </c>
      <c r="AS70" s="36">
        <f>IF(ISNA(VLOOKUP(A70,'Données projet'!$A$87:$I$107,3,0)),0,VLOOKUP(A70,'Données projet'!$A$87:$I$107,3,0))</f>
        <v>0</v>
      </c>
      <c r="AT70" s="36">
        <f>IF(ISNA(VLOOKUP(A70,'Données projet'!$A$87:$I$107,4,0)),0,VLOOKUP(A70,'Données projet'!$A$87:$I$107,4,0))</f>
        <v>0</v>
      </c>
      <c r="AU70" s="37">
        <f>IF(ISNA(VLOOKUP(A70,'Données projet'!$A$87:$I$107,5,0)),0%,VLOOKUP(A70,'Données projet'!$A$87:$I$107,5,0)*VLOOKUP('Données projet'!$B$11,Paramètres!$A$1:$I$88,7,0))</f>
        <v>0</v>
      </c>
      <c r="AV70" s="37">
        <f>IF(ISNA(VLOOKUP(A70,'Données projet'!$A$87:$I$107,6,0)),0%,VLOOKUP(A70,'Données projet'!$A$87:$I$107,6,0)*VLOOKUP('Données projet'!$B$11,Paramètres!$A$1:$I$88,7,0))</f>
        <v>0</v>
      </c>
      <c r="AW70" s="37">
        <f>IF(ISNA(VLOOKUP(A70,'Données projet'!$A$87:$I$107,7,0)),0%,VLOOKUP(A70,'Données projet'!$A$87:$I$107,7,0))</f>
        <v>0</v>
      </c>
      <c r="AX70" s="45">
        <f>EXP(-LN(2)/35)*AX69+(1-EXP(-LN(2)/35))/(LN(2)/35)*AT70*AU70*VLOOKUP('Données projet'!$B$9,Paramètres!$A$1:$I$88,3,0)*0.475*44/12</f>
        <v>0</v>
      </c>
      <c r="AY70" s="45">
        <f>EXP(-LN(2)/25)*AY69+(1-EXP(-LN(2)/25))/(LN(2)/25)*Calculateur!AT70*Calculateur!AV70*VLOOKUP('Données projet'!$B$9,Paramètres!$A$1:$I$88,3,0)*0.475*44/12</f>
        <v>0</v>
      </c>
      <c r="AZ70" s="45">
        <f>EXP(-LN(2)/2)*AZ69+(1-EXP(-LN(2)/2))/(LN(2)/2)*AT70*AW70*VLOOKUP('Données projet'!$B$9,Paramètres!$A$1:$I$88,3,0)*0.475*44/12</f>
        <v>0</v>
      </c>
      <c r="BA70" s="46">
        <f t="shared" si="47"/>
        <v>0</v>
      </c>
      <c r="BB70" s="32" t="e">
        <f>VLOOKUP(A70,'Données projet'!$A$113:$I$133,2,0)</f>
        <v>#N/A</v>
      </c>
      <c r="BC70" s="33" t="e">
        <f>VLOOKUP(A70,'Données projet'!$A$113:$I$133,9,0)</f>
        <v>#N/A</v>
      </c>
      <c r="BD70" s="33">
        <f t="array" ref="BD70">INDEX(BC:BC,MIN(IF(ISNUMBER(BC70:BC266),ROW(BC70:BC266),"")))</f>
        <v>0</v>
      </c>
      <c r="BE70" s="33">
        <f t="shared" si="70"/>
        <v>0</v>
      </c>
      <c r="BF70" s="34" t="e">
        <f>BE70*VLOOKUP('Données projet'!$B$12,Paramètres!$A$1:$I$88,3,0)*VLOOKUP('Données projet'!$B$12,Paramètres!$A$1:$I$88,5,0)</f>
        <v>#N/A</v>
      </c>
      <c r="BG70" s="34" t="e">
        <f t="shared" si="71"/>
        <v>#N/A</v>
      </c>
      <c r="BH70" s="44" t="e">
        <f t="shared" si="48"/>
        <v>#N/A</v>
      </c>
      <c r="BI70" s="36">
        <f>IF(ISNA(VLOOKUP(A70,'Données projet'!$A$113:$I$133,3,0)),0,VLOOKUP(A70,'Données projet'!$A$113:$I$133,3,0))</f>
        <v>0</v>
      </c>
      <c r="BJ70" s="36">
        <f>IF(ISNA(VLOOKUP(A70,'Données projet'!$A$113:$I$133,4,0)),0,VLOOKUP(A70,'Données projet'!$A$113:$I$133,4,0))</f>
        <v>0</v>
      </c>
      <c r="BK70" s="37">
        <f>IF(ISNA(VLOOKUP(A70,'Données projet'!$A$113:$I$133,5,0)),0%,VLOOKUP(A70,'Données projet'!$A$113:$I$133,5,0)*VLOOKUP('Données projet'!$B$12,Paramètres!$A$1:$I$88,7,0))</f>
        <v>0</v>
      </c>
      <c r="BL70" s="37">
        <f>IF(ISNA(VLOOKUP(A70,'Données projet'!$A$113:$I$133,6,0)),0%,VLOOKUP(A70,'Données projet'!$A$113:$I$133,6,0)*VLOOKUP('Données projet'!$B$12,Paramètres!$A$1:$I$88,7,0))</f>
        <v>0</v>
      </c>
      <c r="BM70" s="37">
        <f>IF(ISNA(VLOOKUP(A70,'Données projet'!$A$113:$I$133,7,0)),0%,VLOOKUP(A70,'Données projet'!$A$113:$I$133,7,0))</f>
        <v>0</v>
      </c>
      <c r="BN70" s="45">
        <f>EXP(-LN(2)/35)*BN69+(1-EXP(-LN(2)/35))/(LN(2)/35)*BJ70*BK70*VLOOKUP('Données projet'!$B$9,Paramètres!$A$1:$I$88,3,0)*0.475*44/12</f>
        <v>0</v>
      </c>
      <c r="BO70" s="45">
        <f>EXP(-LN(2)/25)*BO69+(1-EXP(-LN(2)/25))/(LN(2)/25)*Calculateur!BJ70*Calculateur!BL70*VLOOKUP('Données projet'!$B$9,Paramètres!$A$1:$I$88,3,0)*0.475*44/12</f>
        <v>0</v>
      </c>
      <c r="BP70" s="45">
        <f>EXP(-LN(2)/2)*BP69+(1-EXP(-LN(2)/2))/(LN(2)/2)*BJ70*BM70*VLOOKUP('Données projet'!$B$9,Paramètres!$A$1:$I$88,3,0)*0.475*44/12</f>
        <v>0</v>
      </c>
      <c r="BQ70" s="46">
        <f t="shared" si="49"/>
        <v>0</v>
      </c>
      <c r="BR70" s="32" t="e">
        <f>VLOOKUP(A70,'Données projet'!$A$139:$I$159,2,0)</f>
        <v>#N/A</v>
      </c>
      <c r="BS70" s="33" t="e">
        <f>VLOOKUP(A70,'Données projet'!$A$139:$I$159,9,0)</f>
        <v>#N/A</v>
      </c>
      <c r="BT70" s="33">
        <f t="array" ref="BT70">INDEX(BS:BS,MIN(IF(ISNUMBER(BS70:BS266),ROW(BS70:BS266),"")))</f>
        <v>0</v>
      </c>
      <c r="BU70" s="33">
        <f t="shared" si="72"/>
        <v>0</v>
      </c>
      <c r="BV70" s="38" t="e">
        <f>BU70*VLOOKUP('Données projet'!$B$13,Paramètres!$A$1:$I$88,3,0)*VLOOKUP('Données projet'!$B$13,Paramètres!$A$1:$I$88,5,0)</f>
        <v>#N/A</v>
      </c>
      <c r="BW70" s="34" t="e">
        <f t="shared" si="73"/>
        <v>#N/A</v>
      </c>
      <c r="BX70" s="44" t="e">
        <f t="shared" si="50"/>
        <v>#N/A</v>
      </c>
      <c r="BY70" s="36">
        <f>IF(ISNA(VLOOKUP(A70,'Données projet'!$A$139:$I$159,3,0)),0,VLOOKUP(A70,'Données projet'!$A$139:$I$159,3,0))</f>
        <v>0</v>
      </c>
      <c r="BZ70" s="36">
        <f>IF(ISNA(VLOOKUP(A70,'Données projet'!$A$139:$I$159,4,0)),0,VLOOKUP(A70,'Données projet'!$A$139:$I$159,4,0))</f>
        <v>0</v>
      </c>
      <c r="CA70" s="37">
        <f>IF(ISNA(VLOOKUP(A70,'Données projet'!$A$139:$I$159,5,0)),0%,VLOOKUP(A70,'Données projet'!$A$139:$I$159,5,0)*VLOOKUP('Données projet'!$B$13,Paramètres!$A$1:$I$88,7,0))</f>
        <v>0</v>
      </c>
      <c r="CB70" s="37">
        <f>IF(ISNA(VLOOKUP(A70,'Données projet'!$A$139:$I$159,6,0)),0%,VLOOKUP(A70,'Données projet'!$A$139:$I$159,6,0)*VLOOKUP('Données projet'!$B$13,Paramètres!$A$1:$I$88,7,0))</f>
        <v>0</v>
      </c>
      <c r="CC70" s="37">
        <f>IF(ISNA(VLOOKUP(A70,'Données projet'!$A$139:$I$159,7,0)),0%,VLOOKUP(A70,'Données projet'!$A$139:$I$159,7,0))</f>
        <v>0</v>
      </c>
      <c r="CD70" s="45">
        <f>EXP(-LN(2)/35)*CD69+(1-EXP(-LN(2)/35))/(LN(2)/35)*BZ70*CA70*VLOOKUP('Données projet'!$B$9,Paramètres!$A$1:$I$88,3,0)*0.475*44/12</f>
        <v>0</v>
      </c>
      <c r="CE70" s="45">
        <f>EXP(-LN(2)/25)*CE69+(1-EXP(-LN(2)/25))/(LN(2)/25)*Calculateur!BZ70*Calculateur!CB70*VLOOKUP('Données projet'!$B$9,Paramètres!$A$1:$I$88,3,0)*0.475*44/12</f>
        <v>0</v>
      </c>
      <c r="CF70" s="45">
        <f>EXP(-LN(2)/2)*CF69+(1-EXP(-LN(2)/2))/(LN(2)/2)*BZ70*CC70*VLOOKUP('Données projet'!$B$9,Paramètres!$A$1:$I$88,3,0)*0.475*44/12</f>
        <v>0</v>
      </c>
      <c r="CG70" s="46">
        <f t="shared" si="51"/>
        <v>0</v>
      </c>
      <c r="CH70" s="32" t="e">
        <f>VLOOKUP(A70,'Données projet'!$A$165:$I$185,2,0)</f>
        <v>#N/A</v>
      </c>
      <c r="CI70" s="33" t="e">
        <f>VLOOKUP(A70,'Données projet'!$A$165:$I$185,9,0)</f>
        <v>#N/A</v>
      </c>
      <c r="CJ70" s="33">
        <f t="array" ref="CJ70">INDEX(CI:CI,MIN(IF(ISNUMBER(CI70:CI266),ROW(CI70:CI266),"")))</f>
        <v>0</v>
      </c>
      <c r="CK70" s="33">
        <f t="shared" si="74"/>
        <v>0</v>
      </c>
      <c r="CL70" s="38" t="e">
        <f>CK70*VLOOKUP('Données projet'!$B$14,Paramètres!$A$1:$I$88,3,0)*VLOOKUP('Données projet'!$B$14,Paramètres!$A$1:$I$88,5,0)</f>
        <v>#N/A</v>
      </c>
      <c r="CM70" s="34" t="e">
        <f t="shared" si="75"/>
        <v>#N/A</v>
      </c>
      <c r="CN70" s="44" t="e">
        <f t="shared" si="52"/>
        <v>#N/A</v>
      </c>
      <c r="CO70" s="36">
        <f>IF(ISNA(VLOOKUP(A70,'Données projet'!$A$165:$I$185,3,0)),0,VLOOKUP(A70,'Données projet'!$A$165:$I$185,3,0))</f>
        <v>0</v>
      </c>
      <c r="CP70" s="36">
        <f>IF(ISNA(VLOOKUP(A70,'Données projet'!$A$165:$I$185,4,0)),0,VLOOKUP(A70,'Données projet'!$A$165:$I$185,4,0))</f>
        <v>0</v>
      </c>
      <c r="CQ70" s="37">
        <f>IF(ISNA(VLOOKUP(A70,'Données projet'!$A$165:$I$185,5,0)),0%,VLOOKUP(A70,'Données projet'!$A$165:$I$185,5,0)*VLOOKUP('Données projet'!$B$14,Paramètres!$A$1:$I$88,7,0))</f>
        <v>0</v>
      </c>
      <c r="CR70" s="37">
        <f>IF(ISNA(VLOOKUP(A70,'Données projet'!$A$165:$I$185,6,0)),0%,VLOOKUP(A70,'Données projet'!$A$165:$I$185,6,0)*VLOOKUP('Données projet'!$B$14,Paramètres!$A$1:$I$88,7,0))</f>
        <v>0</v>
      </c>
      <c r="CS70" s="37">
        <f>IF(ISNA(VLOOKUP(A70,'Données projet'!$A$165:$I$185,7,0)),0%,VLOOKUP(A70,'Données projet'!$A$165:$I$185,7,0))</f>
        <v>0</v>
      </c>
      <c r="CT70" s="45">
        <f>EXP(-LN(2)/35)*CT69+(1-EXP(-LN(2)/35))/(LN(2)/35)*CP70*CQ70*VLOOKUP('Données projet'!$B$9,Paramètres!$A$1:$I$88,3,0)*0.475*44/12</f>
        <v>0</v>
      </c>
      <c r="CU70" s="45">
        <f>EXP(-LN(2)/25)*CU69+(1-EXP(-LN(2)/25))/(LN(2)/25)*Calculateur!CP70*Calculateur!CR70*VLOOKUP('Données projet'!$B$9,Paramètres!$A$1:$I$88,3,0)*0.475*44/12</f>
        <v>0</v>
      </c>
      <c r="CV70" s="45">
        <f>EXP(-LN(2)/2)*CV69+(1-EXP(-LN(2)/2))/(LN(2)/2)*CP70*CS70*VLOOKUP('Données projet'!$B$9,Paramètres!$A$1:$I$88,3,0)*0.475*44/12</f>
        <v>0</v>
      </c>
      <c r="CW70" s="46">
        <f t="shared" si="53"/>
        <v>0</v>
      </c>
      <c r="CX70" s="32" t="e">
        <f>VLOOKUP(A70,'Données projet'!$A$191:$I$211,2,0)</f>
        <v>#N/A</v>
      </c>
      <c r="CY70" s="33" t="e">
        <f>VLOOKUP(A70,'Données projet'!$A$191:$I$211,9,0)</f>
        <v>#N/A</v>
      </c>
      <c r="CZ70" s="33">
        <f t="array" ref="CZ70">INDEX(CY:CY,MIN(IF(ISNUMBER(CY70:CY266),ROW(CY70:CY266),"")))</f>
        <v>0</v>
      </c>
      <c r="DA70" s="33">
        <f t="shared" si="76"/>
        <v>0</v>
      </c>
      <c r="DB70" s="38" t="e">
        <f>DA70*VLOOKUP('Données projet'!$B$15,Paramètres!$A$1:$I$88,3,0)*VLOOKUP('Données projet'!$B$15,Paramètres!$A$1:$I$88,5,0)</f>
        <v>#N/A</v>
      </c>
      <c r="DC70" s="34" t="e">
        <f t="shared" si="77"/>
        <v>#N/A</v>
      </c>
      <c r="DD70" s="44" t="e">
        <f t="shared" si="54"/>
        <v>#N/A</v>
      </c>
      <c r="DE70" s="36">
        <f>IF(ISNA(VLOOKUP(A70,'Données projet'!$A$191:$I$211,3,0)),0,VLOOKUP(A70,'Données projet'!$A$191:$I$211,3,0))</f>
        <v>0</v>
      </c>
      <c r="DF70" s="36">
        <f>IF(ISNA(VLOOKUP(A70,'Données projet'!$A$191:$I$211,4,0)),0,VLOOKUP(A70,'Données projet'!$A$191:$I$211,4,0))</f>
        <v>0</v>
      </c>
      <c r="DG70" s="37">
        <f>IF(ISNA(VLOOKUP(A70,'Données projet'!$A$191:$I$211,5,0)),0%,VLOOKUP(A70,'Données projet'!$A$191:$I$211,5,0)*VLOOKUP('Données projet'!$B$15,Paramètres!$A$1:$I$88,7,0))</f>
        <v>0</v>
      </c>
      <c r="DH70" s="37">
        <f>IF(ISNA(VLOOKUP(A70,'Données projet'!$A$191:$I$211,6,0)),0%,VLOOKUP(A70,'Données projet'!$A$191:$I$211,6,0)*VLOOKUP('Données projet'!$B$15,Paramètres!$A$1:$I$88,7,0))</f>
        <v>0</v>
      </c>
      <c r="DI70" s="37">
        <f>IF(ISNA(VLOOKUP(A70,'Données projet'!$A$191:$I$211,7,0)),0%,VLOOKUP(A70,'Données projet'!$A$191:$I$211,7,0))</f>
        <v>0</v>
      </c>
      <c r="DJ70" s="45">
        <f>EXP(-LN(2)/35)*DJ69+(1-EXP(-LN(2)/35))/(LN(2)/35)*DF70*DG70*VLOOKUP('Données projet'!$B$9,Paramètres!$A$1:$I$88,3,0)*0.475*44/12</f>
        <v>0</v>
      </c>
      <c r="DK70" s="45">
        <f>EXP(-LN(2)/25)*DK69+(1-EXP(-LN(2)/25))/(LN(2)/25)*Calculateur!DF70*Calculateur!DH70*VLOOKUP('Données projet'!$B$9,Paramètres!$A$1:$I$88,3,0)*0.475*44/12</f>
        <v>0</v>
      </c>
      <c r="DL70" s="45">
        <f>EXP(-LN(2)/2)*DL69+(1-EXP(-LN(2)/2))/(LN(2)/2)*DF70*DI70*VLOOKUP('Données projet'!$B$9,Paramètres!$A$1:$I$88,3,0)*0.475*44/12</f>
        <v>0</v>
      </c>
      <c r="DM70" s="46">
        <f t="shared" si="55"/>
        <v>0</v>
      </c>
      <c r="DN70" s="32" t="e">
        <f>VLOOKUP(A70,'Données projet'!$A$217:$I$237,2,0)</f>
        <v>#N/A</v>
      </c>
      <c r="DO70" s="33" t="e">
        <f>VLOOKUP(A70,'Données projet'!$A$217:$I$237,9,0)</f>
        <v>#N/A</v>
      </c>
      <c r="DP70" s="33">
        <f t="array" ref="DP70">INDEX(DO:DO,MIN(IF(ISNUMBER(DO70:DO266),ROW(DO70:DO266),"")))</f>
        <v>0</v>
      </c>
      <c r="DQ70" s="33">
        <f t="shared" si="78"/>
        <v>0</v>
      </c>
      <c r="DR70" s="38" t="e">
        <f>DQ70*VLOOKUP('Données projet'!$B$16,Paramètres!$A$1:$I$88,3,0)*VLOOKUP('Données projet'!$B$16,Paramètres!$A$1:$I$88,5,0)</f>
        <v>#N/A</v>
      </c>
      <c r="DS70" s="34" t="e">
        <f t="shared" si="79"/>
        <v>#N/A</v>
      </c>
      <c r="DT70" s="44" t="e">
        <f t="shared" si="56"/>
        <v>#N/A</v>
      </c>
      <c r="DU70" s="36">
        <f>IF(ISNA(VLOOKUP(A70,'Données projet'!$A$217:$I$237,3,0)),0,VLOOKUP(A70,'Données projet'!$A$217:$I$237,3,0))</f>
        <v>0</v>
      </c>
      <c r="DV70" s="36">
        <f>IF(ISNA(VLOOKUP(A70,'Données projet'!$A$217:$I$237,4,0)),0,VLOOKUP(A70,'Données projet'!$A$217:$I$237,4,0))</f>
        <v>0</v>
      </c>
      <c r="DW70" s="37">
        <f>IF(ISNA(VLOOKUP(A70,'Données projet'!$A$217:$I$237,5,0)),0%,VLOOKUP(A70,'Données projet'!$A$217:$I$237,5,0)*VLOOKUP('Données projet'!$B$16,Paramètres!$A$1:$I$88,7,0))</f>
        <v>0</v>
      </c>
      <c r="DX70" s="37">
        <f>IF(ISNA(VLOOKUP(A70,'Données projet'!$A$217:$I$237,6,0)),0%,VLOOKUP(A70,'Données projet'!$A$217:$I$237,6,0)*VLOOKUP('Données projet'!$B$16,Paramètres!$A$1:$I$88,7,0))</f>
        <v>0</v>
      </c>
      <c r="DY70" s="37">
        <f>IF(ISNA(VLOOKUP(A70,'Données projet'!$A$217:$I$237,7,0)),0%,VLOOKUP(A70,'Données projet'!$A$217:$I$237,7,0))</f>
        <v>0</v>
      </c>
      <c r="DZ70" s="45">
        <f>EXP(-LN(2)/35)*DZ69+(1-EXP(-LN(2)/35))/(LN(2)/35)*DV70*DW70*VLOOKUP('Données projet'!$B$9,Paramètres!$A$1:$I$88,3,0)*0.475*44/12</f>
        <v>0</v>
      </c>
      <c r="EA70" s="45">
        <f>EXP(-LN(2)/25)*EA69+(1-EXP(-LN(2)/25))/(LN(2)/25)*Calculateur!DV70*Calculateur!DX70*VLOOKUP('Données projet'!$B$9,Paramètres!$A$1:$I$88,3,0)*0.475*44/12</f>
        <v>0</v>
      </c>
      <c r="EB70" s="45">
        <f>EXP(-LN(2)/2)*EB69+(1-EXP(-LN(2)/2))/(LN(2)/2)*DV70*DY70*VLOOKUP('Données projet'!$B$9,Paramètres!$A$1:$I$88,3,0)*0.475*44/12</f>
        <v>0</v>
      </c>
      <c r="EC70" s="46">
        <f t="shared" si="57"/>
        <v>0</v>
      </c>
      <c r="ED70" s="32" t="e">
        <f>VLOOKUP(A70,'Données projet'!$A$243:$I$263,2,0)</f>
        <v>#N/A</v>
      </c>
      <c r="EE70" s="33" t="e">
        <f>VLOOKUP(A70,'Données projet'!$A$243:$I$263,9,0)</f>
        <v>#N/A</v>
      </c>
      <c r="EF70" s="33">
        <f t="array" ref="EF70">INDEX(EE:EE,MIN(IF(ISNUMBER(EE70:EE266),ROW(EE70:EE266),"")))</f>
        <v>0</v>
      </c>
      <c r="EG70" s="33">
        <f t="shared" si="80"/>
        <v>0</v>
      </c>
      <c r="EH70" s="38" t="e">
        <f>EG70*VLOOKUP('Données projet'!$B$17,Paramètres!$A$1:$I$88,3,0)*VLOOKUP('Données projet'!$B$17,Paramètres!$A$1:$I$88,5,0)</f>
        <v>#N/A</v>
      </c>
      <c r="EI70" s="34" t="e">
        <f t="shared" si="81"/>
        <v>#N/A</v>
      </c>
      <c r="EJ70" s="44" t="e">
        <f t="shared" si="58"/>
        <v>#N/A</v>
      </c>
      <c r="EK70" s="36">
        <f>IF(ISNA(VLOOKUP(A70,'Données projet'!$A$243:$I$263,3,0)),0,VLOOKUP(A70,'Données projet'!$A$243:$I$263,3,0))</f>
        <v>0</v>
      </c>
      <c r="EL70" s="36">
        <f>IF(ISNA(VLOOKUP(A70,'Données projet'!$A$243:$I$263,4,0)),0,VLOOKUP(A70,'Données projet'!$A$243:$I$263,4,0))</f>
        <v>0</v>
      </c>
      <c r="EM70" s="37">
        <f>IF(ISNA(VLOOKUP(A70,'Données projet'!$A$243:$I$263,5,0)),0%,VLOOKUP(A70,'Données projet'!$A$243:$I$263,5,0)*VLOOKUP('Données projet'!$B$17,Paramètres!$A$1:$I$88,7,0))</f>
        <v>0</v>
      </c>
      <c r="EN70" s="37">
        <f>IF(ISNA(VLOOKUP(A70,'Données projet'!$A$243:$I$263,6,0)),0%,VLOOKUP(A70,'Données projet'!$A$243:$I$263,6,0)*VLOOKUP('Données projet'!$B$17,Paramètres!$A$1:$I$88,7,0))</f>
        <v>0</v>
      </c>
      <c r="EO70" s="37">
        <f>IF(ISNA(VLOOKUP(A70,'Données projet'!$A$243:$I$263,7,0)),0%,VLOOKUP(A70,'Données projet'!$A$243:$I$263,7,0))</f>
        <v>0</v>
      </c>
      <c r="EP70" s="45">
        <f>EXP(-LN(2)/35)*EP69+(1-EXP(-LN(2)/35))/(LN(2)/35)*EL70*EM70*VLOOKUP('Données projet'!$B$9,Paramètres!$A$1:$I$88,3,0)*0.475*44/12</f>
        <v>0</v>
      </c>
      <c r="EQ70" s="45">
        <f>EXP(-LN(2)/25)*EQ69+(1-EXP(-LN(2)/25))/(LN(2)/25)*Calculateur!EL70*Calculateur!EN70*VLOOKUP('Données projet'!$B$9,Paramètres!$A$1:$I$88,3,0)*0.475*44/12</f>
        <v>0</v>
      </c>
      <c r="ER70" s="45">
        <f>EXP(-LN(2)/2)*ER69+(1-EXP(-LN(2)/2))/(LN(2)/2)*EL70*EO70*VLOOKUP('Données projet'!$B$9,Paramètres!$A$1:$I$88,3,0)*0.475*44/12</f>
        <v>0</v>
      </c>
      <c r="ES70" s="46">
        <f t="shared" si="59"/>
        <v>0</v>
      </c>
      <c r="ET70" s="32" t="e">
        <f>VLOOKUP(A70,'Données projet'!$A$269:$I$289,2,0)</f>
        <v>#N/A</v>
      </c>
      <c r="EU70" s="33" t="e">
        <f>VLOOKUP(A70,'Données projet'!$A$269:$I$289,9,0)</f>
        <v>#N/A</v>
      </c>
      <c r="EV70" s="33">
        <f t="array" ref="EV70">INDEX(EU:EU,MIN(IF(ISNUMBER(EU70:EU266),ROW(EU70:EU266),"")))</f>
        <v>0</v>
      </c>
      <c r="EW70" s="33">
        <f t="shared" si="82"/>
        <v>0</v>
      </c>
      <c r="EX70" s="38" t="e">
        <f>EW70*VLOOKUP('Données projet'!$B$18,Paramètres!$A$1:$I$88,3,0)*VLOOKUP('Données projet'!$B$18,Paramètres!$A$1:$I$88,5,0)</f>
        <v>#N/A</v>
      </c>
      <c r="EY70" s="34" t="e">
        <f t="shared" si="83"/>
        <v>#N/A</v>
      </c>
      <c r="EZ70" s="44" t="e">
        <f t="shared" si="60"/>
        <v>#N/A</v>
      </c>
      <c r="FA70" s="36">
        <f>IF(ISNA(VLOOKUP(A70,'Données projet'!$A$269:$I$289,3,0)),0,VLOOKUP(A70,'Données projet'!$A$269:$I$289,3,0))</f>
        <v>0</v>
      </c>
      <c r="FB70" s="36">
        <f>IF(ISNA(VLOOKUP(A70,'Données projet'!$A$269:$I$289,4,0)),0,VLOOKUP(A70,'Données projet'!$A$269:$I$289,4,0))</f>
        <v>0</v>
      </c>
      <c r="FC70" s="37">
        <f>IF(ISNA(VLOOKUP(A70,'Données projet'!$A$269:$I$289,5,0)),0%,VLOOKUP(A70,'Données projet'!$A$269:$I$289,5,0)*VLOOKUP('Données projet'!$B$18,Paramètres!$A$1:$I$88,7,0))</f>
        <v>0</v>
      </c>
      <c r="FD70" s="37">
        <f>IF(ISNA(VLOOKUP(A70,'Données projet'!$A$269:$I$289,6,0)),0%,VLOOKUP(A70,'Données projet'!$A$269:$I$289,6,0)*VLOOKUP('Données projet'!$B$18,Paramètres!$A$1:$I$88,7,0))</f>
        <v>0</v>
      </c>
      <c r="FE70" s="37">
        <f>IF(ISNA(VLOOKUP(A70,'Données projet'!$A$269:$I$289,7,0)),0%,VLOOKUP(A70,'Données projet'!$A$269:$I$289,7,0))</f>
        <v>0</v>
      </c>
      <c r="FF70" s="45">
        <f>EXP(-LN(2)/35)*FF69+(1-EXP(-LN(2)/35))/(LN(2)/35)*FB70*FC70*VLOOKUP('Données projet'!$B$9,Paramètres!$A$1:$I$88,3,0)*0.475*44/12</f>
        <v>0</v>
      </c>
      <c r="FG70" s="45">
        <f>EXP(-LN(2)/25)*FG69+(1-EXP(-LN(2)/25))/(LN(2)/25)*Calculateur!FB70*Calculateur!FD70*VLOOKUP('Données projet'!$B$9,Paramètres!$A$1:$I$88,3,0)*0.475*44/12</f>
        <v>0</v>
      </c>
      <c r="FH70" s="45">
        <f>EXP(-LN(2)/2)*FH69+(1-EXP(-LN(2)/2))/(LN(2)/2)*FB70*FE70*VLOOKUP('Données projet'!$B$9,Paramètres!$A$1:$I$88,3,0)*0.475*44/12</f>
        <v>0</v>
      </c>
      <c r="FI70" s="46">
        <f t="shared" si="61"/>
        <v>0</v>
      </c>
    </row>
    <row r="71" spans="1:165" x14ac:dyDescent="0.25">
      <c r="A71" s="24">
        <f t="shared" si="62"/>
        <v>68</v>
      </c>
      <c r="B71" s="25">
        <f>IF('Scénario référence'!$N$1=1,5,0)</f>
        <v>0</v>
      </c>
      <c r="C71" s="40">
        <f>IF(OR('Scénario référence'!$N$1=2,'Scénario référence'!$N$1=4),C70+1*VLOOKUP('Scénario référence'!$G$14,Paramètres!$A$1:$I$88,3,0)*VLOOKUP('Scénario référence'!$G$14,Paramètres!$A$1:$I$88,5,0),IF(OR('Scénario référence'!$N$1=3,'Scénario référence'!$N$1=5),C70+0.5*VLOOKUP('Scénario référence'!$G$14,Paramètres!$A$1:$I$88,3,0)*VLOOKUP('Scénario référence'!$G$14,Paramètres!$A$1:$I$88,5,0),0))</f>
        <v>37.127999999999972</v>
      </c>
      <c r="D71" s="26">
        <f t="shared" si="63"/>
        <v>11.234153644457548</v>
      </c>
      <c r="E71" s="27">
        <f>IF('Scénario référence'!$N$1=1,B71*44/12,(C71+D71)*0.475*44/12)</f>
        <v>84.230750930763506</v>
      </c>
      <c r="F71" s="28" t="e">
        <f>VLOOKUP(A71,'Données projet'!$A$35:$I$55,2,0)</f>
        <v>#N/A</v>
      </c>
      <c r="G71" s="28" t="e">
        <f>VLOOKUP(A71,'Données projet'!$A$35:$I$55,9,0)</f>
        <v>#N/A</v>
      </c>
      <c r="H71" s="33">
        <f t="array" ref="H71">INDEX(G:G,MIN(IF(ISNUMBER(G71:G267),ROW(G71:G267),"")))</f>
        <v>6.8</v>
      </c>
      <c r="I71" s="28">
        <f t="shared" si="64"/>
        <v>228.39999999999992</v>
      </c>
      <c r="J71" s="41">
        <f>I71*VLOOKUP('Données projet'!$B$9,Paramètres!$A$1:$I$88,3,0)*VLOOKUP('Données projet'!$B$9,Paramètres!$A$1:$I$88,5,0)</f>
        <v>231.59759999999994</v>
      </c>
      <c r="K71" s="41">
        <f t="shared" si="65"/>
        <v>56.627980714948151</v>
      </c>
      <c r="L71" s="42">
        <f t="shared" si="42"/>
        <v>501.99288641186786</v>
      </c>
      <c r="M71" s="30">
        <f>IF(ISNA(VLOOKUP(A71,'Données projet'!$A$35:$I$55,3,0)),0,VLOOKUP(A71,'Données projet'!$A$35:$I$55,3,0))</f>
        <v>0</v>
      </c>
      <c r="N71" s="30">
        <f>IF(ISNA(VLOOKUP(A71,'Données projet'!$A$35:$I$55,4,0)),0,VLOOKUP(A71,'Données projet'!$A$35:$I$55,4,0))</f>
        <v>0</v>
      </c>
      <c r="O71" s="31">
        <f>IF(ISNA(VLOOKUP(A71,'Données projet'!$A$35:$I$55,5,0)),0%,VLOOKUP(A71,'Données projet'!$A$35:$I$55,5,0)*VLOOKUP('Données projet'!$B$9,Paramètres!$A$1:$I$88,7,0))</f>
        <v>0</v>
      </c>
      <c r="P71" s="31">
        <f>IF(ISNA(VLOOKUP(A71,'Données projet'!$A$35:$I$55,6,0)),0%,VLOOKUP(A71,'Données projet'!$A$35:$I$55,6,0)*VLOOKUP('Données projet'!$B$9,Paramètres!$A$1:$I$88,7,0))</f>
        <v>0</v>
      </c>
      <c r="Q71" s="31">
        <f>IF(ISNA(VLOOKUP(A71,'Données projet'!$A$35:$I$55,7,0)),0%,VLOOKUP(A71,'Données projet'!$A$35:$I$55,7,0))</f>
        <v>0</v>
      </c>
      <c r="R71" s="43">
        <f>EXP(-LN(2)/35)*R70+(1-EXP(-LN(2)/35))/(LN(2)/35)*N71*O71*VLOOKUP('Données projet'!$B$9,Paramètres!$A$1:$I$88,3,0)*0.475*44/12</f>
        <v>0</v>
      </c>
      <c r="S71" s="43">
        <f>EXP(-LN(2)/25)*S70+(1-EXP(-LN(2)/25))/(LN(2)/25)*Calculateur!N71*Calculateur!P71*VLOOKUP('Données projet'!$B$9,Paramètres!$A$1:$I$88,3,0)*0.475*44/12</f>
        <v>0</v>
      </c>
      <c r="T71" s="43">
        <f>EXP(-LN(2)/2)*T70+(1-EXP(-LN(2)/2))/(LN(2)/2)*N71*Q71*VLOOKUP('Données projet'!$B$9,Paramètres!$A$1:$I$88,3,0)*0.475*44/12</f>
        <v>0</v>
      </c>
      <c r="U71" s="43">
        <f t="shared" si="43"/>
        <v>0</v>
      </c>
      <c r="V71" s="32" t="e">
        <f>VLOOKUP(A71,'Données projet'!$A$61:$I$81,2,0)</f>
        <v>#N/A</v>
      </c>
      <c r="W71" s="33" t="e">
        <f>VLOOKUP(A71,'Données projet'!$A$61:$I$81,9,0)</f>
        <v>#N/A</v>
      </c>
      <c r="X71" s="33">
        <f t="array" ref="X71">INDEX(W:W,MIN(IF(ISNUMBER(W71:W267),ROW(W71:W267),"")))</f>
        <v>0</v>
      </c>
      <c r="Y71" s="33">
        <f t="shared" si="66"/>
        <v>0</v>
      </c>
      <c r="Z71" s="34" t="e">
        <f>Y71*VLOOKUP('Données projet'!$B$10,Paramètres!$A$1:$I$88,3,0)*VLOOKUP('Données projet'!$B$10,Paramètres!$A$1:$I$88,5,0)</f>
        <v>#N/A</v>
      </c>
      <c r="AA71" s="34" t="e">
        <f t="shared" si="67"/>
        <v>#N/A</v>
      </c>
      <c r="AB71" s="44" t="e">
        <f t="shared" si="44"/>
        <v>#N/A</v>
      </c>
      <c r="AC71" s="36">
        <f>IF(ISNA(VLOOKUP(A71,'Données projet'!$A$61:$I$81,3,0)),0,VLOOKUP(A71,'Données projet'!$A$61:$I$81,3,0))</f>
        <v>0</v>
      </c>
      <c r="AD71" s="36">
        <f>IF(ISNA(VLOOKUP(A71,'Données projet'!$A$61:$I$81,4,0)),0,VLOOKUP(A71,'Données projet'!$A$61:$I$81,4,0))</f>
        <v>0</v>
      </c>
      <c r="AE71" s="37">
        <f>IF(ISNA(VLOOKUP(A71,'Données projet'!$A$61:$I$81,5,0)),0%,VLOOKUP(A71,'Données projet'!$A$61:$I$81,5,0)*VLOOKUP('Données projet'!$B$10,Paramètres!$A$1:$I$88,7,0))</f>
        <v>0</v>
      </c>
      <c r="AF71" s="37">
        <f>IF(ISNA(VLOOKUP(A71,'Données projet'!$A$61:$I$81,6,0)),0%,VLOOKUP(A71,'Données projet'!$A$61:$I$81,6,0)*VLOOKUP('Données projet'!$B$10,Paramètres!$A$1:$I$88,7,0))</f>
        <v>0</v>
      </c>
      <c r="AG71" s="37">
        <f>IF(ISNA(VLOOKUP(A71,'Données projet'!$A$61:$I$81,7,0)),0%,VLOOKUP(A71,'Données projet'!$A$61:$I$81,7,0))</f>
        <v>0</v>
      </c>
      <c r="AH71" s="45">
        <f>EXP(-LN(2)/35)*AH70+(1-EXP(-LN(2)/35))/(LN(2)/35)*AD71*AE71*VLOOKUP('Données projet'!$B$9,Paramètres!$A$1:$I$88,3,0)*0.475*44/12</f>
        <v>0</v>
      </c>
      <c r="AI71" s="45">
        <f>EXP(-LN(2)/25)*AI70+(1-EXP(-LN(2)/25))/(LN(2)/25)*Calculateur!AD71*Calculateur!AF71*VLOOKUP('Données projet'!$B$9,Paramètres!$A$1:$I$88,3,0)*0.475*44/12</f>
        <v>0</v>
      </c>
      <c r="AJ71" s="45">
        <f>EXP(-LN(2)/2)*AJ70+(1-EXP(-LN(2)/2))/(LN(2)/2)*AD71*AG71*VLOOKUP('Données projet'!$B$9,Paramètres!$A$1:$I$88,3,0)*0.475*44/12</f>
        <v>0</v>
      </c>
      <c r="AK71" s="45">
        <f t="shared" si="45"/>
        <v>0</v>
      </c>
      <c r="AL71" s="32" t="e">
        <f>VLOOKUP(A71,'Données projet'!$A$87:$I$107,2,0)</f>
        <v>#N/A</v>
      </c>
      <c r="AM71" s="33" t="e">
        <f>VLOOKUP(A71,'Données projet'!$A$87:$I$107,9,0)</f>
        <v>#N/A</v>
      </c>
      <c r="AN71" s="33">
        <f t="array" ref="AN71">INDEX(AM:AM,MIN(IF(ISNUMBER(AM71:AM267),ROW(AM71:AM267),"")))</f>
        <v>0</v>
      </c>
      <c r="AO71" s="33">
        <f t="shared" si="68"/>
        <v>0</v>
      </c>
      <c r="AP71" s="34" t="e">
        <f>AO71*VLOOKUP('Données projet'!$B$11,Paramètres!$A$1:$I$88,3,0)*VLOOKUP('Données projet'!$B$11,Paramètres!$A$1:$I$88,5,0)</f>
        <v>#N/A</v>
      </c>
      <c r="AQ71" s="34" t="e">
        <f t="shared" si="69"/>
        <v>#N/A</v>
      </c>
      <c r="AR71" s="44" t="e">
        <f t="shared" si="46"/>
        <v>#N/A</v>
      </c>
      <c r="AS71" s="36">
        <f>IF(ISNA(VLOOKUP(A71,'Données projet'!$A$87:$I$107,3,0)),0,VLOOKUP(A71,'Données projet'!$A$87:$I$107,3,0))</f>
        <v>0</v>
      </c>
      <c r="AT71" s="36">
        <f>IF(ISNA(VLOOKUP(A71,'Données projet'!$A$87:$I$107,4,0)),0,VLOOKUP(A71,'Données projet'!$A$87:$I$107,4,0))</f>
        <v>0</v>
      </c>
      <c r="AU71" s="37">
        <f>IF(ISNA(VLOOKUP(A71,'Données projet'!$A$87:$I$107,5,0)),0%,VLOOKUP(A71,'Données projet'!$A$87:$I$107,5,0)*VLOOKUP('Données projet'!$B$11,Paramètres!$A$1:$I$88,7,0))</f>
        <v>0</v>
      </c>
      <c r="AV71" s="37">
        <f>IF(ISNA(VLOOKUP(A71,'Données projet'!$A$87:$I$107,6,0)),0%,VLOOKUP(A71,'Données projet'!$A$87:$I$107,6,0)*VLOOKUP('Données projet'!$B$11,Paramètres!$A$1:$I$88,7,0))</f>
        <v>0</v>
      </c>
      <c r="AW71" s="37">
        <f>IF(ISNA(VLOOKUP(A71,'Données projet'!$A$87:$I$107,7,0)),0%,VLOOKUP(A71,'Données projet'!$A$87:$I$107,7,0))</f>
        <v>0</v>
      </c>
      <c r="AX71" s="45">
        <f>EXP(-LN(2)/35)*AX70+(1-EXP(-LN(2)/35))/(LN(2)/35)*AT71*AU71*VLOOKUP('Données projet'!$B$9,Paramètres!$A$1:$I$88,3,0)*0.475*44/12</f>
        <v>0</v>
      </c>
      <c r="AY71" s="45">
        <f>EXP(-LN(2)/25)*AY70+(1-EXP(-LN(2)/25))/(LN(2)/25)*Calculateur!AT71*Calculateur!AV71*VLOOKUP('Données projet'!$B$9,Paramètres!$A$1:$I$88,3,0)*0.475*44/12</f>
        <v>0</v>
      </c>
      <c r="AZ71" s="45">
        <f>EXP(-LN(2)/2)*AZ70+(1-EXP(-LN(2)/2))/(LN(2)/2)*AT71*AW71*VLOOKUP('Données projet'!$B$9,Paramètres!$A$1:$I$88,3,0)*0.475*44/12</f>
        <v>0</v>
      </c>
      <c r="BA71" s="46">
        <f t="shared" si="47"/>
        <v>0</v>
      </c>
      <c r="BB71" s="32" t="e">
        <f>VLOOKUP(A71,'Données projet'!$A$113:$I$133,2,0)</f>
        <v>#N/A</v>
      </c>
      <c r="BC71" s="33" t="e">
        <f>VLOOKUP(A71,'Données projet'!$A$113:$I$133,9,0)</f>
        <v>#N/A</v>
      </c>
      <c r="BD71" s="33">
        <f t="array" ref="BD71">INDEX(BC:BC,MIN(IF(ISNUMBER(BC71:BC267),ROW(BC71:BC267),"")))</f>
        <v>0</v>
      </c>
      <c r="BE71" s="33">
        <f t="shared" si="70"/>
        <v>0</v>
      </c>
      <c r="BF71" s="34" t="e">
        <f>BE71*VLOOKUP('Données projet'!$B$12,Paramètres!$A$1:$I$88,3,0)*VLOOKUP('Données projet'!$B$12,Paramètres!$A$1:$I$88,5,0)</f>
        <v>#N/A</v>
      </c>
      <c r="BG71" s="34" t="e">
        <f t="shared" si="71"/>
        <v>#N/A</v>
      </c>
      <c r="BH71" s="44" t="e">
        <f t="shared" si="48"/>
        <v>#N/A</v>
      </c>
      <c r="BI71" s="36">
        <f>IF(ISNA(VLOOKUP(A71,'Données projet'!$A$113:$I$133,3,0)),0,VLOOKUP(A71,'Données projet'!$A$113:$I$133,3,0))</f>
        <v>0</v>
      </c>
      <c r="BJ71" s="36">
        <f>IF(ISNA(VLOOKUP(A71,'Données projet'!$A$113:$I$133,4,0)),0,VLOOKUP(A71,'Données projet'!$A$113:$I$133,4,0))</f>
        <v>0</v>
      </c>
      <c r="BK71" s="37">
        <f>IF(ISNA(VLOOKUP(A71,'Données projet'!$A$113:$I$133,5,0)),0%,VLOOKUP(A71,'Données projet'!$A$113:$I$133,5,0)*VLOOKUP('Données projet'!$B$12,Paramètres!$A$1:$I$88,7,0))</f>
        <v>0</v>
      </c>
      <c r="BL71" s="37">
        <f>IF(ISNA(VLOOKUP(A71,'Données projet'!$A$113:$I$133,6,0)),0%,VLOOKUP(A71,'Données projet'!$A$113:$I$133,6,0)*VLOOKUP('Données projet'!$B$12,Paramètres!$A$1:$I$88,7,0))</f>
        <v>0</v>
      </c>
      <c r="BM71" s="37">
        <f>IF(ISNA(VLOOKUP(A71,'Données projet'!$A$113:$I$133,7,0)),0%,VLOOKUP(A71,'Données projet'!$A$113:$I$133,7,0))</f>
        <v>0</v>
      </c>
      <c r="BN71" s="45">
        <f>EXP(-LN(2)/35)*BN70+(1-EXP(-LN(2)/35))/(LN(2)/35)*BJ71*BK71*VLOOKUP('Données projet'!$B$9,Paramètres!$A$1:$I$88,3,0)*0.475*44/12</f>
        <v>0</v>
      </c>
      <c r="BO71" s="45">
        <f>EXP(-LN(2)/25)*BO70+(1-EXP(-LN(2)/25))/(LN(2)/25)*Calculateur!BJ71*Calculateur!BL71*VLOOKUP('Données projet'!$B$9,Paramètres!$A$1:$I$88,3,0)*0.475*44/12</f>
        <v>0</v>
      </c>
      <c r="BP71" s="45">
        <f>EXP(-LN(2)/2)*BP70+(1-EXP(-LN(2)/2))/(LN(2)/2)*BJ71*BM71*VLOOKUP('Données projet'!$B$9,Paramètres!$A$1:$I$88,3,0)*0.475*44/12</f>
        <v>0</v>
      </c>
      <c r="BQ71" s="46">
        <f t="shared" si="49"/>
        <v>0</v>
      </c>
      <c r="BR71" s="32" t="e">
        <f>VLOOKUP(A71,'Données projet'!$A$139:$I$159,2,0)</f>
        <v>#N/A</v>
      </c>
      <c r="BS71" s="33" t="e">
        <f>VLOOKUP(A71,'Données projet'!$A$139:$I$159,9,0)</f>
        <v>#N/A</v>
      </c>
      <c r="BT71" s="33">
        <f t="array" ref="BT71">INDEX(BS:BS,MIN(IF(ISNUMBER(BS71:BS267),ROW(BS71:BS267),"")))</f>
        <v>0</v>
      </c>
      <c r="BU71" s="33">
        <f t="shared" si="72"/>
        <v>0</v>
      </c>
      <c r="BV71" s="38" t="e">
        <f>BU71*VLOOKUP('Données projet'!$B$13,Paramètres!$A$1:$I$88,3,0)*VLOOKUP('Données projet'!$B$13,Paramètres!$A$1:$I$88,5,0)</f>
        <v>#N/A</v>
      </c>
      <c r="BW71" s="34" t="e">
        <f t="shared" si="73"/>
        <v>#N/A</v>
      </c>
      <c r="BX71" s="44" t="e">
        <f t="shared" si="50"/>
        <v>#N/A</v>
      </c>
      <c r="BY71" s="36">
        <f>IF(ISNA(VLOOKUP(A71,'Données projet'!$A$139:$I$159,3,0)),0,VLOOKUP(A71,'Données projet'!$A$139:$I$159,3,0))</f>
        <v>0</v>
      </c>
      <c r="BZ71" s="36">
        <f>IF(ISNA(VLOOKUP(A71,'Données projet'!$A$139:$I$159,4,0)),0,VLOOKUP(A71,'Données projet'!$A$139:$I$159,4,0))</f>
        <v>0</v>
      </c>
      <c r="CA71" s="37">
        <f>IF(ISNA(VLOOKUP(A71,'Données projet'!$A$139:$I$159,5,0)),0%,VLOOKUP(A71,'Données projet'!$A$139:$I$159,5,0)*VLOOKUP('Données projet'!$B$13,Paramètres!$A$1:$I$88,7,0))</f>
        <v>0</v>
      </c>
      <c r="CB71" s="37">
        <f>IF(ISNA(VLOOKUP(A71,'Données projet'!$A$139:$I$159,6,0)),0%,VLOOKUP(A71,'Données projet'!$A$139:$I$159,6,0)*VLOOKUP('Données projet'!$B$13,Paramètres!$A$1:$I$88,7,0))</f>
        <v>0</v>
      </c>
      <c r="CC71" s="37">
        <f>IF(ISNA(VLOOKUP(A71,'Données projet'!$A$139:$I$159,7,0)),0%,VLOOKUP(A71,'Données projet'!$A$139:$I$159,7,0))</f>
        <v>0</v>
      </c>
      <c r="CD71" s="45">
        <f>EXP(-LN(2)/35)*CD70+(1-EXP(-LN(2)/35))/(LN(2)/35)*BZ71*CA71*VLOOKUP('Données projet'!$B$9,Paramètres!$A$1:$I$88,3,0)*0.475*44/12</f>
        <v>0</v>
      </c>
      <c r="CE71" s="45">
        <f>EXP(-LN(2)/25)*CE70+(1-EXP(-LN(2)/25))/(LN(2)/25)*Calculateur!BZ71*Calculateur!CB71*VLOOKUP('Données projet'!$B$9,Paramètres!$A$1:$I$88,3,0)*0.475*44/12</f>
        <v>0</v>
      </c>
      <c r="CF71" s="45">
        <f>EXP(-LN(2)/2)*CF70+(1-EXP(-LN(2)/2))/(LN(2)/2)*BZ71*CC71*VLOOKUP('Données projet'!$B$9,Paramètres!$A$1:$I$88,3,0)*0.475*44/12</f>
        <v>0</v>
      </c>
      <c r="CG71" s="46">
        <f t="shared" si="51"/>
        <v>0</v>
      </c>
      <c r="CH71" s="32" t="e">
        <f>VLOOKUP(A71,'Données projet'!$A$165:$I$185,2,0)</f>
        <v>#N/A</v>
      </c>
      <c r="CI71" s="33" t="e">
        <f>VLOOKUP(A71,'Données projet'!$A$165:$I$185,9,0)</f>
        <v>#N/A</v>
      </c>
      <c r="CJ71" s="33">
        <f t="array" ref="CJ71">INDEX(CI:CI,MIN(IF(ISNUMBER(CI71:CI267),ROW(CI71:CI267),"")))</f>
        <v>0</v>
      </c>
      <c r="CK71" s="33">
        <f t="shared" si="74"/>
        <v>0</v>
      </c>
      <c r="CL71" s="38" t="e">
        <f>CK71*VLOOKUP('Données projet'!$B$14,Paramètres!$A$1:$I$88,3,0)*VLOOKUP('Données projet'!$B$14,Paramètres!$A$1:$I$88,5,0)</f>
        <v>#N/A</v>
      </c>
      <c r="CM71" s="34" t="e">
        <f t="shared" si="75"/>
        <v>#N/A</v>
      </c>
      <c r="CN71" s="44" t="e">
        <f t="shared" si="52"/>
        <v>#N/A</v>
      </c>
      <c r="CO71" s="36">
        <f>IF(ISNA(VLOOKUP(A71,'Données projet'!$A$165:$I$185,3,0)),0,VLOOKUP(A71,'Données projet'!$A$165:$I$185,3,0))</f>
        <v>0</v>
      </c>
      <c r="CP71" s="36">
        <f>IF(ISNA(VLOOKUP(A71,'Données projet'!$A$165:$I$185,4,0)),0,VLOOKUP(A71,'Données projet'!$A$165:$I$185,4,0))</f>
        <v>0</v>
      </c>
      <c r="CQ71" s="37">
        <f>IF(ISNA(VLOOKUP(A71,'Données projet'!$A$165:$I$185,5,0)),0%,VLOOKUP(A71,'Données projet'!$A$165:$I$185,5,0)*VLOOKUP('Données projet'!$B$14,Paramètres!$A$1:$I$88,7,0))</f>
        <v>0</v>
      </c>
      <c r="CR71" s="37">
        <f>IF(ISNA(VLOOKUP(A71,'Données projet'!$A$165:$I$185,6,0)),0%,VLOOKUP(A71,'Données projet'!$A$165:$I$185,6,0)*VLOOKUP('Données projet'!$B$14,Paramètres!$A$1:$I$88,7,0))</f>
        <v>0</v>
      </c>
      <c r="CS71" s="37">
        <f>IF(ISNA(VLOOKUP(A71,'Données projet'!$A$165:$I$185,7,0)),0%,VLOOKUP(A71,'Données projet'!$A$165:$I$185,7,0))</f>
        <v>0</v>
      </c>
      <c r="CT71" s="45">
        <f>EXP(-LN(2)/35)*CT70+(1-EXP(-LN(2)/35))/(LN(2)/35)*CP71*CQ71*VLOOKUP('Données projet'!$B$9,Paramètres!$A$1:$I$88,3,0)*0.475*44/12</f>
        <v>0</v>
      </c>
      <c r="CU71" s="45">
        <f>EXP(-LN(2)/25)*CU70+(1-EXP(-LN(2)/25))/(LN(2)/25)*Calculateur!CP71*Calculateur!CR71*VLOOKUP('Données projet'!$B$9,Paramètres!$A$1:$I$88,3,0)*0.475*44/12</f>
        <v>0</v>
      </c>
      <c r="CV71" s="45">
        <f>EXP(-LN(2)/2)*CV70+(1-EXP(-LN(2)/2))/(LN(2)/2)*CP71*CS71*VLOOKUP('Données projet'!$B$9,Paramètres!$A$1:$I$88,3,0)*0.475*44/12</f>
        <v>0</v>
      </c>
      <c r="CW71" s="46">
        <f t="shared" si="53"/>
        <v>0</v>
      </c>
      <c r="CX71" s="32" t="e">
        <f>VLOOKUP(A71,'Données projet'!$A$191:$I$211,2,0)</f>
        <v>#N/A</v>
      </c>
      <c r="CY71" s="33" t="e">
        <f>VLOOKUP(A71,'Données projet'!$A$191:$I$211,9,0)</f>
        <v>#N/A</v>
      </c>
      <c r="CZ71" s="33">
        <f t="array" ref="CZ71">INDEX(CY:CY,MIN(IF(ISNUMBER(CY71:CY267),ROW(CY71:CY267),"")))</f>
        <v>0</v>
      </c>
      <c r="DA71" s="33">
        <f t="shared" si="76"/>
        <v>0</v>
      </c>
      <c r="DB71" s="38" t="e">
        <f>DA71*VLOOKUP('Données projet'!$B$15,Paramètres!$A$1:$I$88,3,0)*VLOOKUP('Données projet'!$B$15,Paramètres!$A$1:$I$88,5,0)</f>
        <v>#N/A</v>
      </c>
      <c r="DC71" s="34" t="e">
        <f t="shared" si="77"/>
        <v>#N/A</v>
      </c>
      <c r="DD71" s="44" t="e">
        <f t="shared" si="54"/>
        <v>#N/A</v>
      </c>
      <c r="DE71" s="36">
        <f>IF(ISNA(VLOOKUP(A71,'Données projet'!$A$191:$I$211,3,0)),0,VLOOKUP(A71,'Données projet'!$A$191:$I$211,3,0))</f>
        <v>0</v>
      </c>
      <c r="DF71" s="36">
        <f>IF(ISNA(VLOOKUP(A71,'Données projet'!$A$191:$I$211,4,0)),0,VLOOKUP(A71,'Données projet'!$A$191:$I$211,4,0))</f>
        <v>0</v>
      </c>
      <c r="DG71" s="37">
        <f>IF(ISNA(VLOOKUP(A71,'Données projet'!$A$191:$I$211,5,0)),0%,VLOOKUP(A71,'Données projet'!$A$191:$I$211,5,0)*VLOOKUP('Données projet'!$B$15,Paramètres!$A$1:$I$88,7,0))</f>
        <v>0</v>
      </c>
      <c r="DH71" s="37">
        <f>IF(ISNA(VLOOKUP(A71,'Données projet'!$A$191:$I$211,6,0)),0%,VLOOKUP(A71,'Données projet'!$A$191:$I$211,6,0)*VLOOKUP('Données projet'!$B$15,Paramètres!$A$1:$I$88,7,0))</f>
        <v>0</v>
      </c>
      <c r="DI71" s="37">
        <f>IF(ISNA(VLOOKUP(A71,'Données projet'!$A$191:$I$211,7,0)),0%,VLOOKUP(A71,'Données projet'!$A$191:$I$211,7,0))</f>
        <v>0</v>
      </c>
      <c r="DJ71" s="45">
        <f>EXP(-LN(2)/35)*DJ70+(1-EXP(-LN(2)/35))/(LN(2)/35)*DF71*DG71*VLOOKUP('Données projet'!$B$9,Paramètres!$A$1:$I$88,3,0)*0.475*44/12</f>
        <v>0</v>
      </c>
      <c r="DK71" s="45">
        <f>EXP(-LN(2)/25)*DK70+(1-EXP(-LN(2)/25))/(LN(2)/25)*Calculateur!DF71*Calculateur!DH71*VLOOKUP('Données projet'!$B$9,Paramètres!$A$1:$I$88,3,0)*0.475*44/12</f>
        <v>0</v>
      </c>
      <c r="DL71" s="45">
        <f>EXP(-LN(2)/2)*DL70+(1-EXP(-LN(2)/2))/(LN(2)/2)*DF71*DI71*VLOOKUP('Données projet'!$B$9,Paramètres!$A$1:$I$88,3,0)*0.475*44/12</f>
        <v>0</v>
      </c>
      <c r="DM71" s="46">
        <f t="shared" si="55"/>
        <v>0</v>
      </c>
      <c r="DN71" s="32" t="e">
        <f>VLOOKUP(A71,'Données projet'!$A$217:$I$237,2,0)</f>
        <v>#N/A</v>
      </c>
      <c r="DO71" s="33" t="e">
        <f>VLOOKUP(A71,'Données projet'!$A$217:$I$237,9,0)</f>
        <v>#N/A</v>
      </c>
      <c r="DP71" s="33">
        <f t="array" ref="DP71">INDEX(DO:DO,MIN(IF(ISNUMBER(DO71:DO267),ROW(DO71:DO267),"")))</f>
        <v>0</v>
      </c>
      <c r="DQ71" s="33">
        <f t="shared" si="78"/>
        <v>0</v>
      </c>
      <c r="DR71" s="38" t="e">
        <f>DQ71*VLOOKUP('Données projet'!$B$16,Paramètres!$A$1:$I$88,3,0)*VLOOKUP('Données projet'!$B$16,Paramètres!$A$1:$I$88,5,0)</f>
        <v>#N/A</v>
      </c>
      <c r="DS71" s="34" t="e">
        <f t="shared" si="79"/>
        <v>#N/A</v>
      </c>
      <c r="DT71" s="44" t="e">
        <f t="shared" si="56"/>
        <v>#N/A</v>
      </c>
      <c r="DU71" s="36">
        <f>IF(ISNA(VLOOKUP(A71,'Données projet'!$A$217:$I$237,3,0)),0,VLOOKUP(A71,'Données projet'!$A$217:$I$237,3,0))</f>
        <v>0</v>
      </c>
      <c r="DV71" s="36">
        <f>IF(ISNA(VLOOKUP(A71,'Données projet'!$A$217:$I$237,4,0)),0,VLOOKUP(A71,'Données projet'!$A$217:$I$237,4,0))</f>
        <v>0</v>
      </c>
      <c r="DW71" s="37">
        <f>IF(ISNA(VLOOKUP(A71,'Données projet'!$A$217:$I$237,5,0)),0%,VLOOKUP(A71,'Données projet'!$A$217:$I$237,5,0)*VLOOKUP('Données projet'!$B$16,Paramètres!$A$1:$I$88,7,0))</f>
        <v>0</v>
      </c>
      <c r="DX71" s="37">
        <f>IF(ISNA(VLOOKUP(A71,'Données projet'!$A$217:$I$237,6,0)),0%,VLOOKUP(A71,'Données projet'!$A$217:$I$237,6,0)*VLOOKUP('Données projet'!$B$16,Paramètres!$A$1:$I$88,7,0))</f>
        <v>0</v>
      </c>
      <c r="DY71" s="37">
        <f>IF(ISNA(VLOOKUP(A71,'Données projet'!$A$217:$I$237,7,0)),0%,VLOOKUP(A71,'Données projet'!$A$217:$I$237,7,0))</f>
        <v>0</v>
      </c>
      <c r="DZ71" s="45">
        <f>EXP(-LN(2)/35)*DZ70+(1-EXP(-LN(2)/35))/(LN(2)/35)*DV71*DW71*VLOOKUP('Données projet'!$B$9,Paramètres!$A$1:$I$88,3,0)*0.475*44/12</f>
        <v>0</v>
      </c>
      <c r="EA71" s="45">
        <f>EXP(-LN(2)/25)*EA70+(1-EXP(-LN(2)/25))/(LN(2)/25)*Calculateur!DV71*Calculateur!DX71*VLOOKUP('Données projet'!$B$9,Paramètres!$A$1:$I$88,3,0)*0.475*44/12</f>
        <v>0</v>
      </c>
      <c r="EB71" s="45">
        <f>EXP(-LN(2)/2)*EB70+(1-EXP(-LN(2)/2))/(LN(2)/2)*DV71*DY71*VLOOKUP('Données projet'!$B$9,Paramètres!$A$1:$I$88,3,0)*0.475*44/12</f>
        <v>0</v>
      </c>
      <c r="EC71" s="46">
        <f t="shared" si="57"/>
        <v>0</v>
      </c>
      <c r="ED71" s="32" t="e">
        <f>VLOOKUP(A71,'Données projet'!$A$243:$I$263,2,0)</f>
        <v>#N/A</v>
      </c>
      <c r="EE71" s="33" t="e">
        <f>VLOOKUP(A71,'Données projet'!$A$243:$I$263,9,0)</f>
        <v>#N/A</v>
      </c>
      <c r="EF71" s="33">
        <f t="array" ref="EF71">INDEX(EE:EE,MIN(IF(ISNUMBER(EE71:EE267),ROW(EE71:EE267),"")))</f>
        <v>0</v>
      </c>
      <c r="EG71" s="33">
        <f t="shared" si="80"/>
        <v>0</v>
      </c>
      <c r="EH71" s="38" t="e">
        <f>EG71*VLOOKUP('Données projet'!$B$17,Paramètres!$A$1:$I$88,3,0)*VLOOKUP('Données projet'!$B$17,Paramètres!$A$1:$I$88,5,0)</f>
        <v>#N/A</v>
      </c>
      <c r="EI71" s="34" t="e">
        <f t="shared" si="81"/>
        <v>#N/A</v>
      </c>
      <c r="EJ71" s="44" t="e">
        <f t="shared" si="58"/>
        <v>#N/A</v>
      </c>
      <c r="EK71" s="36">
        <f>IF(ISNA(VLOOKUP(A71,'Données projet'!$A$243:$I$263,3,0)),0,VLOOKUP(A71,'Données projet'!$A$243:$I$263,3,0))</f>
        <v>0</v>
      </c>
      <c r="EL71" s="36">
        <f>IF(ISNA(VLOOKUP(A71,'Données projet'!$A$243:$I$263,4,0)),0,VLOOKUP(A71,'Données projet'!$A$243:$I$263,4,0))</f>
        <v>0</v>
      </c>
      <c r="EM71" s="37">
        <f>IF(ISNA(VLOOKUP(A71,'Données projet'!$A$243:$I$263,5,0)),0%,VLOOKUP(A71,'Données projet'!$A$243:$I$263,5,0)*VLOOKUP('Données projet'!$B$17,Paramètres!$A$1:$I$88,7,0))</f>
        <v>0</v>
      </c>
      <c r="EN71" s="37">
        <f>IF(ISNA(VLOOKUP(A71,'Données projet'!$A$243:$I$263,6,0)),0%,VLOOKUP(A71,'Données projet'!$A$243:$I$263,6,0)*VLOOKUP('Données projet'!$B$17,Paramètres!$A$1:$I$88,7,0))</f>
        <v>0</v>
      </c>
      <c r="EO71" s="37">
        <f>IF(ISNA(VLOOKUP(A71,'Données projet'!$A$243:$I$263,7,0)),0%,VLOOKUP(A71,'Données projet'!$A$243:$I$263,7,0))</f>
        <v>0</v>
      </c>
      <c r="EP71" s="45">
        <f>EXP(-LN(2)/35)*EP70+(1-EXP(-LN(2)/35))/(LN(2)/35)*EL71*EM71*VLOOKUP('Données projet'!$B$9,Paramètres!$A$1:$I$88,3,0)*0.475*44/12</f>
        <v>0</v>
      </c>
      <c r="EQ71" s="45">
        <f>EXP(-LN(2)/25)*EQ70+(1-EXP(-LN(2)/25))/(LN(2)/25)*Calculateur!EL71*Calculateur!EN71*VLOOKUP('Données projet'!$B$9,Paramètres!$A$1:$I$88,3,0)*0.475*44/12</f>
        <v>0</v>
      </c>
      <c r="ER71" s="45">
        <f>EXP(-LN(2)/2)*ER70+(1-EXP(-LN(2)/2))/(LN(2)/2)*EL71*EO71*VLOOKUP('Données projet'!$B$9,Paramètres!$A$1:$I$88,3,0)*0.475*44/12</f>
        <v>0</v>
      </c>
      <c r="ES71" s="46">
        <f t="shared" si="59"/>
        <v>0</v>
      </c>
      <c r="ET71" s="32" t="e">
        <f>VLOOKUP(A71,'Données projet'!$A$269:$I$289,2,0)</f>
        <v>#N/A</v>
      </c>
      <c r="EU71" s="33" t="e">
        <f>VLOOKUP(A71,'Données projet'!$A$269:$I$289,9,0)</f>
        <v>#N/A</v>
      </c>
      <c r="EV71" s="33">
        <f t="array" ref="EV71">INDEX(EU:EU,MIN(IF(ISNUMBER(EU71:EU267),ROW(EU71:EU267),"")))</f>
        <v>0</v>
      </c>
      <c r="EW71" s="33">
        <f t="shared" si="82"/>
        <v>0</v>
      </c>
      <c r="EX71" s="38" t="e">
        <f>EW71*VLOOKUP('Données projet'!$B$18,Paramètres!$A$1:$I$88,3,0)*VLOOKUP('Données projet'!$B$18,Paramètres!$A$1:$I$88,5,0)</f>
        <v>#N/A</v>
      </c>
      <c r="EY71" s="34" t="e">
        <f t="shared" si="83"/>
        <v>#N/A</v>
      </c>
      <c r="EZ71" s="44" t="e">
        <f t="shared" si="60"/>
        <v>#N/A</v>
      </c>
      <c r="FA71" s="36">
        <f>IF(ISNA(VLOOKUP(A71,'Données projet'!$A$269:$I$289,3,0)),0,VLOOKUP(A71,'Données projet'!$A$269:$I$289,3,0))</f>
        <v>0</v>
      </c>
      <c r="FB71" s="36">
        <f>IF(ISNA(VLOOKUP(A71,'Données projet'!$A$269:$I$289,4,0)),0,VLOOKUP(A71,'Données projet'!$A$269:$I$289,4,0))</f>
        <v>0</v>
      </c>
      <c r="FC71" s="37">
        <f>IF(ISNA(VLOOKUP(A71,'Données projet'!$A$269:$I$289,5,0)),0%,VLOOKUP(A71,'Données projet'!$A$269:$I$289,5,0)*VLOOKUP('Données projet'!$B$18,Paramètres!$A$1:$I$88,7,0))</f>
        <v>0</v>
      </c>
      <c r="FD71" s="37">
        <f>IF(ISNA(VLOOKUP(A71,'Données projet'!$A$269:$I$289,6,0)),0%,VLOOKUP(A71,'Données projet'!$A$269:$I$289,6,0)*VLOOKUP('Données projet'!$B$18,Paramètres!$A$1:$I$88,7,0))</f>
        <v>0</v>
      </c>
      <c r="FE71" s="37">
        <f>IF(ISNA(VLOOKUP(A71,'Données projet'!$A$269:$I$289,7,0)),0%,VLOOKUP(A71,'Données projet'!$A$269:$I$289,7,0))</f>
        <v>0</v>
      </c>
      <c r="FF71" s="45">
        <f>EXP(-LN(2)/35)*FF70+(1-EXP(-LN(2)/35))/(LN(2)/35)*FB71*FC71*VLOOKUP('Données projet'!$B$9,Paramètres!$A$1:$I$88,3,0)*0.475*44/12</f>
        <v>0</v>
      </c>
      <c r="FG71" s="45">
        <f>EXP(-LN(2)/25)*FG70+(1-EXP(-LN(2)/25))/(LN(2)/25)*Calculateur!FB71*Calculateur!FD71*VLOOKUP('Données projet'!$B$9,Paramètres!$A$1:$I$88,3,0)*0.475*44/12</f>
        <v>0</v>
      </c>
      <c r="FH71" s="45">
        <f>EXP(-LN(2)/2)*FH70+(1-EXP(-LN(2)/2))/(LN(2)/2)*FB71*FE71*VLOOKUP('Données projet'!$B$9,Paramètres!$A$1:$I$88,3,0)*0.475*44/12</f>
        <v>0</v>
      </c>
      <c r="FI71" s="46">
        <f t="shared" si="61"/>
        <v>0</v>
      </c>
    </row>
    <row r="72" spans="1:165" x14ac:dyDescent="0.25">
      <c r="A72" s="24">
        <f t="shared" si="62"/>
        <v>69</v>
      </c>
      <c r="B72" s="25">
        <f>IF('Scénario référence'!$N$1=1,5,0)</f>
        <v>0</v>
      </c>
      <c r="C72" s="40">
        <f>IF(OR('Scénario référence'!$N$1=2,'Scénario référence'!$N$1=4),C71+1*VLOOKUP('Scénario référence'!$G$14,Paramètres!$A$1:$I$88,3,0)*VLOOKUP('Scénario référence'!$G$14,Paramètres!$A$1:$I$88,5,0),IF(OR('Scénario référence'!$N$1=3,'Scénario référence'!$N$1=5),C71+0.5*VLOOKUP('Scénario référence'!$G$14,Paramètres!$A$1:$I$88,3,0)*VLOOKUP('Scénario référence'!$G$14,Paramètres!$A$1:$I$88,5,0),0))</f>
        <v>37.673999999999971</v>
      </c>
      <c r="D72" s="26">
        <f t="shared" si="63"/>
        <v>11.380007297126165</v>
      </c>
      <c r="E72" s="27">
        <f>IF('Scénario référence'!$N$1=1,B72*44/12,(C72+D72)*0.475*44/12)</f>
        <v>85.435729375828018</v>
      </c>
      <c r="F72" s="28" t="e">
        <f>VLOOKUP(A72,'Données projet'!$A$35:$I$55,2,0)</f>
        <v>#N/A</v>
      </c>
      <c r="G72" s="28" t="e">
        <f>VLOOKUP(A72,'Données projet'!$A$35:$I$55,9,0)</f>
        <v>#N/A</v>
      </c>
      <c r="H72" s="33">
        <f t="array" ref="H72">INDEX(G:G,MIN(IF(ISNUMBER(G72:G268),ROW(G72:G268),"")))</f>
        <v>6.8</v>
      </c>
      <c r="I72" s="28">
        <f t="shared" si="64"/>
        <v>235.19999999999993</v>
      </c>
      <c r="J72" s="41">
        <f>I72*VLOOKUP('Données projet'!$B$9,Paramètres!$A$1:$I$88,3,0)*VLOOKUP('Données projet'!$B$9,Paramètres!$A$1:$I$88,5,0)</f>
        <v>238.49279999999996</v>
      </c>
      <c r="K72" s="41">
        <f t="shared" si="65"/>
        <v>58.115130258576542</v>
      </c>
      <c r="L72" s="42">
        <f t="shared" si="42"/>
        <v>516.59214520035414</v>
      </c>
      <c r="M72" s="30">
        <f>IF(ISNA(VLOOKUP(A72,'Données projet'!$A$35:$I$55,3,0)),0,VLOOKUP(A72,'Données projet'!$A$35:$I$55,3,0))</f>
        <v>0</v>
      </c>
      <c r="N72" s="30">
        <f>IF(ISNA(VLOOKUP(A72,'Données projet'!$A$35:$I$55,4,0)),0,VLOOKUP(A72,'Données projet'!$A$35:$I$55,4,0))</f>
        <v>0</v>
      </c>
      <c r="O72" s="31">
        <f>IF(ISNA(VLOOKUP(A72,'Données projet'!$A$35:$I$55,5,0)),0%,VLOOKUP(A72,'Données projet'!$A$35:$I$55,5,0)*VLOOKUP('Données projet'!$B$9,Paramètres!$A$1:$I$88,7,0))</f>
        <v>0</v>
      </c>
      <c r="P72" s="31">
        <f>IF(ISNA(VLOOKUP(A72,'Données projet'!$A$35:$I$55,6,0)),0%,VLOOKUP(A72,'Données projet'!$A$35:$I$55,6,0)*VLOOKUP('Données projet'!$B$9,Paramètres!$A$1:$I$88,7,0))</f>
        <v>0</v>
      </c>
      <c r="Q72" s="31">
        <f>IF(ISNA(VLOOKUP(A72,'Données projet'!$A$35:$I$55,7,0)),0%,VLOOKUP(A72,'Données projet'!$A$35:$I$55,7,0))</f>
        <v>0</v>
      </c>
      <c r="R72" s="43">
        <f>EXP(-LN(2)/35)*R71+(1-EXP(-LN(2)/35))/(LN(2)/35)*N72*O72*VLOOKUP('Données projet'!$B$9,Paramètres!$A$1:$I$88,3,0)*0.475*44/12</f>
        <v>0</v>
      </c>
      <c r="S72" s="43">
        <f>EXP(-LN(2)/25)*S71+(1-EXP(-LN(2)/25))/(LN(2)/25)*Calculateur!N72*Calculateur!P72*VLOOKUP('Données projet'!$B$9,Paramètres!$A$1:$I$88,3,0)*0.475*44/12</f>
        <v>0</v>
      </c>
      <c r="T72" s="43">
        <f>EXP(-LN(2)/2)*T71+(1-EXP(-LN(2)/2))/(LN(2)/2)*N72*Q72*VLOOKUP('Données projet'!$B$9,Paramètres!$A$1:$I$88,3,0)*0.475*44/12</f>
        <v>0</v>
      </c>
      <c r="U72" s="43">
        <f t="shared" si="43"/>
        <v>0</v>
      </c>
      <c r="V72" s="32" t="e">
        <f>VLOOKUP(A72,'Données projet'!$A$61:$I$81,2,0)</f>
        <v>#N/A</v>
      </c>
      <c r="W72" s="33" t="e">
        <f>VLOOKUP(A72,'Données projet'!$A$61:$I$81,9,0)</f>
        <v>#N/A</v>
      </c>
      <c r="X72" s="33">
        <f t="array" ref="X72">INDEX(W:W,MIN(IF(ISNUMBER(W72:W268),ROW(W72:W268),"")))</f>
        <v>0</v>
      </c>
      <c r="Y72" s="33">
        <f t="shared" si="66"/>
        <v>0</v>
      </c>
      <c r="Z72" s="34" t="e">
        <f>Y72*VLOOKUP('Données projet'!$B$10,Paramètres!$A$1:$I$88,3,0)*VLOOKUP('Données projet'!$B$10,Paramètres!$A$1:$I$88,5,0)</f>
        <v>#N/A</v>
      </c>
      <c r="AA72" s="34" t="e">
        <f t="shared" si="67"/>
        <v>#N/A</v>
      </c>
      <c r="AB72" s="44" t="e">
        <f t="shared" si="44"/>
        <v>#N/A</v>
      </c>
      <c r="AC72" s="36">
        <f>IF(ISNA(VLOOKUP(A72,'Données projet'!$A$61:$I$81,3,0)),0,VLOOKUP(A72,'Données projet'!$A$61:$I$81,3,0))</f>
        <v>0</v>
      </c>
      <c r="AD72" s="36">
        <f>IF(ISNA(VLOOKUP(A72,'Données projet'!$A$61:$I$81,4,0)),0,VLOOKUP(A72,'Données projet'!$A$61:$I$81,4,0))</f>
        <v>0</v>
      </c>
      <c r="AE72" s="37">
        <f>IF(ISNA(VLOOKUP(A72,'Données projet'!$A$61:$I$81,5,0)),0%,VLOOKUP(A72,'Données projet'!$A$61:$I$81,5,0)*VLOOKUP('Données projet'!$B$10,Paramètres!$A$1:$I$88,7,0))</f>
        <v>0</v>
      </c>
      <c r="AF72" s="37">
        <f>IF(ISNA(VLOOKUP(A72,'Données projet'!$A$61:$I$81,6,0)),0%,VLOOKUP(A72,'Données projet'!$A$61:$I$81,6,0)*VLOOKUP('Données projet'!$B$10,Paramètres!$A$1:$I$88,7,0))</f>
        <v>0</v>
      </c>
      <c r="AG72" s="37">
        <f>IF(ISNA(VLOOKUP(A72,'Données projet'!$A$61:$I$81,7,0)),0%,VLOOKUP(A72,'Données projet'!$A$61:$I$81,7,0))</f>
        <v>0</v>
      </c>
      <c r="AH72" s="45">
        <f>EXP(-LN(2)/35)*AH71+(1-EXP(-LN(2)/35))/(LN(2)/35)*AD72*AE72*VLOOKUP('Données projet'!$B$9,Paramètres!$A$1:$I$88,3,0)*0.475*44/12</f>
        <v>0</v>
      </c>
      <c r="AI72" s="45">
        <f>EXP(-LN(2)/25)*AI71+(1-EXP(-LN(2)/25))/(LN(2)/25)*Calculateur!AD72*Calculateur!AF72*VLOOKUP('Données projet'!$B$9,Paramètres!$A$1:$I$88,3,0)*0.475*44/12</f>
        <v>0</v>
      </c>
      <c r="AJ72" s="45">
        <f>EXP(-LN(2)/2)*AJ71+(1-EXP(-LN(2)/2))/(LN(2)/2)*AD72*AG72*VLOOKUP('Données projet'!$B$9,Paramètres!$A$1:$I$88,3,0)*0.475*44/12</f>
        <v>0</v>
      </c>
      <c r="AK72" s="45">
        <f t="shared" si="45"/>
        <v>0</v>
      </c>
      <c r="AL72" s="32" t="e">
        <f>VLOOKUP(A72,'Données projet'!$A$87:$I$107,2,0)</f>
        <v>#N/A</v>
      </c>
      <c r="AM72" s="33" t="e">
        <f>VLOOKUP(A72,'Données projet'!$A$87:$I$107,9,0)</f>
        <v>#N/A</v>
      </c>
      <c r="AN72" s="33">
        <f t="array" ref="AN72">INDEX(AM:AM,MIN(IF(ISNUMBER(AM72:AM268),ROW(AM72:AM268),"")))</f>
        <v>0</v>
      </c>
      <c r="AO72" s="33">
        <f t="shared" si="68"/>
        <v>0</v>
      </c>
      <c r="AP72" s="34" t="e">
        <f>AO72*VLOOKUP('Données projet'!$B$11,Paramètres!$A$1:$I$88,3,0)*VLOOKUP('Données projet'!$B$11,Paramètres!$A$1:$I$88,5,0)</f>
        <v>#N/A</v>
      </c>
      <c r="AQ72" s="34" t="e">
        <f t="shared" si="69"/>
        <v>#N/A</v>
      </c>
      <c r="AR72" s="44" t="e">
        <f t="shared" si="46"/>
        <v>#N/A</v>
      </c>
      <c r="AS72" s="36">
        <f>IF(ISNA(VLOOKUP(A72,'Données projet'!$A$87:$I$107,3,0)),0,VLOOKUP(A72,'Données projet'!$A$87:$I$107,3,0))</f>
        <v>0</v>
      </c>
      <c r="AT72" s="36">
        <f>IF(ISNA(VLOOKUP(A72,'Données projet'!$A$87:$I$107,4,0)),0,VLOOKUP(A72,'Données projet'!$A$87:$I$107,4,0))</f>
        <v>0</v>
      </c>
      <c r="AU72" s="37">
        <f>IF(ISNA(VLOOKUP(A72,'Données projet'!$A$87:$I$107,5,0)),0%,VLOOKUP(A72,'Données projet'!$A$87:$I$107,5,0)*VLOOKUP('Données projet'!$B$11,Paramètres!$A$1:$I$88,7,0))</f>
        <v>0</v>
      </c>
      <c r="AV72" s="37">
        <f>IF(ISNA(VLOOKUP(A72,'Données projet'!$A$87:$I$107,6,0)),0%,VLOOKUP(A72,'Données projet'!$A$87:$I$107,6,0)*VLOOKUP('Données projet'!$B$11,Paramètres!$A$1:$I$88,7,0))</f>
        <v>0</v>
      </c>
      <c r="AW72" s="37">
        <f>IF(ISNA(VLOOKUP(A72,'Données projet'!$A$87:$I$107,7,0)),0%,VLOOKUP(A72,'Données projet'!$A$87:$I$107,7,0))</f>
        <v>0</v>
      </c>
      <c r="AX72" s="45">
        <f>EXP(-LN(2)/35)*AX71+(1-EXP(-LN(2)/35))/(LN(2)/35)*AT72*AU72*VLOOKUP('Données projet'!$B$9,Paramètres!$A$1:$I$88,3,0)*0.475*44/12</f>
        <v>0</v>
      </c>
      <c r="AY72" s="45">
        <f>EXP(-LN(2)/25)*AY71+(1-EXP(-LN(2)/25))/(LN(2)/25)*Calculateur!AT72*Calculateur!AV72*VLOOKUP('Données projet'!$B$9,Paramètres!$A$1:$I$88,3,0)*0.475*44/12</f>
        <v>0</v>
      </c>
      <c r="AZ72" s="45">
        <f>EXP(-LN(2)/2)*AZ71+(1-EXP(-LN(2)/2))/(LN(2)/2)*AT72*AW72*VLOOKUP('Données projet'!$B$9,Paramètres!$A$1:$I$88,3,0)*0.475*44/12</f>
        <v>0</v>
      </c>
      <c r="BA72" s="46">
        <f t="shared" si="47"/>
        <v>0</v>
      </c>
      <c r="BB72" s="32" t="e">
        <f>VLOOKUP(A72,'Données projet'!$A$113:$I$133,2,0)</f>
        <v>#N/A</v>
      </c>
      <c r="BC72" s="33" t="e">
        <f>VLOOKUP(A72,'Données projet'!$A$113:$I$133,9,0)</f>
        <v>#N/A</v>
      </c>
      <c r="BD72" s="33">
        <f t="array" ref="BD72">INDEX(BC:BC,MIN(IF(ISNUMBER(BC72:BC268),ROW(BC72:BC268),"")))</f>
        <v>0</v>
      </c>
      <c r="BE72" s="33">
        <f t="shared" si="70"/>
        <v>0</v>
      </c>
      <c r="BF72" s="34" t="e">
        <f>BE72*VLOOKUP('Données projet'!$B$12,Paramètres!$A$1:$I$88,3,0)*VLOOKUP('Données projet'!$B$12,Paramètres!$A$1:$I$88,5,0)</f>
        <v>#N/A</v>
      </c>
      <c r="BG72" s="34" t="e">
        <f t="shared" si="71"/>
        <v>#N/A</v>
      </c>
      <c r="BH72" s="44" t="e">
        <f t="shared" si="48"/>
        <v>#N/A</v>
      </c>
      <c r="BI72" s="36">
        <f>IF(ISNA(VLOOKUP(A72,'Données projet'!$A$113:$I$133,3,0)),0,VLOOKUP(A72,'Données projet'!$A$113:$I$133,3,0))</f>
        <v>0</v>
      </c>
      <c r="BJ72" s="36">
        <f>IF(ISNA(VLOOKUP(A72,'Données projet'!$A$113:$I$133,4,0)),0,VLOOKUP(A72,'Données projet'!$A$113:$I$133,4,0))</f>
        <v>0</v>
      </c>
      <c r="BK72" s="37">
        <f>IF(ISNA(VLOOKUP(A72,'Données projet'!$A$113:$I$133,5,0)),0%,VLOOKUP(A72,'Données projet'!$A$113:$I$133,5,0)*VLOOKUP('Données projet'!$B$12,Paramètres!$A$1:$I$88,7,0))</f>
        <v>0</v>
      </c>
      <c r="BL72" s="37">
        <f>IF(ISNA(VLOOKUP(A72,'Données projet'!$A$113:$I$133,6,0)),0%,VLOOKUP(A72,'Données projet'!$A$113:$I$133,6,0)*VLOOKUP('Données projet'!$B$12,Paramètres!$A$1:$I$88,7,0))</f>
        <v>0</v>
      </c>
      <c r="BM72" s="37">
        <f>IF(ISNA(VLOOKUP(A72,'Données projet'!$A$113:$I$133,7,0)),0%,VLOOKUP(A72,'Données projet'!$A$113:$I$133,7,0))</f>
        <v>0</v>
      </c>
      <c r="BN72" s="45">
        <f>EXP(-LN(2)/35)*BN71+(1-EXP(-LN(2)/35))/(LN(2)/35)*BJ72*BK72*VLOOKUP('Données projet'!$B$9,Paramètres!$A$1:$I$88,3,0)*0.475*44/12</f>
        <v>0</v>
      </c>
      <c r="BO72" s="45">
        <f>EXP(-LN(2)/25)*BO71+(1-EXP(-LN(2)/25))/(LN(2)/25)*Calculateur!BJ72*Calculateur!BL72*VLOOKUP('Données projet'!$B$9,Paramètres!$A$1:$I$88,3,0)*0.475*44/12</f>
        <v>0</v>
      </c>
      <c r="BP72" s="45">
        <f>EXP(-LN(2)/2)*BP71+(1-EXP(-LN(2)/2))/(LN(2)/2)*BJ72*BM72*VLOOKUP('Données projet'!$B$9,Paramètres!$A$1:$I$88,3,0)*0.475*44/12</f>
        <v>0</v>
      </c>
      <c r="BQ72" s="46">
        <f t="shared" si="49"/>
        <v>0</v>
      </c>
      <c r="BR72" s="32" t="e">
        <f>VLOOKUP(A72,'Données projet'!$A$139:$I$159,2,0)</f>
        <v>#N/A</v>
      </c>
      <c r="BS72" s="33" t="e">
        <f>VLOOKUP(A72,'Données projet'!$A$139:$I$159,9,0)</f>
        <v>#N/A</v>
      </c>
      <c r="BT72" s="33">
        <f t="array" ref="BT72">INDEX(BS:BS,MIN(IF(ISNUMBER(BS72:BS268),ROW(BS72:BS268),"")))</f>
        <v>0</v>
      </c>
      <c r="BU72" s="33">
        <f t="shared" si="72"/>
        <v>0</v>
      </c>
      <c r="BV72" s="38" t="e">
        <f>BU72*VLOOKUP('Données projet'!$B$13,Paramètres!$A$1:$I$88,3,0)*VLOOKUP('Données projet'!$B$13,Paramètres!$A$1:$I$88,5,0)</f>
        <v>#N/A</v>
      </c>
      <c r="BW72" s="34" t="e">
        <f t="shared" si="73"/>
        <v>#N/A</v>
      </c>
      <c r="BX72" s="44" t="e">
        <f t="shared" si="50"/>
        <v>#N/A</v>
      </c>
      <c r="BY72" s="36">
        <f>IF(ISNA(VLOOKUP(A72,'Données projet'!$A$139:$I$159,3,0)),0,VLOOKUP(A72,'Données projet'!$A$139:$I$159,3,0))</f>
        <v>0</v>
      </c>
      <c r="BZ72" s="36">
        <f>IF(ISNA(VLOOKUP(A72,'Données projet'!$A$139:$I$159,4,0)),0,VLOOKUP(A72,'Données projet'!$A$139:$I$159,4,0))</f>
        <v>0</v>
      </c>
      <c r="CA72" s="37">
        <f>IF(ISNA(VLOOKUP(A72,'Données projet'!$A$139:$I$159,5,0)),0%,VLOOKUP(A72,'Données projet'!$A$139:$I$159,5,0)*VLOOKUP('Données projet'!$B$13,Paramètres!$A$1:$I$88,7,0))</f>
        <v>0</v>
      </c>
      <c r="CB72" s="37">
        <f>IF(ISNA(VLOOKUP(A72,'Données projet'!$A$139:$I$159,6,0)),0%,VLOOKUP(A72,'Données projet'!$A$139:$I$159,6,0)*VLOOKUP('Données projet'!$B$13,Paramètres!$A$1:$I$88,7,0))</f>
        <v>0</v>
      </c>
      <c r="CC72" s="37">
        <f>IF(ISNA(VLOOKUP(A72,'Données projet'!$A$139:$I$159,7,0)),0%,VLOOKUP(A72,'Données projet'!$A$139:$I$159,7,0))</f>
        <v>0</v>
      </c>
      <c r="CD72" s="45">
        <f>EXP(-LN(2)/35)*CD71+(1-EXP(-LN(2)/35))/(LN(2)/35)*BZ72*CA72*VLOOKUP('Données projet'!$B$9,Paramètres!$A$1:$I$88,3,0)*0.475*44/12</f>
        <v>0</v>
      </c>
      <c r="CE72" s="45">
        <f>EXP(-LN(2)/25)*CE71+(1-EXP(-LN(2)/25))/(LN(2)/25)*Calculateur!BZ72*Calculateur!CB72*VLOOKUP('Données projet'!$B$9,Paramètres!$A$1:$I$88,3,0)*0.475*44/12</f>
        <v>0</v>
      </c>
      <c r="CF72" s="45">
        <f>EXP(-LN(2)/2)*CF71+(1-EXP(-LN(2)/2))/(LN(2)/2)*BZ72*CC72*VLOOKUP('Données projet'!$B$9,Paramètres!$A$1:$I$88,3,0)*0.475*44/12</f>
        <v>0</v>
      </c>
      <c r="CG72" s="46">
        <f t="shared" si="51"/>
        <v>0</v>
      </c>
      <c r="CH72" s="32" t="e">
        <f>VLOOKUP(A72,'Données projet'!$A$165:$I$185,2,0)</f>
        <v>#N/A</v>
      </c>
      <c r="CI72" s="33" t="e">
        <f>VLOOKUP(A72,'Données projet'!$A$165:$I$185,9,0)</f>
        <v>#N/A</v>
      </c>
      <c r="CJ72" s="33">
        <f t="array" ref="CJ72">INDEX(CI:CI,MIN(IF(ISNUMBER(CI72:CI268),ROW(CI72:CI268),"")))</f>
        <v>0</v>
      </c>
      <c r="CK72" s="33">
        <f t="shared" si="74"/>
        <v>0</v>
      </c>
      <c r="CL72" s="38" t="e">
        <f>CK72*VLOOKUP('Données projet'!$B$14,Paramètres!$A$1:$I$88,3,0)*VLOOKUP('Données projet'!$B$14,Paramètres!$A$1:$I$88,5,0)</f>
        <v>#N/A</v>
      </c>
      <c r="CM72" s="34" t="e">
        <f t="shared" si="75"/>
        <v>#N/A</v>
      </c>
      <c r="CN72" s="44" t="e">
        <f t="shared" si="52"/>
        <v>#N/A</v>
      </c>
      <c r="CO72" s="36">
        <f>IF(ISNA(VLOOKUP(A72,'Données projet'!$A$165:$I$185,3,0)),0,VLOOKUP(A72,'Données projet'!$A$165:$I$185,3,0))</f>
        <v>0</v>
      </c>
      <c r="CP72" s="36">
        <f>IF(ISNA(VLOOKUP(A72,'Données projet'!$A$165:$I$185,4,0)),0,VLOOKUP(A72,'Données projet'!$A$165:$I$185,4,0))</f>
        <v>0</v>
      </c>
      <c r="CQ72" s="37">
        <f>IF(ISNA(VLOOKUP(A72,'Données projet'!$A$165:$I$185,5,0)),0%,VLOOKUP(A72,'Données projet'!$A$165:$I$185,5,0)*VLOOKUP('Données projet'!$B$14,Paramètres!$A$1:$I$88,7,0))</f>
        <v>0</v>
      </c>
      <c r="CR72" s="37">
        <f>IF(ISNA(VLOOKUP(A72,'Données projet'!$A$165:$I$185,6,0)),0%,VLOOKUP(A72,'Données projet'!$A$165:$I$185,6,0)*VLOOKUP('Données projet'!$B$14,Paramètres!$A$1:$I$88,7,0))</f>
        <v>0</v>
      </c>
      <c r="CS72" s="37">
        <f>IF(ISNA(VLOOKUP(A72,'Données projet'!$A$165:$I$185,7,0)),0%,VLOOKUP(A72,'Données projet'!$A$165:$I$185,7,0))</f>
        <v>0</v>
      </c>
      <c r="CT72" s="45">
        <f>EXP(-LN(2)/35)*CT71+(1-EXP(-LN(2)/35))/(LN(2)/35)*CP72*CQ72*VLOOKUP('Données projet'!$B$9,Paramètres!$A$1:$I$88,3,0)*0.475*44/12</f>
        <v>0</v>
      </c>
      <c r="CU72" s="45">
        <f>EXP(-LN(2)/25)*CU71+(1-EXP(-LN(2)/25))/(LN(2)/25)*Calculateur!CP72*Calculateur!CR72*VLOOKUP('Données projet'!$B$9,Paramètres!$A$1:$I$88,3,0)*0.475*44/12</f>
        <v>0</v>
      </c>
      <c r="CV72" s="45">
        <f>EXP(-LN(2)/2)*CV71+(1-EXP(-LN(2)/2))/(LN(2)/2)*CP72*CS72*VLOOKUP('Données projet'!$B$9,Paramètres!$A$1:$I$88,3,0)*0.475*44/12</f>
        <v>0</v>
      </c>
      <c r="CW72" s="46">
        <f t="shared" si="53"/>
        <v>0</v>
      </c>
      <c r="CX72" s="32" t="e">
        <f>VLOOKUP(A72,'Données projet'!$A$191:$I$211,2,0)</f>
        <v>#N/A</v>
      </c>
      <c r="CY72" s="33" t="e">
        <f>VLOOKUP(A72,'Données projet'!$A$191:$I$211,9,0)</f>
        <v>#N/A</v>
      </c>
      <c r="CZ72" s="33">
        <f t="array" ref="CZ72">INDEX(CY:CY,MIN(IF(ISNUMBER(CY72:CY268),ROW(CY72:CY268),"")))</f>
        <v>0</v>
      </c>
      <c r="DA72" s="33">
        <f t="shared" si="76"/>
        <v>0</v>
      </c>
      <c r="DB72" s="38" t="e">
        <f>DA72*VLOOKUP('Données projet'!$B$15,Paramètres!$A$1:$I$88,3,0)*VLOOKUP('Données projet'!$B$15,Paramètres!$A$1:$I$88,5,0)</f>
        <v>#N/A</v>
      </c>
      <c r="DC72" s="34" t="e">
        <f t="shared" si="77"/>
        <v>#N/A</v>
      </c>
      <c r="DD72" s="44" t="e">
        <f t="shared" si="54"/>
        <v>#N/A</v>
      </c>
      <c r="DE72" s="36">
        <f>IF(ISNA(VLOOKUP(A72,'Données projet'!$A$191:$I$211,3,0)),0,VLOOKUP(A72,'Données projet'!$A$191:$I$211,3,0))</f>
        <v>0</v>
      </c>
      <c r="DF72" s="36">
        <f>IF(ISNA(VLOOKUP(A72,'Données projet'!$A$191:$I$211,4,0)),0,VLOOKUP(A72,'Données projet'!$A$191:$I$211,4,0))</f>
        <v>0</v>
      </c>
      <c r="DG72" s="37">
        <f>IF(ISNA(VLOOKUP(A72,'Données projet'!$A$191:$I$211,5,0)),0%,VLOOKUP(A72,'Données projet'!$A$191:$I$211,5,0)*VLOOKUP('Données projet'!$B$15,Paramètres!$A$1:$I$88,7,0))</f>
        <v>0</v>
      </c>
      <c r="DH72" s="37">
        <f>IF(ISNA(VLOOKUP(A72,'Données projet'!$A$191:$I$211,6,0)),0%,VLOOKUP(A72,'Données projet'!$A$191:$I$211,6,0)*VLOOKUP('Données projet'!$B$15,Paramètres!$A$1:$I$88,7,0))</f>
        <v>0</v>
      </c>
      <c r="DI72" s="37">
        <f>IF(ISNA(VLOOKUP(A72,'Données projet'!$A$191:$I$211,7,0)),0%,VLOOKUP(A72,'Données projet'!$A$191:$I$211,7,0))</f>
        <v>0</v>
      </c>
      <c r="DJ72" s="45">
        <f>EXP(-LN(2)/35)*DJ71+(1-EXP(-LN(2)/35))/(LN(2)/35)*DF72*DG72*VLOOKUP('Données projet'!$B$9,Paramètres!$A$1:$I$88,3,0)*0.475*44/12</f>
        <v>0</v>
      </c>
      <c r="DK72" s="45">
        <f>EXP(-LN(2)/25)*DK71+(1-EXP(-LN(2)/25))/(LN(2)/25)*Calculateur!DF72*Calculateur!DH72*VLOOKUP('Données projet'!$B$9,Paramètres!$A$1:$I$88,3,0)*0.475*44/12</f>
        <v>0</v>
      </c>
      <c r="DL72" s="45">
        <f>EXP(-LN(2)/2)*DL71+(1-EXP(-LN(2)/2))/(LN(2)/2)*DF72*DI72*VLOOKUP('Données projet'!$B$9,Paramètres!$A$1:$I$88,3,0)*0.475*44/12</f>
        <v>0</v>
      </c>
      <c r="DM72" s="46">
        <f t="shared" si="55"/>
        <v>0</v>
      </c>
      <c r="DN72" s="32" t="e">
        <f>VLOOKUP(A72,'Données projet'!$A$217:$I$237,2,0)</f>
        <v>#N/A</v>
      </c>
      <c r="DO72" s="33" t="e">
        <f>VLOOKUP(A72,'Données projet'!$A$217:$I$237,9,0)</f>
        <v>#N/A</v>
      </c>
      <c r="DP72" s="33">
        <f t="array" ref="DP72">INDEX(DO:DO,MIN(IF(ISNUMBER(DO72:DO268),ROW(DO72:DO268),"")))</f>
        <v>0</v>
      </c>
      <c r="DQ72" s="33">
        <f t="shared" si="78"/>
        <v>0</v>
      </c>
      <c r="DR72" s="38" t="e">
        <f>DQ72*VLOOKUP('Données projet'!$B$16,Paramètres!$A$1:$I$88,3,0)*VLOOKUP('Données projet'!$B$16,Paramètres!$A$1:$I$88,5,0)</f>
        <v>#N/A</v>
      </c>
      <c r="DS72" s="34" t="e">
        <f t="shared" si="79"/>
        <v>#N/A</v>
      </c>
      <c r="DT72" s="44" t="e">
        <f t="shared" si="56"/>
        <v>#N/A</v>
      </c>
      <c r="DU72" s="36">
        <f>IF(ISNA(VLOOKUP(A72,'Données projet'!$A$217:$I$237,3,0)),0,VLOOKUP(A72,'Données projet'!$A$217:$I$237,3,0))</f>
        <v>0</v>
      </c>
      <c r="DV72" s="36">
        <f>IF(ISNA(VLOOKUP(A72,'Données projet'!$A$217:$I$237,4,0)),0,VLOOKUP(A72,'Données projet'!$A$217:$I$237,4,0))</f>
        <v>0</v>
      </c>
      <c r="DW72" s="37">
        <f>IF(ISNA(VLOOKUP(A72,'Données projet'!$A$217:$I$237,5,0)),0%,VLOOKUP(A72,'Données projet'!$A$217:$I$237,5,0)*VLOOKUP('Données projet'!$B$16,Paramètres!$A$1:$I$88,7,0))</f>
        <v>0</v>
      </c>
      <c r="DX72" s="37">
        <f>IF(ISNA(VLOOKUP(A72,'Données projet'!$A$217:$I$237,6,0)),0%,VLOOKUP(A72,'Données projet'!$A$217:$I$237,6,0)*VLOOKUP('Données projet'!$B$16,Paramètres!$A$1:$I$88,7,0))</f>
        <v>0</v>
      </c>
      <c r="DY72" s="37">
        <f>IF(ISNA(VLOOKUP(A72,'Données projet'!$A$217:$I$237,7,0)),0%,VLOOKUP(A72,'Données projet'!$A$217:$I$237,7,0))</f>
        <v>0</v>
      </c>
      <c r="DZ72" s="45">
        <f>EXP(-LN(2)/35)*DZ71+(1-EXP(-LN(2)/35))/(LN(2)/35)*DV72*DW72*VLOOKUP('Données projet'!$B$9,Paramètres!$A$1:$I$88,3,0)*0.475*44/12</f>
        <v>0</v>
      </c>
      <c r="EA72" s="45">
        <f>EXP(-LN(2)/25)*EA71+(1-EXP(-LN(2)/25))/(LN(2)/25)*Calculateur!DV72*Calculateur!DX72*VLOOKUP('Données projet'!$B$9,Paramètres!$A$1:$I$88,3,0)*0.475*44/12</f>
        <v>0</v>
      </c>
      <c r="EB72" s="45">
        <f>EXP(-LN(2)/2)*EB71+(1-EXP(-LN(2)/2))/(LN(2)/2)*DV72*DY72*VLOOKUP('Données projet'!$B$9,Paramètres!$A$1:$I$88,3,0)*0.475*44/12</f>
        <v>0</v>
      </c>
      <c r="EC72" s="46">
        <f t="shared" si="57"/>
        <v>0</v>
      </c>
      <c r="ED72" s="32" t="e">
        <f>VLOOKUP(A72,'Données projet'!$A$243:$I$263,2,0)</f>
        <v>#N/A</v>
      </c>
      <c r="EE72" s="33" t="e">
        <f>VLOOKUP(A72,'Données projet'!$A$243:$I$263,9,0)</f>
        <v>#N/A</v>
      </c>
      <c r="EF72" s="33">
        <f t="array" ref="EF72">INDEX(EE:EE,MIN(IF(ISNUMBER(EE72:EE268),ROW(EE72:EE268),"")))</f>
        <v>0</v>
      </c>
      <c r="EG72" s="33">
        <f t="shared" si="80"/>
        <v>0</v>
      </c>
      <c r="EH72" s="38" t="e">
        <f>EG72*VLOOKUP('Données projet'!$B$17,Paramètres!$A$1:$I$88,3,0)*VLOOKUP('Données projet'!$B$17,Paramètres!$A$1:$I$88,5,0)</f>
        <v>#N/A</v>
      </c>
      <c r="EI72" s="34" t="e">
        <f t="shared" si="81"/>
        <v>#N/A</v>
      </c>
      <c r="EJ72" s="44" t="e">
        <f t="shared" si="58"/>
        <v>#N/A</v>
      </c>
      <c r="EK72" s="36">
        <f>IF(ISNA(VLOOKUP(A72,'Données projet'!$A$243:$I$263,3,0)),0,VLOOKUP(A72,'Données projet'!$A$243:$I$263,3,0))</f>
        <v>0</v>
      </c>
      <c r="EL72" s="36">
        <f>IF(ISNA(VLOOKUP(A72,'Données projet'!$A$243:$I$263,4,0)),0,VLOOKUP(A72,'Données projet'!$A$243:$I$263,4,0))</f>
        <v>0</v>
      </c>
      <c r="EM72" s="37">
        <f>IF(ISNA(VLOOKUP(A72,'Données projet'!$A$243:$I$263,5,0)),0%,VLOOKUP(A72,'Données projet'!$A$243:$I$263,5,0)*VLOOKUP('Données projet'!$B$17,Paramètres!$A$1:$I$88,7,0))</f>
        <v>0</v>
      </c>
      <c r="EN72" s="37">
        <f>IF(ISNA(VLOOKUP(A72,'Données projet'!$A$243:$I$263,6,0)),0%,VLOOKUP(A72,'Données projet'!$A$243:$I$263,6,0)*VLOOKUP('Données projet'!$B$17,Paramètres!$A$1:$I$88,7,0))</f>
        <v>0</v>
      </c>
      <c r="EO72" s="37">
        <f>IF(ISNA(VLOOKUP(A72,'Données projet'!$A$243:$I$263,7,0)),0%,VLOOKUP(A72,'Données projet'!$A$243:$I$263,7,0))</f>
        <v>0</v>
      </c>
      <c r="EP72" s="45">
        <f>EXP(-LN(2)/35)*EP71+(1-EXP(-LN(2)/35))/(LN(2)/35)*EL72*EM72*VLOOKUP('Données projet'!$B$9,Paramètres!$A$1:$I$88,3,0)*0.475*44/12</f>
        <v>0</v>
      </c>
      <c r="EQ72" s="45">
        <f>EXP(-LN(2)/25)*EQ71+(1-EXP(-LN(2)/25))/(LN(2)/25)*Calculateur!EL72*Calculateur!EN72*VLOOKUP('Données projet'!$B$9,Paramètres!$A$1:$I$88,3,0)*0.475*44/12</f>
        <v>0</v>
      </c>
      <c r="ER72" s="45">
        <f>EXP(-LN(2)/2)*ER71+(1-EXP(-LN(2)/2))/(LN(2)/2)*EL72*EO72*VLOOKUP('Données projet'!$B$9,Paramètres!$A$1:$I$88,3,0)*0.475*44/12</f>
        <v>0</v>
      </c>
      <c r="ES72" s="46">
        <f t="shared" si="59"/>
        <v>0</v>
      </c>
      <c r="ET72" s="32" t="e">
        <f>VLOOKUP(A72,'Données projet'!$A$269:$I$289,2,0)</f>
        <v>#N/A</v>
      </c>
      <c r="EU72" s="33" t="e">
        <f>VLOOKUP(A72,'Données projet'!$A$269:$I$289,9,0)</f>
        <v>#N/A</v>
      </c>
      <c r="EV72" s="33">
        <f t="array" ref="EV72">INDEX(EU:EU,MIN(IF(ISNUMBER(EU72:EU268),ROW(EU72:EU268),"")))</f>
        <v>0</v>
      </c>
      <c r="EW72" s="33">
        <f t="shared" si="82"/>
        <v>0</v>
      </c>
      <c r="EX72" s="38" t="e">
        <f>EW72*VLOOKUP('Données projet'!$B$18,Paramètres!$A$1:$I$88,3,0)*VLOOKUP('Données projet'!$B$18,Paramètres!$A$1:$I$88,5,0)</f>
        <v>#N/A</v>
      </c>
      <c r="EY72" s="34" t="e">
        <f t="shared" si="83"/>
        <v>#N/A</v>
      </c>
      <c r="EZ72" s="44" t="e">
        <f t="shared" si="60"/>
        <v>#N/A</v>
      </c>
      <c r="FA72" s="36">
        <f>IF(ISNA(VLOOKUP(A72,'Données projet'!$A$269:$I$289,3,0)),0,VLOOKUP(A72,'Données projet'!$A$269:$I$289,3,0))</f>
        <v>0</v>
      </c>
      <c r="FB72" s="36">
        <f>IF(ISNA(VLOOKUP(A72,'Données projet'!$A$269:$I$289,4,0)),0,VLOOKUP(A72,'Données projet'!$A$269:$I$289,4,0))</f>
        <v>0</v>
      </c>
      <c r="FC72" s="37">
        <f>IF(ISNA(VLOOKUP(A72,'Données projet'!$A$269:$I$289,5,0)),0%,VLOOKUP(A72,'Données projet'!$A$269:$I$289,5,0)*VLOOKUP('Données projet'!$B$18,Paramètres!$A$1:$I$88,7,0))</f>
        <v>0</v>
      </c>
      <c r="FD72" s="37">
        <f>IF(ISNA(VLOOKUP(A72,'Données projet'!$A$269:$I$289,6,0)),0%,VLOOKUP(A72,'Données projet'!$A$269:$I$289,6,0)*VLOOKUP('Données projet'!$B$18,Paramètres!$A$1:$I$88,7,0))</f>
        <v>0</v>
      </c>
      <c r="FE72" s="37">
        <f>IF(ISNA(VLOOKUP(A72,'Données projet'!$A$269:$I$289,7,0)),0%,VLOOKUP(A72,'Données projet'!$A$269:$I$289,7,0))</f>
        <v>0</v>
      </c>
      <c r="FF72" s="45">
        <f>EXP(-LN(2)/35)*FF71+(1-EXP(-LN(2)/35))/(LN(2)/35)*FB72*FC72*VLOOKUP('Données projet'!$B$9,Paramètres!$A$1:$I$88,3,0)*0.475*44/12</f>
        <v>0</v>
      </c>
      <c r="FG72" s="45">
        <f>EXP(-LN(2)/25)*FG71+(1-EXP(-LN(2)/25))/(LN(2)/25)*Calculateur!FB72*Calculateur!FD72*VLOOKUP('Données projet'!$B$9,Paramètres!$A$1:$I$88,3,0)*0.475*44/12</f>
        <v>0</v>
      </c>
      <c r="FH72" s="45">
        <f>EXP(-LN(2)/2)*FH71+(1-EXP(-LN(2)/2))/(LN(2)/2)*FB72*FE72*VLOOKUP('Données projet'!$B$9,Paramètres!$A$1:$I$88,3,0)*0.475*44/12</f>
        <v>0</v>
      </c>
      <c r="FI72" s="46">
        <f t="shared" si="61"/>
        <v>0</v>
      </c>
    </row>
    <row r="73" spans="1:165" x14ac:dyDescent="0.25">
      <c r="A73" s="24">
        <f t="shared" si="62"/>
        <v>70</v>
      </c>
      <c r="B73" s="25">
        <f>IF('Scénario référence'!$N$1=1,5,0)</f>
        <v>0</v>
      </c>
      <c r="C73" s="40">
        <f>IF(OR('Scénario référence'!$N$1=2,'Scénario référence'!$N$1=4),C72+1*VLOOKUP('Scénario référence'!$G$14,Paramètres!$A$1:$I$88,3,0)*VLOOKUP('Scénario référence'!$G$14,Paramètres!$A$1:$I$88,5,0),IF(OR('Scénario référence'!$N$1=3,'Scénario référence'!$N$1=5),C72+0.5*VLOOKUP('Scénario référence'!$G$14,Paramètres!$A$1:$I$88,3,0)*VLOOKUP('Scénario référence'!$G$14,Paramètres!$A$1:$I$88,5,0),0))</f>
        <v>38.21999999999997</v>
      </c>
      <c r="D73" s="26">
        <f t="shared" si="63"/>
        <v>11.525615099344252</v>
      </c>
      <c r="E73" s="27">
        <f>IF('Scénario référence'!$N$1=1,B73*44/12,(C73+D73)*0.475*44/12)</f>
        <v>86.640279631357842</v>
      </c>
      <c r="F73" s="28">
        <f>VLOOKUP(A73,'Données projet'!$A$35:$I$55,2,0)</f>
        <v>242</v>
      </c>
      <c r="G73" s="28">
        <f>VLOOKUP(A73,'Données projet'!$A$35:$I$55,9,0)</f>
        <v>6.8</v>
      </c>
      <c r="H73" s="33">
        <f t="array" ref="H73">INDEX(G:G,MIN(IF(ISNUMBER(G73:G269),ROW(G73:G269),"")))</f>
        <v>6.8</v>
      </c>
      <c r="I73" s="28">
        <f t="shared" si="64"/>
        <v>241.99999999999994</v>
      </c>
      <c r="J73" s="41">
        <f>I73*VLOOKUP('Données projet'!$B$9,Paramètres!$A$1:$I$88,3,0)*VLOOKUP('Données projet'!$B$9,Paramètres!$A$1:$I$88,5,0)</f>
        <v>245.38799999999995</v>
      </c>
      <c r="K73" s="41">
        <f t="shared" si="65"/>
        <v>59.597282764919569</v>
      </c>
      <c r="L73" s="42">
        <f t="shared" si="42"/>
        <v>531.18270081556818</v>
      </c>
      <c r="M73" s="30">
        <f>IF(ISNA(VLOOKUP(A73,'Données projet'!$A$35:$I$55,3,0)),0,VLOOKUP(A73,'Données projet'!$A$35:$I$55,3,0))</f>
        <v>0</v>
      </c>
      <c r="N73" s="30">
        <f>IF(ISNA(VLOOKUP(A73,'Données projet'!$A$35:$I$55,4,0)),0,VLOOKUP(A73,'Données projet'!$A$35:$I$55,4,0))</f>
        <v>0</v>
      </c>
      <c r="O73" s="31">
        <f>IF(ISNA(VLOOKUP(A73,'Données projet'!$A$35:$I$55,5,0)),0%,VLOOKUP(A73,'Données projet'!$A$35:$I$55,5,0)*VLOOKUP('Données projet'!$B$9,Paramètres!$A$1:$I$88,7,0))</f>
        <v>0</v>
      </c>
      <c r="P73" s="31">
        <f>IF(ISNA(VLOOKUP(A73,'Données projet'!$A$35:$I$55,6,0)),0%,VLOOKUP(A73,'Données projet'!$A$35:$I$55,6,0)*VLOOKUP('Données projet'!$B$9,Paramètres!$A$1:$I$88,7,0))</f>
        <v>0</v>
      </c>
      <c r="Q73" s="31">
        <f>IF(ISNA(VLOOKUP(A73,'Données projet'!$A$35:$I$55,7,0)),0%,VLOOKUP(A73,'Données projet'!$A$35:$I$55,7,0))</f>
        <v>0</v>
      </c>
      <c r="R73" s="43">
        <f>EXP(-LN(2)/35)*R72+(1-EXP(-LN(2)/35))/(LN(2)/35)*N73*O73*VLOOKUP('Données projet'!$B$9,Paramètres!$A$1:$I$88,3,0)*0.475*44/12</f>
        <v>0</v>
      </c>
      <c r="S73" s="43">
        <f>EXP(-LN(2)/25)*S72+(1-EXP(-LN(2)/25))/(LN(2)/25)*Calculateur!N73*Calculateur!P73*VLOOKUP('Données projet'!$B$9,Paramètres!$A$1:$I$88,3,0)*0.475*44/12</f>
        <v>0</v>
      </c>
      <c r="T73" s="43">
        <f>EXP(-LN(2)/2)*T72+(1-EXP(-LN(2)/2))/(LN(2)/2)*N73*Q73*VLOOKUP('Données projet'!$B$9,Paramètres!$A$1:$I$88,3,0)*0.475*44/12</f>
        <v>0</v>
      </c>
      <c r="U73" s="43">
        <f t="shared" si="43"/>
        <v>0</v>
      </c>
      <c r="V73" s="32" t="e">
        <f>VLOOKUP(A73,'Données projet'!$A$61:$I$81,2,0)</f>
        <v>#N/A</v>
      </c>
      <c r="W73" s="33" t="e">
        <f>VLOOKUP(A73,'Données projet'!$A$61:$I$81,9,0)</f>
        <v>#N/A</v>
      </c>
      <c r="X73" s="33">
        <f t="array" ref="X73">INDEX(W:W,MIN(IF(ISNUMBER(W73:W269),ROW(W73:W269),"")))</f>
        <v>0</v>
      </c>
      <c r="Y73" s="33">
        <f t="shared" si="66"/>
        <v>0</v>
      </c>
      <c r="Z73" s="34" t="e">
        <f>Y73*VLOOKUP('Données projet'!$B$10,Paramètres!$A$1:$I$88,3,0)*VLOOKUP('Données projet'!$B$10,Paramètres!$A$1:$I$88,5,0)</f>
        <v>#N/A</v>
      </c>
      <c r="AA73" s="34" t="e">
        <f t="shared" si="67"/>
        <v>#N/A</v>
      </c>
      <c r="AB73" s="44" t="e">
        <f t="shared" si="44"/>
        <v>#N/A</v>
      </c>
      <c r="AC73" s="36">
        <f>IF(ISNA(VLOOKUP(A73,'Données projet'!$A$61:$I$81,3,0)),0,VLOOKUP(A73,'Données projet'!$A$61:$I$81,3,0))</f>
        <v>0</v>
      </c>
      <c r="AD73" s="36">
        <f>IF(ISNA(VLOOKUP(A73,'Données projet'!$A$61:$I$81,4,0)),0,VLOOKUP(A73,'Données projet'!$A$61:$I$81,4,0))</f>
        <v>0</v>
      </c>
      <c r="AE73" s="37">
        <f>IF(ISNA(VLOOKUP(A73,'Données projet'!$A$61:$I$81,5,0)),0%,VLOOKUP(A73,'Données projet'!$A$61:$I$81,5,0)*VLOOKUP('Données projet'!$B$10,Paramètres!$A$1:$I$88,7,0))</f>
        <v>0</v>
      </c>
      <c r="AF73" s="37">
        <f>IF(ISNA(VLOOKUP(A73,'Données projet'!$A$61:$I$81,6,0)),0%,VLOOKUP(A73,'Données projet'!$A$61:$I$81,6,0)*VLOOKUP('Données projet'!$B$10,Paramètres!$A$1:$I$88,7,0))</f>
        <v>0</v>
      </c>
      <c r="AG73" s="37">
        <f>IF(ISNA(VLOOKUP(A73,'Données projet'!$A$61:$I$81,7,0)),0%,VLOOKUP(A73,'Données projet'!$A$61:$I$81,7,0))</f>
        <v>0</v>
      </c>
      <c r="AH73" s="45">
        <f>EXP(-LN(2)/35)*AH72+(1-EXP(-LN(2)/35))/(LN(2)/35)*AD73*AE73*VLOOKUP('Données projet'!$B$9,Paramètres!$A$1:$I$88,3,0)*0.475*44/12</f>
        <v>0</v>
      </c>
      <c r="AI73" s="45">
        <f>EXP(-LN(2)/25)*AI72+(1-EXP(-LN(2)/25))/(LN(2)/25)*Calculateur!AD73*Calculateur!AF73*VLOOKUP('Données projet'!$B$9,Paramètres!$A$1:$I$88,3,0)*0.475*44/12</f>
        <v>0</v>
      </c>
      <c r="AJ73" s="45">
        <f>EXP(-LN(2)/2)*AJ72+(1-EXP(-LN(2)/2))/(LN(2)/2)*AD73*AG73*VLOOKUP('Données projet'!$B$9,Paramètres!$A$1:$I$88,3,0)*0.475*44/12</f>
        <v>0</v>
      </c>
      <c r="AK73" s="45">
        <f t="shared" si="45"/>
        <v>0</v>
      </c>
      <c r="AL73" s="32" t="e">
        <f>VLOOKUP(A73,'Données projet'!$A$87:$I$107,2,0)</f>
        <v>#N/A</v>
      </c>
      <c r="AM73" s="33" t="e">
        <f>VLOOKUP(A73,'Données projet'!$A$87:$I$107,9,0)</f>
        <v>#N/A</v>
      </c>
      <c r="AN73" s="33">
        <f t="array" ref="AN73">INDEX(AM:AM,MIN(IF(ISNUMBER(AM73:AM269),ROW(AM73:AM269),"")))</f>
        <v>0</v>
      </c>
      <c r="AO73" s="33">
        <f t="shared" si="68"/>
        <v>0</v>
      </c>
      <c r="AP73" s="34" t="e">
        <f>AO73*VLOOKUP('Données projet'!$B$11,Paramètres!$A$1:$I$88,3,0)*VLOOKUP('Données projet'!$B$11,Paramètres!$A$1:$I$88,5,0)</f>
        <v>#N/A</v>
      </c>
      <c r="AQ73" s="34" t="e">
        <f t="shared" si="69"/>
        <v>#N/A</v>
      </c>
      <c r="AR73" s="44" t="e">
        <f t="shared" si="46"/>
        <v>#N/A</v>
      </c>
      <c r="AS73" s="36">
        <f>IF(ISNA(VLOOKUP(A73,'Données projet'!$A$87:$I$107,3,0)),0,VLOOKUP(A73,'Données projet'!$A$87:$I$107,3,0))</f>
        <v>0</v>
      </c>
      <c r="AT73" s="36">
        <f>IF(ISNA(VLOOKUP(A73,'Données projet'!$A$87:$I$107,4,0)),0,VLOOKUP(A73,'Données projet'!$A$87:$I$107,4,0))</f>
        <v>0</v>
      </c>
      <c r="AU73" s="37">
        <f>IF(ISNA(VLOOKUP(A73,'Données projet'!$A$87:$I$107,5,0)),0%,VLOOKUP(A73,'Données projet'!$A$87:$I$107,5,0)*VLOOKUP('Données projet'!$B$11,Paramètres!$A$1:$I$88,7,0))</f>
        <v>0</v>
      </c>
      <c r="AV73" s="37">
        <f>IF(ISNA(VLOOKUP(A73,'Données projet'!$A$87:$I$107,6,0)),0%,VLOOKUP(A73,'Données projet'!$A$87:$I$107,6,0)*VLOOKUP('Données projet'!$B$11,Paramètres!$A$1:$I$88,7,0))</f>
        <v>0</v>
      </c>
      <c r="AW73" s="37">
        <f>IF(ISNA(VLOOKUP(A73,'Données projet'!$A$87:$I$107,7,0)),0%,VLOOKUP(A73,'Données projet'!$A$87:$I$107,7,0))</f>
        <v>0</v>
      </c>
      <c r="AX73" s="45">
        <f>EXP(-LN(2)/35)*AX72+(1-EXP(-LN(2)/35))/(LN(2)/35)*AT73*AU73*VLOOKUP('Données projet'!$B$9,Paramètres!$A$1:$I$88,3,0)*0.475*44/12</f>
        <v>0</v>
      </c>
      <c r="AY73" s="45">
        <f>EXP(-LN(2)/25)*AY72+(1-EXP(-LN(2)/25))/(LN(2)/25)*Calculateur!AT73*Calculateur!AV73*VLOOKUP('Données projet'!$B$9,Paramètres!$A$1:$I$88,3,0)*0.475*44/12</f>
        <v>0</v>
      </c>
      <c r="AZ73" s="45">
        <f>EXP(-LN(2)/2)*AZ72+(1-EXP(-LN(2)/2))/(LN(2)/2)*AT73*AW73*VLOOKUP('Données projet'!$B$9,Paramètres!$A$1:$I$88,3,0)*0.475*44/12</f>
        <v>0</v>
      </c>
      <c r="BA73" s="46">
        <f t="shared" si="47"/>
        <v>0</v>
      </c>
      <c r="BB73" s="32" t="e">
        <f>VLOOKUP(A73,'Données projet'!$A$113:$I$133,2,0)</f>
        <v>#N/A</v>
      </c>
      <c r="BC73" s="33" t="e">
        <f>VLOOKUP(A73,'Données projet'!$A$113:$I$133,9,0)</f>
        <v>#N/A</v>
      </c>
      <c r="BD73" s="33">
        <f t="array" ref="BD73">INDEX(BC:BC,MIN(IF(ISNUMBER(BC73:BC269),ROW(BC73:BC269),"")))</f>
        <v>0</v>
      </c>
      <c r="BE73" s="33">
        <f t="shared" si="70"/>
        <v>0</v>
      </c>
      <c r="BF73" s="34" t="e">
        <f>BE73*VLOOKUP('Données projet'!$B$12,Paramètres!$A$1:$I$88,3,0)*VLOOKUP('Données projet'!$B$12,Paramètres!$A$1:$I$88,5,0)</f>
        <v>#N/A</v>
      </c>
      <c r="BG73" s="34" t="e">
        <f t="shared" si="71"/>
        <v>#N/A</v>
      </c>
      <c r="BH73" s="44" t="e">
        <f t="shared" si="48"/>
        <v>#N/A</v>
      </c>
      <c r="BI73" s="36">
        <f>IF(ISNA(VLOOKUP(A73,'Données projet'!$A$113:$I$133,3,0)),0,VLOOKUP(A73,'Données projet'!$A$113:$I$133,3,0))</f>
        <v>0</v>
      </c>
      <c r="BJ73" s="36">
        <f>IF(ISNA(VLOOKUP(A73,'Données projet'!$A$113:$I$133,4,0)),0,VLOOKUP(A73,'Données projet'!$A$113:$I$133,4,0))</f>
        <v>0</v>
      </c>
      <c r="BK73" s="37">
        <f>IF(ISNA(VLOOKUP(A73,'Données projet'!$A$113:$I$133,5,0)),0%,VLOOKUP(A73,'Données projet'!$A$113:$I$133,5,0)*VLOOKUP('Données projet'!$B$12,Paramètres!$A$1:$I$88,7,0))</f>
        <v>0</v>
      </c>
      <c r="BL73" s="37">
        <f>IF(ISNA(VLOOKUP(A73,'Données projet'!$A$113:$I$133,6,0)),0%,VLOOKUP(A73,'Données projet'!$A$113:$I$133,6,0)*VLOOKUP('Données projet'!$B$12,Paramètres!$A$1:$I$88,7,0))</f>
        <v>0</v>
      </c>
      <c r="BM73" s="37">
        <f>IF(ISNA(VLOOKUP(A73,'Données projet'!$A$113:$I$133,7,0)),0%,VLOOKUP(A73,'Données projet'!$A$113:$I$133,7,0))</f>
        <v>0</v>
      </c>
      <c r="BN73" s="45">
        <f>EXP(-LN(2)/35)*BN72+(1-EXP(-LN(2)/35))/(LN(2)/35)*BJ73*BK73*VLOOKUP('Données projet'!$B$9,Paramètres!$A$1:$I$88,3,0)*0.475*44/12</f>
        <v>0</v>
      </c>
      <c r="BO73" s="45">
        <f>EXP(-LN(2)/25)*BO72+(1-EXP(-LN(2)/25))/(LN(2)/25)*Calculateur!BJ73*Calculateur!BL73*VLOOKUP('Données projet'!$B$9,Paramètres!$A$1:$I$88,3,0)*0.475*44/12</f>
        <v>0</v>
      </c>
      <c r="BP73" s="45">
        <f>EXP(-LN(2)/2)*BP72+(1-EXP(-LN(2)/2))/(LN(2)/2)*BJ73*BM73*VLOOKUP('Données projet'!$B$9,Paramètres!$A$1:$I$88,3,0)*0.475*44/12</f>
        <v>0</v>
      </c>
      <c r="BQ73" s="46">
        <f t="shared" si="49"/>
        <v>0</v>
      </c>
      <c r="BR73" s="32" t="e">
        <f>VLOOKUP(A73,'Données projet'!$A$139:$I$159,2,0)</f>
        <v>#N/A</v>
      </c>
      <c r="BS73" s="33" t="e">
        <f>VLOOKUP(A73,'Données projet'!$A$139:$I$159,9,0)</f>
        <v>#N/A</v>
      </c>
      <c r="BT73" s="33">
        <f t="array" ref="BT73">INDEX(BS:BS,MIN(IF(ISNUMBER(BS73:BS269),ROW(BS73:BS269),"")))</f>
        <v>0</v>
      </c>
      <c r="BU73" s="33">
        <f t="shared" si="72"/>
        <v>0</v>
      </c>
      <c r="BV73" s="38" t="e">
        <f>BU73*VLOOKUP('Données projet'!$B$13,Paramètres!$A$1:$I$88,3,0)*VLOOKUP('Données projet'!$B$13,Paramètres!$A$1:$I$88,5,0)</f>
        <v>#N/A</v>
      </c>
      <c r="BW73" s="34" t="e">
        <f t="shared" si="73"/>
        <v>#N/A</v>
      </c>
      <c r="BX73" s="44" t="e">
        <f t="shared" si="50"/>
        <v>#N/A</v>
      </c>
      <c r="BY73" s="36">
        <f>IF(ISNA(VLOOKUP(A73,'Données projet'!$A$139:$I$159,3,0)),0,VLOOKUP(A73,'Données projet'!$A$139:$I$159,3,0))</f>
        <v>0</v>
      </c>
      <c r="BZ73" s="36">
        <f>IF(ISNA(VLOOKUP(A73,'Données projet'!$A$139:$I$159,4,0)),0,VLOOKUP(A73,'Données projet'!$A$139:$I$159,4,0))</f>
        <v>0</v>
      </c>
      <c r="CA73" s="37">
        <f>IF(ISNA(VLOOKUP(A73,'Données projet'!$A$139:$I$159,5,0)),0%,VLOOKUP(A73,'Données projet'!$A$139:$I$159,5,0)*VLOOKUP('Données projet'!$B$13,Paramètres!$A$1:$I$88,7,0))</f>
        <v>0</v>
      </c>
      <c r="CB73" s="37">
        <f>IF(ISNA(VLOOKUP(A73,'Données projet'!$A$139:$I$159,6,0)),0%,VLOOKUP(A73,'Données projet'!$A$139:$I$159,6,0)*VLOOKUP('Données projet'!$B$13,Paramètres!$A$1:$I$88,7,0))</f>
        <v>0</v>
      </c>
      <c r="CC73" s="37">
        <f>IF(ISNA(VLOOKUP(A73,'Données projet'!$A$139:$I$159,7,0)),0%,VLOOKUP(A73,'Données projet'!$A$139:$I$159,7,0))</f>
        <v>0</v>
      </c>
      <c r="CD73" s="45">
        <f>EXP(-LN(2)/35)*CD72+(1-EXP(-LN(2)/35))/(LN(2)/35)*BZ73*CA73*VLOOKUP('Données projet'!$B$9,Paramètres!$A$1:$I$88,3,0)*0.475*44/12</f>
        <v>0</v>
      </c>
      <c r="CE73" s="45">
        <f>EXP(-LN(2)/25)*CE72+(1-EXP(-LN(2)/25))/(LN(2)/25)*Calculateur!BZ73*Calculateur!CB73*VLOOKUP('Données projet'!$B$9,Paramètres!$A$1:$I$88,3,0)*0.475*44/12</f>
        <v>0</v>
      </c>
      <c r="CF73" s="45">
        <f>EXP(-LN(2)/2)*CF72+(1-EXP(-LN(2)/2))/(LN(2)/2)*BZ73*CC73*VLOOKUP('Données projet'!$B$9,Paramètres!$A$1:$I$88,3,0)*0.475*44/12</f>
        <v>0</v>
      </c>
      <c r="CG73" s="46">
        <f t="shared" si="51"/>
        <v>0</v>
      </c>
      <c r="CH73" s="32" t="e">
        <f>VLOOKUP(A73,'Données projet'!$A$165:$I$185,2,0)</f>
        <v>#N/A</v>
      </c>
      <c r="CI73" s="33" t="e">
        <f>VLOOKUP(A73,'Données projet'!$A$165:$I$185,9,0)</f>
        <v>#N/A</v>
      </c>
      <c r="CJ73" s="33">
        <f t="array" ref="CJ73">INDEX(CI:CI,MIN(IF(ISNUMBER(CI73:CI269),ROW(CI73:CI269),"")))</f>
        <v>0</v>
      </c>
      <c r="CK73" s="33">
        <f t="shared" si="74"/>
        <v>0</v>
      </c>
      <c r="CL73" s="38" t="e">
        <f>CK73*VLOOKUP('Données projet'!$B$14,Paramètres!$A$1:$I$88,3,0)*VLOOKUP('Données projet'!$B$14,Paramètres!$A$1:$I$88,5,0)</f>
        <v>#N/A</v>
      </c>
      <c r="CM73" s="34" t="e">
        <f t="shared" si="75"/>
        <v>#N/A</v>
      </c>
      <c r="CN73" s="44" t="e">
        <f t="shared" si="52"/>
        <v>#N/A</v>
      </c>
      <c r="CO73" s="36">
        <f>IF(ISNA(VLOOKUP(A73,'Données projet'!$A$165:$I$185,3,0)),0,VLOOKUP(A73,'Données projet'!$A$165:$I$185,3,0))</f>
        <v>0</v>
      </c>
      <c r="CP73" s="36">
        <f>IF(ISNA(VLOOKUP(A73,'Données projet'!$A$165:$I$185,4,0)),0,VLOOKUP(A73,'Données projet'!$A$165:$I$185,4,0))</f>
        <v>0</v>
      </c>
      <c r="CQ73" s="37">
        <f>IF(ISNA(VLOOKUP(A73,'Données projet'!$A$165:$I$185,5,0)),0%,VLOOKUP(A73,'Données projet'!$A$165:$I$185,5,0)*VLOOKUP('Données projet'!$B$14,Paramètres!$A$1:$I$88,7,0))</f>
        <v>0</v>
      </c>
      <c r="CR73" s="37">
        <f>IF(ISNA(VLOOKUP(A73,'Données projet'!$A$165:$I$185,6,0)),0%,VLOOKUP(A73,'Données projet'!$A$165:$I$185,6,0)*VLOOKUP('Données projet'!$B$14,Paramètres!$A$1:$I$88,7,0))</f>
        <v>0</v>
      </c>
      <c r="CS73" s="37">
        <f>IF(ISNA(VLOOKUP(A73,'Données projet'!$A$165:$I$185,7,0)),0%,VLOOKUP(A73,'Données projet'!$A$165:$I$185,7,0))</f>
        <v>0</v>
      </c>
      <c r="CT73" s="45">
        <f>EXP(-LN(2)/35)*CT72+(1-EXP(-LN(2)/35))/(LN(2)/35)*CP73*CQ73*VLOOKUP('Données projet'!$B$9,Paramètres!$A$1:$I$88,3,0)*0.475*44/12</f>
        <v>0</v>
      </c>
      <c r="CU73" s="45">
        <f>EXP(-LN(2)/25)*CU72+(1-EXP(-LN(2)/25))/(LN(2)/25)*Calculateur!CP73*Calculateur!CR73*VLOOKUP('Données projet'!$B$9,Paramètres!$A$1:$I$88,3,0)*0.475*44/12</f>
        <v>0</v>
      </c>
      <c r="CV73" s="45">
        <f>EXP(-LN(2)/2)*CV72+(1-EXP(-LN(2)/2))/(LN(2)/2)*CP73*CS73*VLOOKUP('Données projet'!$B$9,Paramètres!$A$1:$I$88,3,0)*0.475*44/12</f>
        <v>0</v>
      </c>
      <c r="CW73" s="46">
        <f t="shared" si="53"/>
        <v>0</v>
      </c>
      <c r="CX73" s="32" t="e">
        <f>VLOOKUP(A73,'Données projet'!$A$191:$I$211,2,0)</f>
        <v>#N/A</v>
      </c>
      <c r="CY73" s="33" t="e">
        <f>VLOOKUP(A73,'Données projet'!$A$191:$I$211,9,0)</f>
        <v>#N/A</v>
      </c>
      <c r="CZ73" s="33">
        <f t="array" ref="CZ73">INDEX(CY:CY,MIN(IF(ISNUMBER(CY73:CY269),ROW(CY73:CY269),"")))</f>
        <v>0</v>
      </c>
      <c r="DA73" s="33">
        <f t="shared" si="76"/>
        <v>0</v>
      </c>
      <c r="DB73" s="38" t="e">
        <f>DA73*VLOOKUP('Données projet'!$B$15,Paramètres!$A$1:$I$88,3,0)*VLOOKUP('Données projet'!$B$15,Paramètres!$A$1:$I$88,5,0)</f>
        <v>#N/A</v>
      </c>
      <c r="DC73" s="34" t="e">
        <f t="shared" si="77"/>
        <v>#N/A</v>
      </c>
      <c r="DD73" s="44" t="e">
        <f t="shared" si="54"/>
        <v>#N/A</v>
      </c>
      <c r="DE73" s="36">
        <f>IF(ISNA(VLOOKUP(A73,'Données projet'!$A$191:$I$211,3,0)),0,VLOOKUP(A73,'Données projet'!$A$191:$I$211,3,0))</f>
        <v>0</v>
      </c>
      <c r="DF73" s="36">
        <f>IF(ISNA(VLOOKUP(A73,'Données projet'!$A$191:$I$211,4,0)),0,VLOOKUP(A73,'Données projet'!$A$191:$I$211,4,0))</f>
        <v>0</v>
      </c>
      <c r="DG73" s="37">
        <f>IF(ISNA(VLOOKUP(A73,'Données projet'!$A$191:$I$211,5,0)),0%,VLOOKUP(A73,'Données projet'!$A$191:$I$211,5,0)*VLOOKUP('Données projet'!$B$15,Paramètres!$A$1:$I$88,7,0))</f>
        <v>0</v>
      </c>
      <c r="DH73" s="37">
        <f>IF(ISNA(VLOOKUP(A73,'Données projet'!$A$191:$I$211,6,0)),0%,VLOOKUP(A73,'Données projet'!$A$191:$I$211,6,0)*VLOOKUP('Données projet'!$B$15,Paramètres!$A$1:$I$88,7,0))</f>
        <v>0</v>
      </c>
      <c r="DI73" s="37">
        <f>IF(ISNA(VLOOKUP(A73,'Données projet'!$A$191:$I$211,7,0)),0%,VLOOKUP(A73,'Données projet'!$A$191:$I$211,7,0))</f>
        <v>0</v>
      </c>
      <c r="DJ73" s="45">
        <f>EXP(-LN(2)/35)*DJ72+(1-EXP(-LN(2)/35))/(LN(2)/35)*DF73*DG73*VLOOKUP('Données projet'!$B$9,Paramètres!$A$1:$I$88,3,0)*0.475*44/12</f>
        <v>0</v>
      </c>
      <c r="DK73" s="45">
        <f>EXP(-LN(2)/25)*DK72+(1-EXP(-LN(2)/25))/(LN(2)/25)*Calculateur!DF73*Calculateur!DH73*VLOOKUP('Données projet'!$B$9,Paramètres!$A$1:$I$88,3,0)*0.475*44/12</f>
        <v>0</v>
      </c>
      <c r="DL73" s="45">
        <f>EXP(-LN(2)/2)*DL72+(1-EXP(-LN(2)/2))/(LN(2)/2)*DF73*DI73*VLOOKUP('Données projet'!$B$9,Paramètres!$A$1:$I$88,3,0)*0.475*44/12</f>
        <v>0</v>
      </c>
      <c r="DM73" s="46">
        <f t="shared" si="55"/>
        <v>0</v>
      </c>
      <c r="DN73" s="32" t="e">
        <f>VLOOKUP(A73,'Données projet'!$A$217:$I$237,2,0)</f>
        <v>#N/A</v>
      </c>
      <c r="DO73" s="33" t="e">
        <f>VLOOKUP(A73,'Données projet'!$A$217:$I$237,9,0)</f>
        <v>#N/A</v>
      </c>
      <c r="DP73" s="33">
        <f t="array" ref="DP73">INDEX(DO:DO,MIN(IF(ISNUMBER(DO73:DO269),ROW(DO73:DO269),"")))</f>
        <v>0</v>
      </c>
      <c r="DQ73" s="33">
        <f t="shared" si="78"/>
        <v>0</v>
      </c>
      <c r="DR73" s="38" t="e">
        <f>DQ73*VLOOKUP('Données projet'!$B$16,Paramètres!$A$1:$I$88,3,0)*VLOOKUP('Données projet'!$B$16,Paramètres!$A$1:$I$88,5,0)</f>
        <v>#N/A</v>
      </c>
      <c r="DS73" s="34" t="e">
        <f t="shared" si="79"/>
        <v>#N/A</v>
      </c>
      <c r="DT73" s="44" t="e">
        <f t="shared" si="56"/>
        <v>#N/A</v>
      </c>
      <c r="DU73" s="36">
        <f>IF(ISNA(VLOOKUP(A73,'Données projet'!$A$217:$I$237,3,0)),0,VLOOKUP(A73,'Données projet'!$A$217:$I$237,3,0))</f>
        <v>0</v>
      </c>
      <c r="DV73" s="36">
        <f>IF(ISNA(VLOOKUP(A73,'Données projet'!$A$217:$I$237,4,0)),0,VLOOKUP(A73,'Données projet'!$A$217:$I$237,4,0))</f>
        <v>0</v>
      </c>
      <c r="DW73" s="37">
        <f>IF(ISNA(VLOOKUP(A73,'Données projet'!$A$217:$I$237,5,0)),0%,VLOOKUP(A73,'Données projet'!$A$217:$I$237,5,0)*VLOOKUP('Données projet'!$B$16,Paramètres!$A$1:$I$88,7,0))</f>
        <v>0</v>
      </c>
      <c r="DX73" s="37">
        <f>IF(ISNA(VLOOKUP(A73,'Données projet'!$A$217:$I$237,6,0)),0%,VLOOKUP(A73,'Données projet'!$A$217:$I$237,6,0)*VLOOKUP('Données projet'!$B$16,Paramètres!$A$1:$I$88,7,0))</f>
        <v>0</v>
      </c>
      <c r="DY73" s="37">
        <f>IF(ISNA(VLOOKUP(A73,'Données projet'!$A$217:$I$237,7,0)),0%,VLOOKUP(A73,'Données projet'!$A$217:$I$237,7,0))</f>
        <v>0</v>
      </c>
      <c r="DZ73" s="45">
        <f>EXP(-LN(2)/35)*DZ72+(1-EXP(-LN(2)/35))/(LN(2)/35)*DV73*DW73*VLOOKUP('Données projet'!$B$9,Paramètres!$A$1:$I$88,3,0)*0.475*44/12</f>
        <v>0</v>
      </c>
      <c r="EA73" s="45">
        <f>EXP(-LN(2)/25)*EA72+(1-EXP(-LN(2)/25))/(LN(2)/25)*Calculateur!DV73*Calculateur!DX73*VLOOKUP('Données projet'!$B$9,Paramètres!$A$1:$I$88,3,0)*0.475*44/12</f>
        <v>0</v>
      </c>
      <c r="EB73" s="45">
        <f>EXP(-LN(2)/2)*EB72+(1-EXP(-LN(2)/2))/(LN(2)/2)*DV73*DY73*VLOOKUP('Données projet'!$B$9,Paramètres!$A$1:$I$88,3,0)*0.475*44/12</f>
        <v>0</v>
      </c>
      <c r="EC73" s="46">
        <f t="shared" si="57"/>
        <v>0</v>
      </c>
      <c r="ED73" s="32" t="e">
        <f>VLOOKUP(A73,'Données projet'!$A$243:$I$263,2,0)</f>
        <v>#N/A</v>
      </c>
      <c r="EE73" s="33" t="e">
        <f>VLOOKUP(A73,'Données projet'!$A$243:$I$263,9,0)</f>
        <v>#N/A</v>
      </c>
      <c r="EF73" s="33">
        <f t="array" ref="EF73">INDEX(EE:EE,MIN(IF(ISNUMBER(EE73:EE269),ROW(EE73:EE269),"")))</f>
        <v>0</v>
      </c>
      <c r="EG73" s="33">
        <f t="shared" si="80"/>
        <v>0</v>
      </c>
      <c r="EH73" s="38" t="e">
        <f>EG73*VLOOKUP('Données projet'!$B$17,Paramètres!$A$1:$I$88,3,0)*VLOOKUP('Données projet'!$B$17,Paramètres!$A$1:$I$88,5,0)</f>
        <v>#N/A</v>
      </c>
      <c r="EI73" s="34" t="e">
        <f t="shared" si="81"/>
        <v>#N/A</v>
      </c>
      <c r="EJ73" s="44" t="e">
        <f t="shared" si="58"/>
        <v>#N/A</v>
      </c>
      <c r="EK73" s="36">
        <f>IF(ISNA(VLOOKUP(A73,'Données projet'!$A$243:$I$263,3,0)),0,VLOOKUP(A73,'Données projet'!$A$243:$I$263,3,0))</f>
        <v>0</v>
      </c>
      <c r="EL73" s="36">
        <f>IF(ISNA(VLOOKUP(A73,'Données projet'!$A$243:$I$263,4,0)),0,VLOOKUP(A73,'Données projet'!$A$243:$I$263,4,0))</f>
        <v>0</v>
      </c>
      <c r="EM73" s="37">
        <f>IF(ISNA(VLOOKUP(A73,'Données projet'!$A$243:$I$263,5,0)),0%,VLOOKUP(A73,'Données projet'!$A$243:$I$263,5,0)*VLOOKUP('Données projet'!$B$17,Paramètres!$A$1:$I$88,7,0))</f>
        <v>0</v>
      </c>
      <c r="EN73" s="37">
        <f>IF(ISNA(VLOOKUP(A73,'Données projet'!$A$243:$I$263,6,0)),0%,VLOOKUP(A73,'Données projet'!$A$243:$I$263,6,0)*VLOOKUP('Données projet'!$B$17,Paramètres!$A$1:$I$88,7,0))</f>
        <v>0</v>
      </c>
      <c r="EO73" s="37">
        <f>IF(ISNA(VLOOKUP(A73,'Données projet'!$A$243:$I$263,7,0)),0%,VLOOKUP(A73,'Données projet'!$A$243:$I$263,7,0))</f>
        <v>0</v>
      </c>
      <c r="EP73" s="45">
        <f>EXP(-LN(2)/35)*EP72+(1-EXP(-LN(2)/35))/(LN(2)/35)*EL73*EM73*VLOOKUP('Données projet'!$B$9,Paramètres!$A$1:$I$88,3,0)*0.475*44/12</f>
        <v>0</v>
      </c>
      <c r="EQ73" s="45">
        <f>EXP(-LN(2)/25)*EQ72+(1-EXP(-LN(2)/25))/(LN(2)/25)*Calculateur!EL73*Calculateur!EN73*VLOOKUP('Données projet'!$B$9,Paramètres!$A$1:$I$88,3,0)*0.475*44/12</f>
        <v>0</v>
      </c>
      <c r="ER73" s="45">
        <f>EXP(-LN(2)/2)*ER72+(1-EXP(-LN(2)/2))/(LN(2)/2)*EL73*EO73*VLOOKUP('Données projet'!$B$9,Paramètres!$A$1:$I$88,3,0)*0.475*44/12</f>
        <v>0</v>
      </c>
      <c r="ES73" s="46">
        <f t="shared" si="59"/>
        <v>0</v>
      </c>
      <c r="ET73" s="32" t="e">
        <f>VLOOKUP(A73,'Données projet'!$A$269:$I$289,2,0)</f>
        <v>#N/A</v>
      </c>
      <c r="EU73" s="33" t="e">
        <f>VLOOKUP(A73,'Données projet'!$A$269:$I$289,9,0)</f>
        <v>#N/A</v>
      </c>
      <c r="EV73" s="33">
        <f t="array" ref="EV73">INDEX(EU:EU,MIN(IF(ISNUMBER(EU73:EU269),ROW(EU73:EU269),"")))</f>
        <v>0</v>
      </c>
      <c r="EW73" s="33">
        <f t="shared" si="82"/>
        <v>0</v>
      </c>
      <c r="EX73" s="38" t="e">
        <f>EW73*VLOOKUP('Données projet'!$B$18,Paramètres!$A$1:$I$88,3,0)*VLOOKUP('Données projet'!$B$18,Paramètres!$A$1:$I$88,5,0)</f>
        <v>#N/A</v>
      </c>
      <c r="EY73" s="34" t="e">
        <f t="shared" si="83"/>
        <v>#N/A</v>
      </c>
      <c r="EZ73" s="44" t="e">
        <f t="shared" si="60"/>
        <v>#N/A</v>
      </c>
      <c r="FA73" s="36">
        <f>IF(ISNA(VLOOKUP(A73,'Données projet'!$A$269:$I$289,3,0)),0,VLOOKUP(A73,'Données projet'!$A$269:$I$289,3,0))</f>
        <v>0</v>
      </c>
      <c r="FB73" s="36">
        <f>IF(ISNA(VLOOKUP(A73,'Données projet'!$A$269:$I$289,4,0)),0,VLOOKUP(A73,'Données projet'!$A$269:$I$289,4,0))</f>
        <v>0</v>
      </c>
      <c r="FC73" s="37">
        <f>IF(ISNA(VLOOKUP(A73,'Données projet'!$A$269:$I$289,5,0)),0%,VLOOKUP(A73,'Données projet'!$A$269:$I$289,5,0)*VLOOKUP('Données projet'!$B$18,Paramètres!$A$1:$I$88,7,0))</f>
        <v>0</v>
      </c>
      <c r="FD73" s="37">
        <f>IF(ISNA(VLOOKUP(A73,'Données projet'!$A$269:$I$289,6,0)),0%,VLOOKUP(A73,'Données projet'!$A$269:$I$289,6,0)*VLOOKUP('Données projet'!$B$18,Paramètres!$A$1:$I$88,7,0))</f>
        <v>0</v>
      </c>
      <c r="FE73" s="37">
        <f>IF(ISNA(VLOOKUP(A73,'Données projet'!$A$269:$I$289,7,0)),0%,VLOOKUP(A73,'Données projet'!$A$269:$I$289,7,0))</f>
        <v>0</v>
      </c>
      <c r="FF73" s="45">
        <f>EXP(-LN(2)/35)*FF72+(1-EXP(-LN(2)/35))/(LN(2)/35)*FB73*FC73*VLOOKUP('Données projet'!$B$9,Paramètres!$A$1:$I$88,3,0)*0.475*44/12</f>
        <v>0</v>
      </c>
      <c r="FG73" s="45">
        <f>EXP(-LN(2)/25)*FG72+(1-EXP(-LN(2)/25))/(LN(2)/25)*Calculateur!FB73*Calculateur!FD73*VLOOKUP('Données projet'!$B$9,Paramètres!$A$1:$I$88,3,0)*0.475*44/12</f>
        <v>0</v>
      </c>
      <c r="FH73" s="45">
        <f>EXP(-LN(2)/2)*FH72+(1-EXP(-LN(2)/2))/(LN(2)/2)*FB73*FE73*VLOOKUP('Données projet'!$B$9,Paramètres!$A$1:$I$88,3,0)*0.475*44/12</f>
        <v>0</v>
      </c>
      <c r="FI73" s="46">
        <f t="shared" si="61"/>
        <v>0</v>
      </c>
    </row>
    <row r="74" spans="1:165" x14ac:dyDescent="0.25">
      <c r="A74" s="24">
        <f t="shared" si="62"/>
        <v>71</v>
      </c>
      <c r="B74" s="25">
        <f>IF('Scénario référence'!$N$1=1,5,0)</f>
        <v>0</v>
      </c>
      <c r="C74" s="40">
        <f>IF(OR('Scénario référence'!$N$1=2,'Scénario référence'!$N$1=4),C73+1*VLOOKUP('Scénario référence'!$G$14,Paramètres!$A$1:$I$88,3,0)*VLOOKUP('Scénario référence'!$G$14,Paramètres!$A$1:$I$88,5,0),IF(OR('Scénario référence'!$N$1=3,'Scénario référence'!$N$1=5),C73+0.5*VLOOKUP('Scénario référence'!$G$14,Paramètres!$A$1:$I$88,3,0)*VLOOKUP('Scénario référence'!$G$14,Paramètres!$A$1:$I$88,5,0),0))</f>
        <v>38.76599999999997</v>
      </c>
      <c r="D74" s="26">
        <f t="shared" si="63"/>
        <v>11.670980969085333</v>
      </c>
      <c r="E74" s="27">
        <f>IF('Scénario référence'!$N$1=1,B74*44/12,(C74+D74)*0.475*44/12)</f>
        <v>87.844408521156922</v>
      </c>
      <c r="F74" s="28" t="e">
        <f>VLOOKUP(A74,'Données projet'!$A$35:$I$55,2,0)</f>
        <v>#N/A</v>
      </c>
      <c r="G74" s="28" t="e">
        <f>VLOOKUP(A74,'Données projet'!$A$35:$I$55,9,0)</f>
        <v>#N/A</v>
      </c>
      <c r="H74" s="33">
        <f t="array" ref="H74">INDEX(G:G,MIN(IF(ISNUMBER(G74:G270),ROW(G74:G270),"")))</f>
        <v>6.2</v>
      </c>
      <c r="I74" s="28">
        <f t="shared" si="64"/>
        <v>248.19999999999993</v>
      </c>
      <c r="J74" s="41">
        <f>I74*VLOOKUP('Données projet'!$B$9,Paramètres!$A$1:$I$88,3,0)*VLOOKUP('Données projet'!$B$9,Paramètres!$A$1:$I$88,5,0)</f>
        <v>251.67479999999995</v>
      </c>
      <c r="K74" s="41">
        <f t="shared" si="65"/>
        <v>60.944434584138449</v>
      </c>
      <c r="L74" s="42">
        <f t="shared" si="42"/>
        <v>544.47850023404101</v>
      </c>
      <c r="M74" s="30">
        <f>IF(ISNA(VLOOKUP(A74,'Données projet'!$A$35:$I$55,3,0)),0,VLOOKUP(A74,'Données projet'!$A$35:$I$55,3,0))</f>
        <v>0</v>
      </c>
      <c r="N74" s="30">
        <f>IF(ISNA(VLOOKUP(A74,'Données projet'!$A$35:$I$55,4,0)),0,VLOOKUP(A74,'Données projet'!$A$35:$I$55,4,0))</f>
        <v>0</v>
      </c>
      <c r="O74" s="31">
        <f>IF(ISNA(VLOOKUP(A74,'Données projet'!$A$35:$I$55,5,0)),0%,VLOOKUP(A74,'Données projet'!$A$35:$I$55,5,0)*VLOOKUP('Données projet'!$B$9,Paramètres!$A$1:$I$88,7,0))</f>
        <v>0</v>
      </c>
      <c r="P74" s="31">
        <f>IF(ISNA(VLOOKUP(A74,'Données projet'!$A$35:$I$55,6,0)),0%,VLOOKUP(A74,'Données projet'!$A$35:$I$55,6,0)*VLOOKUP('Données projet'!$B$9,Paramètres!$A$1:$I$88,7,0))</f>
        <v>0</v>
      </c>
      <c r="Q74" s="31">
        <f>IF(ISNA(VLOOKUP(A74,'Données projet'!$A$35:$I$55,7,0)),0%,VLOOKUP(A74,'Données projet'!$A$35:$I$55,7,0))</f>
        <v>0</v>
      </c>
      <c r="R74" s="43">
        <f>EXP(-LN(2)/35)*R73+(1-EXP(-LN(2)/35))/(LN(2)/35)*N74*O74*VLOOKUP('Données projet'!$B$9,Paramètres!$A$1:$I$88,3,0)*0.475*44/12</f>
        <v>0</v>
      </c>
      <c r="S74" s="43">
        <f>EXP(-LN(2)/25)*S73+(1-EXP(-LN(2)/25))/(LN(2)/25)*Calculateur!N74*Calculateur!P74*VLOOKUP('Données projet'!$B$9,Paramètres!$A$1:$I$88,3,0)*0.475*44/12</f>
        <v>0</v>
      </c>
      <c r="T74" s="43">
        <f>EXP(-LN(2)/2)*T73+(1-EXP(-LN(2)/2))/(LN(2)/2)*N74*Q74*VLOOKUP('Données projet'!$B$9,Paramètres!$A$1:$I$88,3,0)*0.475*44/12</f>
        <v>0</v>
      </c>
      <c r="U74" s="43">
        <f t="shared" si="43"/>
        <v>0</v>
      </c>
      <c r="V74" s="32" t="e">
        <f>VLOOKUP(A74,'Données projet'!$A$61:$I$81,2,0)</f>
        <v>#N/A</v>
      </c>
      <c r="W74" s="33" t="e">
        <f>VLOOKUP(A74,'Données projet'!$A$61:$I$81,9,0)</f>
        <v>#N/A</v>
      </c>
      <c r="X74" s="33">
        <f t="array" ref="X74">INDEX(W:W,MIN(IF(ISNUMBER(W74:W270),ROW(W74:W270),"")))</f>
        <v>0</v>
      </c>
      <c r="Y74" s="33">
        <f t="shared" si="66"/>
        <v>0</v>
      </c>
      <c r="Z74" s="34" t="e">
        <f>Y74*VLOOKUP('Données projet'!$B$10,Paramètres!$A$1:$I$88,3,0)*VLOOKUP('Données projet'!$B$10,Paramètres!$A$1:$I$88,5,0)</f>
        <v>#N/A</v>
      </c>
      <c r="AA74" s="34" t="e">
        <f t="shared" si="67"/>
        <v>#N/A</v>
      </c>
      <c r="AB74" s="44" t="e">
        <f t="shared" si="44"/>
        <v>#N/A</v>
      </c>
      <c r="AC74" s="36">
        <f>IF(ISNA(VLOOKUP(A74,'Données projet'!$A$61:$I$81,3,0)),0,VLOOKUP(A74,'Données projet'!$A$61:$I$81,3,0))</f>
        <v>0</v>
      </c>
      <c r="AD74" s="36">
        <f>IF(ISNA(VLOOKUP(A74,'Données projet'!$A$61:$I$81,4,0)),0,VLOOKUP(A74,'Données projet'!$A$61:$I$81,4,0))</f>
        <v>0</v>
      </c>
      <c r="AE74" s="37">
        <f>IF(ISNA(VLOOKUP(A74,'Données projet'!$A$61:$I$81,5,0)),0%,VLOOKUP(A74,'Données projet'!$A$61:$I$81,5,0)*VLOOKUP('Données projet'!$B$10,Paramètres!$A$1:$I$88,7,0))</f>
        <v>0</v>
      </c>
      <c r="AF74" s="37">
        <f>IF(ISNA(VLOOKUP(A74,'Données projet'!$A$61:$I$81,6,0)),0%,VLOOKUP(A74,'Données projet'!$A$61:$I$81,6,0)*VLOOKUP('Données projet'!$B$10,Paramètres!$A$1:$I$88,7,0))</f>
        <v>0</v>
      </c>
      <c r="AG74" s="37">
        <f>IF(ISNA(VLOOKUP(A74,'Données projet'!$A$61:$I$81,7,0)),0%,VLOOKUP(A74,'Données projet'!$A$61:$I$81,7,0))</f>
        <v>0</v>
      </c>
      <c r="AH74" s="45">
        <f>EXP(-LN(2)/35)*AH73+(1-EXP(-LN(2)/35))/(LN(2)/35)*AD74*AE74*VLOOKUP('Données projet'!$B$9,Paramètres!$A$1:$I$88,3,0)*0.475*44/12</f>
        <v>0</v>
      </c>
      <c r="AI74" s="45">
        <f>EXP(-LN(2)/25)*AI73+(1-EXP(-LN(2)/25))/(LN(2)/25)*Calculateur!AD74*Calculateur!AF74*VLOOKUP('Données projet'!$B$9,Paramètres!$A$1:$I$88,3,0)*0.475*44/12</f>
        <v>0</v>
      </c>
      <c r="AJ74" s="45">
        <f>EXP(-LN(2)/2)*AJ73+(1-EXP(-LN(2)/2))/(LN(2)/2)*AD74*AG74*VLOOKUP('Données projet'!$B$9,Paramètres!$A$1:$I$88,3,0)*0.475*44/12</f>
        <v>0</v>
      </c>
      <c r="AK74" s="45">
        <f t="shared" si="45"/>
        <v>0</v>
      </c>
      <c r="AL74" s="32" t="e">
        <f>VLOOKUP(A74,'Données projet'!$A$87:$I$107,2,0)</f>
        <v>#N/A</v>
      </c>
      <c r="AM74" s="33" t="e">
        <f>VLOOKUP(A74,'Données projet'!$A$87:$I$107,9,0)</f>
        <v>#N/A</v>
      </c>
      <c r="AN74" s="33">
        <f t="array" ref="AN74">INDEX(AM:AM,MIN(IF(ISNUMBER(AM74:AM270),ROW(AM74:AM270),"")))</f>
        <v>0</v>
      </c>
      <c r="AO74" s="33">
        <f t="shared" si="68"/>
        <v>0</v>
      </c>
      <c r="AP74" s="34" t="e">
        <f>AO74*VLOOKUP('Données projet'!$B$11,Paramètres!$A$1:$I$88,3,0)*VLOOKUP('Données projet'!$B$11,Paramètres!$A$1:$I$88,5,0)</f>
        <v>#N/A</v>
      </c>
      <c r="AQ74" s="34" t="e">
        <f t="shared" si="69"/>
        <v>#N/A</v>
      </c>
      <c r="AR74" s="44" t="e">
        <f t="shared" si="46"/>
        <v>#N/A</v>
      </c>
      <c r="AS74" s="36">
        <f>IF(ISNA(VLOOKUP(A74,'Données projet'!$A$87:$I$107,3,0)),0,VLOOKUP(A74,'Données projet'!$A$87:$I$107,3,0))</f>
        <v>0</v>
      </c>
      <c r="AT74" s="36">
        <f>IF(ISNA(VLOOKUP(A74,'Données projet'!$A$87:$I$107,4,0)),0,VLOOKUP(A74,'Données projet'!$A$87:$I$107,4,0))</f>
        <v>0</v>
      </c>
      <c r="AU74" s="37">
        <f>IF(ISNA(VLOOKUP(A74,'Données projet'!$A$87:$I$107,5,0)),0%,VLOOKUP(A74,'Données projet'!$A$87:$I$107,5,0)*VLOOKUP('Données projet'!$B$11,Paramètres!$A$1:$I$88,7,0))</f>
        <v>0</v>
      </c>
      <c r="AV74" s="37">
        <f>IF(ISNA(VLOOKUP(A74,'Données projet'!$A$87:$I$107,6,0)),0%,VLOOKUP(A74,'Données projet'!$A$87:$I$107,6,0)*VLOOKUP('Données projet'!$B$11,Paramètres!$A$1:$I$88,7,0))</f>
        <v>0</v>
      </c>
      <c r="AW74" s="37">
        <f>IF(ISNA(VLOOKUP(A74,'Données projet'!$A$87:$I$107,7,0)),0%,VLOOKUP(A74,'Données projet'!$A$87:$I$107,7,0))</f>
        <v>0</v>
      </c>
      <c r="AX74" s="45">
        <f>EXP(-LN(2)/35)*AX73+(1-EXP(-LN(2)/35))/(LN(2)/35)*AT74*AU74*VLOOKUP('Données projet'!$B$9,Paramètres!$A$1:$I$88,3,0)*0.475*44/12</f>
        <v>0</v>
      </c>
      <c r="AY74" s="45">
        <f>EXP(-LN(2)/25)*AY73+(1-EXP(-LN(2)/25))/(LN(2)/25)*Calculateur!AT74*Calculateur!AV74*VLOOKUP('Données projet'!$B$9,Paramètres!$A$1:$I$88,3,0)*0.475*44/12</f>
        <v>0</v>
      </c>
      <c r="AZ74" s="45">
        <f>EXP(-LN(2)/2)*AZ73+(1-EXP(-LN(2)/2))/(LN(2)/2)*AT74*AW74*VLOOKUP('Données projet'!$B$9,Paramètres!$A$1:$I$88,3,0)*0.475*44/12</f>
        <v>0</v>
      </c>
      <c r="BA74" s="46">
        <f t="shared" si="47"/>
        <v>0</v>
      </c>
      <c r="BB74" s="32" t="e">
        <f>VLOOKUP(A74,'Données projet'!$A$113:$I$133,2,0)</f>
        <v>#N/A</v>
      </c>
      <c r="BC74" s="33" t="e">
        <f>VLOOKUP(A74,'Données projet'!$A$113:$I$133,9,0)</f>
        <v>#N/A</v>
      </c>
      <c r="BD74" s="33">
        <f t="array" ref="BD74">INDEX(BC:BC,MIN(IF(ISNUMBER(BC74:BC270),ROW(BC74:BC270),"")))</f>
        <v>0</v>
      </c>
      <c r="BE74" s="33">
        <f t="shared" si="70"/>
        <v>0</v>
      </c>
      <c r="BF74" s="34" t="e">
        <f>BE74*VLOOKUP('Données projet'!$B$12,Paramètres!$A$1:$I$88,3,0)*VLOOKUP('Données projet'!$B$12,Paramètres!$A$1:$I$88,5,0)</f>
        <v>#N/A</v>
      </c>
      <c r="BG74" s="34" t="e">
        <f t="shared" si="71"/>
        <v>#N/A</v>
      </c>
      <c r="BH74" s="44" t="e">
        <f t="shared" si="48"/>
        <v>#N/A</v>
      </c>
      <c r="BI74" s="36">
        <f>IF(ISNA(VLOOKUP(A74,'Données projet'!$A$113:$I$133,3,0)),0,VLOOKUP(A74,'Données projet'!$A$113:$I$133,3,0))</f>
        <v>0</v>
      </c>
      <c r="BJ74" s="36">
        <f>IF(ISNA(VLOOKUP(A74,'Données projet'!$A$113:$I$133,4,0)),0,VLOOKUP(A74,'Données projet'!$A$113:$I$133,4,0))</f>
        <v>0</v>
      </c>
      <c r="BK74" s="37">
        <f>IF(ISNA(VLOOKUP(A74,'Données projet'!$A$113:$I$133,5,0)),0%,VLOOKUP(A74,'Données projet'!$A$113:$I$133,5,0)*VLOOKUP('Données projet'!$B$12,Paramètres!$A$1:$I$88,7,0))</f>
        <v>0</v>
      </c>
      <c r="BL74" s="37">
        <f>IF(ISNA(VLOOKUP(A74,'Données projet'!$A$113:$I$133,6,0)),0%,VLOOKUP(A74,'Données projet'!$A$113:$I$133,6,0)*VLOOKUP('Données projet'!$B$12,Paramètres!$A$1:$I$88,7,0))</f>
        <v>0</v>
      </c>
      <c r="BM74" s="37">
        <f>IF(ISNA(VLOOKUP(A74,'Données projet'!$A$113:$I$133,7,0)),0%,VLOOKUP(A74,'Données projet'!$A$113:$I$133,7,0))</f>
        <v>0</v>
      </c>
      <c r="BN74" s="45">
        <f>EXP(-LN(2)/35)*BN73+(1-EXP(-LN(2)/35))/(LN(2)/35)*BJ74*BK74*VLOOKUP('Données projet'!$B$9,Paramètres!$A$1:$I$88,3,0)*0.475*44/12</f>
        <v>0</v>
      </c>
      <c r="BO74" s="45">
        <f>EXP(-LN(2)/25)*BO73+(1-EXP(-LN(2)/25))/(LN(2)/25)*Calculateur!BJ74*Calculateur!BL74*VLOOKUP('Données projet'!$B$9,Paramètres!$A$1:$I$88,3,0)*0.475*44/12</f>
        <v>0</v>
      </c>
      <c r="BP74" s="45">
        <f>EXP(-LN(2)/2)*BP73+(1-EXP(-LN(2)/2))/(LN(2)/2)*BJ74*BM74*VLOOKUP('Données projet'!$B$9,Paramètres!$A$1:$I$88,3,0)*0.475*44/12</f>
        <v>0</v>
      </c>
      <c r="BQ74" s="46">
        <f t="shared" si="49"/>
        <v>0</v>
      </c>
      <c r="BR74" s="32" t="e">
        <f>VLOOKUP(A74,'Données projet'!$A$139:$I$159,2,0)</f>
        <v>#N/A</v>
      </c>
      <c r="BS74" s="33" t="e">
        <f>VLOOKUP(A74,'Données projet'!$A$139:$I$159,9,0)</f>
        <v>#N/A</v>
      </c>
      <c r="BT74" s="33">
        <f t="array" ref="BT74">INDEX(BS:BS,MIN(IF(ISNUMBER(BS74:BS270),ROW(BS74:BS270),"")))</f>
        <v>0</v>
      </c>
      <c r="BU74" s="33">
        <f t="shared" si="72"/>
        <v>0</v>
      </c>
      <c r="BV74" s="38" t="e">
        <f>BU74*VLOOKUP('Données projet'!$B$13,Paramètres!$A$1:$I$88,3,0)*VLOOKUP('Données projet'!$B$13,Paramètres!$A$1:$I$88,5,0)</f>
        <v>#N/A</v>
      </c>
      <c r="BW74" s="34" t="e">
        <f t="shared" si="73"/>
        <v>#N/A</v>
      </c>
      <c r="BX74" s="44" t="e">
        <f t="shared" si="50"/>
        <v>#N/A</v>
      </c>
      <c r="BY74" s="36">
        <f>IF(ISNA(VLOOKUP(A74,'Données projet'!$A$139:$I$159,3,0)),0,VLOOKUP(A74,'Données projet'!$A$139:$I$159,3,0))</f>
        <v>0</v>
      </c>
      <c r="BZ74" s="36">
        <f>IF(ISNA(VLOOKUP(A74,'Données projet'!$A$139:$I$159,4,0)),0,VLOOKUP(A74,'Données projet'!$A$139:$I$159,4,0))</f>
        <v>0</v>
      </c>
      <c r="CA74" s="37">
        <f>IF(ISNA(VLOOKUP(A74,'Données projet'!$A$139:$I$159,5,0)),0%,VLOOKUP(A74,'Données projet'!$A$139:$I$159,5,0)*VLOOKUP('Données projet'!$B$13,Paramètres!$A$1:$I$88,7,0))</f>
        <v>0</v>
      </c>
      <c r="CB74" s="37">
        <f>IF(ISNA(VLOOKUP(A74,'Données projet'!$A$139:$I$159,6,0)),0%,VLOOKUP(A74,'Données projet'!$A$139:$I$159,6,0)*VLOOKUP('Données projet'!$B$13,Paramètres!$A$1:$I$88,7,0))</f>
        <v>0</v>
      </c>
      <c r="CC74" s="37">
        <f>IF(ISNA(VLOOKUP(A74,'Données projet'!$A$139:$I$159,7,0)),0%,VLOOKUP(A74,'Données projet'!$A$139:$I$159,7,0))</f>
        <v>0</v>
      </c>
      <c r="CD74" s="45">
        <f>EXP(-LN(2)/35)*CD73+(1-EXP(-LN(2)/35))/(LN(2)/35)*BZ74*CA74*VLOOKUP('Données projet'!$B$9,Paramètres!$A$1:$I$88,3,0)*0.475*44/12</f>
        <v>0</v>
      </c>
      <c r="CE74" s="45">
        <f>EXP(-LN(2)/25)*CE73+(1-EXP(-LN(2)/25))/(LN(2)/25)*Calculateur!BZ74*Calculateur!CB74*VLOOKUP('Données projet'!$B$9,Paramètres!$A$1:$I$88,3,0)*0.475*44/12</f>
        <v>0</v>
      </c>
      <c r="CF74" s="45">
        <f>EXP(-LN(2)/2)*CF73+(1-EXP(-LN(2)/2))/(LN(2)/2)*BZ74*CC74*VLOOKUP('Données projet'!$B$9,Paramètres!$A$1:$I$88,3,0)*0.475*44/12</f>
        <v>0</v>
      </c>
      <c r="CG74" s="46">
        <f t="shared" si="51"/>
        <v>0</v>
      </c>
      <c r="CH74" s="32" t="e">
        <f>VLOOKUP(A74,'Données projet'!$A$165:$I$185,2,0)</f>
        <v>#N/A</v>
      </c>
      <c r="CI74" s="33" t="e">
        <f>VLOOKUP(A74,'Données projet'!$A$165:$I$185,9,0)</f>
        <v>#N/A</v>
      </c>
      <c r="CJ74" s="33">
        <f t="array" ref="CJ74">INDEX(CI:CI,MIN(IF(ISNUMBER(CI74:CI270),ROW(CI74:CI270),"")))</f>
        <v>0</v>
      </c>
      <c r="CK74" s="33">
        <f t="shared" si="74"/>
        <v>0</v>
      </c>
      <c r="CL74" s="38" t="e">
        <f>CK74*VLOOKUP('Données projet'!$B$14,Paramètres!$A$1:$I$88,3,0)*VLOOKUP('Données projet'!$B$14,Paramètres!$A$1:$I$88,5,0)</f>
        <v>#N/A</v>
      </c>
      <c r="CM74" s="34" t="e">
        <f t="shared" si="75"/>
        <v>#N/A</v>
      </c>
      <c r="CN74" s="44" t="e">
        <f t="shared" si="52"/>
        <v>#N/A</v>
      </c>
      <c r="CO74" s="36">
        <f>IF(ISNA(VLOOKUP(A74,'Données projet'!$A$165:$I$185,3,0)),0,VLOOKUP(A74,'Données projet'!$A$165:$I$185,3,0))</f>
        <v>0</v>
      </c>
      <c r="CP74" s="36">
        <f>IF(ISNA(VLOOKUP(A74,'Données projet'!$A$165:$I$185,4,0)),0,VLOOKUP(A74,'Données projet'!$A$165:$I$185,4,0))</f>
        <v>0</v>
      </c>
      <c r="CQ74" s="37">
        <f>IF(ISNA(VLOOKUP(A74,'Données projet'!$A$165:$I$185,5,0)),0%,VLOOKUP(A74,'Données projet'!$A$165:$I$185,5,0)*VLOOKUP('Données projet'!$B$14,Paramètres!$A$1:$I$88,7,0))</f>
        <v>0</v>
      </c>
      <c r="CR74" s="37">
        <f>IF(ISNA(VLOOKUP(A74,'Données projet'!$A$165:$I$185,6,0)),0%,VLOOKUP(A74,'Données projet'!$A$165:$I$185,6,0)*VLOOKUP('Données projet'!$B$14,Paramètres!$A$1:$I$88,7,0))</f>
        <v>0</v>
      </c>
      <c r="CS74" s="37">
        <f>IF(ISNA(VLOOKUP(A74,'Données projet'!$A$165:$I$185,7,0)),0%,VLOOKUP(A74,'Données projet'!$A$165:$I$185,7,0))</f>
        <v>0</v>
      </c>
      <c r="CT74" s="45">
        <f>EXP(-LN(2)/35)*CT73+(1-EXP(-LN(2)/35))/(LN(2)/35)*CP74*CQ74*VLOOKUP('Données projet'!$B$9,Paramètres!$A$1:$I$88,3,0)*0.475*44/12</f>
        <v>0</v>
      </c>
      <c r="CU74" s="45">
        <f>EXP(-LN(2)/25)*CU73+(1-EXP(-LN(2)/25))/(LN(2)/25)*Calculateur!CP74*Calculateur!CR74*VLOOKUP('Données projet'!$B$9,Paramètres!$A$1:$I$88,3,0)*0.475*44/12</f>
        <v>0</v>
      </c>
      <c r="CV74" s="45">
        <f>EXP(-LN(2)/2)*CV73+(1-EXP(-LN(2)/2))/(LN(2)/2)*CP74*CS74*VLOOKUP('Données projet'!$B$9,Paramètres!$A$1:$I$88,3,0)*0.475*44/12</f>
        <v>0</v>
      </c>
      <c r="CW74" s="46">
        <f t="shared" si="53"/>
        <v>0</v>
      </c>
      <c r="CX74" s="32" t="e">
        <f>VLOOKUP(A74,'Données projet'!$A$191:$I$211,2,0)</f>
        <v>#N/A</v>
      </c>
      <c r="CY74" s="33" t="e">
        <f>VLOOKUP(A74,'Données projet'!$A$191:$I$211,9,0)</f>
        <v>#N/A</v>
      </c>
      <c r="CZ74" s="33">
        <f t="array" ref="CZ74">INDEX(CY:CY,MIN(IF(ISNUMBER(CY74:CY270),ROW(CY74:CY270),"")))</f>
        <v>0</v>
      </c>
      <c r="DA74" s="33">
        <f t="shared" si="76"/>
        <v>0</v>
      </c>
      <c r="DB74" s="38" t="e">
        <f>DA74*VLOOKUP('Données projet'!$B$15,Paramètres!$A$1:$I$88,3,0)*VLOOKUP('Données projet'!$B$15,Paramètres!$A$1:$I$88,5,0)</f>
        <v>#N/A</v>
      </c>
      <c r="DC74" s="34" t="e">
        <f t="shared" si="77"/>
        <v>#N/A</v>
      </c>
      <c r="DD74" s="44" t="e">
        <f t="shared" si="54"/>
        <v>#N/A</v>
      </c>
      <c r="DE74" s="36">
        <f>IF(ISNA(VLOOKUP(A74,'Données projet'!$A$191:$I$211,3,0)),0,VLOOKUP(A74,'Données projet'!$A$191:$I$211,3,0))</f>
        <v>0</v>
      </c>
      <c r="DF74" s="36">
        <f>IF(ISNA(VLOOKUP(A74,'Données projet'!$A$191:$I$211,4,0)),0,VLOOKUP(A74,'Données projet'!$A$191:$I$211,4,0))</f>
        <v>0</v>
      </c>
      <c r="DG74" s="37">
        <f>IF(ISNA(VLOOKUP(A74,'Données projet'!$A$191:$I$211,5,0)),0%,VLOOKUP(A74,'Données projet'!$A$191:$I$211,5,0)*VLOOKUP('Données projet'!$B$15,Paramètres!$A$1:$I$88,7,0))</f>
        <v>0</v>
      </c>
      <c r="DH74" s="37">
        <f>IF(ISNA(VLOOKUP(A74,'Données projet'!$A$191:$I$211,6,0)),0%,VLOOKUP(A74,'Données projet'!$A$191:$I$211,6,0)*VLOOKUP('Données projet'!$B$15,Paramètres!$A$1:$I$88,7,0))</f>
        <v>0</v>
      </c>
      <c r="DI74" s="37">
        <f>IF(ISNA(VLOOKUP(A74,'Données projet'!$A$191:$I$211,7,0)),0%,VLOOKUP(A74,'Données projet'!$A$191:$I$211,7,0))</f>
        <v>0</v>
      </c>
      <c r="DJ74" s="45">
        <f>EXP(-LN(2)/35)*DJ73+(1-EXP(-LN(2)/35))/(LN(2)/35)*DF74*DG74*VLOOKUP('Données projet'!$B$9,Paramètres!$A$1:$I$88,3,0)*0.475*44/12</f>
        <v>0</v>
      </c>
      <c r="DK74" s="45">
        <f>EXP(-LN(2)/25)*DK73+(1-EXP(-LN(2)/25))/(LN(2)/25)*Calculateur!DF74*Calculateur!DH74*VLOOKUP('Données projet'!$B$9,Paramètres!$A$1:$I$88,3,0)*0.475*44/12</f>
        <v>0</v>
      </c>
      <c r="DL74" s="45">
        <f>EXP(-LN(2)/2)*DL73+(1-EXP(-LN(2)/2))/(LN(2)/2)*DF74*DI74*VLOOKUP('Données projet'!$B$9,Paramètres!$A$1:$I$88,3,0)*0.475*44/12</f>
        <v>0</v>
      </c>
      <c r="DM74" s="46">
        <f t="shared" si="55"/>
        <v>0</v>
      </c>
      <c r="DN74" s="32" t="e">
        <f>VLOOKUP(A74,'Données projet'!$A$217:$I$237,2,0)</f>
        <v>#N/A</v>
      </c>
      <c r="DO74" s="33" t="e">
        <f>VLOOKUP(A74,'Données projet'!$A$217:$I$237,9,0)</f>
        <v>#N/A</v>
      </c>
      <c r="DP74" s="33">
        <f t="array" ref="DP74">INDEX(DO:DO,MIN(IF(ISNUMBER(DO74:DO270),ROW(DO74:DO270),"")))</f>
        <v>0</v>
      </c>
      <c r="DQ74" s="33">
        <f t="shared" si="78"/>
        <v>0</v>
      </c>
      <c r="DR74" s="38" t="e">
        <f>DQ74*VLOOKUP('Données projet'!$B$16,Paramètres!$A$1:$I$88,3,0)*VLOOKUP('Données projet'!$B$16,Paramètres!$A$1:$I$88,5,0)</f>
        <v>#N/A</v>
      </c>
      <c r="DS74" s="34" t="e">
        <f t="shared" si="79"/>
        <v>#N/A</v>
      </c>
      <c r="DT74" s="44" t="e">
        <f t="shared" si="56"/>
        <v>#N/A</v>
      </c>
      <c r="DU74" s="36">
        <f>IF(ISNA(VLOOKUP(A74,'Données projet'!$A$217:$I$237,3,0)),0,VLOOKUP(A74,'Données projet'!$A$217:$I$237,3,0))</f>
        <v>0</v>
      </c>
      <c r="DV74" s="36">
        <f>IF(ISNA(VLOOKUP(A74,'Données projet'!$A$217:$I$237,4,0)),0,VLOOKUP(A74,'Données projet'!$A$217:$I$237,4,0))</f>
        <v>0</v>
      </c>
      <c r="DW74" s="37">
        <f>IF(ISNA(VLOOKUP(A74,'Données projet'!$A$217:$I$237,5,0)),0%,VLOOKUP(A74,'Données projet'!$A$217:$I$237,5,0)*VLOOKUP('Données projet'!$B$16,Paramètres!$A$1:$I$88,7,0))</f>
        <v>0</v>
      </c>
      <c r="DX74" s="37">
        <f>IF(ISNA(VLOOKUP(A74,'Données projet'!$A$217:$I$237,6,0)),0%,VLOOKUP(A74,'Données projet'!$A$217:$I$237,6,0)*VLOOKUP('Données projet'!$B$16,Paramètres!$A$1:$I$88,7,0))</f>
        <v>0</v>
      </c>
      <c r="DY74" s="37">
        <f>IF(ISNA(VLOOKUP(A74,'Données projet'!$A$217:$I$237,7,0)),0%,VLOOKUP(A74,'Données projet'!$A$217:$I$237,7,0))</f>
        <v>0</v>
      </c>
      <c r="DZ74" s="45">
        <f>EXP(-LN(2)/35)*DZ73+(1-EXP(-LN(2)/35))/(LN(2)/35)*DV74*DW74*VLOOKUP('Données projet'!$B$9,Paramètres!$A$1:$I$88,3,0)*0.475*44/12</f>
        <v>0</v>
      </c>
      <c r="EA74" s="45">
        <f>EXP(-LN(2)/25)*EA73+(1-EXP(-LN(2)/25))/(LN(2)/25)*Calculateur!DV74*Calculateur!DX74*VLOOKUP('Données projet'!$B$9,Paramètres!$A$1:$I$88,3,0)*0.475*44/12</f>
        <v>0</v>
      </c>
      <c r="EB74" s="45">
        <f>EXP(-LN(2)/2)*EB73+(1-EXP(-LN(2)/2))/(LN(2)/2)*DV74*DY74*VLOOKUP('Données projet'!$B$9,Paramètres!$A$1:$I$88,3,0)*0.475*44/12</f>
        <v>0</v>
      </c>
      <c r="EC74" s="46">
        <f t="shared" si="57"/>
        <v>0</v>
      </c>
      <c r="ED74" s="32" t="e">
        <f>VLOOKUP(A74,'Données projet'!$A$243:$I$263,2,0)</f>
        <v>#N/A</v>
      </c>
      <c r="EE74" s="33" t="e">
        <f>VLOOKUP(A74,'Données projet'!$A$243:$I$263,9,0)</f>
        <v>#N/A</v>
      </c>
      <c r="EF74" s="33">
        <f t="array" ref="EF74">INDEX(EE:EE,MIN(IF(ISNUMBER(EE74:EE270),ROW(EE74:EE270),"")))</f>
        <v>0</v>
      </c>
      <c r="EG74" s="33">
        <f t="shared" si="80"/>
        <v>0</v>
      </c>
      <c r="EH74" s="38" t="e">
        <f>EG74*VLOOKUP('Données projet'!$B$17,Paramètres!$A$1:$I$88,3,0)*VLOOKUP('Données projet'!$B$17,Paramètres!$A$1:$I$88,5,0)</f>
        <v>#N/A</v>
      </c>
      <c r="EI74" s="34" t="e">
        <f t="shared" si="81"/>
        <v>#N/A</v>
      </c>
      <c r="EJ74" s="44" t="e">
        <f t="shared" si="58"/>
        <v>#N/A</v>
      </c>
      <c r="EK74" s="36">
        <f>IF(ISNA(VLOOKUP(A74,'Données projet'!$A$243:$I$263,3,0)),0,VLOOKUP(A74,'Données projet'!$A$243:$I$263,3,0))</f>
        <v>0</v>
      </c>
      <c r="EL74" s="36">
        <f>IF(ISNA(VLOOKUP(A74,'Données projet'!$A$243:$I$263,4,0)),0,VLOOKUP(A74,'Données projet'!$A$243:$I$263,4,0))</f>
        <v>0</v>
      </c>
      <c r="EM74" s="37">
        <f>IF(ISNA(VLOOKUP(A74,'Données projet'!$A$243:$I$263,5,0)),0%,VLOOKUP(A74,'Données projet'!$A$243:$I$263,5,0)*VLOOKUP('Données projet'!$B$17,Paramètres!$A$1:$I$88,7,0))</f>
        <v>0</v>
      </c>
      <c r="EN74" s="37">
        <f>IF(ISNA(VLOOKUP(A74,'Données projet'!$A$243:$I$263,6,0)),0%,VLOOKUP(A74,'Données projet'!$A$243:$I$263,6,0)*VLOOKUP('Données projet'!$B$17,Paramètres!$A$1:$I$88,7,0))</f>
        <v>0</v>
      </c>
      <c r="EO74" s="37">
        <f>IF(ISNA(VLOOKUP(A74,'Données projet'!$A$243:$I$263,7,0)),0%,VLOOKUP(A74,'Données projet'!$A$243:$I$263,7,0))</f>
        <v>0</v>
      </c>
      <c r="EP74" s="45">
        <f>EXP(-LN(2)/35)*EP73+(1-EXP(-LN(2)/35))/(LN(2)/35)*EL74*EM74*VLOOKUP('Données projet'!$B$9,Paramètres!$A$1:$I$88,3,0)*0.475*44/12</f>
        <v>0</v>
      </c>
      <c r="EQ74" s="45">
        <f>EXP(-LN(2)/25)*EQ73+(1-EXP(-LN(2)/25))/(LN(2)/25)*Calculateur!EL74*Calculateur!EN74*VLOOKUP('Données projet'!$B$9,Paramètres!$A$1:$I$88,3,0)*0.475*44/12</f>
        <v>0</v>
      </c>
      <c r="ER74" s="45">
        <f>EXP(-LN(2)/2)*ER73+(1-EXP(-LN(2)/2))/(LN(2)/2)*EL74*EO74*VLOOKUP('Données projet'!$B$9,Paramètres!$A$1:$I$88,3,0)*0.475*44/12</f>
        <v>0</v>
      </c>
      <c r="ES74" s="46">
        <f t="shared" si="59"/>
        <v>0</v>
      </c>
      <c r="ET74" s="32" t="e">
        <f>VLOOKUP(A74,'Données projet'!$A$269:$I$289,2,0)</f>
        <v>#N/A</v>
      </c>
      <c r="EU74" s="33" t="e">
        <f>VLOOKUP(A74,'Données projet'!$A$269:$I$289,9,0)</f>
        <v>#N/A</v>
      </c>
      <c r="EV74" s="33">
        <f t="array" ref="EV74">INDEX(EU:EU,MIN(IF(ISNUMBER(EU74:EU270),ROW(EU74:EU270),"")))</f>
        <v>0</v>
      </c>
      <c r="EW74" s="33">
        <f t="shared" si="82"/>
        <v>0</v>
      </c>
      <c r="EX74" s="38" t="e">
        <f>EW74*VLOOKUP('Données projet'!$B$18,Paramètres!$A$1:$I$88,3,0)*VLOOKUP('Données projet'!$B$18,Paramètres!$A$1:$I$88,5,0)</f>
        <v>#N/A</v>
      </c>
      <c r="EY74" s="34" t="e">
        <f t="shared" si="83"/>
        <v>#N/A</v>
      </c>
      <c r="EZ74" s="44" t="e">
        <f t="shared" si="60"/>
        <v>#N/A</v>
      </c>
      <c r="FA74" s="36">
        <f>IF(ISNA(VLOOKUP(A74,'Données projet'!$A$269:$I$289,3,0)),0,VLOOKUP(A74,'Données projet'!$A$269:$I$289,3,0))</f>
        <v>0</v>
      </c>
      <c r="FB74" s="36">
        <f>IF(ISNA(VLOOKUP(A74,'Données projet'!$A$269:$I$289,4,0)),0,VLOOKUP(A74,'Données projet'!$A$269:$I$289,4,0))</f>
        <v>0</v>
      </c>
      <c r="FC74" s="37">
        <f>IF(ISNA(VLOOKUP(A74,'Données projet'!$A$269:$I$289,5,0)),0%,VLOOKUP(A74,'Données projet'!$A$269:$I$289,5,0)*VLOOKUP('Données projet'!$B$18,Paramètres!$A$1:$I$88,7,0))</f>
        <v>0</v>
      </c>
      <c r="FD74" s="37">
        <f>IF(ISNA(VLOOKUP(A74,'Données projet'!$A$269:$I$289,6,0)),0%,VLOOKUP(A74,'Données projet'!$A$269:$I$289,6,0)*VLOOKUP('Données projet'!$B$18,Paramètres!$A$1:$I$88,7,0))</f>
        <v>0</v>
      </c>
      <c r="FE74" s="37">
        <f>IF(ISNA(VLOOKUP(A74,'Données projet'!$A$269:$I$289,7,0)),0%,VLOOKUP(A74,'Données projet'!$A$269:$I$289,7,0))</f>
        <v>0</v>
      </c>
      <c r="FF74" s="45">
        <f>EXP(-LN(2)/35)*FF73+(1-EXP(-LN(2)/35))/(LN(2)/35)*FB74*FC74*VLOOKUP('Données projet'!$B$9,Paramètres!$A$1:$I$88,3,0)*0.475*44/12</f>
        <v>0</v>
      </c>
      <c r="FG74" s="45">
        <f>EXP(-LN(2)/25)*FG73+(1-EXP(-LN(2)/25))/(LN(2)/25)*Calculateur!FB74*Calculateur!FD74*VLOOKUP('Données projet'!$B$9,Paramètres!$A$1:$I$88,3,0)*0.475*44/12</f>
        <v>0</v>
      </c>
      <c r="FH74" s="45">
        <f>EXP(-LN(2)/2)*FH73+(1-EXP(-LN(2)/2))/(LN(2)/2)*FB74*FE74*VLOOKUP('Données projet'!$B$9,Paramètres!$A$1:$I$88,3,0)*0.475*44/12</f>
        <v>0</v>
      </c>
      <c r="FI74" s="46">
        <f t="shared" si="61"/>
        <v>0</v>
      </c>
    </row>
    <row r="75" spans="1:165" x14ac:dyDescent="0.25">
      <c r="A75" s="24">
        <f t="shared" si="62"/>
        <v>72</v>
      </c>
      <c r="B75" s="25">
        <f>IF('Scénario référence'!$N$1=1,5,0)</f>
        <v>0</v>
      </c>
      <c r="C75" s="40">
        <f>IF(OR('Scénario référence'!$N$1=2,'Scénario référence'!$N$1=4),C74+1*VLOOKUP('Scénario référence'!$G$14,Paramètres!$A$1:$I$88,3,0)*VLOOKUP('Scénario référence'!$G$14,Paramètres!$A$1:$I$88,5,0),IF(OR('Scénario référence'!$N$1=3,'Scénario référence'!$N$1=5),C74+0.5*VLOOKUP('Scénario référence'!$G$14,Paramètres!$A$1:$I$88,3,0)*VLOOKUP('Scénario référence'!$G$14,Paramètres!$A$1:$I$88,5,0),0))</f>
        <v>39.311999999999969</v>
      </c>
      <c r="D75" s="26">
        <f t="shared" si="63"/>
        <v>11.816108707618389</v>
      </c>
      <c r="E75" s="27">
        <f>IF('Scénario référence'!$N$1=1,B75*44/12,(C75+D75)*0.475*44/12)</f>
        <v>89.048122665768645</v>
      </c>
      <c r="F75" s="28" t="e">
        <f>VLOOKUP(A75,'Données projet'!$A$35:$I$55,2,0)</f>
        <v>#N/A</v>
      </c>
      <c r="G75" s="28" t="e">
        <f>VLOOKUP(A75,'Données projet'!$A$35:$I$55,9,0)</f>
        <v>#N/A</v>
      </c>
      <c r="H75" s="33">
        <f t="array" ref="H75">INDEX(G:G,MIN(IF(ISNUMBER(G75:G271),ROW(G75:G271),"")))</f>
        <v>6.2</v>
      </c>
      <c r="I75" s="28">
        <f t="shared" si="64"/>
        <v>254.39999999999992</v>
      </c>
      <c r="J75" s="41">
        <f>I75*VLOOKUP('Données projet'!$B$9,Paramètres!$A$1:$I$88,3,0)*VLOOKUP('Données projet'!$B$9,Paramètres!$A$1:$I$88,5,0)</f>
        <v>257.96159999999992</v>
      </c>
      <c r="K75" s="41">
        <f t="shared" si="65"/>
        <v>62.287674609742481</v>
      </c>
      <c r="L75" s="42">
        <f t="shared" si="42"/>
        <v>557.76748661196802</v>
      </c>
      <c r="M75" s="30">
        <f>IF(ISNA(VLOOKUP(A75,'Données projet'!$A$35:$I$55,3,0)),0,VLOOKUP(A75,'Données projet'!$A$35:$I$55,3,0))</f>
        <v>0</v>
      </c>
      <c r="N75" s="30">
        <f>IF(ISNA(VLOOKUP(A75,'Données projet'!$A$35:$I$55,4,0)),0,VLOOKUP(A75,'Données projet'!$A$35:$I$55,4,0))</f>
        <v>0</v>
      </c>
      <c r="O75" s="31">
        <f>IF(ISNA(VLOOKUP(A75,'Données projet'!$A$35:$I$55,5,0)),0%,VLOOKUP(A75,'Données projet'!$A$35:$I$55,5,0)*VLOOKUP('Données projet'!$B$9,Paramètres!$A$1:$I$88,7,0))</f>
        <v>0</v>
      </c>
      <c r="P75" s="31">
        <f>IF(ISNA(VLOOKUP(A75,'Données projet'!$A$35:$I$55,6,0)),0%,VLOOKUP(A75,'Données projet'!$A$35:$I$55,6,0)*VLOOKUP('Données projet'!$B$9,Paramètres!$A$1:$I$88,7,0))</f>
        <v>0</v>
      </c>
      <c r="Q75" s="31">
        <f>IF(ISNA(VLOOKUP(A75,'Données projet'!$A$35:$I$55,7,0)),0%,VLOOKUP(A75,'Données projet'!$A$35:$I$55,7,0))</f>
        <v>0</v>
      </c>
      <c r="R75" s="43">
        <f>EXP(-LN(2)/35)*R74+(1-EXP(-LN(2)/35))/(LN(2)/35)*N75*O75*VLOOKUP('Données projet'!$B$9,Paramètres!$A$1:$I$88,3,0)*0.475*44/12</f>
        <v>0</v>
      </c>
      <c r="S75" s="43">
        <f>EXP(-LN(2)/25)*S74+(1-EXP(-LN(2)/25))/(LN(2)/25)*Calculateur!N75*Calculateur!P75*VLOOKUP('Données projet'!$B$9,Paramètres!$A$1:$I$88,3,0)*0.475*44/12</f>
        <v>0</v>
      </c>
      <c r="T75" s="43">
        <f>EXP(-LN(2)/2)*T74+(1-EXP(-LN(2)/2))/(LN(2)/2)*N75*Q75*VLOOKUP('Données projet'!$B$9,Paramètres!$A$1:$I$88,3,0)*0.475*44/12</f>
        <v>0</v>
      </c>
      <c r="U75" s="43">
        <f t="shared" si="43"/>
        <v>0</v>
      </c>
      <c r="V75" s="32" t="e">
        <f>VLOOKUP(A75,'Données projet'!$A$61:$I$81,2,0)</f>
        <v>#N/A</v>
      </c>
      <c r="W75" s="33" t="e">
        <f>VLOOKUP(A75,'Données projet'!$A$61:$I$81,9,0)</f>
        <v>#N/A</v>
      </c>
      <c r="X75" s="33">
        <f t="array" ref="X75">INDEX(W:W,MIN(IF(ISNUMBER(W75:W271),ROW(W75:W271),"")))</f>
        <v>0</v>
      </c>
      <c r="Y75" s="33">
        <f t="shared" si="66"/>
        <v>0</v>
      </c>
      <c r="Z75" s="34" t="e">
        <f>Y75*VLOOKUP('Données projet'!$B$10,Paramètres!$A$1:$I$88,3,0)*VLOOKUP('Données projet'!$B$10,Paramètres!$A$1:$I$88,5,0)</f>
        <v>#N/A</v>
      </c>
      <c r="AA75" s="34" t="e">
        <f t="shared" si="67"/>
        <v>#N/A</v>
      </c>
      <c r="AB75" s="44" t="e">
        <f t="shared" si="44"/>
        <v>#N/A</v>
      </c>
      <c r="AC75" s="36">
        <f>IF(ISNA(VLOOKUP(A75,'Données projet'!$A$61:$I$81,3,0)),0,VLOOKUP(A75,'Données projet'!$A$61:$I$81,3,0))</f>
        <v>0</v>
      </c>
      <c r="AD75" s="36">
        <f>IF(ISNA(VLOOKUP(A75,'Données projet'!$A$61:$I$81,4,0)),0,VLOOKUP(A75,'Données projet'!$A$61:$I$81,4,0))</f>
        <v>0</v>
      </c>
      <c r="AE75" s="37">
        <f>IF(ISNA(VLOOKUP(A75,'Données projet'!$A$61:$I$81,5,0)),0%,VLOOKUP(A75,'Données projet'!$A$61:$I$81,5,0)*VLOOKUP('Données projet'!$B$10,Paramètres!$A$1:$I$88,7,0))</f>
        <v>0</v>
      </c>
      <c r="AF75" s="37">
        <f>IF(ISNA(VLOOKUP(A75,'Données projet'!$A$61:$I$81,6,0)),0%,VLOOKUP(A75,'Données projet'!$A$61:$I$81,6,0)*VLOOKUP('Données projet'!$B$10,Paramètres!$A$1:$I$88,7,0))</f>
        <v>0</v>
      </c>
      <c r="AG75" s="37">
        <f>IF(ISNA(VLOOKUP(A75,'Données projet'!$A$61:$I$81,7,0)),0%,VLOOKUP(A75,'Données projet'!$A$61:$I$81,7,0))</f>
        <v>0</v>
      </c>
      <c r="AH75" s="45">
        <f>EXP(-LN(2)/35)*AH74+(1-EXP(-LN(2)/35))/(LN(2)/35)*AD75*AE75*VLOOKUP('Données projet'!$B$9,Paramètres!$A$1:$I$88,3,0)*0.475*44/12</f>
        <v>0</v>
      </c>
      <c r="AI75" s="45">
        <f>EXP(-LN(2)/25)*AI74+(1-EXP(-LN(2)/25))/(LN(2)/25)*Calculateur!AD75*Calculateur!AF75*VLOOKUP('Données projet'!$B$9,Paramètres!$A$1:$I$88,3,0)*0.475*44/12</f>
        <v>0</v>
      </c>
      <c r="AJ75" s="45">
        <f>EXP(-LN(2)/2)*AJ74+(1-EXP(-LN(2)/2))/(LN(2)/2)*AD75*AG75*VLOOKUP('Données projet'!$B$9,Paramètres!$A$1:$I$88,3,0)*0.475*44/12</f>
        <v>0</v>
      </c>
      <c r="AK75" s="45">
        <f t="shared" si="45"/>
        <v>0</v>
      </c>
      <c r="AL75" s="32" t="e">
        <f>VLOOKUP(A75,'Données projet'!$A$87:$I$107,2,0)</f>
        <v>#N/A</v>
      </c>
      <c r="AM75" s="33" t="e">
        <f>VLOOKUP(A75,'Données projet'!$A$87:$I$107,9,0)</f>
        <v>#N/A</v>
      </c>
      <c r="AN75" s="33">
        <f t="array" ref="AN75">INDEX(AM:AM,MIN(IF(ISNUMBER(AM75:AM271),ROW(AM75:AM271),"")))</f>
        <v>0</v>
      </c>
      <c r="AO75" s="33">
        <f t="shared" si="68"/>
        <v>0</v>
      </c>
      <c r="AP75" s="34" t="e">
        <f>AO75*VLOOKUP('Données projet'!$B$11,Paramètres!$A$1:$I$88,3,0)*VLOOKUP('Données projet'!$B$11,Paramètres!$A$1:$I$88,5,0)</f>
        <v>#N/A</v>
      </c>
      <c r="AQ75" s="34" t="e">
        <f t="shared" si="69"/>
        <v>#N/A</v>
      </c>
      <c r="AR75" s="44" t="e">
        <f t="shared" si="46"/>
        <v>#N/A</v>
      </c>
      <c r="AS75" s="36">
        <f>IF(ISNA(VLOOKUP(A75,'Données projet'!$A$87:$I$107,3,0)),0,VLOOKUP(A75,'Données projet'!$A$87:$I$107,3,0))</f>
        <v>0</v>
      </c>
      <c r="AT75" s="36">
        <f>IF(ISNA(VLOOKUP(A75,'Données projet'!$A$87:$I$107,4,0)),0,VLOOKUP(A75,'Données projet'!$A$87:$I$107,4,0))</f>
        <v>0</v>
      </c>
      <c r="AU75" s="37">
        <f>IF(ISNA(VLOOKUP(A75,'Données projet'!$A$87:$I$107,5,0)),0%,VLOOKUP(A75,'Données projet'!$A$87:$I$107,5,0)*VLOOKUP('Données projet'!$B$11,Paramètres!$A$1:$I$88,7,0))</f>
        <v>0</v>
      </c>
      <c r="AV75" s="37">
        <f>IF(ISNA(VLOOKUP(A75,'Données projet'!$A$87:$I$107,6,0)),0%,VLOOKUP(A75,'Données projet'!$A$87:$I$107,6,0)*VLOOKUP('Données projet'!$B$11,Paramètres!$A$1:$I$88,7,0))</f>
        <v>0</v>
      </c>
      <c r="AW75" s="37">
        <f>IF(ISNA(VLOOKUP(A75,'Données projet'!$A$87:$I$107,7,0)),0%,VLOOKUP(A75,'Données projet'!$A$87:$I$107,7,0))</f>
        <v>0</v>
      </c>
      <c r="AX75" s="45">
        <f>EXP(-LN(2)/35)*AX74+(1-EXP(-LN(2)/35))/(LN(2)/35)*AT75*AU75*VLOOKUP('Données projet'!$B$9,Paramètres!$A$1:$I$88,3,0)*0.475*44/12</f>
        <v>0</v>
      </c>
      <c r="AY75" s="45">
        <f>EXP(-LN(2)/25)*AY74+(1-EXP(-LN(2)/25))/(LN(2)/25)*Calculateur!AT75*Calculateur!AV75*VLOOKUP('Données projet'!$B$9,Paramètres!$A$1:$I$88,3,0)*0.475*44/12</f>
        <v>0</v>
      </c>
      <c r="AZ75" s="45">
        <f>EXP(-LN(2)/2)*AZ74+(1-EXP(-LN(2)/2))/(LN(2)/2)*AT75*AW75*VLOOKUP('Données projet'!$B$9,Paramètres!$A$1:$I$88,3,0)*0.475*44/12</f>
        <v>0</v>
      </c>
      <c r="BA75" s="46">
        <f t="shared" si="47"/>
        <v>0</v>
      </c>
      <c r="BB75" s="32" t="e">
        <f>VLOOKUP(A75,'Données projet'!$A$113:$I$133,2,0)</f>
        <v>#N/A</v>
      </c>
      <c r="BC75" s="33" t="e">
        <f>VLOOKUP(A75,'Données projet'!$A$113:$I$133,9,0)</f>
        <v>#N/A</v>
      </c>
      <c r="BD75" s="33">
        <f t="array" ref="BD75">INDEX(BC:BC,MIN(IF(ISNUMBER(BC75:BC271),ROW(BC75:BC271),"")))</f>
        <v>0</v>
      </c>
      <c r="BE75" s="33">
        <f t="shared" si="70"/>
        <v>0</v>
      </c>
      <c r="BF75" s="34" t="e">
        <f>BE75*VLOOKUP('Données projet'!$B$12,Paramètres!$A$1:$I$88,3,0)*VLOOKUP('Données projet'!$B$12,Paramètres!$A$1:$I$88,5,0)</f>
        <v>#N/A</v>
      </c>
      <c r="BG75" s="34" t="e">
        <f t="shared" si="71"/>
        <v>#N/A</v>
      </c>
      <c r="BH75" s="44" t="e">
        <f t="shared" si="48"/>
        <v>#N/A</v>
      </c>
      <c r="BI75" s="36">
        <f>IF(ISNA(VLOOKUP(A75,'Données projet'!$A$113:$I$133,3,0)),0,VLOOKUP(A75,'Données projet'!$A$113:$I$133,3,0))</f>
        <v>0</v>
      </c>
      <c r="BJ75" s="36">
        <f>IF(ISNA(VLOOKUP(A75,'Données projet'!$A$113:$I$133,4,0)),0,VLOOKUP(A75,'Données projet'!$A$113:$I$133,4,0))</f>
        <v>0</v>
      </c>
      <c r="BK75" s="37">
        <f>IF(ISNA(VLOOKUP(A75,'Données projet'!$A$113:$I$133,5,0)),0%,VLOOKUP(A75,'Données projet'!$A$113:$I$133,5,0)*VLOOKUP('Données projet'!$B$12,Paramètres!$A$1:$I$88,7,0))</f>
        <v>0</v>
      </c>
      <c r="BL75" s="37">
        <f>IF(ISNA(VLOOKUP(A75,'Données projet'!$A$113:$I$133,6,0)),0%,VLOOKUP(A75,'Données projet'!$A$113:$I$133,6,0)*VLOOKUP('Données projet'!$B$12,Paramètres!$A$1:$I$88,7,0))</f>
        <v>0</v>
      </c>
      <c r="BM75" s="37">
        <f>IF(ISNA(VLOOKUP(A75,'Données projet'!$A$113:$I$133,7,0)),0%,VLOOKUP(A75,'Données projet'!$A$113:$I$133,7,0))</f>
        <v>0</v>
      </c>
      <c r="BN75" s="45">
        <f>EXP(-LN(2)/35)*BN74+(1-EXP(-LN(2)/35))/(LN(2)/35)*BJ75*BK75*VLOOKUP('Données projet'!$B$9,Paramètres!$A$1:$I$88,3,0)*0.475*44/12</f>
        <v>0</v>
      </c>
      <c r="BO75" s="45">
        <f>EXP(-LN(2)/25)*BO74+(1-EXP(-LN(2)/25))/(LN(2)/25)*Calculateur!BJ75*Calculateur!BL75*VLOOKUP('Données projet'!$B$9,Paramètres!$A$1:$I$88,3,0)*0.475*44/12</f>
        <v>0</v>
      </c>
      <c r="BP75" s="45">
        <f>EXP(-LN(2)/2)*BP74+(1-EXP(-LN(2)/2))/(LN(2)/2)*BJ75*BM75*VLOOKUP('Données projet'!$B$9,Paramètres!$A$1:$I$88,3,0)*0.475*44/12</f>
        <v>0</v>
      </c>
      <c r="BQ75" s="46">
        <f t="shared" si="49"/>
        <v>0</v>
      </c>
      <c r="BR75" s="32" t="e">
        <f>VLOOKUP(A75,'Données projet'!$A$139:$I$159,2,0)</f>
        <v>#N/A</v>
      </c>
      <c r="BS75" s="33" t="e">
        <f>VLOOKUP(A75,'Données projet'!$A$139:$I$159,9,0)</f>
        <v>#N/A</v>
      </c>
      <c r="BT75" s="33">
        <f t="array" ref="BT75">INDEX(BS:BS,MIN(IF(ISNUMBER(BS75:BS271),ROW(BS75:BS271),"")))</f>
        <v>0</v>
      </c>
      <c r="BU75" s="33">
        <f t="shared" si="72"/>
        <v>0</v>
      </c>
      <c r="BV75" s="38" t="e">
        <f>BU75*VLOOKUP('Données projet'!$B$13,Paramètres!$A$1:$I$88,3,0)*VLOOKUP('Données projet'!$B$13,Paramètres!$A$1:$I$88,5,0)</f>
        <v>#N/A</v>
      </c>
      <c r="BW75" s="34" t="e">
        <f t="shared" si="73"/>
        <v>#N/A</v>
      </c>
      <c r="BX75" s="44" t="e">
        <f t="shared" si="50"/>
        <v>#N/A</v>
      </c>
      <c r="BY75" s="36">
        <f>IF(ISNA(VLOOKUP(A75,'Données projet'!$A$139:$I$159,3,0)),0,VLOOKUP(A75,'Données projet'!$A$139:$I$159,3,0))</f>
        <v>0</v>
      </c>
      <c r="BZ75" s="36">
        <f>IF(ISNA(VLOOKUP(A75,'Données projet'!$A$139:$I$159,4,0)),0,VLOOKUP(A75,'Données projet'!$A$139:$I$159,4,0))</f>
        <v>0</v>
      </c>
      <c r="CA75" s="37">
        <f>IF(ISNA(VLOOKUP(A75,'Données projet'!$A$139:$I$159,5,0)),0%,VLOOKUP(A75,'Données projet'!$A$139:$I$159,5,0)*VLOOKUP('Données projet'!$B$13,Paramètres!$A$1:$I$88,7,0))</f>
        <v>0</v>
      </c>
      <c r="CB75" s="37">
        <f>IF(ISNA(VLOOKUP(A75,'Données projet'!$A$139:$I$159,6,0)),0%,VLOOKUP(A75,'Données projet'!$A$139:$I$159,6,0)*VLOOKUP('Données projet'!$B$13,Paramètres!$A$1:$I$88,7,0))</f>
        <v>0</v>
      </c>
      <c r="CC75" s="37">
        <f>IF(ISNA(VLOOKUP(A75,'Données projet'!$A$139:$I$159,7,0)),0%,VLOOKUP(A75,'Données projet'!$A$139:$I$159,7,0))</f>
        <v>0</v>
      </c>
      <c r="CD75" s="45">
        <f>EXP(-LN(2)/35)*CD74+(1-EXP(-LN(2)/35))/(LN(2)/35)*BZ75*CA75*VLOOKUP('Données projet'!$B$9,Paramètres!$A$1:$I$88,3,0)*0.475*44/12</f>
        <v>0</v>
      </c>
      <c r="CE75" s="45">
        <f>EXP(-LN(2)/25)*CE74+(1-EXP(-LN(2)/25))/(LN(2)/25)*Calculateur!BZ75*Calculateur!CB75*VLOOKUP('Données projet'!$B$9,Paramètres!$A$1:$I$88,3,0)*0.475*44/12</f>
        <v>0</v>
      </c>
      <c r="CF75" s="45">
        <f>EXP(-LN(2)/2)*CF74+(1-EXP(-LN(2)/2))/(LN(2)/2)*BZ75*CC75*VLOOKUP('Données projet'!$B$9,Paramètres!$A$1:$I$88,3,0)*0.475*44/12</f>
        <v>0</v>
      </c>
      <c r="CG75" s="46">
        <f t="shared" si="51"/>
        <v>0</v>
      </c>
      <c r="CH75" s="32" t="e">
        <f>VLOOKUP(A75,'Données projet'!$A$165:$I$185,2,0)</f>
        <v>#N/A</v>
      </c>
      <c r="CI75" s="33" t="e">
        <f>VLOOKUP(A75,'Données projet'!$A$165:$I$185,9,0)</f>
        <v>#N/A</v>
      </c>
      <c r="CJ75" s="33">
        <f t="array" ref="CJ75">INDEX(CI:CI,MIN(IF(ISNUMBER(CI75:CI271),ROW(CI75:CI271),"")))</f>
        <v>0</v>
      </c>
      <c r="CK75" s="33">
        <f t="shared" si="74"/>
        <v>0</v>
      </c>
      <c r="CL75" s="38" t="e">
        <f>CK75*VLOOKUP('Données projet'!$B$14,Paramètres!$A$1:$I$88,3,0)*VLOOKUP('Données projet'!$B$14,Paramètres!$A$1:$I$88,5,0)</f>
        <v>#N/A</v>
      </c>
      <c r="CM75" s="34" t="e">
        <f t="shared" si="75"/>
        <v>#N/A</v>
      </c>
      <c r="CN75" s="44" t="e">
        <f t="shared" si="52"/>
        <v>#N/A</v>
      </c>
      <c r="CO75" s="36">
        <f>IF(ISNA(VLOOKUP(A75,'Données projet'!$A$165:$I$185,3,0)),0,VLOOKUP(A75,'Données projet'!$A$165:$I$185,3,0))</f>
        <v>0</v>
      </c>
      <c r="CP75" s="36">
        <f>IF(ISNA(VLOOKUP(A75,'Données projet'!$A$165:$I$185,4,0)),0,VLOOKUP(A75,'Données projet'!$A$165:$I$185,4,0))</f>
        <v>0</v>
      </c>
      <c r="CQ75" s="37">
        <f>IF(ISNA(VLOOKUP(A75,'Données projet'!$A$165:$I$185,5,0)),0%,VLOOKUP(A75,'Données projet'!$A$165:$I$185,5,0)*VLOOKUP('Données projet'!$B$14,Paramètres!$A$1:$I$88,7,0))</f>
        <v>0</v>
      </c>
      <c r="CR75" s="37">
        <f>IF(ISNA(VLOOKUP(A75,'Données projet'!$A$165:$I$185,6,0)),0%,VLOOKUP(A75,'Données projet'!$A$165:$I$185,6,0)*VLOOKUP('Données projet'!$B$14,Paramètres!$A$1:$I$88,7,0))</f>
        <v>0</v>
      </c>
      <c r="CS75" s="37">
        <f>IF(ISNA(VLOOKUP(A75,'Données projet'!$A$165:$I$185,7,0)),0%,VLOOKUP(A75,'Données projet'!$A$165:$I$185,7,0))</f>
        <v>0</v>
      </c>
      <c r="CT75" s="45">
        <f>EXP(-LN(2)/35)*CT74+(1-EXP(-LN(2)/35))/(LN(2)/35)*CP75*CQ75*VLOOKUP('Données projet'!$B$9,Paramètres!$A$1:$I$88,3,0)*0.475*44/12</f>
        <v>0</v>
      </c>
      <c r="CU75" s="45">
        <f>EXP(-LN(2)/25)*CU74+(1-EXP(-LN(2)/25))/(LN(2)/25)*Calculateur!CP75*Calculateur!CR75*VLOOKUP('Données projet'!$B$9,Paramètres!$A$1:$I$88,3,0)*0.475*44/12</f>
        <v>0</v>
      </c>
      <c r="CV75" s="45">
        <f>EXP(-LN(2)/2)*CV74+(1-EXP(-LN(2)/2))/(LN(2)/2)*CP75*CS75*VLOOKUP('Données projet'!$B$9,Paramètres!$A$1:$I$88,3,0)*0.475*44/12</f>
        <v>0</v>
      </c>
      <c r="CW75" s="46">
        <f t="shared" si="53"/>
        <v>0</v>
      </c>
      <c r="CX75" s="32" t="e">
        <f>VLOOKUP(A75,'Données projet'!$A$191:$I$211,2,0)</f>
        <v>#N/A</v>
      </c>
      <c r="CY75" s="33" t="e">
        <f>VLOOKUP(A75,'Données projet'!$A$191:$I$211,9,0)</f>
        <v>#N/A</v>
      </c>
      <c r="CZ75" s="33">
        <f t="array" ref="CZ75">INDEX(CY:CY,MIN(IF(ISNUMBER(CY75:CY271),ROW(CY75:CY271),"")))</f>
        <v>0</v>
      </c>
      <c r="DA75" s="33">
        <f t="shared" si="76"/>
        <v>0</v>
      </c>
      <c r="DB75" s="38" t="e">
        <f>DA75*VLOOKUP('Données projet'!$B$15,Paramètres!$A$1:$I$88,3,0)*VLOOKUP('Données projet'!$B$15,Paramètres!$A$1:$I$88,5,0)</f>
        <v>#N/A</v>
      </c>
      <c r="DC75" s="34" t="e">
        <f t="shared" si="77"/>
        <v>#N/A</v>
      </c>
      <c r="DD75" s="44" t="e">
        <f t="shared" si="54"/>
        <v>#N/A</v>
      </c>
      <c r="DE75" s="36">
        <f>IF(ISNA(VLOOKUP(A75,'Données projet'!$A$191:$I$211,3,0)),0,VLOOKUP(A75,'Données projet'!$A$191:$I$211,3,0))</f>
        <v>0</v>
      </c>
      <c r="DF75" s="36">
        <f>IF(ISNA(VLOOKUP(A75,'Données projet'!$A$191:$I$211,4,0)),0,VLOOKUP(A75,'Données projet'!$A$191:$I$211,4,0))</f>
        <v>0</v>
      </c>
      <c r="DG75" s="37">
        <f>IF(ISNA(VLOOKUP(A75,'Données projet'!$A$191:$I$211,5,0)),0%,VLOOKUP(A75,'Données projet'!$A$191:$I$211,5,0)*VLOOKUP('Données projet'!$B$15,Paramètres!$A$1:$I$88,7,0))</f>
        <v>0</v>
      </c>
      <c r="DH75" s="37">
        <f>IF(ISNA(VLOOKUP(A75,'Données projet'!$A$191:$I$211,6,0)),0%,VLOOKUP(A75,'Données projet'!$A$191:$I$211,6,0)*VLOOKUP('Données projet'!$B$15,Paramètres!$A$1:$I$88,7,0))</f>
        <v>0</v>
      </c>
      <c r="DI75" s="37">
        <f>IF(ISNA(VLOOKUP(A75,'Données projet'!$A$191:$I$211,7,0)),0%,VLOOKUP(A75,'Données projet'!$A$191:$I$211,7,0))</f>
        <v>0</v>
      </c>
      <c r="DJ75" s="45">
        <f>EXP(-LN(2)/35)*DJ74+(1-EXP(-LN(2)/35))/(LN(2)/35)*DF75*DG75*VLOOKUP('Données projet'!$B$9,Paramètres!$A$1:$I$88,3,0)*0.475*44/12</f>
        <v>0</v>
      </c>
      <c r="DK75" s="45">
        <f>EXP(-LN(2)/25)*DK74+(1-EXP(-LN(2)/25))/(LN(2)/25)*Calculateur!DF75*Calculateur!DH75*VLOOKUP('Données projet'!$B$9,Paramètres!$A$1:$I$88,3,0)*0.475*44/12</f>
        <v>0</v>
      </c>
      <c r="DL75" s="45">
        <f>EXP(-LN(2)/2)*DL74+(1-EXP(-LN(2)/2))/(LN(2)/2)*DF75*DI75*VLOOKUP('Données projet'!$B$9,Paramètres!$A$1:$I$88,3,0)*0.475*44/12</f>
        <v>0</v>
      </c>
      <c r="DM75" s="46">
        <f t="shared" si="55"/>
        <v>0</v>
      </c>
      <c r="DN75" s="32" t="e">
        <f>VLOOKUP(A75,'Données projet'!$A$217:$I$237,2,0)</f>
        <v>#N/A</v>
      </c>
      <c r="DO75" s="33" t="e">
        <f>VLOOKUP(A75,'Données projet'!$A$217:$I$237,9,0)</f>
        <v>#N/A</v>
      </c>
      <c r="DP75" s="33">
        <f t="array" ref="DP75">INDEX(DO:DO,MIN(IF(ISNUMBER(DO75:DO271),ROW(DO75:DO271),"")))</f>
        <v>0</v>
      </c>
      <c r="DQ75" s="33">
        <f t="shared" si="78"/>
        <v>0</v>
      </c>
      <c r="DR75" s="38" t="e">
        <f>DQ75*VLOOKUP('Données projet'!$B$16,Paramètres!$A$1:$I$88,3,0)*VLOOKUP('Données projet'!$B$16,Paramètres!$A$1:$I$88,5,0)</f>
        <v>#N/A</v>
      </c>
      <c r="DS75" s="34" t="e">
        <f t="shared" si="79"/>
        <v>#N/A</v>
      </c>
      <c r="DT75" s="44" t="e">
        <f t="shared" si="56"/>
        <v>#N/A</v>
      </c>
      <c r="DU75" s="36">
        <f>IF(ISNA(VLOOKUP(A75,'Données projet'!$A$217:$I$237,3,0)),0,VLOOKUP(A75,'Données projet'!$A$217:$I$237,3,0))</f>
        <v>0</v>
      </c>
      <c r="DV75" s="36">
        <f>IF(ISNA(VLOOKUP(A75,'Données projet'!$A$217:$I$237,4,0)),0,VLOOKUP(A75,'Données projet'!$A$217:$I$237,4,0))</f>
        <v>0</v>
      </c>
      <c r="DW75" s="37">
        <f>IF(ISNA(VLOOKUP(A75,'Données projet'!$A$217:$I$237,5,0)),0%,VLOOKUP(A75,'Données projet'!$A$217:$I$237,5,0)*VLOOKUP('Données projet'!$B$16,Paramètres!$A$1:$I$88,7,0))</f>
        <v>0</v>
      </c>
      <c r="DX75" s="37">
        <f>IF(ISNA(VLOOKUP(A75,'Données projet'!$A$217:$I$237,6,0)),0%,VLOOKUP(A75,'Données projet'!$A$217:$I$237,6,0)*VLOOKUP('Données projet'!$B$16,Paramètres!$A$1:$I$88,7,0))</f>
        <v>0</v>
      </c>
      <c r="DY75" s="37">
        <f>IF(ISNA(VLOOKUP(A75,'Données projet'!$A$217:$I$237,7,0)),0%,VLOOKUP(A75,'Données projet'!$A$217:$I$237,7,0))</f>
        <v>0</v>
      </c>
      <c r="DZ75" s="45">
        <f>EXP(-LN(2)/35)*DZ74+(1-EXP(-LN(2)/35))/(LN(2)/35)*DV75*DW75*VLOOKUP('Données projet'!$B$9,Paramètres!$A$1:$I$88,3,0)*0.475*44/12</f>
        <v>0</v>
      </c>
      <c r="EA75" s="45">
        <f>EXP(-LN(2)/25)*EA74+(1-EXP(-LN(2)/25))/(LN(2)/25)*Calculateur!DV75*Calculateur!DX75*VLOOKUP('Données projet'!$B$9,Paramètres!$A$1:$I$88,3,0)*0.475*44/12</f>
        <v>0</v>
      </c>
      <c r="EB75" s="45">
        <f>EXP(-LN(2)/2)*EB74+(1-EXP(-LN(2)/2))/(LN(2)/2)*DV75*DY75*VLOOKUP('Données projet'!$B$9,Paramètres!$A$1:$I$88,3,0)*0.475*44/12</f>
        <v>0</v>
      </c>
      <c r="EC75" s="46">
        <f t="shared" si="57"/>
        <v>0</v>
      </c>
      <c r="ED75" s="32" t="e">
        <f>VLOOKUP(A75,'Données projet'!$A$243:$I$263,2,0)</f>
        <v>#N/A</v>
      </c>
      <c r="EE75" s="33" t="e">
        <f>VLOOKUP(A75,'Données projet'!$A$243:$I$263,9,0)</f>
        <v>#N/A</v>
      </c>
      <c r="EF75" s="33">
        <f t="array" ref="EF75">INDEX(EE:EE,MIN(IF(ISNUMBER(EE75:EE271),ROW(EE75:EE271),"")))</f>
        <v>0</v>
      </c>
      <c r="EG75" s="33">
        <f t="shared" si="80"/>
        <v>0</v>
      </c>
      <c r="EH75" s="38" t="e">
        <f>EG75*VLOOKUP('Données projet'!$B$17,Paramètres!$A$1:$I$88,3,0)*VLOOKUP('Données projet'!$B$17,Paramètres!$A$1:$I$88,5,0)</f>
        <v>#N/A</v>
      </c>
      <c r="EI75" s="34" t="e">
        <f t="shared" si="81"/>
        <v>#N/A</v>
      </c>
      <c r="EJ75" s="44" t="e">
        <f t="shared" si="58"/>
        <v>#N/A</v>
      </c>
      <c r="EK75" s="36">
        <f>IF(ISNA(VLOOKUP(A75,'Données projet'!$A$243:$I$263,3,0)),0,VLOOKUP(A75,'Données projet'!$A$243:$I$263,3,0))</f>
        <v>0</v>
      </c>
      <c r="EL75" s="36">
        <f>IF(ISNA(VLOOKUP(A75,'Données projet'!$A$243:$I$263,4,0)),0,VLOOKUP(A75,'Données projet'!$A$243:$I$263,4,0))</f>
        <v>0</v>
      </c>
      <c r="EM75" s="37">
        <f>IF(ISNA(VLOOKUP(A75,'Données projet'!$A$243:$I$263,5,0)),0%,VLOOKUP(A75,'Données projet'!$A$243:$I$263,5,0)*VLOOKUP('Données projet'!$B$17,Paramètres!$A$1:$I$88,7,0))</f>
        <v>0</v>
      </c>
      <c r="EN75" s="37">
        <f>IF(ISNA(VLOOKUP(A75,'Données projet'!$A$243:$I$263,6,0)),0%,VLOOKUP(A75,'Données projet'!$A$243:$I$263,6,0)*VLOOKUP('Données projet'!$B$17,Paramètres!$A$1:$I$88,7,0))</f>
        <v>0</v>
      </c>
      <c r="EO75" s="37">
        <f>IF(ISNA(VLOOKUP(A75,'Données projet'!$A$243:$I$263,7,0)),0%,VLOOKUP(A75,'Données projet'!$A$243:$I$263,7,0))</f>
        <v>0</v>
      </c>
      <c r="EP75" s="45">
        <f>EXP(-LN(2)/35)*EP74+(1-EXP(-LN(2)/35))/(LN(2)/35)*EL75*EM75*VLOOKUP('Données projet'!$B$9,Paramètres!$A$1:$I$88,3,0)*0.475*44/12</f>
        <v>0</v>
      </c>
      <c r="EQ75" s="45">
        <f>EXP(-LN(2)/25)*EQ74+(1-EXP(-LN(2)/25))/(LN(2)/25)*Calculateur!EL75*Calculateur!EN75*VLOOKUP('Données projet'!$B$9,Paramètres!$A$1:$I$88,3,0)*0.475*44/12</f>
        <v>0</v>
      </c>
      <c r="ER75" s="45">
        <f>EXP(-LN(2)/2)*ER74+(1-EXP(-LN(2)/2))/(LN(2)/2)*EL75*EO75*VLOOKUP('Données projet'!$B$9,Paramètres!$A$1:$I$88,3,0)*0.475*44/12</f>
        <v>0</v>
      </c>
      <c r="ES75" s="46">
        <f t="shared" si="59"/>
        <v>0</v>
      </c>
      <c r="ET75" s="32" t="e">
        <f>VLOOKUP(A75,'Données projet'!$A$269:$I$289,2,0)</f>
        <v>#N/A</v>
      </c>
      <c r="EU75" s="33" t="e">
        <f>VLOOKUP(A75,'Données projet'!$A$269:$I$289,9,0)</f>
        <v>#N/A</v>
      </c>
      <c r="EV75" s="33">
        <f t="array" ref="EV75">INDEX(EU:EU,MIN(IF(ISNUMBER(EU75:EU271),ROW(EU75:EU271),"")))</f>
        <v>0</v>
      </c>
      <c r="EW75" s="33">
        <f t="shared" si="82"/>
        <v>0</v>
      </c>
      <c r="EX75" s="38" t="e">
        <f>EW75*VLOOKUP('Données projet'!$B$18,Paramètres!$A$1:$I$88,3,0)*VLOOKUP('Données projet'!$B$18,Paramètres!$A$1:$I$88,5,0)</f>
        <v>#N/A</v>
      </c>
      <c r="EY75" s="34" t="e">
        <f t="shared" si="83"/>
        <v>#N/A</v>
      </c>
      <c r="EZ75" s="44" t="e">
        <f t="shared" si="60"/>
        <v>#N/A</v>
      </c>
      <c r="FA75" s="36">
        <f>IF(ISNA(VLOOKUP(A75,'Données projet'!$A$269:$I$289,3,0)),0,VLOOKUP(A75,'Données projet'!$A$269:$I$289,3,0))</f>
        <v>0</v>
      </c>
      <c r="FB75" s="36">
        <f>IF(ISNA(VLOOKUP(A75,'Données projet'!$A$269:$I$289,4,0)),0,VLOOKUP(A75,'Données projet'!$A$269:$I$289,4,0))</f>
        <v>0</v>
      </c>
      <c r="FC75" s="37">
        <f>IF(ISNA(VLOOKUP(A75,'Données projet'!$A$269:$I$289,5,0)),0%,VLOOKUP(A75,'Données projet'!$A$269:$I$289,5,0)*VLOOKUP('Données projet'!$B$18,Paramètres!$A$1:$I$88,7,0))</f>
        <v>0</v>
      </c>
      <c r="FD75" s="37">
        <f>IF(ISNA(VLOOKUP(A75,'Données projet'!$A$269:$I$289,6,0)),0%,VLOOKUP(A75,'Données projet'!$A$269:$I$289,6,0)*VLOOKUP('Données projet'!$B$18,Paramètres!$A$1:$I$88,7,0))</f>
        <v>0</v>
      </c>
      <c r="FE75" s="37">
        <f>IF(ISNA(VLOOKUP(A75,'Données projet'!$A$269:$I$289,7,0)),0%,VLOOKUP(A75,'Données projet'!$A$269:$I$289,7,0))</f>
        <v>0</v>
      </c>
      <c r="FF75" s="45">
        <f>EXP(-LN(2)/35)*FF74+(1-EXP(-LN(2)/35))/(LN(2)/35)*FB75*FC75*VLOOKUP('Données projet'!$B$9,Paramètres!$A$1:$I$88,3,0)*0.475*44/12</f>
        <v>0</v>
      </c>
      <c r="FG75" s="45">
        <f>EXP(-LN(2)/25)*FG74+(1-EXP(-LN(2)/25))/(LN(2)/25)*Calculateur!FB75*Calculateur!FD75*VLOOKUP('Données projet'!$B$9,Paramètres!$A$1:$I$88,3,0)*0.475*44/12</f>
        <v>0</v>
      </c>
      <c r="FH75" s="45">
        <f>EXP(-LN(2)/2)*FH74+(1-EXP(-LN(2)/2))/(LN(2)/2)*FB75*FE75*VLOOKUP('Données projet'!$B$9,Paramètres!$A$1:$I$88,3,0)*0.475*44/12</f>
        <v>0</v>
      </c>
      <c r="FI75" s="46">
        <f t="shared" si="61"/>
        <v>0</v>
      </c>
    </row>
    <row r="76" spans="1:165" x14ac:dyDescent="0.25">
      <c r="A76" s="24">
        <f t="shared" si="62"/>
        <v>73</v>
      </c>
      <c r="B76" s="25">
        <f>IF('Scénario référence'!$N$1=1,5,0)</f>
        <v>0</v>
      </c>
      <c r="C76" s="40">
        <f>IF(OR('Scénario référence'!$N$1=2,'Scénario référence'!$N$1=4),C75+1*VLOOKUP('Scénario référence'!$G$14,Paramètres!$A$1:$I$88,3,0)*VLOOKUP('Scénario référence'!$G$14,Paramètres!$A$1:$I$88,5,0),IF(OR('Scénario référence'!$N$1=3,'Scénario référence'!$N$1=5),C75+0.5*VLOOKUP('Scénario référence'!$G$14,Paramètres!$A$1:$I$88,3,0)*VLOOKUP('Scénario référence'!$G$14,Paramètres!$A$1:$I$88,5,0),0))</f>
        <v>39.857999999999969</v>
      </c>
      <c r="D76" s="26">
        <f t="shared" si="63"/>
        <v>11.961002004555786</v>
      </c>
      <c r="E76" s="27">
        <f>IF('Scénario référence'!$N$1=1,B76*44/12,(C76+D76)*0.475*44/12)</f>
        <v>90.25142849126793</v>
      </c>
      <c r="F76" s="28" t="e">
        <f>VLOOKUP(A76,'Données projet'!$A$35:$I$55,2,0)</f>
        <v>#N/A</v>
      </c>
      <c r="G76" s="28" t="e">
        <f>VLOOKUP(A76,'Données projet'!$A$35:$I$55,9,0)</f>
        <v>#N/A</v>
      </c>
      <c r="H76" s="33">
        <f t="array" ref="H76">INDEX(G:G,MIN(IF(ISNUMBER(G76:G272),ROW(G76:G272),"")))</f>
        <v>6.2</v>
      </c>
      <c r="I76" s="28">
        <f t="shared" si="64"/>
        <v>260.59999999999991</v>
      </c>
      <c r="J76" s="41">
        <f>I76*VLOOKUP('Données projet'!$B$9,Paramètres!$A$1:$I$88,3,0)*VLOOKUP('Données projet'!$B$9,Paramètres!$A$1:$I$88,5,0)</f>
        <v>264.24839999999995</v>
      </c>
      <c r="K76" s="41">
        <f t="shared" si="65"/>
        <v>63.627109143733414</v>
      </c>
      <c r="L76" s="42">
        <f t="shared" si="42"/>
        <v>571.04984509200233</v>
      </c>
      <c r="M76" s="30">
        <f>IF(ISNA(VLOOKUP(A76,'Données projet'!$A$35:$I$55,3,0)),0,VLOOKUP(A76,'Données projet'!$A$35:$I$55,3,0))</f>
        <v>0</v>
      </c>
      <c r="N76" s="30">
        <f>IF(ISNA(VLOOKUP(A76,'Données projet'!$A$35:$I$55,4,0)),0,VLOOKUP(A76,'Données projet'!$A$35:$I$55,4,0))</f>
        <v>0</v>
      </c>
      <c r="O76" s="31">
        <f>IF(ISNA(VLOOKUP(A76,'Données projet'!$A$35:$I$55,5,0)),0%,VLOOKUP(A76,'Données projet'!$A$35:$I$55,5,0)*VLOOKUP('Données projet'!$B$9,Paramètres!$A$1:$I$88,7,0))</f>
        <v>0</v>
      </c>
      <c r="P76" s="31">
        <f>IF(ISNA(VLOOKUP(A76,'Données projet'!$A$35:$I$55,6,0)),0%,VLOOKUP(A76,'Données projet'!$A$35:$I$55,6,0)*VLOOKUP('Données projet'!$B$9,Paramètres!$A$1:$I$88,7,0))</f>
        <v>0</v>
      </c>
      <c r="Q76" s="31">
        <f>IF(ISNA(VLOOKUP(A76,'Données projet'!$A$35:$I$55,7,0)),0%,VLOOKUP(A76,'Données projet'!$A$35:$I$55,7,0))</f>
        <v>0</v>
      </c>
      <c r="R76" s="43">
        <f>EXP(-LN(2)/35)*R75+(1-EXP(-LN(2)/35))/(LN(2)/35)*N76*O76*VLOOKUP('Données projet'!$B$9,Paramètres!$A$1:$I$88,3,0)*0.475*44/12</f>
        <v>0</v>
      </c>
      <c r="S76" s="43">
        <f>EXP(-LN(2)/25)*S75+(1-EXP(-LN(2)/25))/(LN(2)/25)*Calculateur!N76*Calculateur!P76*VLOOKUP('Données projet'!$B$9,Paramètres!$A$1:$I$88,3,0)*0.475*44/12</f>
        <v>0</v>
      </c>
      <c r="T76" s="43">
        <f>EXP(-LN(2)/2)*T75+(1-EXP(-LN(2)/2))/(LN(2)/2)*N76*Q76*VLOOKUP('Données projet'!$B$9,Paramètres!$A$1:$I$88,3,0)*0.475*44/12</f>
        <v>0</v>
      </c>
      <c r="U76" s="43">
        <f t="shared" si="43"/>
        <v>0</v>
      </c>
      <c r="V76" s="32" t="e">
        <f>VLOOKUP(A76,'Données projet'!$A$61:$I$81,2,0)</f>
        <v>#N/A</v>
      </c>
      <c r="W76" s="33" t="e">
        <f>VLOOKUP(A76,'Données projet'!$A$61:$I$81,9,0)</f>
        <v>#N/A</v>
      </c>
      <c r="X76" s="33">
        <f t="array" ref="X76">INDEX(W:W,MIN(IF(ISNUMBER(W76:W272),ROW(W76:W272),"")))</f>
        <v>0</v>
      </c>
      <c r="Y76" s="33">
        <f t="shared" si="66"/>
        <v>0</v>
      </c>
      <c r="Z76" s="34" t="e">
        <f>Y76*VLOOKUP('Données projet'!$B$10,Paramètres!$A$1:$I$88,3,0)*VLOOKUP('Données projet'!$B$10,Paramètres!$A$1:$I$88,5,0)</f>
        <v>#N/A</v>
      </c>
      <c r="AA76" s="34" t="e">
        <f t="shared" si="67"/>
        <v>#N/A</v>
      </c>
      <c r="AB76" s="44" t="e">
        <f t="shared" si="44"/>
        <v>#N/A</v>
      </c>
      <c r="AC76" s="36">
        <f>IF(ISNA(VLOOKUP(A76,'Données projet'!$A$61:$I$81,3,0)),0,VLOOKUP(A76,'Données projet'!$A$61:$I$81,3,0))</f>
        <v>0</v>
      </c>
      <c r="AD76" s="36">
        <f>IF(ISNA(VLOOKUP(A76,'Données projet'!$A$61:$I$81,4,0)),0,VLOOKUP(A76,'Données projet'!$A$61:$I$81,4,0))</f>
        <v>0</v>
      </c>
      <c r="AE76" s="37">
        <f>IF(ISNA(VLOOKUP(A76,'Données projet'!$A$61:$I$81,5,0)),0%,VLOOKUP(A76,'Données projet'!$A$61:$I$81,5,0)*VLOOKUP('Données projet'!$B$10,Paramètres!$A$1:$I$88,7,0))</f>
        <v>0</v>
      </c>
      <c r="AF76" s="37">
        <f>IF(ISNA(VLOOKUP(A76,'Données projet'!$A$61:$I$81,6,0)),0%,VLOOKUP(A76,'Données projet'!$A$61:$I$81,6,0)*VLOOKUP('Données projet'!$B$10,Paramètres!$A$1:$I$88,7,0))</f>
        <v>0</v>
      </c>
      <c r="AG76" s="37">
        <f>IF(ISNA(VLOOKUP(A76,'Données projet'!$A$61:$I$81,7,0)),0%,VLOOKUP(A76,'Données projet'!$A$61:$I$81,7,0))</f>
        <v>0</v>
      </c>
      <c r="AH76" s="45">
        <f>EXP(-LN(2)/35)*AH75+(1-EXP(-LN(2)/35))/(LN(2)/35)*AD76*AE76*VLOOKUP('Données projet'!$B$9,Paramètres!$A$1:$I$88,3,0)*0.475*44/12</f>
        <v>0</v>
      </c>
      <c r="AI76" s="45">
        <f>EXP(-LN(2)/25)*AI75+(1-EXP(-LN(2)/25))/(LN(2)/25)*Calculateur!AD76*Calculateur!AF76*VLOOKUP('Données projet'!$B$9,Paramètres!$A$1:$I$88,3,0)*0.475*44/12</f>
        <v>0</v>
      </c>
      <c r="AJ76" s="45">
        <f>EXP(-LN(2)/2)*AJ75+(1-EXP(-LN(2)/2))/(LN(2)/2)*AD76*AG76*VLOOKUP('Données projet'!$B$9,Paramètres!$A$1:$I$88,3,0)*0.475*44/12</f>
        <v>0</v>
      </c>
      <c r="AK76" s="45">
        <f t="shared" si="45"/>
        <v>0</v>
      </c>
      <c r="AL76" s="32" t="e">
        <f>VLOOKUP(A76,'Données projet'!$A$87:$I$107,2,0)</f>
        <v>#N/A</v>
      </c>
      <c r="AM76" s="33" t="e">
        <f>VLOOKUP(A76,'Données projet'!$A$87:$I$107,9,0)</f>
        <v>#N/A</v>
      </c>
      <c r="AN76" s="33">
        <f t="array" ref="AN76">INDEX(AM:AM,MIN(IF(ISNUMBER(AM76:AM272),ROW(AM76:AM272),"")))</f>
        <v>0</v>
      </c>
      <c r="AO76" s="33">
        <f t="shared" si="68"/>
        <v>0</v>
      </c>
      <c r="AP76" s="34" t="e">
        <f>AO76*VLOOKUP('Données projet'!$B$11,Paramètres!$A$1:$I$88,3,0)*VLOOKUP('Données projet'!$B$11,Paramètres!$A$1:$I$88,5,0)</f>
        <v>#N/A</v>
      </c>
      <c r="AQ76" s="34" t="e">
        <f t="shared" si="69"/>
        <v>#N/A</v>
      </c>
      <c r="AR76" s="44" t="e">
        <f t="shared" si="46"/>
        <v>#N/A</v>
      </c>
      <c r="AS76" s="36">
        <f>IF(ISNA(VLOOKUP(A76,'Données projet'!$A$87:$I$107,3,0)),0,VLOOKUP(A76,'Données projet'!$A$87:$I$107,3,0))</f>
        <v>0</v>
      </c>
      <c r="AT76" s="36">
        <f>IF(ISNA(VLOOKUP(A76,'Données projet'!$A$87:$I$107,4,0)),0,VLOOKUP(A76,'Données projet'!$A$87:$I$107,4,0))</f>
        <v>0</v>
      </c>
      <c r="AU76" s="37">
        <f>IF(ISNA(VLOOKUP(A76,'Données projet'!$A$87:$I$107,5,0)),0%,VLOOKUP(A76,'Données projet'!$A$87:$I$107,5,0)*VLOOKUP('Données projet'!$B$11,Paramètres!$A$1:$I$88,7,0))</f>
        <v>0</v>
      </c>
      <c r="AV76" s="37">
        <f>IF(ISNA(VLOOKUP(A76,'Données projet'!$A$87:$I$107,6,0)),0%,VLOOKUP(A76,'Données projet'!$A$87:$I$107,6,0)*VLOOKUP('Données projet'!$B$11,Paramètres!$A$1:$I$88,7,0))</f>
        <v>0</v>
      </c>
      <c r="AW76" s="37">
        <f>IF(ISNA(VLOOKUP(A76,'Données projet'!$A$87:$I$107,7,0)),0%,VLOOKUP(A76,'Données projet'!$A$87:$I$107,7,0))</f>
        <v>0</v>
      </c>
      <c r="AX76" s="45">
        <f>EXP(-LN(2)/35)*AX75+(1-EXP(-LN(2)/35))/(LN(2)/35)*AT76*AU76*VLOOKUP('Données projet'!$B$9,Paramètres!$A$1:$I$88,3,0)*0.475*44/12</f>
        <v>0</v>
      </c>
      <c r="AY76" s="45">
        <f>EXP(-LN(2)/25)*AY75+(1-EXP(-LN(2)/25))/(LN(2)/25)*Calculateur!AT76*Calculateur!AV76*VLOOKUP('Données projet'!$B$9,Paramètres!$A$1:$I$88,3,0)*0.475*44/12</f>
        <v>0</v>
      </c>
      <c r="AZ76" s="45">
        <f>EXP(-LN(2)/2)*AZ75+(1-EXP(-LN(2)/2))/(LN(2)/2)*AT76*AW76*VLOOKUP('Données projet'!$B$9,Paramètres!$A$1:$I$88,3,0)*0.475*44/12</f>
        <v>0</v>
      </c>
      <c r="BA76" s="46">
        <f t="shared" si="47"/>
        <v>0</v>
      </c>
      <c r="BB76" s="32" t="e">
        <f>VLOOKUP(A76,'Données projet'!$A$113:$I$133,2,0)</f>
        <v>#N/A</v>
      </c>
      <c r="BC76" s="33" t="e">
        <f>VLOOKUP(A76,'Données projet'!$A$113:$I$133,9,0)</f>
        <v>#N/A</v>
      </c>
      <c r="BD76" s="33">
        <f t="array" ref="BD76">INDEX(BC:BC,MIN(IF(ISNUMBER(BC76:BC272),ROW(BC76:BC272),"")))</f>
        <v>0</v>
      </c>
      <c r="BE76" s="33">
        <f t="shared" si="70"/>
        <v>0</v>
      </c>
      <c r="BF76" s="34" t="e">
        <f>BE76*VLOOKUP('Données projet'!$B$12,Paramètres!$A$1:$I$88,3,0)*VLOOKUP('Données projet'!$B$12,Paramètres!$A$1:$I$88,5,0)</f>
        <v>#N/A</v>
      </c>
      <c r="BG76" s="34" t="e">
        <f t="shared" si="71"/>
        <v>#N/A</v>
      </c>
      <c r="BH76" s="44" t="e">
        <f t="shared" si="48"/>
        <v>#N/A</v>
      </c>
      <c r="BI76" s="36">
        <f>IF(ISNA(VLOOKUP(A76,'Données projet'!$A$113:$I$133,3,0)),0,VLOOKUP(A76,'Données projet'!$A$113:$I$133,3,0))</f>
        <v>0</v>
      </c>
      <c r="BJ76" s="36">
        <f>IF(ISNA(VLOOKUP(A76,'Données projet'!$A$113:$I$133,4,0)),0,VLOOKUP(A76,'Données projet'!$A$113:$I$133,4,0))</f>
        <v>0</v>
      </c>
      <c r="BK76" s="37">
        <f>IF(ISNA(VLOOKUP(A76,'Données projet'!$A$113:$I$133,5,0)),0%,VLOOKUP(A76,'Données projet'!$A$113:$I$133,5,0)*VLOOKUP('Données projet'!$B$12,Paramètres!$A$1:$I$88,7,0))</f>
        <v>0</v>
      </c>
      <c r="BL76" s="37">
        <f>IF(ISNA(VLOOKUP(A76,'Données projet'!$A$113:$I$133,6,0)),0%,VLOOKUP(A76,'Données projet'!$A$113:$I$133,6,0)*VLOOKUP('Données projet'!$B$12,Paramètres!$A$1:$I$88,7,0))</f>
        <v>0</v>
      </c>
      <c r="BM76" s="37">
        <f>IF(ISNA(VLOOKUP(A76,'Données projet'!$A$113:$I$133,7,0)),0%,VLOOKUP(A76,'Données projet'!$A$113:$I$133,7,0))</f>
        <v>0</v>
      </c>
      <c r="BN76" s="45">
        <f>EXP(-LN(2)/35)*BN75+(1-EXP(-LN(2)/35))/(LN(2)/35)*BJ76*BK76*VLOOKUP('Données projet'!$B$9,Paramètres!$A$1:$I$88,3,0)*0.475*44/12</f>
        <v>0</v>
      </c>
      <c r="BO76" s="45">
        <f>EXP(-LN(2)/25)*BO75+(1-EXP(-LN(2)/25))/(LN(2)/25)*Calculateur!BJ76*Calculateur!BL76*VLOOKUP('Données projet'!$B$9,Paramètres!$A$1:$I$88,3,0)*0.475*44/12</f>
        <v>0</v>
      </c>
      <c r="BP76" s="45">
        <f>EXP(-LN(2)/2)*BP75+(1-EXP(-LN(2)/2))/(LN(2)/2)*BJ76*BM76*VLOOKUP('Données projet'!$B$9,Paramètres!$A$1:$I$88,3,0)*0.475*44/12</f>
        <v>0</v>
      </c>
      <c r="BQ76" s="46">
        <f t="shared" si="49"/>
        <v>0</v>
      </c>
      <c r="BR76" s="32" t="e">
        <f>VLOOKUP(A76,'Données projet'!$A$139:$I$159,2,0)</f>
        <v>#N/A</v>
      </c>
      <c r="BS76" s="33" t="e">
        <f>VLOOKUP(A76,'Données projet'!$A$139:$I$159,9,0)</f>
        <v>#N/A</v>
      </c>
      <c r="BT76" s="33">
        <f t="array" ref="BT76">INDEX(BS:BS,MIN(IF(ISNUMBER(BS76:BS272),ROW(BS76:BS272),"")))</f>
        <v>0</v>
      </c>
      <c r="BU76" s="33">
        <f t="shared" si="72"/>
        <v>0</v>
      </c>
      <c r="BV76" s="38" t="e">
        <f>BU76*VLOOKUP('Données projet'!$B$13,Paramètres!$A$1:$I$88,3,0)*VLOOKUP('Données projet'!$B$13,Paramètres!$A$1:$I$88,5,0)</f>
        <v>#N/A</v>
      </c>
      <c r="BW76" s="34" t="e">
        <f t="shared" si="73"/>
        <v>#N/A</v>
      </c>
      <c r="BX76" s="44" t="e">
        <f t="shared" si="50"/>
        <v>#N/A</v>
      </c>
      <c r="BY76" s="36">
        <f>IF(ISNA(VLOOKUP(A76,'Données projet'!$A$139:$I$159,3,0)),0,VLOOKUP(A76,'Données projet'!$A$139:$I$159,3,0))</f>
        <v>0</v>
      </c>
      <c r="BZ76" s="36">
        <f>IF(ISNA(VLOOKUP(A76,'Données projet'!$A$139:$I$159,4,0)),0,VLOOKUP(A76,'Données projet'!$A$139:$I$159,4,0))</f>
        <v>0</v>
      </c>
      <c r="CA76" s="37">
        <f>IF(ISNA(VLOOKUP(A76,'Données projet'!$A$139:$I$159,5,0)),0%,VLOOKUP(A76,'Données projet'!$A$139:$I$159,5,0)*VLOOKUP('Données projet'!$B$13,Paramètres!$A$1:$I$88,7,0))</f>
        <v>0</v>
      </c>
      <c r="CB76" s="37">
        <f>IF(ISNA(VLOOKUP(A76,'Données projet'!$A$139:$I$159,6,0)),0%,VLOOKUP(A76,'Données projet'!$A$139:$I$159,6,0)*VLOOKUP('Données projet'!$B$13,Paramètres!$A$1:$I$88,7,0))</f>
        <v>0</v>
      </c>
      <c r="CC76" s="37">
        <f>IF(ISNA(VLOOKUP(A76,'Données projet'!$A$139:$I$159,7,0)),0%,VLOOKUP(A76,'Données projet'!$A$139:$I$159,7,0))</f>
        <v>0</v>
      </c>
      <c r="CD76" s="45">
        <f>EXP(-LN(2)/35)*CD75+(1-EXP(-LN(2)/35))/(LN(2)/35)*BZ76*CA76*VLOOKUP('Données projet'!$B$9,Paramètres!$A$1:$I$88,3,0)*0.475*44/12</f>
        <v>0</v>
      </c>
      <c r="CE76" s="45">
        <f>EXP(-LN(2)/25)*CE75+(1-EXP(-LN(2)/25))/(LN(2)/25)*Calculateur!BZ76*Calculateur!CB76*VLOOKUP('Données projet'!$B$9,Paramètres!$A$1:$I$88,3,0)*0.475*44/12</f>
        <v>0</v>
      </c>
      <c r="CF76" s="45">
        <f>EXP(-LN(2)/2)*CF75+(1-EXP(-LN(2)/2))/(LN(2)/2)*BZ76*CC76*VLOOKUP('Données projet'!$B$9,Paramètres!$A$1:$I$88,3,0)*0.475*44/12</f>
        <v>0</v>
      </c>
      <c r="CG76" s="46">
        <f t="shared" si="51"/>
        <v>0</v>
      </c>
      <c r="CH76" s="32" t="e">
        <f>VLOOKUP(A76,'Données projet'!$A$165:$I$185,2,0)</f>
        <v>#N/A</v>
      </c>
      <c r="CI76" s="33" t="e">
        <f>VLOOKUP(A76,'Données projet'!$A$165:$I$185,9,0)</f>
        <v>#N/A</v>
      </c>
      <c r="CJ76" s="33">
        <f t="array" ref="CJ76">INDEX(CI:CI,MIN(IF(ISNUMBER(CI76:CI272),ROW(CI76:CI272),"")))</f>
        <v>0</v>
      </c>
      <c r="CK76" s="33">
        <f t="shared" si="74"/>
        <v>0</v>
      </c>
      <c r="CL76" s="38" t="e">
        <f>CK76*VLOOKUP('Données projet'!$B$14,Paramètres!$A$1:$I$88,3,0)*VLOOKUP('Données projet'!$B$14,Paramètres!$A$1:$I$88,5,0)</f>
        <v>#N/A</v>
      </c>
      <c r="CM76" s="34" t="e">
        <f t="shared" si="75"/>
        <v>#N/A</v>
      </c>
      <c r="CN76" s="44" t="e">
        <f t="shared" si="52"/>
        <v>#N/A</v>
      </c>
      <c r="CO76" s="36">
        <f>IF(ISNA(VLOOKUP(A76,'Données projet'!$A$165:$I$185,3,0)),0,VLOOKUP(A76,'Données projet'!$A$165:$I$185,3,0))</f>
        <v>0</v>
      </c>
      <c r="CP76" s="36">
        <f>IF(ISNA(VLOOKUP(A76,'Données projet'!$A$165:$I$185,4,0)),0,VLOOKUP(A76,'Données projet'!$A$165:$I$185,4,0))</f>
        <v>0</v>
      </c>
      <c r="CQ76" s="37">
        <f>IF(ISNA(VLOOKUP(A76,'Données projet'!$A$165:$I$185,5,0)),0%,VLOOKUP(A76,'Données projet'!$A$165:$I$185,5,0)*VLOOKUP('Données projet'!$B$14,Paramètres!$A$1:$I$88,7,0))</f>
        <v>0</v>
      </c>
      <c r="CR76" s="37">
        <f>IF(ISNA(VLOOKUP(A76,'Données projet'!$A$165:$I$185,6,0)),0%,VLOOKUP(A76,'Données projet'!$A$165:$I$185,6,0)*VLOOKUP('Données projet'!$B$14,Paramètres!$A$1:$I$88,7,0))</f>
        <v>0</v>
      </c>
      <c r="CS76" s="37">
        <f>IF(ISNA(VLOOKUP(A76,'Données projet'!$A$165:$I$185,7,0)),0%,VLOOKUP(A76,'Données projet'!$A$165:$I$185,7,0))</f>
        <v>0</v>
      </c>
      <c r="CT76" s="45">
        <f>EXP(-LN(2)/35)*CT75+(1-EXP(-LN(2)/35))/(LN(2)/35)*CP76*CQ76*VLOOKUP('Données projet'!$B$9,Paramètres!$A$1:$I$88,3,0)*0.475*44/12</f>
        <v>0</v>
      </c>
      <c r="CU76" s="45">
        <f>EXP(-LN(2)/25)*CU75+(1-EXP(-LN(2)/25))/(LN(2)/25)*Calculateur!CP76*Calculateur!CR76*VLOOKUP('Données projet'!$B$9,Paramètres!$A$1:$I$88,3,0)*0.475*44/12</f>
        <v>0</v>
      </c>
      <c r="CV76" s="45">
        <f>EXP(-LN(2)/2)*CV75+(1-EXP(-LN(2)/2))/(LN(2)/2)*CP76*CS76*VLOOKUP('Données projet'!$B$9,Paramètres!$A$1:$I$88,3,0)*0.475*44/12</f>
        <v>0</v>
      </c>
      <c r="CW76" s="46">
        <f t="shared" si="53"/>
        <v>0</v>
      </c>
      <c r="CX76" s="32" t="e">
        <f>VLOOKUP(A76,'Données projet'!$A$191:$I$211,2,0)</f>
        <v>#N/A</v>
      </c>
      <c r="CY76" s="33" t="e">
        <f>VLOOKUP(A76,'Données projet'!$A$191:$I$211,9,0)</f>
        <v>#N/A</v>
      </c>
      <c r="CZ76" s="33">
        <f t="array" ref="CZ76">INDEX(CY:CY,MIN(IF(ISNUMBER(CY76:CY272),ROW(CY76:CY272),"")))</f>
        <v>0</v>
      </c>
      <c r="DA76" s="33">
        <f t="shared" si="76"/>
        <v>0</v>
      </c>
      <c r="DB76" s="38" t="e">
        <f>DA76*VLOOKUP('Données projet'!$B$15,Paramètres!$A$1:$I$88,3,0)*VLOOKUP('Données projet'!$B$15,Paramètres!$A$1:$I$88,5,0)</f>
        <v>#N/A</v>
      </c>
      <c r="DC76" s="34" t="e">
        <f t="shared" si="77"/>
        <v>#N/A</v>
      </c>
      <c r="DD76" s="44" t="e">
        <f t="shared" si="54"/>
        <v>#N/A</v>
      </c>
      <c r="DE76" s="36">
        <f>IF(ISNA(VLOOKUP(A76,'Données projet'!$A$191:$I$211,3,0)),0,VLOOKUP(A76,'Données projet'!$A$191:$I$211,3,0))</f>
        <v>0</v>
      </c>
      <c r="DF76" s="36">
        <f>IF(ISNA(VLOOKUP(A76,'Données projet'!$A$191:$I$211,4,0)),0,VLOOKUP(A76,'Données projet'!$A$191:$I$211,4,0))</f>
        <v>0</v>
      </c>
      <c r="DG76" s="37">
        <f>IF(ISNA(VLOOKUP(A76,'Données projet'!$A$191:$I$211,5,0)),0%,VLOOKUP(A76,'Données projet'!$A$191:$I$211,5,0)*VLOOKUP('Données projet'!$B$15,Paramètres!$A$1:$I$88,7,0))</f>
        <v>0</v>
      </c>
      <c r="DH76" s="37">
        <f>IF(ISNA(VLOOKUP(A76,'Données projet'!$A$191:$I$211,6,0)),0%,VLOOKUP(A76,'Données projet'!$A$191:$I$211,6,0)*VLOOKUP('Données projet'!$B$15,Paramètres!$A$1:$I$88,7,0))</f>
        <v>0</v>
      </c>
      <c r="DI76" s="37">
        <f>IF(ISNA(VLOOKUP(A76,'Données projet'!$A$191:$I$211,7,0)),0%,VLOOKUP(A76,'Données projet'!$A$191:$I$211,7,0))</f>
        <v>0</v>
      </c>
      <c r="DJ76" s="45">
        <f>EXP(-LN(2)/35)*DJ75+(1-EXP(-LN(2)/35))/(LN(2)/35)*DF76*DG76*VLOOKUP('Données projet'!$B$9,Paramètres!$A$1:$I$88,3,0)*0.475*44/12</f>
        <v>0</v>
      </c>
      <c r="DK76" s="45">
        <f>EXP(-LN(2)/25)*DK75+(1-EXP(-LN(2)/25))/(LN(2)/25)*Calculateur!DF76*Calculateur!DH76*VLOOKUP('Données projet'!$B$9,Paramètres!$A$1:$I$88,3,0)*0.475*44/12</f>
        <v>0</v>
      </c>
      <c r="DL76" s="45">
        <f>EXP(-LN(2)/2)*DL75+(1-EXP(-LN(2)/2))/(LN(2)/2)*DF76*DI76*VLOOKUP('Données projet'!$B$9,Paramètres!$A$1:$I$88,3,0)*0.475*44/12</f>
        <v>0</v>
      </c>
      <c r="DM76" s="46">
        <f t="shared" si="55"/>
        <v>0</v>
      </c>
      <c r="DN76" s="32" t="e">
        <f>VLOOKUP(A76,'Données projet'!$A$217:$I$237,2,0)</f>
        <v>#N/A</v>
      </c>
      <c r="DO76" s="33" t="e">
        <f>VLOOKUP(A76,'Données projet'!$A$217:$I$237,9,0)</f>
        <v>#N/A</v>
      </c>
      <c r="DP76" s="33">
        <f t="array" ref="DP76">INDEX(DO:DO,MIN(IF(ISNUMBER(DO76:DO272),ROW(DO76:DO272),"")))</f>
        <v>0</v>
      </c>
      <c r="DQ76" s="33">
        <f t="shared" si="78"/>
        <v>0</v>
      </c>
      <c r="DR76" s="38" t="e">
        <f>DQ76*VLOOKUP('Données projet'!$B$16,Paramètres!$A$1:$I$88,3,0)*VLOOKUP('Données projet'!$B$16,Paramètres!$A$1:$I$88,5,0)</f>
        <v>#N/A</v>
      </c>
      <c r="DS76" s="34" t="e">
        <f t="shared" si="79"/>
        <v>#N/A</v>
      </c>
      <c r="DT76" s="44" t="e">
        <f t="shared" si="56"/>
        <v>#N/A</v>
      </c>
      <c r="DU76" s="36">
        <f>IF(ISNA(VLOOKUP(A76,'Données projet'!$A$217:$I$237,3,0)),0,VLOOKUP(A76,'Données projet'!$A$217:$I$237,3,0))</f>
        <v>0</v>
      </c>
      <c r="DV76" s="36">
        <f>IF(ISNA(VLOOKUP(A76,'Données projet'!$A$217:$I$237,4,0)),0,VLOOKUP(A76,'Données projet'!$A$217:$I$237,4,0))</f>
        <v>0</v>
      </c>
      <c r="DW76" s="37">
        <f>IF(ISNA(VLOOKUP(A76,'Données projet'!$A$217:$I$237,5,0)),0%,VLOOKUP(A76,'Données projet'!$A$217:$I$237,5,0)*VLOOKUP('Données projet'!$B$16,Paramètres!$A$1:$I$88,7,0))</f>
        <v>0</v>
      </c>
      <c r="DX76" s="37">
        <f>IF(ISNA(VLOOKUP(A76,'Données projet'!$A$217:$I$237,6,0)),0%,VLOOKUP(A76,'Données projet'!$A$217:$I$237,6,0)*VLOOKUP('Données projet'!$B$16,Paramètres!$A$1:$I$88,7,0))</f>
        <v>0</v>
      </c>
      <c r="DY76" s="37">
        <f>IF(ISNA(VLOOKUP(A76,'Données projet'!$A$217:$I$237,7,0)),0%,VLOOKUP(A76,'Données projet'!$A$217:$I$237,7,0))</f>
        <v>0</v>
      </c>
      <c r="DZ76" s="45">
        <f>EXP(-LN(2)/35)*DZ75+(1-EXP(-LN(2)/35))/(LN(2)/35)*DV76*DW76*VLOOKUP('Données projet'!$B$9,Paramètres!$A$1:$I$88,3,0)*0.475*44/12</f>
        <v>0</v>
      </c>
      <c r="EA76" s="45">
        <f>EXP(-LN(2)/25)*EA75+(1-EXP(-LN(2)/25))/(LN(2)/25)*Calculateur!DV76*Calculateur!DX76*VLOOKUP('Données projet'!$B$9,Paramètres!$A$1:$I$88,3,0)*0.475*44/12</f>
        <v>0</v>
      </c>
      <c r="EB76" s="45">
        <f>EXP(-LN(2)/2)*EB75+(1-EXP(-LN(2)/2))/(LN(2)/2)*DV76*DY76*VLOOKUP('Données projet'!$B$9,Paramètres!$A$1:$I$88,3,0)*0.475*44/12</f>
        <v>0</v>
      </c>
      <c r="EC76" s="46">
        <f t="shared" si="57"/>
        <v>0</v>
      </c>
      <c r="ED76" s="32" t="e">
        <f>VLOOKUP(A76,'Données projet'!$A$243:$I$263,2,0)</f>
        <v>#N/A</v>
      </c>
      <c r="EE76" s="33" t="e">
        <f>VLOOKUP(A76,'Données projet'!$A$243:$I$263,9,0)</f>
        <v>#N/A</v>
      </c>
      <c r="EF76" s="33">
        <f t="array" ref="EF76">INDEX(EE:EE,MIN(IF(ISNUMBER(EE76:EE272),ROW(EE76:EE272),"")))</f>
        <v>0</v>
      </c>
      <c r="EG76" s="33">
        <f t="shared" si="80"/>
        <v>0</v>
      </c>
      <c r="EH76" s="38" t="e">
        <f>EG76*VLOOKUP('Données projet'!$B$17,Paramètres!$A$1:$I$88,3,0)*VLOOKUP('Données projet'!$B$17,Paramètres!$A$1:$I$88,5,0)</f>
        <v>#N/A</v>
      </c>
      <c r="EI76" s="34" t="e">
        <f t="shared" si="81"/>
        <v>#N/A</v>
      </c>
      <c r="EJ76" s="44" t="e">
        <f t="shared" si="58"/>
        <v>#N/A</v>
      </c>
      <c r="EK76" s="36">
        <f>IF(ISNA(VLOOKUP(A76,'Données projet'!$A$243:$I$263,3,0)),0,VLOOKUP(A76,'Données projet'!$A$243:$I$263,3,0))</f>
        <v>0</v>
      </c>
      <c r="EL76" s="36">
        <f>IF(ISNA(VLOOKUP(A76,'Données projet'!$A$243:$I$263,4,0)),0,VLOOKUP(A76,'Données projet'!$A$243:$I$263,4,0))</f>
        <v>0</v>
      </c>
      <c r="EM76" s="37">
        <f>IF(ISNA(VLOOKUP(A76,'Données projet'!$A$243:$I$263,5,0)),0%,VLOOKUP(A76,'Données projet'!$A$243:$I$263,5,0)*VLOOKUP('Données projet'!$B$17,Paramètres!$A$1:$I$88,7,0))</f>
        <v>0</v>
      </c>
      <c r="EN76" s="37">
        <f>IF(ISNA(VLOOKUP(A76,'Données projet'!$A$243:$I$263,6,0)),0%,VLOOKUP(A76,'Données projet'!$A$243:$I$263,6,0)*VLOOKUP('Données projet'!$B$17,Paramètres!$A$1:$I$88,7,0))</f>
        <v>0</v>
      </c>
      <c r="EO76" s="37">
        <f>IF(ISNA(VLOOKUP(A76,'Données projet'!$A$243:$I$263,7,0)),0%,VLOOKUP(A76,'Données projet'!$A$243:$I$263,7,0))</f>
        <v>0</v>
      </c>
      <c r="EP76" s="45">
        <f>EXP(-LN(2)/35)*EP75+(1-EXP(-LN(2)/35))/(LN(2)/35)*EL76*EM76*VLOOKUP('Données projet'!$B$9,Paramètres!$A$1:$I$88,3,0)*0.475*44/12</f>
        <v>0</v>
      </c>
      <c r="EQ76" s="45">
        <f>EXP(-LN(2)/25)*EQ75+(1-EXP(-LN(2)/25))/(LN(2)/25)*Calculateur!EL76*Calculateur!EN76*VLOOKUP('Données projet'!$B$9,Paramètres!$A$1:$I$88,3,0)*0.475*44/12</f>
        <v>0</v>
      </c>
      <c r="ER76" s="45">
        <f>EXP(-LN(2)/2)*ER75+(1-EXP(-LN(2)/2))/(LN(2)/2)*EL76*EO76*VLOOKUP('Données projet'!$B$9,Paramètres!$A$1:$I$88,3,0)*0.475*44/12</f>
        <v>0</v>
      </c>
      <c r="ES76" s="46">
        <f t="shared" si="59"/>
        <v>0</v>
      </c>
      <c r="ET76" s="32" t="e">
        <f>VLOOKUP(A76,'Données projet'!$A$269:$I$289,2,0)</f>
        <v>#N/A</v>
      </c>
      <c r="EU76" s="33" t="e">
        <f>VLOOKUP(A76,'Données projet'!$A$269:$I$289,9,0)</f>
        <v>#N/A</v>
      </c>
      <c r="EV76" s="33">
        <f t="array" ref="EV76">INDEX(EU:EU,MIN(IF(ISNUMBER(EU76:EU272),ROW(EU76:EU272),"")))</f>
        <v>0</v>
      </c>
      <c r="EW76" s="33">
        <f t="shared" si="82"/>
        <v>0</v>
      </c>
      <c r="EX76" s="38" t="e">
        <f>EW76*VLOOKUP('Données projet'!$B$18,Paramètres!$A$1:$I$88,3,0)*VLOOKUP('Données projet'!$B$18,Paramètres!$A$1:$I$88,5,0)</f>
        <v>#N/A</v>
      </c>
      <c r="EY76" s="34" t="e">
        <f t="shared" si="83"/>
        <v>#N/A</v>
      </c>
      <c r="EZ76" s="44" t="e">
        <f t="shared" si="60"/>
        <v>#N/A</v>
      </c>
      <c r="FA76" s="36">
        <f>IF(ISNA(VLOOKUP(A76,'Données projet'!$A$269:$I$289,3,0)),0,VLOOKUP(A76,'Données projet'!$A$269:$I$289,3,0))</f>
        <v>0</v>
      </c>
      <c r="FB76" s="36">
        <f>IF(ISNA(VLOOKUP(A76,'Données projet'!$A$269:$I$289,4,0)),0,VLOOKUP(A76,'Données projet'!$A$269:$I$289,4,0))</f>
        <v>0</v>
      </c>
      <c r="FC76" s="37">
        <f>IF(ISNA(VLOOKUP(A76,'Données projet'!$A$269:$I$289,5,0)),0%,VLOOKUP(A76,'Données projet'!$A$269:$I$289,5,0)*VLOOKUP('Données projet'!$B$18,Paramètres!$A$1:$I$88,7,0))</f>
        <v>0</v>
      </c>
      <c r="FD76" s="37">
        <f>IF(ISNA(VLOOKUP(A76,'Données projet'!$A$269:$I$289,6,0)),0%,VLOOKUP(A76,'Données projet'!$A$269:$I$289,6,0)*VLOOKUP('Données projet'!$B$18,Paramètres!$A$1:$I$88,7,0))</f>
        <v>0</v>
      </c>
      <c r="FE76" s="37">
        <f>IF(ISNA(VLOOKUP(A76,'Données projet'!$A$269:$I$289,7,0)),0%,VLOOKUP(A76,'Données projet'!$A$269:$I$289,7,0))</f>
        <v>0</v>
      </c>
      <c r="FF76" s="45">
        <f>EXP(-LN(2)/35)*FF75+(1-EXP(-LN(2)/35))/(LN(2)/35)*FB76*FC76*VLOOKUP('Données projet'!$B$9,Paramètres!$A$1:$I$88,3,0)*0.475*44/12</f>
        <v>0</v>
      </c>
      <c r="FG76" s="45">
        <f>EXP(-LN(2)/25)*FG75+(1-EXP(-LN(2)/25))/(LN(2)/25)*Calculateur!FB76*Calculateur!FD76*VLOOKUP('Données projet'!$B$9,Paramètres!$A$1:$I$88,3,0)*0.475*44/12</f>
        <v>0</v>
      </c>
      <c r="FH76" s="45">
        <f>EXP(-LN(2)/2)*FH75+(1-EXP(-LN(2)/2))/(LN(2)/2)*FB76*FE76*VLOOKUP('Données projet'!$B$9,Paramètres!$A$1:$I$88,3,0)*0.475*44/12</f>
        <v>0</v>
      </c>
      <c r="FI76" s="46">
        <f t="shared" si="61"/>
        <v>0</v>
      </c>
    </row>
    <row r="77" spans="1:165" x14ac:dyDescent="0.25">
      <c r="A77" s="24">
        <f t="shared" si="62"/>
        <v>74</v>
      </c>
      <c r="B77" s="25">
        <f>IF('Scénario référence'!$N$1=1,5,0)</f>
        <v>0</v>
      </c>
      <c r="C77" s="40">
        <f>IF(OR('Scénario référence'!$N$1=2,'Scénario référence'!$N$1=4),C76+1*VLOOKUP('Scénario référence'!$G$14,Paramètres!$A$1:$I$88,3,0)*VLOOKUP('Scénario référence'!$G$14,Paramètres!$A$1:$I$88,5,0),IF(OR('Scénario référence'!$N$1=3,'Scénario référence'!$N$1=5),C76+0.5*VLOOKUP('Scénario référence'!$G$14,Paramètres!$A$1:$I$88,3,0)*VLOOKUP('Scénario référence'!$G$14,Paramètres!$A$1:$I$88,5,0),0))</f>
        <v>40.403999999999968</v>
      </c>
      <c r="D77" s="26">
        <f t="shared" si="63"/>
        <v>12.105664442616701</v>
      </c>
      <c r="E77" s="27">
        <f>IF('Scénario référence'!$N$1=1,B77*44/12,(C77+D77)*0.475*44/12)</f>
        <v>91.454332237557352</v>
      </c>
      <c r="F77" s="28" t="e">
        <f>VLOOKUP(A77,'Données projet'!$A$35:$I$55,2,0)</f>
        <v>#N/A</v>
      </c>
      <c r="G77" s="28" t="e">
        <f>VLOOKUP(A77,'Données projet'!$A$35:$I$55,9,0)</f>
        <v>#N/A</v>
      </c>
      <c r="H77" s="33">
        <f t="array" ref="H77">INDEX(G:G,MIN(IF(ISNUMBER(G77:G273),ROW(G77:G273),"")))</f>
        <v>6.2</v>
      </c>
      <c r="I77" s="28">
        <f t="shared" si="64"/>
        <v>266.7999999999999</v>
      </c>
      <c r="J77" s="41">
        <f>I77*VLOOKUP('Données projet'!$B$9,Paramètres!$A$1:$I$88,3,0)*VLOOKUP('Données projet'!$B$9,Paramètres!$A$1:$I$88,5,0)</f>
        <v>270.53519999999992</v>
      </c>
      <c r="K77" s="41">
        <f t="shared" si="65"/>
        <v>64.962839141501405</v>
      </c>
      <c r="L77" s="42">
        <f t="shared" si="42"/>
        <v>584.32575150478135</v>
      </c>
      <c r="M77" s="30">
        <f>IF(ISNA(VLOOKUP(A77,'Données projet'!$A$35:$I$55,3,0)),0,VLOOKUP(A77,'Données projet'!$A$35:$I$55,3,0))</f>
        <v>0</v>
      </c>
      <c r="N77" s="30">
        <f>IF(ISNA(VLOOKUP(A77,'Données projet'!$A$35:$I$55,4,0)),0,VLOOKUP(A77,'Données projet'!$A$35:$I$55,4,0))</f>
        <v>0</v>
      </c>
      <c r="O77" s="31">
        <f>IF(ISNA(VLOOKUP(A77,'Données projet'!$A$35:$I$55,5,0)),0%,VLOOKUP(A77,'Données projet'!$A$35:$I$55,5,0)*VLOOKUP('Données projet'!$B$9,Paramètres!$A$1:$I$88,7,0))</f>
        <v>0</v>
      </c>
      <c r="P77" s="31">
        <f>IF(ISNA(VLOOKUP(A77,'Données projet'!$A$35:$I$55,6,0)),0%,VLOOKUP(A77,'Données projet'!$A$35:$I$55,6,0)*VLOOKUP('Données projet'!$B$9,Paramètres!$A$1:$I$88,7,0))</f>
        <v>0</v>
      </c>
      <c r="Q77" s="31">
        <f>IF(ISNA(VLOOKUP(A77,'Données projet'!$A$35:$I$55,7,0)),0%,VLOOKUP(A77,'Données projet'!$A$35:$I$55,7,0))</f>
        <v>0</v>
      </c>
      <c r="R77" s="43">
        <f>EXP(-LN(2)/35)*R76+(1-EXP(-LN(2)/35))/(LN(2)/35)*N77*O77*VLOOKUP('Données projet'!$B$9,Paramètres!$A$1:$I$88,3,0)*0.475*44/12</f>
        <v>0</v>
      </c>
      <c r="S77" s="43">
        <f>EXP(-LN(2)/25)*S76+(1-EXP(-LN(2)/25))/(LN(2)/25)*Calculateur!N77*Calculateur!P77*VLOOKUP('Données projet'!$B$9,Paramètres!$A$1:$I$88,3,0)*0.475*44/12</f>
        <v>0</v>
      </c>
      <c r="T77" s="43">
        <f>EXP(-LN(2)/2)*T76+(1-EXP(-LN(2)/2))/(LN(2)/2)*N77*Q77*VLOOKUP('Données projet'!$B$9,Paramètres!$A$1:$I$88,3,0)*0.475*44/12</f>
        <v>0</v>
      </c>
      <c r="U77" s="43">
        <f t="shared" si="43"/>
        <v>0</v>
      </c>
      <c r="V77" s="32" t="e">
        <f>VLOOKUP(A77,'Données projet'!$A$61:$I$81,2,0)</f>
        <v>#N/A</v>
      </c>
      <c r="W77" s="33" t="e">
        <f>VLOOKUP(A77,'Données projet'!$A$61:$I$81,9,0)</f>
        <v>#N/A</v>
      </c>
      <c r="X77" s="33">
        <f t="array" ref="X77">INDEX(W:W,MIN(IF(ISNUMBER(W77:W273),ROW(W77:W273),"")))</f>
        <v>0</v>
      </c>
      <c r="Y77" s="33">
        <f t="shared" si="66"/>
        <v>0</v>
      </c>
      <c r="Z77" s="34" t="e">
        <f>Y77*VLOOKUP('Données projet'!$B$10,Paramètres!$A$1:$I$88,3,0)*VLOOKUP('Données projet'!$B$10,Paramètres!$A$1:$I$88,5,0)</f>
        <v>#N/A</v>
      </c>
      <c r="AA77" s="34" t="e">
        <f t="shared" si="67"/>
        <v>#N/A</v>
      </c>
      <c r="AB77" s="44" t="e">
        <f t="shared" si="44"/>
        <v>#N/A</v>
      </c>
      <c r="AC77" s="36">
        <f>IF(ISNA(VLOOKUP(A77,'Données projet'!$A$61:$I$81,3,0)),0,VLOOKUP(A77,'Données projet'!$A$61:$I$81,3,0))</f>
        <v>0</v>
      </c>
      <c r="AD77" s="36">
        <f>IF(ISNA(VLOOKUP(A77,'Données projet'!$A$61:$I$81,4,0)),0,VLOOKUP(A77,'Données projet'!$A$61:$I$81,4,0))</f>
        <v>0</v>
      </c>
      <c r="AE77" s="37">
        <f>IF(ISNA(VLOOKUP(A77,'Données projet'!$A$61:$I$81,5,0)),0%,VLOOKUP(A77,'Données projet'!$A$61:$I$81,5,0)*VLOOKUP('Données projet'!$B$10,Paramètres!$A$1:$I$88,7,0))</f>
        <v>0</v>
      </c>
      <c r="AF77" s="37">
        <f>IF(ISNA(VLOOKUP(A77,'Données projet'!$A$61:$I$81,6,0)),0%,VLOOKUP(A77,'Données projet'!$A$61:$I$81,6,0)*VLOOKUP('Données projet'!$B$10,Paramètres!$A$1:$I$88,7,0))</f>
        <v>0</v>
      </c>
      <c r="AG77" s="37">
        <f>IF(ISNA(VLOOKUP(A77,'Données projet'!$A$61:$I$81,7,0)),0%,VLOOKUP(A77,'Données projet'!$A$61:$I$81,7,0))</f>
        <v>0</v>
      </c>
      <c r="AH77" s="45">
        <f>EXP(-LN(2)/35)*AH76+(1-EXP(-LN(2)/35))/(LN(2)/35)*AD77*AE77*VLOOKUP('Données projet'!$B$9,Paramètres!$A$1:$I$88,3,0)*0.475*44/12</f>
        <v>0</v>
      </c>
      <c r="AI77" s="45">
        <f>EXP(-LN(2)/25)*AI76+(1-EXP(-LN(2)/25))/(LN(2)/25)*Calculateur!AD77*Calculateur!AF77*VLOOKUP('Données projet'!$B$9,Paramètres!$A$1:$I$88,3,0)*0.475*44/12</f>
        <v>0</v>
      </c>
      <c r="AJ77" s="45">
        <f>EXP(-LN(2)/2)*AJ76+(1-EXP(-LN(2)/2))/(LN(2)/2)*AD77*AG77*VLOOKUP('Données projet'!$B$9,Paramètres!$A$1:$I$88,3,0)*0.475*44/12</f>
        <v>0</v>
      </c>
      <c r="AK77" s="45">
        <f t="shared" si="45"/>
        <v>0</v>
      </c>
      <c r="AL77" s="32" t="e">
        <f>VLOOKUP(A77,'Données projet'!$A$87:$I$107,2,0)</f>
        <v>#N/A</v>
      </c>
      <c r="AM77" s="33" t="e">
        <f>VLOOKUP(A77,'Données projet'!$A$87:$I$107,9,0)</f>
        <v>#N/A</v>
      </c>
      <c r="AN77" s="33">
        <f t="array" ref="AN77">INDEX(AM:AM,MIN(IF(ISNUMBER(AM77:AM273),ROW(AM77:AM273),"")))</f>
        <v>0</v>
      </c>
      <c r="AO77" s="33">
        <f t="shared" si="68"/>
        <v>0</v>
      </c>
      <c r="AP77" s="34" t="e">
        <f>AO77*VLOOKUP('Données projet'!$B$11,Paramètres!$A$1:$I$88,3,0)*VLOOKUP('Données projet'!$B$11,Paramètres!$A$1:$I$88,5,0)</f>
        <v>#N/A</v>
      </c>
      <c r="AQ77" s="34" t="e">
        <f t="shared" si="69"/>
        <v>#N/A</v>
      </c>
      <c r="AR77" s="44" t="e">
        <f t="shared" si="46"/>
        <v>#N/A</v>
      </c>
      <c r="AS77" s="36">
        <f>IF(ISNA(VLOOKUP(A77,'Données projet'!$A$87:$I$107,3,0)),0,VLOOKUP(A77,'Données projet'!$A$87:$I$107,3,0))</f>
        <v>0</v>
      </c>
      <c r="AT77" s="36">
        <f>IF(ISNA(VLOOKUP(A77,'Données projet'!$A$87:$I$107,4,0)),0,VLOOKUP(A77,'Données projet'!$A$87:$I$107,4,0))</f>
        <v>0</v>
      </c>
      <c r="AU77" s="37">
        <f>IF(ISNA(VLOOKUP(A77,'Données projet'!$A$87:$I$107,5,0)),0%,VLOOKUP(A77,'Données projet'!$A$87:$I$107,5,0)*VLOOKUP('Données projet'!$B$11,Paramètres!$A$1:$I$88,7,0))</f>
        <v>0</v>
      </c>
      <c r="AV77" s="37">
        <f>IF(ISNA(VLOOKUP(A77,'Données projet'!$A$87:$I$107,6,0)),0%,VLOOKUP(A77,'Données projet'!$A$87:$I$107,6,0)*VLOOKUP('Données projet'!$B$11,Paramètres!$A$1:$I$88,7,0))</f>
        <v>0</v>
      </c>
      <c r="AW77" s="37">
        <f>IF(ISNA(VLOOKUP(A77,'Données projet'!$A$87:$I$107,7,0)),0%,VLOOKUP(A77,'Données projet'!$A$87:$I$107,7,0))</f>
        <v>0</v>
      </c>
      <c r="AX77" s="45">
        <f>EXP(-LN(2)/35)*AX76+(1-EXP(-LN(2)/35))/(LN(2)/35)*AT77*AU77*VLOOKUP('Données projet'!$B$9,Paramètres!$A$1:$I$88,3,0)*0.475*44/12</f>
        <v>0</v>
      </c>
      <c r="AY77" s="45">
        <f>EXP(-LN(2)/25)*AY76+(1-EXP(-LN(2)/25))/(LN(2)/25)*Calculateur!AT77*Calculateur!AV77*VLOOKUP('Données projet'!$B$9,Paramètres!$A$1:$I$88,3,0)*0.475*44/12</f>
        <v>0</v>
      </c>
      <c r="AZ77" s="45">
        <f>EXP(-LN(2)/2)*AZ76+(1-EXP(-LN(2)/2))/(LN(2)/2)*AT77*AW77*VLOOKUP('Données projet'!$B$9,Paramètres!$A$1:$I$88,3,0)*0.475*44/12</f>
        <v>0</v>
      </c>
      <c r="BA77" s="46">
        <f t="shared" si="47"/>
        <v>0</v>
      </c>
      <c r="BB77" s="32" t="e">
        <f>VLOOKUP(A77,'Données projet'!$A$113:$I$133,2,0)</f>
        <v>#N/A</v>
      </c>
      <c r="BC77" s="33" t="e">
        <f>VLOOKUP(A77,'Données projet'!$A$113:$I$133,9,0)</f>
        <v>#N/A</v>
      </c>
      <c r="BD77" s="33">
        <f t="array" ref="BD77">INDEX(BC:BC,MIN(IF(ISNUMBER(BC77:BC273),ROW(BC77:BC273),"")))</f>
        <v>0</v>
      </c>
      <c r="BE77" s="33">
        <f t="shared" si="70"/>
        <v>0</v>
      </c>
      <c r="BF77" s="34" t="e">
        <f>BE77*VLOOKUP('Données projet'!$B$12,Paramètres!$A$1:$I$88,3,0)*VLOOKUP('Données projet'!$B$12,Paramètres!$A$1:$I$88,5,0)</f>
        <v>#N/A</v>
      </c>
      <c r="BG77" s="34" t="e">
        <f t="shared" si="71"/>
        <v>#N/A</v>
      </c>
      <c r="BH77" s="44" t="e">
        <f t="shared" si="48"/>
        <v>#N/A</v>
      </c>
      <c r="BI77" s="36">
        <f>IF(ISNA(VLOOKUP(A77,'Données projet'!$A$113:$I$133,3,0)),0,VLOOKUP(A77,'Données projet'!$A$113:$I$133,3,0))</f>
        <v>0</v>
      </c>
      <c r="BJ77" s="36">
        <f>IF(ISNA(VLOOKUP(A77,'Données projet'!$A$113:$I$133,4,0)),0,VLOOKUP(A77,'Données projet'!$A$113:$I$133,4,0))</f>
        <v>0</v>
      </c>
      <c r="BK77" s="37">
        <f>IF(ISNA(VLOOKUP(A77,'Données projet'!$A$113:$I$133,5,0)),0%,VLOOKUP(A77,'Données projet'!$A$113:$I$133,5,0)*VLOOKUP('Données projet'!$B$12,Paramètres!$A$1:$I$88,7,0))</f>
        <v>0</v>
      </c>
      <c r="BL77" s="37">
        <f>IF(ISNA(VLOOKUP(A77,'Données projet'!$A$113:$I$133,6,0)),0%,VLOOKUP(A77,'Données projet'!$A$113:$I$133,6,0)*VLOOKUP('Données projet'!$B$12,Paramètres!$A$1:$I$88,7,0))</f>
        <v>0</v>
      </c>
      <c r="BM77" s="37">
        <f>IF(ISNA(VLOOKUP(A77,'Données projet'!$A$113:$I$133,7,0)),0%,VLOOKUP(A77,'Données projet'!$A$113:$I$133,7,0))</f>
        <v>0</v>
      </c>
      <c r="BN77" s="45">
        <f>EXP(-LN(2)/35)*BN76+(1-EXP(-LN(2)/35))/(LN(2)/35)*BJ77*BK77*VLOOKUP('Données projet'!$B$9,Paramètres!$A$1:$I$88,3,0)*0.475*44/12</f>
        <v>0</v>
      </c>
      <c r="BO77" s="45">
        <f>EXP(-LN(2)/25)*BO76+(1-EXP(-LN(2)/25))/(LN(2)/25)*Calculateur!BJ77*Calculateur!BL77*VLOOKUP('Données projet'!$B$9,Paramètres!$A$1:$I$88,3,0)*0.475*44/12</f>
        <v>0</v>
      </c>
      <c r="BP77" s="45">
        <f>EXP(-LN(2)/2)*BP76+(1-EXP(-LN(2)/2))/(LN(2)/2)*BJ77*BM77*VLOOKUP('Données projet'!$B$9,Paramètres!$A$1:$I$88,3,0)*0.475*44/12</f>
        <v>0</v>
      </c>
      <c r="BQ77" s="46">
        <f t="shared" si="49"/>
        <v>0</v>
      </c>
      <c r="BR77" s="32" t="e">
        <f>VLOOKUP(A77,'Données projet'!$A$139:$I$159,2,0)</f>
        <v>#N/A</v>
      </c>
      <c r="BS77" s="33" t="e">
        <f>VLOOKUP(A77,'Données projet'!$A$139:$I$159,9,0)</f>
        <v>#N/A</v>
      </c>
      <c r="BT77" s="33">
        <f t="array" ref="BT77">INDEX(BS:BS,MIN(IF(ISNUMBER(BS77:BS273),ROW(BS77:BS273),"")))</f>
        <v>0</v>
      </c>
      <c r="BU77" s="33">
        <f t="shared" si="72"/>
        <v>0</v>
      </c>
      <c r="BV77" s="38" t="e">
        <f>BU77*VLOOKUP('Données projet'!$B$13,Paramètres!$A$1:$I$88,3,0)*VLOOKUP('Données projet'!$B$13,Paramètres!$A$1:$I$88,5,0)</f>
        <v>#N/A</v>
      </c>
      <c r="BW77" s="34" t="e">
        <f t="shared" si="73"/>
        <v>#N/A</v>
      </c>
      <c r="BX77" s="44" t="e">
        <f t="shared" si="50"/>
        <v>#N/A</v>
      </c>
      <c r="BY77" s="36">
        <f>IF(ISNA(VLOOKUP(A77,'Données projet'!$A$139:$I$159,3,0)),0,VLOOKUP(A77,'Données projet'!$A$139:$I$159,3,0))</f>
        <v>0</v>
      </c>
      <c r="BZ77" s="36">
        <f>IF(ISNA(VLOOKUP(A77,'Données projet'!$A$139:$I$159,4,0)),0,VLOOKUP(A77,'Données projet'!$A$139:$I$159,4,0))</f>
        <v>0</v>
      </c>
      <c r="CA77" s="37">
        <f>IF(ISNA(VLOOKUP(A77,'Données projet'!$A$139:$I$159,5,0)),0%,VLOOKUP(A77,'Données projet'!$A$139:$I$159,5,0)*VLOOKUP('Données projet'!$B$13,Paramètres!$A$1:$I$88,7,0))</f>
        <v>0</v>
      </c>
      <c r="CB77" s="37">
        <f>IF(ISNA(VLOOKUP(A77,'Données projet'!$A$139:$I$159,6,0)),0%,VLOOKUP(A77,'Données projet'!$A$139:$I$159,6,0)*VLOOKUP('Données projet'!$B$13,Paramètres!$A$1:$I$88,7,0))</f>
        <v>0</v>
      </c>
      <c r="CC77" s="37">
        <f>IF(ISNA(VLOOKUP(A77,'Données projet'!$A$139:$I$159,7,0)),0%,VLOOKUP(A77,'Données projet'!$A$139:$I$159,7,0))</f>
        <v>0</v>
      </c>
      <c r="CD77" s="45">
        <f>EXP(-LN(2)/35)*CD76+(1-EXP(-LN(2)/35))/(LN(2)/35)*BZ77*CA77*VLOOKUP('Données projet'!$B$9,Paramètres!$A$1:$I$88,3,0)*0.475*44/12</f>
        <v>0</v>
      </c>
      <c r="CE77" s="45">
        <f>EXP(-LN(2)/25)*CE76+(1-EXP(-LN(2)/25))/(LN(2)/25)*Calculateur!BZ77*Calculateur!CB77*VLOOKUP('Données projet'!$B$9,Paramètres!$A$1:$I$88,3,0)*0.475*44/12</f>
        <v>0</v>
      </c>
      <c r="CF77" s="45">
        <f>EXP(-LN(2)/2)*CF76+(1-EXP(-LN(2)/2))/(LN(2)/2)*BZ77*CC77*VLOOKUP('Données projet'!$B$9,Paramètres!$A$1:$I$88,3,0)*0.475*44/12</f>
        <v>0</v>
      </c>
      <c r="CG77" s="46">
        <f t="shared" si="51"/>
        <v>0</v>
      </c>
      <c r="CH77" s="32" t="e">
        <f>VLOOKUP(A77,'Données projet'!$A$165:$I$185,2,0)</f>
        <v>#N/A</v>
      </c>
      <c r="CI77" s="33" t="e">
        <f>VLOOKUP(A77,'Données projet'!$A$165:$I$185,9,0)</f>
        <v>#N/A</v>
      </c>
      <c r="CJ77" s="33">
        <f t="array" ref="CJ77">INDEX(CI:CI,MIN(IF(ISNUMBER(CI77:CI273),ROW(CI77:CI273),"")))</f>
        <v>0</v>
      </c>
      <c r="CK77" s="33">
        <f t="shared" si="74"/>
        <v>0</v>
      </c>
      <c r="CL77" s="38" t="e">
        <f>CK77*VLOOKUP('Données projet'!$B$14,Paramètres!$A$1:$I$88,3,0)*VLOOKUP('Données projet'!$B$14,Paramètres!$A$1:$I$88,5,0)</f>
        <v>#N/A</v>
      </c>
      <c r="CM77" s="34" t="e">
        <f t="shared" si="75"/>
        <v>#N/A</v>
      </c>
      <c r="CN77" s="44" t="e">
        <f t="shared" si="52"/>
        <v>#N/A</v>
      </c>
      <c r="CO77" s="36">
        <f>IF(ISNA(VLOOKUP(A77,'Données projet'!$A$165:$I$185,3,0)),0,VLOOKUP(A77,'Données projet'!$A$165:$I$185,3,0))</f>
        <v>0</v>
      </c>
      <c r="CP77" s="36">
        <f>IF(ISNA(VLOOKUP(A77,'Données projet'!$A$165:$I$185,4,0)),0,VLOOKUP(A77,'Données projet'!$A$165:$I$185,4,0))</f>
        <v>0</v>
      </c>
      <c r="CQ77" s="37">
        <f>IF(ISNA(VLOOKUP(A77,'Données projet'!$A$165:$I$185,5,0)),0%,VLOOKUP(A77,'Données projet'!$A$165:$I$185,5,0)*VLOOKUP('Données projet'!$B$14,Paramètres!$A$1:$I$88,7,0))</f>
        <v>0</v>
      </c>
      <c r="CR77" s="37">
        <f>IF(ISNA(VLOOKUP(A77,'Données projet'!$A$165:$I$185,6,0)),0%,VLOOKUP(A77,'Données projet'!$A$165:$I$185,6,0)*VLOOKUP('Données projet'!$B$14,Paramètres!$A$1:$I$88,7,0))</f>
        <v>0</v>
      </c>
      <c r="CS77" s="37">
        <f>IF(ISNA(VLOOKUP(A77,'Données projet'!$A$165:$I$185,7,0)),0%,VLOOKUP(A77,'Données projet'!$A$165:$I$185,7,0))</f>
        <v>0</v>
      </c>
      <c r="CT77" s="45">
        <f>EXP(-LN(2)/35)*CT76+(1-EXP(-LN(2)/35))/(LN(2)/35)*CP77*CQ77*VLOOKUP('Données projet'!$B$9,Paramètres!$A$1:$I$88,3,0)*0.475*44/12</f>
        <v>0</v>
      </c>
      <c r="CU77" s="45">
        <f>EXP(-LN(2)/25)*CU76+(1-EXP(-LN(2)/25))/(LN(2)/25)*Calculateur!CP77*Calculateur!CR77*VLOOKUP('Données projet'!$B$9,Paramètres!$A$1:$I$88,3,0)*0.475*44/12</f>
        <v>0</v>
      </c>
      <c r="CV77" s="45">
        <f>EXP(-LN(2)/2)*CV76+(1-EXP(-LN(2)/2))/(LN(2)/2)*CP77*CS77*VLOOKUP('Données projet'!$B$9,Paramètres!$A$1:$I$88,3,0)*0.475*44/12</f>
        <v>0</v>
      </c>
      <c r="CW77" s="46">
        <f t="shared" si="53"/>
        <v>0</v>
      </c>
      <c r="CX77" s="32" t="e">
        <f>VLOOKUP(A77,'Données projet'!$A$191:$I$211,2,0)</f>
        <v>#N/A</v>
      </c>
      <c r="CY77" s="33" t="e">
        <f>VLOOKUP(A77,'Données projet'!$A$191:$I$211,9,0)</f>
        <v>#N/A</v>
      </c>
      <c r="CZ77" s="33">
        <f t="array" ref="CZ77">INDEX(CY:CY,MIN(IF(ISNUMBER(CY77:CY273),ROW(CY77:CY273),"")))</f>
        <v>0</v>
      </c>
      <c r="DA77" s="33">
        <f t="shared" si="76"/>
        <v>0</v>
      </c>
      <c r="DB77" s="38" t="e">
        <f>DA77*VLOOKUP('Données projet'!$B$15,Paramètres!$A$1:$I$88,3,0)*VLOOKUP('Données projet'!$B$15,Paramètres!$A$1:$I$88,5,0)</f>
        <v>#N/A</v>
      </c>
      <c r="DC77" s="34" t="e">
        <f t="shared" si="77"/>
        <v>#N/A</v>
      </c>
      <c r="DD77" s="44" t="e">
        <f t="shared" si="54"/>
        <v>#N/A</v>
      </c>
      <c r="DE77" s="36">
        <f>IF(ISNA(VLOOKUP(A77,'Données projet'!$A$191:$I$211,3,0)),0,VLOOKUP(A77,'Données projet'!$A$191:$I$211,3,0))</f>
        <v>0</v>
      </c>
      <c r="DF77" s="36">
        <f>IF(ISNA(VLOOKUP(A77,'Données projet'!$A$191:$I$211,4,0)),0,VLOOKUP(A77,'Données projet'!$A$191:$I$211,4,0))</f>
        <v>0</v>
      </c>
      <c r="DG77" s="37">
        <f>IF(ISNA(VLOOKUP(A77,'Données projet'!$A$191:$I$211,5,0)),0%,VLOOKUP(A77,'Données projet'!$A$191:$I$211,5,0)*VLOOKUP('Données projet'!$B$15,Paramètres!$A$1:$I$88,7,0))</f>
        <v>0</v>
      </c>
      <c r="DH77" s="37">
        <f>IF(ISNA(VLOOKUP(A77,'Données projet'!$A$191:$I$211,6,0)),0%,VLOOKUP(A77,'Données projet'!$A$191:$I$211,6,0)*VLOOKUP('Données projet'!$B$15,Paramètres!$A$1:$I$88,7,0))</f>
        <v>0</v>
      </c>
      <c r="DI77" s="37">
        <f>IF(ISNA(VLOOKUP(A77,'Données projet'!$A$191:$I$211,7,0)),0%,VLOOKUP(A77,'Données projet'!$A$191:$I$211,7,0))</f>
        <v>0</v>
      </c>
      <c r="DJ77" s="45">
        <f>EXP(-LN(2)/35)*DJ76+(1-EXP(-LN(2)/35))/(LN(2)/35)*DF77*DG77*VLOOKUP('Données projet'!$B$9,Paramètres!$A$1:$I$88,3,0)*0.475*44/12</f>
        <v>0</v>
      </c>
      <c r="DK77" s="45">
        <f>EXP(-LN(2)/25)*DK76+(1-EXP(-LN(2)/25))/(LN(2)/25)*Calculateur!DF77*Calculateur!DH77*VLOOKUP('Données projet'!$B$9,Paramètres!$A$1:$I$88,3,0)*0.475*44/12</f>
        <v>0</v>
      </c>
      <c r="DL77" s="45">
        <f>EXP(-LN(2)/2)*DL76+(1-EXP(-LN(2)/2))/(LN(2)/2)*DF77*DI77*VLOOKUP('Données projet'!$B$9,Paramètres!$A$1:$I$88,3,0)*0.475*44/12</f>
        <v>0</v>
      </c>
      <c r="DM77" s="46">
        <f t="shared" si="55"/>
        <v>0</v>
      </c>
      <c r="DN77" s="32" t="e">
        <f>VLOOKUP(A77,'Données projet'!$A$217:$I$237,2,0)</f>
        <v>#N/A</v>
      </c>
      <c r="DO77" s="33" t="e">
        <f>VLOOKUP(A77,'Données projet'!$A$217:$I$237,9,0)</f>
        <v>#N/A</v>
      </c>
      <c r="DP77" s="33">
        <f t="array" ref="DP77">INDEX(DO:DO,MIN(IF(ISNUMBER(DO77:DO273),ROW(DO77:DO273),"")))</f>
        <v>0</v>
      </c>
      <c r="DQ77" s="33">
        <f t="shared" si="78"/>
        <v>0</v>
      </c>
      <c r="DR77" s="38" t="e">
        <f>DQ77*VLOOKUP('Données projet'!$B$16,Paramètres!$A$1:$I$88,3,0)*VLOOKUP('Données projet'!$B$16,Paramètres!$A$1:$I$88,5,0)</f>
        <v>#N/A</v>
      </c>
      <c r="DS77" s="34" t="e">
        <f t="shared" si="79"/>
        <v>#N/A</v>
      </c>
      <c r="DT77" s="44" t="e">
        <f t="shared" si="56"/>
        <v>#N/A</v>
      </c>
      <c r="DU77" s="36">
        <f>IF(ISNA(VLOOKUP(A77,'Données projet'!$A$217:$I$237,3,0)),0,VLOOKUP(A77,'Données projet'!$A$217:$I$237,3,0))</f>
        <v>0</v>
      </c>
      <c r="DV77" s="36">
        <f>IF(ISNA(VLOOKUP(A77,'Données projet'!$A$217:$I$237,4,0)),0,VLOOKUP(A77,'Données projet'!$A$217:$I$237,4,0))</f>
        <v>0</v>
      </c>
      <c r="DW77" s="37">
        <f>IF(ISNA(VLOOKUP(A77,'Données projet'!$A$217:$I$237,5,0)),0%,VLOOKUP(A77,'Données projet'!$A$217:$I$237,5,0)*VLOOKUP('Données projet'!$B$16,Paramètres!$A$1:$I$88,7,0))</f>
        <v>0</v>
      </c>
      <c r="DX77" s="37">
        <f>IF(ISNA(VLOOKUP(A77,'Données projet'!$A$217:$I$237,6,0)),0%,VLOOKUP(A77,'Données projet'!$A$217:$I$237,6,0)*VLOOKUP('Données projet'!$B$16,Paramètres!$A$1:$I$88,7,0))</f>
        <v>0</v>
      </c>
      <c r="DY77" s="37">
        <f>IF(ISNA(VLOOKUP(A77,'Données projet'!$A$217:$I$237,7,0)),0%,VLOOKUP(A77,'Données projet'!$A$217:$I$237,7,0))</f>
        <v>0</v>
      </c>
      <c r="DZ77" s="45">
        <f>EXP(-LN(2)/35)*DZ76+(1-EXP(-LN(2)/35))/(LN(2)/35)*DV77*DW77*VLOOKUP('Données projet'!$B$9,Paramètres!$A$1:$I$88,3,0)*0.475*44/12</f>
        <v>0</v>
      </c>
      <c r="EA77" s="45">
        <f>EXP(-LN(2)/25)*EA76+(1-EXP(-LN(2)/25))/(LN(2)/25)*Calculateur!DV77*Calculateur!DX77*VLOOKUP('Données projet'!$B$9,Paramètres!$A$1:$I$88,3,0)*0.475*44/12</f>
        <v>0</v>
      </c>
      <c r="EB77" s="45">
        <f>EXP(-LN(2)/2)*EB76+(1-EXP(-LN(2)/2))/(LN(2)/2)*DV77*DY77*VLOOKUP('Données projet'!$B$9,Paramètres!$A$1:$I$88,3,0)*0.475*44/12</f>
        <v>0</v>
      </c>
      <c r="EC77" s="46">
        <f t="shared" si="57"/>
        <v>0</v>
      </c>
      <c r="ED77" s="32" t="e">
        <f>VLOOKUP(A77,'Données projet'!$A$243:$I$263,2,0)</f>
        <v>#N/A</v>
      </c>
      <c r="EE77" s="33" t="e">
        <f>VLOOKUP(A77,'Données projet'!$A$243:$I$263,9,0)</f>
        <v>#N/A</v>
      </c>
      <c r="EF77" s="33">
        <f t="array" ref="EF77">INDEX(EE:EE,MIN(IF(ISNUMBER(EE77:EE273),ROW(EE77:EE273),"")))</f>
        <v>0</v>
      </c>
      <c r="EG77" s="33">
        <f t="shared" si="80"/>
        <v>0</v>
      </c>
      <c r="EH77" s="38" t="e">
        <f>EG77*VLOOKUP('Données projet'!$B$17,Paramètres!$A$1:$I$88,3,0)*VLOOKUP('Données projet'!$B$17,Paramètres!$A$1:$I$88,5,0)</f>
        <v>#N/A</v>
      </c>
      <c r="EI77" s="34" t="e">
        <f t="shared" si="81"/>
        <v>#N/A</v>
      </c>
      <c r="EJ77" s="44" t="e">
        <f t="shared" si="58"/>
        <v>#N/A</v>
      </c>
      <c r="EK77" s="36">
        <f>IF(ISNA(VLOOKUP(A77,'Données projet'!$A$243:$I$263,3,0)),0,VLOOKUP(A77,'Données projet'!$A$243:$I$263,3,0))</f>
        <v>0</v>
      </c>
      <c r="EL77" s="36">
        <f>IF(ISNA(VLOOKUP(A77,'Données projet'!$A$243:$I$263,4,0)),0,VLOOKUP(A77,'Données projet'!$A$243:$I$263,4,0))</f>
        <v>0</v>
      </c>
      <c r="EM77" s="37">
        <f>IF(ISNA(VLOOKUP(A77,'Données projet'!$A$243:$I$263,5,0)),0%,VLOOKUP(A77,'Données projet'!$A$243:$I$263,5,0)*VLOOKUP('Données projet'!$B$17,Paramètres!$A$1:$I$88,7,0))</f>
        <v>0</v>
      </c>
      <c r="EN77" s="37">
        <f>IF(ISNA(VLOOKUP(A77,'Données projet'!$A$243:$I$263,6,0)),0%,VLOOKUP(A77,'Données projet'!$A$243:$I$263,6,0)*VLOOKUP('Données projet'!$B$17,Paramètres!$A$1:$I$88,7,0))</f>
        <v>0</v>
      </c>
      <c r="EO77" s="37">
        <f>IF(ISNA(VLOOKUP(A77,'Données projet'!$A$243:$I$263,7,0)),0%,VLOOKUP(A77,'Données projet'!$A$243:$I$263,7,0))</f>
        <v>0</v>
      </c>
      <c r="EP77" s="45">
        <f>EXP(-LN(2)/35)*EP76+(1-EXP(-LN(2)/35))/(LN(2)/35)*EL77*EM77*VLOOKUP('Données projet'!$B$9,Paramètres!$A$1:$I$88,3,0)*0.475*44/12</f>
        <v>0</v>
      </c>
      <c r="EQ77" s="45">
        <f>EXP(-LN(2)/25)*EQ76+(1-EXP(-LN(2)/25))/(LN(2)/25)*Calculateur!EL77*Calculateur!EN77*VLOOKUP('Données projet'!$B$9,Paramètres!$A$1:$I$88,3,0)*0.475*44/12</f>
        <v>0</v>
      </c>
      <c r="ER77" s="45">
        <f>EXP(-LN(2)/2)*ER76+(1-EXP(-LN(2)/2))/(LN(2)/2)*EL77*EO77*VLOOKUP('Données projet'!$B$9,Paramètres!$A$1:$I$88,3,0)*0.475*44/12</f>
        <v>0</v>
      </c>
      <c r="ES77" s="46">
        <f t="shared" si="59"/>
        <v>0</v>
      </c>
      <c r="ET77" s="32" t="e">
        <f>VLOOKUP(A77,'Données projet'!$A$269:$I$289,2,0)</f>
        <v>#N/A</v>
      </c>
      <c r="EU77" s="33" t="e">
        <f>VLOOKUP(A77,'Données projet'!$A$269:$I$289,9,0)</f>
        <v>#N/A</v>
      </c>
      <c r="EV77" s="33">
        <f t="array" ref="EV77">INDEX(EU:EU,MIN(IF(ISNUMBER(EU77:EU273),ROW(EU77:EU273),"")))</f>
        <v>0</v>
      </c>
      <c r="EW77" s="33">
        <f t="shared" si="82"/>
        <v>0</v>
      </c>
      <c r="EX77" s="38" t="e">
        <f>EW77*VLOOKUP('Données projet'!$B$18,Paramètres!$A$1:$I$88,3,0)*VLOOKUP('Données projet'!$B$18,Paramètres!$A$1:$I$88,5,0)</f>
        <v>#N/A</v>
      </c>
      <c r="EY77" s="34" t="e">
        <f t="shared" si="83"/>
        <v>#N/A</v>
      </c>
      <c r="EZ77" s="44" t="e">
        <f t="shared" si="60"/>
        <v>#N/A</v>
      </c>
      <c r="FA77" s="36">
        <f>IF(ISNA(VLOOKUP(A77,'Données projet'!$A$269:$I$289,3,0)),0,VLOOKUP(A77,'Données projet'!$A$269:$I$289,3,0))</f>
        <v>0</v>
      </c>
      <c r="FB77" s="36">
        <f>IF(ISNA(VLOOKUP(A77,'Données projet'!$A$269:$I$289,4,0)),0,VLOOKUP(A77,'Données projet'!$A$269:$I$289,4,0))</f>
        <v>0</v>
      </c>
      <c r="FC77" s="37">
        <f>IF(ISNA(VLOOKUP(A77,'Données projet'!$A$269:$I$289,5,0)),0%,VLOOKUP(A77,'Données projet'!$A$269:$I$289,5,0)*VLOOKUP('Données projet'!$B$18,Paramètres!$A$1:$I$88,7,0))</f>
        <v>0</v>
      </c>
      <c r="FD77" s="37">
        <f>IF(ISNA(VLOOKUP(A77,'Données projet'!$A$269:$I$289,6,0)),0%,VLOOKUP(A77,'Données projet'!$A$269:$I$289,6,0)*VLOOKUP('Données projet'!$B$18,Paramètres!$A$1:$I$88,7,0))</f>
        <v>0</v>
      </c>
      <c r="FE77" s="37">
        <f>IF(ISNA(VLOOKUP(A77,'Données projet'!$A$269:$I$289,7,0)),0%,VLOOKUP(A77,'Données projet'!$A$269:$I$289,7,0))</f>
        <v>0</v>
      </c>
      <c r="FF77" s="45">
        <f>EXP(-LN(2)/35)*FF76+(1-EXP(-LN(2)/35))/(LN(2)/35)*FB77*FC77*VLOOKUP('Données projet'!$B$9,Paramètres!$A$1:$I$88,3,0)*0.475*44/12</f>
        <v>0</v>
      </c>
      <c r="FG77" s="45">
        <f>EXP(-LN(2)/25)*FG76+(1-EXP(-LN(2)/25))/(LN(2)/25)*Calculateur!FB77*Calculateur!FD77*VLOOKUP('Données projet'!$B$9,Paramètres!$A$1:$I$88,3,0)*0.475*44/12</f>
        <v>0</v>
      </c>
      <c r="FH77" s="45">
        <f>EXP(-LN(2)/2)*FH76+(1-EXP(-LN(2)/2))/(LN(2)/2)*FB77*FE77*VLOOKUP('Données projet'!$B$9,Paramètres!$A$1:$I$88,3,0)*0.475*44/12</f>
        <v>0</v>
      </c>
      <c r="FI77" s="46">
        <f t="shared" si="61"/>
        <v>0</v>
      </c>
    </row>
    <row r="78" spans="1:165" x14ac:dyDescent="0.25">
      <c r="A78" s="24">
        <f t="shared" si="62"/>
        <v>75</v>
      </c>
      <c r="B78" s="25">
        <f>IF('Scénario référence'!$N$1=1,5,0)</f>
        <v>0</v>
      </c>
      <c r="C78" s="40">
        <f>IF(OR('Scénario référence'!$N$1=2,'Scénario référence'!$N$1=4),C77+1*VLOOKUP('Scénario référence'!$G$14,Paramètres!$A$1:$I$88,3,0)*VLOOKUP('Scénario référence'!$G$14,Paramètres!$A$1:$I$88,5,0),IF(OR('Scénario référence'!$N$1=3,'Scénario référence'!$N$1=5),C77+0.5*VLOOKUP('Scénario référence'!$G$14,Paramètres!$A$1:$I$88,3,0)*VLOOKUP('Scénario référence'!$G$14,Paramètres!$A$1:$I$88,5,0),0))</f>
        <v>40.949999999999967</v>
      </c>
      <c r="D78" s="26">
        <f t="shared" si="63"/>
        <v>12.250099502125838</v>
      </c>
      <c r="E78" s="27">
        <f>IF('Scénario référence'!$N$1=1,B78*44/12,(C78+D78)*0.475*44/12)</f>
        <v>92.65683996620244</v>
      </c>
      <c r="F78" s="28">
        <f>VLOOKUP(A78,'Données projet'!$A$35:$I$55,2,0)</f>
        <v>273</v>
      </c>
      <c r="G78" s="28">
        <f>VLOOKUP(A78,'Données projet'!$A$35:$I$55,9,0)</f>
        <v>6.2</v>
      </c>
      <c r="H78" s="33">
        <f t="array" ref="H78">INDEX(G:G,MIN(IF(ISNUMBER(G78:G274),ROW(G78:G274),"")))</f>
        <v>6.2</v>
      </c>
      <c r="I78" s="28">
        <f t="shared" si="64"/>
        <v>272.99999999999989</v>
      </c>
      <c r="J78" s="41">
        <f>I78*VLOOKUP('Données projet'!$B$9,Paramètres!$A$1:$I$88,3,0)*VLOOKUP('Données projet'!$B$9,Paramètres!$A$1:$I$88,5,0)</f>
        <v>276.82199999999989</v>
      </c>
      <c r="K78" s="41">
        <f t="shared" si="65"/>
        <v>66.29496059864374</v>
      </c>
      <c r="L78" s="42">
        <f t="shared" si="42"/>
        <v>597.59537304263756</v>
      </c>
      <c r="M78" s="30">
        <f>IF(ISNA(VLOOKUP(A78,'Données projet'!$A$35:$I$55,3,0)),0,VLOOKUP(A78,'Données projet'!$A$35:$I$55,3,0))</f>
        <v>6</v>
      </c>
      <c r="N78" s="30">
        <f>IF(ISNA(VLOOKUP(A78,'Données projet'!$A$35:$I$55,4,0)),0,VLOOKUP(A78,'Données projet'!$A$35:$I$55,4,0))</f>
        <v>42</v>
      </c>
      <c r="O78" s="31">
        <f>IF(ISNA(VLOOKUP(A78,'Données projet'!$A$35:$I$55,5,0)),0%,VLOOKUP(A78,'Données projet'!$A$35:$I$55,5,0)*VLOOKUP('Données projet'!$B$9,Paramètres!$A$1:$I$88,7,0))</f>
        <v>0</v>
      </c>
      <c r="P78" s="31">
        <f>IF(ISNA(VLOOKUP(A78,'Données projet'!$A$35:$I$55,6,0)),0%,VLOOKUP(A78,'Données projet'!$A$35:$I$55,6,0)*VLOOKUP('Données projet'!$B$9,Paramètres!$A$1:$I$88,7,0))</f>
        <v>0</v>
      </c>
      <c r="Q78" s="31">
        <f>IF(ISNA(VLOOKUP(A78,'Données projet'!$A$35:$I$55,7,0)),0%,VLOOKUP(A78,'Données projet'!$A$35:$I$55,7,0))</f>
        <v>0</v>
      </c>
      <c r="R78" s="43">
        <f>EXP(-LN(2)/35)*R77+(1-EXP(-LN(2)/35))/(LN(2)/35)*N78*O78*VLOOKUP('Données projet'!$B$9,Paramètres!$A$1:$I$88,3,0)*0.475*44/12</f>
        <v>0</v>
      </c>
      <c r="S78" s="43">
        <f>EXP(-LN(2)/25)*S77+(1-EXP(-LN(2)/25))/(LN(2)/25)*Calculateur!N78*Calculateur!P78*VLOOKUP('Données projet'!$B$9,Paramètres!$A$1:$I$88,3,0)*0.475*44/12</f>
        <v>0</v>
      </c>
      <c r="T78" s="43">
        <f>EXP(-LN(2)/2)*T77+(1-EXP(-LN(2)/2))/(LN(2)/2)*N78*Q78*VLOOKUP('Données projet'!$B$9,Paramètres!$A$1:$I$88,3,0)*0.475*44/12</f>
        <v>0</v>
      </c>
      <c r="U78" s="43">
        <f t="shared" si="43"/>
        <v>0</v>
      </c>
      <c r="V78" s="32" t="e">
        <f>VLOOKUP(A78,'Données projet'!$A$61:$I$81,2,0)</f>
        <v>#N/A</v>
      </c>
      <c r="W78" s="33" t="e">
        <f>VLOOKUP(A78,'Données projet'!$A$61:$I$81,9,0)</f>
        <v>#N/A</v>
      </c>
      <c r="X78" s="33">
        <f t="array" ref="X78">INDEX(W:W,MIN(IF(ISNUMBER(W78:W274),ROW(W78:W274),"")))</f>
        <v>0</v>
      </c>
      <c r="Y78" s="33">
        <f t="shared" si="66"/>
        <v>0</v>
      </c>
      <c r="Z78" s="34" t="e">
        <f>Y78*VLOOKUP('Données projet'!$B$10,Paramètres!$A$1:$I$88,3,0)*VLOOKUP('Données projet'!$B$10,Paramètres!$A$1:$I$88,5,0)</f>
        <v>#N/A</v>
      </c>
      <c r="AA78" s="34" t="e">
        <f t="shared" si="67"/>
        <v>#N/A</v>
      </c>
      <c r="AB78" s="44" t="e">
        <f t="shared" si="44"/>
        <v>#N/A</v>
      </c>
      <c r="AC78" s="36">
        <f>IF(ISNA(VLOOKUP(A78,'Données projet'!$A$61:$I$81,3,0)),0,VLOOKUP(A78,'Données projet'!$A$61:$I$81,3,0))</f>
        <v>0</v>
      </c>
      <c r="AD78" s="36">
        <f>IF(ISNA(VLOOKUP(A78,'Données projet'!$A$61:$I$81,4,0)),0,VLOOKUP(A78,'Données projet'!$A$61:$I$81,4,0))</f>
        <v>0</v>
      </c>
      <c r="AE78" s="37">
        <f>IF(ISNA(VLOOKUP(A78,'Données projet'!$A$61:$I$81,5,0)),0%,VLOOKUP(A78,'Données projet'!$A$61:$I$81,5,0)*VLOOKUP('Données projet'!$B$10,Paramètres!$A$1:$I$88,7,0))</f>
        <v>0</v>
      </c>
      <c r="AF78" s="37">
        <f>IF(ISNA(VLOOKUP(A78,'Données projet'!$A$61:$I$81,6,0)),0%,VLOOKUP(A78,'Données projet'!$A$61:$I$81,6,0)*VLOOKUP('Données projet'!$B$10,Paramètres!$A$1:$I$88,7,0))</f>
        <v>0</v>
      </c>
      <c r="AG78" s="37">
        <f>IF(ISNA(VLOOKUP(A78,'Données projet'!$A$61:$I$81,7,0)),0%,VLOOKUP(A78,'Données projet'!$A$61:$I$81,7,0))</f>
        <v>0</v>
      </c>
      <c r="AH78" s="45">
        <f>EXP(-LN(2)/35)*AH77+(1-EXP(-LN(2)/35))/(LN(2)/35)*AD78*AE78*VLOOKUP('Données projet'!$B$9,Paramètres!$A$1:$I$88,3,0)*0.475*44/12</f>
        <v>0</v>
      </c>
      <c r="AI78" s="45">
        <f>EXP(-LN(2)/25)*AI77+(1-EXP(-LN(2)/25))/(LN(2)/25)*Calculateur!AD78*Calculateur!AF78*VLOOKUP('Données projet'!$B$9,Paramètres!$A$1:$I$88,3,0)*0.475*44/12</f>
        <v>0</v>
      </c>
      <c r="AJ78" s="45">
        <f>EXP(-LN(2)/2)*AJ77+(1-EXP(-LN(2)/2))/(LN(2)/2)*AD78*AG78*VLOOKUP('Données projet'!$B$9,Paramètres!$A$1:$I$88,3,0)*0.475*44/12</f>
        <v>0</v>
      </c>
      <c r="AK78" s="45">
        <f t="shared" si="45"/>
        <v>0</v>
      </c>
      <c r="AL78" s="32" t="e">
        <f>VLOOKUP(A78,'Données projet'!$A$87:$I$107,2,0)</f>
        <v>#N/A</v>
      </c>
      <c r="AM78" s="33" t="e">
        <f>VLOOKUP(A78,'Données projet'!$A$87:$I$107,9,0)</f>
        <v>#N/A</v>
      </c>
      <c r="AN78" s="33">
        <f t="array" ref="AN78">INDEX(AM:AM,MIN(IF(ISNUMBER(AM78:AM274),ROW(AM78:AM274),"")))</f>
        <v>0</v>
      </c>
      <c r="AO78" s="33">
        <f t="shared" si="68"/>
        <v>0</v>
      </c>
      <c r="AP78" s="34" t="e">
        <f>AO78*VLOOKUP('Données projet'!$B$11,Paramètres!$A$1:$I$88,3,0)*VLOOKUP('Données projet'!$B$11,Paramètres!$A$1:$I$88,5,0)</f>
        <v>#N/A</v>
      </c>
      <c r="AQ78" s="34" t="e">
        <f t="shared" si="69"/>
        <v>#N/A</v>
      </c>
      <c r="AR78" s="44" t="e">
        <f t="shared" si="46"/>
        <v>#N/A</v>
      </c>
      <c r="AS78" s="36">
        <f>IF(ISNA(VLOOKUP(A78,'Données projet'!$A$87:$I$107,3,0)),0,VLOOKUP(A78,'Données projet'!$A$87:$I$107,3,0))</f>
        <v>0</v>
      </c>
      <c r="AT78" s="36">
        <f>IF(ISNA(VLOOKUP(A78,'Données projet'!$A$87:$I$107,4,0)),0,VLOOKUP(A78,'Données projet'!$A$87:$I$107,4,0))</f>
        <v>0</v>
      </c>
      <c r="AU78" s="37">
        <f>IF(ISNA(VLOOKUP(A78,'Données projet'!$A$87:$I$107,5,0)),0%,VLOOKUP(A78,'Données projet'!$A$87:$I$107,5,0)*VLOOKUP('Données projet'!$B$11,Paramètres!$A$1:$I$88,7,0))</f>
        <v>0</v>
      </c>
      <c r="AV78" s="37">
        <f>IF(ISNA(VLOOKUP(A78,'Données projet'!$A$87:$I$107,6,0)),0%,VLOOKUP(A78,'Données projet'!$A$87:$I$107,6,0)*VLOOKUP('Données projet'!$B$11,Paramètres!$A$1:$I$88,7,0))</f>
        <v>0</v>
      </c>
      <c r="AW78" s="37">
        <f>IF(ISNA(VLOOKUP(A78,'Données projet'!$A$87:$I$107,7,0)),0%,VLOOKUP(A78,'Données projet'!$A$87:$I$107,7,0))</f>
        <v>0</v>
      </c>
      <c r="AX78" s="45">
        <f>EXP(-LN(2)/35)*AX77+(1-EXP(-LN(2)/35))/(LN(2)/35)*AT78*AU78*VLOOKUP('Données projet'!$B$9,Paramètres!$A$1:$I$88,3,0)*0.475*44/12</f>
        <v>0</v>
      </c>
      <c r="AY78" s="45">
        <f>EXP(-LN(2)/25)*AY77+(1-EXP(-LN(2)/25))/(LN(2)/25)*Calculateur!AT78*Calculateur!AV78*VLOOKUP('Données projet'!$B$9,Paramètres!$A$1:$I$88,3,0)*0.475*44/12</f>
        <v>0</v>
      </c>
      <c r="AZ78" s="45">
        <f>EXP(-LN(2)/2)*AZ77+(1-EXP(-LN(2)/2))/(LN(2)/2)*AT78*AW78*VLOOKUP('Données projet'!$B$9,Paramètres!$A$1:$I$88,3,0)*0.475*44/12</f>
        <v>0</v>
      </c>
      <c r="BA78" s="46">
        <f t="shared" si="47"/>
        <v>0</v>
      </c>
      <c r="BB78" s="32" t="e">
        <f>VLOOKUP(A78,'Données projet'!$A$113:$I$133,2,0)</f>
        <v>#N/A</v>
      </c>
      <c r="BC78" s="33" t="e">
        <f>VLOOKUP(A78,'Données projet'!$A$113:$I$133,9,0)</f>
        <v>#N/A</v>
      </c>
      <c r="BD78" s="33">
        <f t="array" ref="BD78">INDEX(BC:BC,MIN(IF(ISNUMBER(BC78:BC274),ROW(BC78:BC274),"")))</f>
        <v>0</v>
      </c>
      <c r="BE78" s="33">
        <f t="shared" si="70"/>
        <v>0</v>
      </c>
      <c r="BF78" s="34" t="e">
        <f>BE78*VLOOKUP('Données projet'!$B$12,Paramètres!$A$1:$I$88,3,0)*VLOOKUP('Données projet'!$B$12,Paramètres!$A$1:$I$88,5,0)</f>
        <v>#N/A</v>
      </c>
      <c r="BG78" s="34" t="e">
        <f t="shared" si="71"/>
        <v>#N/A</v>
      </c>
      <c r="BH78" s="44" t="e">
        <f t="shared" si="48"/>
        <v>#N/A</v>
      </c>
      <c r="BI78" s="36">
        <f>IF(ISNA(VLOOKUP(A78,'Données projet'!$A$113:$I$133,3,0)),0,VLOOKUP(A78,'Données projet'!$A$113:$I$133,3,0))</f>
        <v>0</v>
      </c>
      <c r="BJ78" s="36">
        <f>IF(ISNA(VLOOKUP(A78,'Données projet'!$A$113:$I$133,4,0)),0,VLOOKUP(A78,'Données projet'!$A$113:$I$133,4,0))</f>
        <v>0</v>
      </c>
      <c r="BK78" s="37">
        <f>IF(ISNA(VLOOKUP(A78,'Données projet'!$A$113:$I$133,5,0)),0%,VLOOKUP(A78,'Données projet'!$A$113:$I$133,5,0)*VLOOKUP('Données projet'!$B$12,Paramètres!$A$1:$I$88,7,0))</f>
        <v>0</v>
      </c>
      <c r="BL78" s="37">
        <f>IF(ISNA(VLOOKUP(A78,'Données projet'!$A$113:$I$133,6,0)),0%,VLOOKUP(A78,'Données projet'!$A$113:$I$133,6,0)*VLOOKUP('Données projet'!$B$12,Paramètres!$A$1:$I$88,7,0))</f>
        <v>0</v>
      </c>
      <c r="BM78" s="37">
        <f>IF(ISNA(VLOOKUP(A78,'Données projet'!$A$113:$I$133,7,0)),0%,VLOOKUP(A78,'Données projet'!$A$113:$I$133,7,0))</f>
        <v>0</v>
      </c>
      <c r="BN78" s="45">
        <f>EXP(-LN(2)/35)*BN77+(1-EXP(-LN(2)/35))/(LN(2)/35)*BJ78*BK78*VLOOKUP('Données projet'!$B$9,Paramètres!$A$1:$I$88,3,0)*0.475*44/12</f>
        <v>0</v>
      </c>
      <c r="BO78" s="45">
        <f>EXP(-LN(2)/25)*BO77+(1-EXP(-LN(2)/25))/(LN(2)/25)*Calculateur!BJ78*Calculateur!BL78*VLOOKUP('Données projet'!$B$9,Paramètres!$A$1:$I$88,3,0)*0.475*44/12</f>
        <v>0</v>
      </c>
      <c r="BP78" s="45">
        <f>EXP(-LN(2)/2)*BP77+(1-EXP(-LN(2)/2))/(LN(2)/2)*BJ78*BM78*VLOOKUP('Données projet'!$B$9,Paramètres!$A$1:$I$88,3,0)*0.475*44/12</f>
        <v>0</v>
      </c>
      <c r="BQ78" s="46">
        <f t="shared" si="49"/>
        <v>0</v>
      </c>
      <c r="BR78" s="32" t="e">
        <f>VLOOKUP(A78,'Données projet'!$A$139:$I$159,2,0)</f>
        <v>#N/A</v>
      </c>
      <c r="BS78" s="33" t="e">
        <f>VLOOKUP(A78,'Données projet'!$A$139:$I$159,9,0)</f>
        <v>#N/A</v>
      </c>
      <c r="BT78" s="33">
        <f t="array" ref="BT78">INDEX(BS:BS,MIN(IF(ISNUMBER(BS78:BS274),ROW(BS78:BS274),"")))</f>
        <v>0</v>
      </c>
      <c r="BU78" s="33">
        <f t="shared" si="72"/>
        <v>0</v>
      </c>
      <c r="BV78" s="38" t="e">
        <f>BU78*VLOOKUP('Données projet'!$B$13,Paramètres!$A$1:$I$88,3,0)*VLOOKUP('Données projet'!$B$13,Paramètres!$A$1:$I$88,5,0)</f>
        <v>#N/A</v>
      </c>
      <c r="BW78" s="34" t="e">
        <f t="shared" si="73"/>
        <v>#N/A</v>
      </c>
      <c r="BX78" s="44" t="e">
        <f t="shared" si="50"/>
        <v>#N/A</v>
      </c>
      <c r="BY78" s="36">
        <f>IF(ISNA(VLOOKUP(A78,'Données projet'!$A$139:$I$159,3,0)),0,VLOOKUP(A78,'Données projet'!$A$139:$I$159,3,0))</f>
        <v>0</v>
      </c>
      <c r="BZ78" s="36">
        <f>IF(ISNA(VLOOKUP(A78,'Données projet'!$A$139:$I$159,4,0)),0,VLOOKUP(A78,'Données projet'!$A$139:$I$159,4,0))</f>
        <v>0</v>
      </c>
      <c r="CA78" s="37">
        <f>IF(ISNA(VLOOKUP(A78,'Données projet'!$A$139:$I$159,5,0)),0%,VLOOKUP(A78,'Données projet'!$A$139:$I$159,5,0)*VLOOKUP('Données projet'!$B$13,Paramètres!$A$1:$I$88,7,0))</f>
        <v>0</v>
      </c>
      <c r="CB78" s="37">
        <f>IF(ISNA(VLOOKUP(A78,'Données projet'!$A$139:$I$159,6,0)),0%,VLOOKUP(A78,'Données projet'!$A$139:$I$159,6,0)*VLOOKUP('Données projet'!$B$13,Paramètres!$A$1:$I$88,7,0))</f>
        <v>0</v>
      </c>
      <c r="CC78" s="37">
        <f>IF(ISNA(VLOOKUP(A78,'Données projet'!$A$139:$I$159,7,0)),0%,VLOOKUP(A78,'Données projet'!$A$139:$I$159,7,0))</f>
        <v>0</v>
      </c>
      <c r="CD78" s="45">
        <f>EXP(-LN(2)/35)*CD77+(1-EXP(-LN(2)/35))/(LN(2)/35)*BZ78*CA78*VLOOKUP('Données projet'!$B$9,Paramètres!$A$1:$I$88,3,0)*0.475*44/12</f>
        <v>0</v>
      </c>
      <c r="CE78" s="45">
        <f>EXP(-LN(2)/25)*CE77+(1-EXP(-LN(2)/25))/(LN(2)/25)*Calculateur!BZ78*Calculateur!CB78*VLOOKUP('Données projet'!$B$9,Paramètres!$A$1:$I$88,3,0)*0.475*44/12</f>
        <v>0</v>
      </c>
      <c r="CF78" s="45">
        <f>EXP(-LN(2)/2)*CF77+(1-EXP(-LN(2)/2))/(LN(2)/2)*BZ78*CC78*VLOOKUP('Données projet'!$B$9,Paramètres!$A$1:$I$88,3,0)*0.475*44/12</f>
        <v>0</v>
      </c>
      <c r="CG78" s="46">
        <f t="shared" si="51"/>
        <v>0</v>
      </c>
      <c r="CH78" s="32" t="e">
        <f>VLOOKUP(A78,'Données projet'!$A$165:$I$185,2,0)</f>
        <v>#N/A</v>
      </c>
      <c r="CI78" s="33" t="e">
        <f>VLOOKUP(A78,'Données projet'!$A$165:$I$185,9,0)</f>
        <v>#N/A</v>
      </c>
      <c r="CJ78" s="33">
        <f t="array" ref="CJ78">INDEX(CI:CI,MIN(IF(ISNUMBER(CI78:CI274),ROW(CI78:CI274),"")))</f>
        <v>0</v>
      </c>
      <c r="CK78" s="33">
        <f t="shared" si="74"/>
        <v>0</v>
      </c>
      <c r="CL78" s="38" t="e">
        <f>CK78*VLOOKUP('Données projet'!$B$14,Paramètres!$A$1:$I$88,3,0)*VLOOKUP('Données projet'!$B$14,Paramètres!$A$1:$I$88,5,0)</f>
        <v>#N/A</v>
      </c>
      <c r="CM78" s="34" t="e">
        <f t="shared" si="75"/>
        <v>#N/A</v>
      </c>
      <c r="CN78" s="44" t="e">
        <f t="shared" si="52"/>
        <v>#N/A</v>
      </c>
      <c r="CO78" s="36">
        <f>IF(ISNA(VLOOKUP(A78,'Données projet'!$A$165:$I$185,3,0)),0,VLOOKUP(A78,'Données projet'!$A$165:$I$185,3,0))</f>
        <v>0</v>
      </c>
      <c r="CP78" s="36">
        <f>IF(ISNA(VLOOKUP(A78,'Données projet'!$A$165:$I$185,4,0)),0,VLOOKUP(A78,'Données projet'!$A$165:$I$185,4,0))</f>
        <v>0</v>
      </c>
      <c r="CQ78" s="37">
        <f>IF(ISNA(VLOOKUP(A78,'Données projet'!$A$165:$I$185,5,0)),0%,VLOOKUP(A78,'Données projet'!$A$165:$I$185,5,0)*VLOOKUP('Données projet'!$B$14,Paramètres!$A$1:$I$88,7,0))</f>
        <v>0</v>
      </c>
      <c r="CR78" s="37">
        <f>IF(ISNA(VLOOKUP(A78,'Données projet'!$A$165:$I$185,6,0)),0%,VLOOKUP(A78,'Données projet'!$A$165:$I$185,6,0)*VLOOKUP('Données projet'!$B$14,Paramètres!$A$1:$I$88,7,0))</f>
        <v>0</v>
      </c>
      <c r="CS78" s="37">
        <f>IF(ISNA(VLOOKUP(A78,'Données projet'!$A$165:$I$185,7,0)),0%,VLOOKUP(A78,'Données projet'!$A$165:$I$185,7,0))</f>
        <v>0</v>
      </c>
      <c r="CT78" s="45">
        <f>EXP(-LN(2)/35)*CT77+(1-EXP(-LN(2)/35))/(LN(2)/35)*CP78*CQ78*VLOOKUP('Données projet'!$B$9,Paramètres!$A$1:$I$88,3,0)*0.475*44/12</f>
        <v>0</v>
      </c>
      <c r="CU78" s="45">
        <f>EXP(-LN(2)/25)*CU77+(1-EXP(-LN(2)/25))/(LN(2)/25)*Calculateur!CP78*Calculateur!CR78*VLOOKUP('Données projet'!$B$9,Paramètres!$A$1:$I$88,3,0)*0.475*44/12</f>
        <v>0</v>
      </c>
      <c r="CV78" s="45">
        <f>EXP(-LN(2)/2)*CV77+(1-EXP(-LN(2)/2))/(LN(2)/2)*CP78*CS78*VLOOKUP('Données projet'!$B$9,Paramètres!$A$1:$I$88,3,0)*0.475*44/12</f>
        <v>0</v>
      </c>
      <c r="CW78" s="46">
        <f t="shared" si="53"/>
        <v>0</v>
      </c>
      <c r="CX78" s="32" t="e">
        <f>VLOOKUP(A78,'Données projet'!$A$191:$I$211,2,0)</f>
        <v>#N/A</v>
      </c>
      <c r="CY78" s="33" t="e">
        <f>VLOOKUP(A78,'Données projet'!$A$191:$I$211,9,0)</f>
        <v>#N/A</v>
      </c>
      <c r="CZ78" s="33">
        <f t="array" ref="CZ78">INDEX(CY:CY,MIN(IF(ISNUMBER(CY78:CY274),ROW(CY78:CY274),"")))</f>
        <v>0</v>
      </c>
      <c r="DA78" s="33">
        <f t="shared" si="76"/>
        <v>0</v>
      </c>
      <c r="DB78" s="38" t="e">
        <f>DA78*VLOOKUP('Données projet'!$B$15,Paramètres!$A$1:$I$88,3,0)*VLOOKUP('Données projet'!$B$15,Paramètres!$A$1:$I$88,5,0)</f>
        <v>#N/A</v>
      </c>
      <c r="DC78" s="34" t="e">
        <f t="shared" si="77"/>
        <v>#N/A</v>
      </c>
      <c r="DD78" s="44" t="e">
        <f t="shared" si="54"/>
        <v>#N/A</v>
      </c>
      <c r="DE78" s="36">
        <f>IF(ISNA(VLOOKUP(A78,'Données projet'!$A$191:$I$211,3,0)),0,VLOOKUP(A78,'Données projet'!$A$191:$I$211,3,0))</f>
        <v>0</v>
      </c>
      <c r="DF78" s="36">
        <f>IF(ISNA(VLOOKUP(A78,'Données projet'!$A$191:$I$211,4,0)),0,VLOOKUP(A78,'Données projet'!$A$191:$I$211,4,0))</f>
        <v>0</v>
      </c>
      <c r="DG78" s="37">
        <f>IF(ISNA(VLOOKUP(A78,'Données projet'!$A$191:$I$211,5,0)),0%,VLOOKUP(A78,'Données projet'!$A$191:$I$211,5,0)*VLOOKUP('Données projet'!$B$15,Paramètres!$A$1:$I$88,7,0))</f>
        <v>0</v>
      </c>
      <c r="DH78" s="37">
        <f>IF(ISNA(VLOOKUP(A78,'Données projet'!$A$191:$I$211,6,0)),0%,VLOOKUP(A78,'Données projet'!$A$191:$I$211,6,0)*VLOOKUP('Données projet'!$B$15,Paramètres!$A$1:$I$88,7,0))</f>
        <v>0</v>
      </c>
      <c r="DI78" s="37">
        <f>IF(ISNA(VLOOKUP(A78,'Données projet'!$A$191:$I$211,7,0)),0%,VLOOKUP(A78,'Données projet'!$A$191:$I$211,7,0))</f>
        <v>0</v>
      </c>
      <c r="DJ78" s="45">
        <f>EXP(-LN(2)/35)*DJ77+(1-EXP(-LN(2)/35))/(LN(2)/35)*DF78*DG78*VLOOKUP('Données projet'!$B$9,Paramètres!$A$1:$I$88,3,0)*0.475*44/12</f>
        <v>0</v>
      </c>
      <c r="DK78" s="45">
        <f>EXP(-LN(2)/25)*DK77+(1-EXP(-LN(2)/25))/(LN(2)/25)*Calculateur!DF78*Calculateur!DH78*VLOOKUP('Données projet'!$B$9,Paramètres!$A$1:$I$88,3,0)*0.475*44/12</f>
        <v>0</v>
      </c>
      <c r="DL78" s="45">
        <f>EXP(-LN(2)/2)*DL77+(1-EXP(-LN(2)/2))/(LN(2)/2)*DF78*DI78*VLOOKUP('Données projet'!$B$9,Paramètres!$A$1:$I$88,3,0)*0.475*44/12</f>
        <v>0</v>
      </c>
      <c r="DM78" s="46">
        <f t="shared" si="55"/>
        <v>0</v>
      </c>
      <c r="DN78" s="32" t="e">
        <f>VLOOKUP(A78,'Données projet'!$A$217:$I$237,2,0)</f>
        <v>#N/A</v>
      </c>
      <c r="DO78" s="33" t="e">
        <f>VLOOKUP(A78,'Données projet'!$A$217:$I$237,9,0)</f>
        <v>#N/A</v>
      </c>
      <c r="DP78" s="33">
        <f t="array" ref="DP78">INDEX(DO:DO,MIN(IF(ISNUMBER(DO78:DO274),ROW(DO78:DO274),"")))</f>
        <v>0</v>
      </c>
      <c r="DQ78" s="33">
        <f t="shared" si="78"/>
        <v>0</v>
      </c>
      <c r="DR78" s="38" t="e">
        <f>DQ78*VLOOKUP('Données projet'!$B$16,Paramètres!$A$1:$I$88,3,0)*VLOOKUP('Données projet'!$B$16,Paramètres!$A$1:$I$88,5,0)</f>
        <v>#N/A</v>
      </c>
      <c r="DS78" s="34" t="e">
        <f t="shared" si="79"/>
        <v>#N/A</v>
      </c>
      <c r="DT78" s="44" t="e">
        <f t="shared" si="56"/>
        <v>#N/A</v>
      </c>
      <c r="DU78" s="36">
        <f>IF(ISNA(VLOOKUP(A78,'Données projet'!$A$217:$I$237,3,0)),0,VLOOKUP(A78,'Données projet'!$A$217:$I$237,3,0))</f>
        <v>0</v>
      </c>
      <c r="DV78" s="36">
        <f>IF(ISNA(VLOOKUP(A78,'Données projet'!$A$217:$I$237,4,0)),0,VLOOKUP(A78,'Données projet'!$A$217:$I$237,4,0))</f>
        <v>0</v>
      </c>
      <c r="DW78" s="37">
        <f>IF(ISNA(VLOOKUP(A78,'Données projet'!$A$217:$I$237,5,0)),0%,VLOOKUP(A78,'Données projet'!$A$217:$I$237,5,0)*VLOOKUP('Données projet'!$B$16,Paramètres!$A$1:$I$88,7,0))</f>
        <v>0</v>
      </c>
      <c r="DX78" s="37">
        <f>IF(ISNA(VLOOKUP(A78,'Données projet'!$A$217:$I$237,6,0)),0%,VLOOKUP(A78,'Données projet'!$A$217:$I$237,6,0)*VLOOKUP('Données projet'!$B$16,Paramètres!$A$1:$I$88,7,0))</f>
        <v>0</v>
      </c>
      <c r="DY78" s="37">
        <f>IF(ISNA(VLOOKUP(A78,'Données projet'!$A$217:$I$237,7,0)),0%,VLOOKUP(A78,'Données projet'!$A$217:$I$237,7,0))</f>
        <v>0</v>
      </c>
      <c r="DZ78" s="45">
        <f>EXP(-LN(2)/35)*DZ77+(1-EXP(-LN(2)/35))/(LN(2)/35)*DV78*DW78*VLOOKUP('Données projet'!$B$9,Paramètres!$A$1:$I$88,3,0)*0.475*44/12</f>
        <v>0</v>
      </c>
      <c r="EA78" s="45">
        <f>EXP(-LN(2)/25)*EA77+(1-EXP(-LN(2)/25))/(LN(2)/25)*Calculateur!DV78*Calculateur!DX78*VLOOKUP('Données projet'!$B$9,Paramètres!$A$1:$I$88,3,0)*0.475*44/12</f>
        <v>0</v>
      </c>
      <c r="EB78" s="45">
        <f>EXP(-LN(2)/2)*EB77+(1-EXP(-LN(2)/2))/(LN(2)/2)*DV78*DY78*VLOOKUP('Données projet'!$B$9,Paramètres!$A$1:$I$88,3,0)*0.475*44/12</f>
        <v>0</v>
      </c>
      <c r="EC78" s="46">
        <f t="shared" si="57"/>
        <v>0</v>
      </c>
      <c r="ED78" s="32" t="e">
        <f>VLOOKUP(A78,'Données projet'!$A$243:$I$263,2,0)</f>
        <v>#N/A</v>
      </c>
      <c r="EE78" s="33" t="e">
        <f>VLOOKUP(A78,'Données projet'!$A$243:$I$263,9,0)</f>
        <v>#N/A</v>
      </c>
      <c r="EF78" s="33">
        <f t="array" ref="EF78">INDEX(EE:EE,MIN(IF(ISNUMBER(EE78:EE274),ROW(EE78:EE274),"")))</f>
        <v>0</v>
      </c>
      <c r="EG78" s="33">
        <f t="shared" si="80"/>
        <v>0</v>
      </c>
      <c r="EH78" s="38" t="e">
        <f>EG78*VLOOKUP('Données projet'!$B$17,Paramètres!$A$1:$I$88,3,0)*VLOOKUP('Données projet'!$B$17,Paramètres!$A$1:$I$88,5,0)</f>
        <v>#N/A</v>
      </c>
      <c r="EI78" s="34" t="e">
        <f t="shared" si="81"/>
        <v>#N/A</v>
      </c>
      <c r="EJ78" s="44" t="e">
        <f t="shared" si="58"/>
        <v>#N/A</v>
      </c>
      <c r="EK78" s="36">
        <f>IF(ISNA(VLOOKUP(A78,'Données projet'!$A$243:$I$263,3,0)),0,VLOOKUP(A78,'Données projet'!$A$243:$I$263,3,0))</f>
        <v>0</v>
      </c>
      <c r="EL78" s="36">
        <f>IF(ISNA(VLOOKUP(A78,'Données projet'!$A$243:$I$263,4,0)),0,VLOOKUP(A78,'Données projet'!$A$243:$I$263,4,0))</f>
        <v>0</v>
      </c>
      <c r="EM78" s="37">
        <f>IF(ISNA(VLOOKUP(A78,'Données projet'!$A$243:$I$263,5,0)),0%,VLOOKUP(A78,'Données projet'!$A$243:$I$263,5,0)*VLOOKUP('Données projet'!$B$17,Paramètres!$A$1:$I$88,7,0))</f>
        <v>0</v>
      </c>
      <c r="EN78" s="37">
        <f>IF(ISNA(VLOOKUP(A78,'Données projet'!$A$243:$I$263,6,0)),0%,VLOOKUP(A78,'Données projet'!$A$243:$I$263,6,0)*VLOOKUP('Données projet'!$B$17,Paramètres!$A$1:$I$88,7,0))</f>
        <v>0</v>
      </c>
      <c r="EO78" s="37">
        <f>IF(ISNA(VLOOKUP(A78,'Données projet'!$A$243:$I$263,7,0)),0%,VLOOKUP(A78,'Données projet'!$A$243:$I$263,7,0))</f>
        <v>0</v>
      </c>
      <c r="EP78" s="45">
        <f>EXP(-LN(2)/35)*EP77+(1-EXP(-LN(2)/35))/(LN(2)/35)*EL78*EM78*VLOOKUP('Données projet'!$B$9,Paramètres!$A$1:$I$88,3,0)*0.475*44/12</f>
        <v>0</v>
      </c>
      <c r="EQ78" s="45">
        <f>EXP(-LN(2)/25)*EQ77+(1-EXP(-LN(2)/25))/(LN(2)/25)*Calculateur!EL78*Calculateur!EN78*VLOOKUP('Données projet'!$B$9,Paramètres!$A$1:$I$88,3,0)*0.475*44/12</f>
        <v>0</v>
      </c>
      <c r="ER78" s="45">
        <f>EXP(-LN(2)/2)*ER77+(1-EXP(-LN(2)/2))/(LN(2)/2)*EL78*EO78*VLOOKUP('Données projet'!$B$9,Paramètres!$A$1:$I$88,3,0)*0.475*44/12</f>
        <v>0</v>
      </c>
      <c r="ES78" s="46">
        <f t="shared" si="59"/>
        <v>0</v>
      </c>
      <c r="ET78" s="32" t="e">
        <f>VLOOKUP(A78,'Données projet'!$A$269:$I$289,2,0)</f>
        <v>#N/A</v>
      </c>
      <c r="EU78" s="33" t="e">
        <f>VLOOKUP(A78,'Données projet'!$A$269:$I$289,9,0)</f>
        <v>#N/A</v>
      </c>
      <c r="EV78" s="33">
        <f t="array" ref="EV78">INDEX(EU:EU,MIN(IF(ISNUMBER(EU78:EU274),ROW(EU78:EU274),"")))</f>
        <v>0</v>
      </c>
      <c r="EW78" s="33">
        <f t="shared" si="82"/>
        <v>0</v>
      </c>
      <c r="EX78" s="38" t="e">
        <f>EW78*VLOOKUP('Données projet'!$B$18,Paramètres!$A$1:$I$88,3,0)*VLOOKUP('Données projet'!$B$18,Paramètres!$A$1:$I$88,5,0)</f>
        <v>#N/A</v>
      </c>
      <c r="EY78" s="34" t="e">
        <f t="shared" si="83"/>
        <v>#N/A</v>
      </c>
      <c r="EZ78" s="44" t="e">
        <f t="shared" si="60"/>
        <v>#N/A</v>
      </c>
      <c r="FA78" s="36">
        <f>IF(ISNA(VLOOKUP(A78,'Données projet'!$A$269:$I$289,3,0)),0,VLOOKUP(A78,'Données projet'!$A$269:$I$289,3,0))</f>
        <v>0</v>
      </c>
      <c r="FB78" s="36">
        <f>IF(ISNA(VLOOKUP(A78,'Données projet'!$A$269:$I$289,4,0)),0,VLOOKUP(A78,'Données projet'!$A$269:$I$289,4,0))</f>
        <v>0</v>
      </c>
      <c r="FC78" s="37">
        <f>IF(ISNA(VLOOKUP(A78,'Données projet'!$A$269:$I$289,5,0)),0%,VLOOKUP(A78,'Données projet'!$A$269:$I$289,5,0)*VLOOKUP('Données projet'!$B$18,Paramètres!$A$1:$I$88,7,0))</f>
        <v>0</v>
      </c>
      <c r="FD78" s="37">
        <f>IF(ISNA(VLOOKUP(A78,'Données projet'!$A$269:$I$289,6,0)),0%,VLOOKUP(A78,'Données projet'!$A$269:$I$289,6,0)*VLOOKUP('Données projet'!$B$18,Paramètres!$A$1:$I$88,7,0))</f>
        <v>0</v>
      </c>
      <c r="FE78" s="37">
        <f>IF(ISNA(VLOOKUP(A78,'Données projet'!$A$269:$I$289,7,0)),0%,VLOOKUP(A78,'Données projet'!$A$269:$I$289,7,0))</f>
        <v>0</v>
      </c>
      <c r="FF78" s="45">
        <f>EXP(-LN(2)/35)*FF77+(1-EXP(-LN(2)/35))/(LN(2)/35)*FB78*FC78*VLOOKUP('Données projet'!$B$9,Paramètres!$A$1:$I$88,3,0)*0.475*44/12</f>
        <v>0</v>
      </c>
      <c r="FG78" s="45">
        <f>EXP(-LN(2)/25)*FG77+(1-EXP(-LN(2)/25))/(LN(2)/25)*Calculateur!FB78*Calculateur!FD78*VLOOKUP('Données projet'!$B$9,Paramètres!$A$1:$I$88,3,0)*0.475*44/12</f>
        <v>0</v>
      </c>
      <c r="FH78" s="45">
        <f>EXP(-LN(2)/2)*FH77+(1-EXP(-LN(2)/2))/(LN(2)/2)*FB78*FE78*VLOOKUP('Données projet'!$B$9,Paramètres!$A$1:$I$88,3,0)*0.475*44/12</f>
        <v>0</v>
      </c>
      <c r="FI78" s="46">
        <f t="shared" si="61"/>
        <v>0</v>
      </c>
    </row>
    <row r="79" spans="1:165" x14ac:dyDescent="0.25">
      <c r="A79" s="24">
        <f t="shared" si="62"/>
        <v>76</v>
      </c>
      <c r="B79" s="25">
        <f>IF('Scénario référence'!$N$1=1,5,0)</f>
        <v>0</v>
      </c>
      <c r="C79" s="40">
        <f>IF(OR('Scénario référence'!$N$1=2,'Scénario référence'!$N$1=4),C78+1*VLOOKUP('Scénario référence'!$G$14,Paramètres!$A$1:$I$88,3,0)*VLOOKUP('Scénario référence'!$G$14,Paramètres!$A$1:$I$88,5,0),IF(OR('Scénario référence'!$N$1=3,'Scénario référence'!$N$1=5),C78+0.5*VLOOKUP('Scénario référence'!$G$14,Paramètres!$A$1:$I$88,3,0)*VLOOKUP('Scénario référence'!$G$14,Paramètres!$A$1:$I$88,5,0),0))</f>
        <v>41.495999999999967</v>
      </c>
      <c r="D79" s="26">
        <f t="shared" si="63"/>
        <v>12.394310565265254</v>
      </c>
      <c r="E79" s="27">
        <f>IF('Scénario référence'!$N$1=1,B79*44/12,(C79+D79)*0.475*44/12)</f>
        <v>93.858957567836924</v>
      </c>
      <c r="F79" s="28" t="e">
        <f>VLOOKUP(A79,'Données projet'!$A$35:$I$55,2,0)</f>
        <v>#N/A</v>
      </c>
      <c r="G79" s="28" t="e">
        <f>VLOOKUP(A79,'Données projet'!$A$35:$I$55,9,0)</f>
        <v>#N/A</v>
      </c>
      <c r="H79" s="33">
        <f t="array" ref="H79">INDEX(G:G,MIN(IF(ISNUMBER(G79:G275),ROW(G79:G275),"")))</f>
        <v>5.9</v>
      </c>
      <c r="I79" s="28">
        <f t="shared" si="64"/>
        <v>236.89999999999986</v>
      </c>
      <c r="J79" s="41">
        <f>I79*VLOOKUP('Données projet'!$B$9,Paramètres!$A$1:$I$88,3,0)*VLOOKUP('Données projet'!$B$9,Paramètres!$A$1:$I$88,5,0)</f>
        <v>240.21659999999989</v>
      </c>
      <c r="K79" s="41">
        <f t="shared" si="65"/>
        <v>58.486130580357745</v>
      </c>
      <c r="L79" s="42">
        <f t="shared" si="42"/>
        <v>520.24058909412281</v>
      </c>
      <c r="M79" s="30">
        <f>IF(ISNA(VLOOKUP(A79,'Données projet'!$A$35:$I$55,3,0)),0,VLOOKUP(A79,'Données projet'!$A$35:$I$55,3,0))</f>
        <v>0</v>
      </c>
      <c r="N79" s="30">
        <f>IF(ISNA(VLOOKUP(A79,'Données projet'!$A$35:$I$55,4,0)),0,VLOOKUP(A79,'Données projet'!$A$35:$I$55,4,0))</f>
        <v>0</v>
      </c>
      <c r="O79" s="31">
        <f>IF(ISNA(VLOOKUP(A79,'Données projet'!$A$35:$I$55,5,0)),0%,VLOOKUP(A79,'Données projet'!$A$35:$I$55,5,0)*VLOOKUP('Données projet'!$B$9,Paramètres!$A$1:$I$88,7,0))</f>
        <v>0</v>
      </c>
      <c r="P79" s="31">
        <f>IF(ISNA(VLOOKUP(A79,'Données projet'!$A$35:$I$55,6,0)),0%,VLOOKUP(A79,'Données projet'!$A$35:$I$55,6,0)*VLOOKUP('Données projet'!$B$9,Paramètres!$A$1:$I$88,7,0))</f>
        <v>0</v>
      </c>
      <c r="Q79" s="31">
        <f>IF(ISNA(VLOOKUP(A79,'Données projet'!$A$35:$I$55,7,0)),0%,VLOOKUP(A79,'Données projet'!$A$35:$I$55,7,0))</f>
        <v>0</v>
      </c>
      <c r="R79" s="43">
        <f>EXP(-LN(2)/35)*R78+(1-EXP(-LN(2)/35))/(LN(2)/35)*N79*O79*VLOOKUP('Données projet'!$B$9,Paramètres!$A$1:$I$88,3,0)*0.475*44/12</f>
        <v>0</v>
      </c>
      <c r="S79" s="43">
        <f>EXP(-LN(2)/25)*S78+(1-EXP(-LN(2)/25))/(LN(2)/25)*Calculateur!N79*Calculateur!P79*VLOOKUP('Données projet'!$B$9,Paramètres!$A$1:$I$88,3,0)*0.475*44/12</f>
        <v>0</v>
      </c>
      <c r="T79" s="43">
        <f>EXP(-LN(2)/2)*T78+(1-EXP(-LN(2)/2))/(LN(2)/2)*N79*Q79*VLOOKUP('Données projet'!$B$9,Paramètres!$A$1:$I$88,3,0)*0.475*44/12</f>
        <v>0</v>
      </c>
      <c r="U79" s="43">
        <f t="shared" si="43"/>
        <v>0</v>
      </c>
      <c r="V79" s="32" t="e">
        <f>VLOOKUP(A79,'Données projet'!$A$61:$I$81,2,0)</f>
        <v>#N/A</v>
      </c>
      <c r="W79" s="33" t="e">
        <f>VLOOKUP(A79,'Données projet'!$A$61:$I$81,9,0)</f>
        <v>#N/A</v>
      </c>
      <c r="X79" s="33">
        <f t="array" ref="X79">INDEX(W:W,MIN(IF(ISNUMBER(W79:W275),ROW(W79:W275),"")))</f>
        <v>0</v>
      </c>
      <c r="Y79" s="33">
        <f t="shared" si="66"/>
        <v>0</v>
      </c>
      <c r="Z79" s="34" t="e">
        <f>Y79*VLOOKUP('Données projet'!$B$10,Paramètres!$A$1:$I$88,3,0)*VLOOKUP('Données projet'!$B$10,Paramètres!$A$1:$I$88,5,0)</f>
        <v>#N/A</v>
      </c>
      <c r="AA79" s="34" t="e">
        <f t="shared" si="67"/>
        <v>#N/A</v>
      </c>
      <c r="AB79" s="44" t="e">
        <f t="shared" si="44"/>
        <v>#N/A</v>
      </c>
      <c r="AC79" s="36">
        <f>IF(ISNA(VLOOKUP(A79,'Données projet'!$A$61:$I$81,3,0)),0,VLOOKUP(A79,'Données projet'!$A$61:$I$81,3,0))</f>
        <v>0</v>
      </c>
      <c r="AD79" s="36">
        <f>IF(ISNA(VLOOKUP(A79,'Données projet'!$A$61:$I$81,4,0)),0,VLOOKUP(A79,'Données projet'!$A$61:$I$81,4,0))</f>
        <v>0</v>
      </c>
      <c r="AE79" s="37">
        <f>IF(ISNA(VLOOKUP(A79,'Données projet'!$A$61:$I$81,5,0)),0%,VLOOKUP(A79,'Données projet'!$A$61:$I$81,5,0)*VLOOKUP('Données projet'!$B$10,Paramètres!$A$1:$I$88,7,0))</f>
        <v>0</v>
      </c>
      <c r="AF79" s="37">
        <f>IF(ISNA(VLOOKUP(A79,'Données projet'!$A$61:$I$81,6,0)),0%,VLOOKUP(A79,'Données projet'!$A$61:$I$81,6,0)*VLOOKUP('Données projet'!$B$10,Paramètres!$A$1:$I$88,7,0))</f>
        <v>0</v>
      </c>
      <c r="AG79" s="37">
        <f>IF(ISNA(VLOOKUP(A79,'Données projet'!$A$61:$I$81,7,0)),0%,VLOOKUP(A79,'Données projet'!$A$61:$I$81,7,0))</f>
        <v>0</v>
      </c>
      <c r="AH79" s="45">
        <f>EXP(-LN(2)/35)*AH78+(1-EXP(-LN(2)/35))/(LN(2)/35)*AD79*AE79*VLOOKUP('Données projet'!$B$9,Paramètres!$A$1:$I$88,3,0)*0.475*44/12</f>
        <v>0</v>
      </c>
      <c r="AI79" s="45">
        <f>EXP(-LN(2)/25)*AI78+(1-EXP(-LN(2)/25))/(LN(2)/25)*Calculateur!AD79*Calculateur!AF79*VLOOKUP('Données projet'!$B$9,Paramètres!$A$1:$I$88,3,0)*0.475*44/12</f>
        <v>0</v>
      </c>
      <c r="AJ79" s="45">
        <f>EXP(-LN(2)/2)*AJ78+(1-EXP(-LN(2)/2))/(LN(2)/2)*AD79*AG79*VLOOKUP('Données projet'!$B$9,Paramètres!$A$1:$I$88,3,0)*0.475*44/12</f>
        <v>0</v>
      </c>
      <c r="AK79" s="45">
        <f t="shared" si="45"/>
        <v>0</v>
      </c>
      <c r="AL79" s="32" t="e">
        <f>VLOOKUP(A79,'Données projet'!$A$87:$I$107,2,0)</f>
        <v>#N/A</v>
      </c>
      <c r="AM79" s="33" t="e">
        <f>VLOOKUP(A79,'Données projet'!$A$87:$I$107,9,0)</f>
        <v>#N/A</v>
      </c>
      <c r="AN79" s="33">
        <f t="array" ref="AN79">INDEX(AM:AM,MIN(IF(ISNUMBER(AM79:AM275),ROW(AM79:AM275),"")))</f>
        <v>0</v>
      </c>
      <c r="AO79" s="33">
        <f t="shared" si="68"/>
        <v>0</v>
      </c>
      <c r="AP79" s="34" t="e">
        <f>AO79*VLOOKUP('Données projet'!$B$11,Paramètres!$A$1:$I$88,3,0)*VLOOKUP('Données projet'!$B$11,Paramètres!$A$1:$I$88,5,0)</f>
        <v>#N/A</v>
      </c>
      <c r="AQ79" s="34" t="e">
        <f t="shared" si="69"/>
        <v>#N/A</v>
      </c>
      <c r="AR79" s="44" t="e">
        <f t="shared" si="46"/>
        <v>#N/A</v>
      </c>
      <c r="AS79" s="36">
        <f>IF(ISNA(VLOOKUP(A79,'Données projet'!$A$87:$I$107,3,0)),0,VLOOKUP(A79,'Données projet'!$A$87:$I$107,3,0))</f>
        <v>0</v>
      </c>
      <c r="AT79" s="36">
        <f>IF(ISNA(VLOOKUP(A79,'Données projet'!$A$87:$I$107,4,0)),0,VLOOKUP(A79,'Données projet'!$A$87:$I$107,4,0))</f>
        <v>0</v>
      </c>
      <c r="AU79" s="37">
        <f>IF(ISNA(VLOOKUP(A79,'Données projet'!$A$87:$I$107,5,0)),0%,VLOOKUP(A79,'Données projet'!$A$87:$I$107,5,0)*VLOOKUP('Données projet'!$B$11,Paramètres!$A$1:$I$88,7,0))</f>
        <v>0</v>
      </c>
      <c r="AV79" s="37">
        <f>IF(ISNA(VLOOKUP(A79,'Données projet'!$A$87:$I$107,6,0)),0%,VLOOKUP(A79,'Données projet'!$A$87:$I$107,6,0)*VLOOKUP('Données projet'!$B$11,Paramètres!$A$1:$I$88,7,0))</f>
        <v>0</v>
      </c>
      <c r="AW79" s="37">
        <f>IF(ISNA(VLOOKUP(A79,'Données projet'!$A$87:$I$107,7,0)),0%,VLOOKUP(A79,'Données projet'!$A$87:$I$107,7,0))</f>
        <v>0</v>
      </c>
      <c r="AX79" s="45">
        <f>EXP(-LN(2)/35)*AX78+(1-EXP(-LN(2)/35))/(LN(2)/35)*AT79*AU79*VLOOKUP('Données projet'!$B$9,Paramètres!$A$1:$I$88,3,0)*0.475*44/12</f>
        <v>0</v>
      </c>
      <c r="AY79" s="45">
        <f>EXP(-LN(2)/25)*AY78+(1-EXP(-LN(2)/25))/(LN(2)/25)*Calculateur!AT79*Calculateur!AV79*VLOOKUP('Données projet'!$B$9,Paramètres!$A$1:$I$88,3,0)*0.475*44/12</f>
        <v>0</v>
      </c>
      <c r="AZ79" s="45">
        <f>EXP(-LN(2)/2)*AZ78+(1-EXP(-LN(2)/2))/(LN(2)/2)*AT79*AW79*VLOOKUP('Données projet'!$B$9,Paramètres!$A$1:$I$88,3,0)*0.475*44/12</f>
        <v>0</v>
      </c>
      <c r="BA79" s="46">
        <f t="shared" si="47"/>
        <v>0</v>
      </c>
      <c r="BB79" s="32" t="e">
        <f>VLOOKUP(A79,'Données projet'!$A$113:$I$133,2,0)</f>
        <v>#N/A</v>
      </c>
      <c r="BC79" s="33" t="e">
        <f>VLOOKUP(A79,'Données projet'!$A$113:$I$133,9,0)</f>
        <v>#N/A</v>
      </c>
      <c r="BD79" s="33">
        <f t="array" ref="BD79">INDEX(BC:BC,MIN(IF(ISNUMBER(BC79:BC275),ROW(BC79:BC275),"")))</f>
        <v>0</v>
      </c>
      <c r="BE79" s="33">
        <f t="shared" si="70"/>
        <v>0</v>
      </c>
      <c r="BF79" s="34" t="e">
        <f>BE79*VLOOKUP('Données projet'!$B$12,Paramètres!$A$1:$I$88,3,0)*VLOOKUP('Données projet'!$B$12,Paramètres!$A$1:$I$88,5,0)</f>
        <v>#N/A</v>
      </c>
      <c r="BG79" s="34" t="e">
        <f t="shared" si="71"/>
        <v>#N/A</v>
      </c>
      <c r="BH79" s="44" t="e">
        <f t="shared" si="48"/>
        <v>#N/A</v>
      </c>
      <c r="BI79" s="36">
        <f>IF(ISNA(VLOOKUP(A79,'Données projet'!$A$113:$I$133,3,0)),0,VLOOKUP(A79,'Données projet'!$A$113:$I$133,3,0))</f>
        <v>0</v>
      </c>
      <c r="BJ79" s="36">
        <f>IF(ISNA(VLOOKUP(A79,'Données projet'!$A$113:$I$133,4,0)),0,VLOOKUP(A79,'Données projet'!$A$113:$I$133,4,0))</f>
        <v>0</v>
      </c>
      <c r="BK79" s="37">
        <f>IF(ISNA(VLOOKUP(A79,'Données projet'!$A$113:$I$133,5,0)),0%,VLOOKUP(A79,'Données projet'!$A$113:$I$133,5,0)*VLOOKUP('Données projet'!$B$12,Paramètres!$A$1:$I$88,7,0))</f>
        <v>0</v>
      </c>
      <c r="BL79" s="37">
        <f>IF(ISNA(VLOOKUP(A79,'Données projet'!$A$113:$I$133,6,0)),0%,VLOOKUP(A79,'Données projet'!$A$113:$I$133,6,0)*VLOOKUP('Données projet'!$B$12,Paramètres!$A$1:$I$88,7,0))</f>
        <v>0</v>
      </c>
      <c r="BM79" s="37">
        <f>IF(ISNA(VLOOKUP(A79,'Données projet'!$A$113:$I$133,7,0)),0%,VLOOKUP(A79,'Données projet'!$A$113:$I$133,7,0))</f>
        <v>0</v>
      </c>
      <c r="BN79" s="45">
        <f>EXP(-LN(2)/35)*BN78+(1-EXP(-LN(2)/35))/(LN(2)/35)*BJ79*BK79*VLOOKUP('Données projet'!$B$9,Paramètres!$A$1:$I$88,3,0)*0.475*44/12</f>
        <v>0</v>
      </c>
      <c r="BO79" s="45">
        <f>EXP(-LN(2)/25)*BO78+(1-EXP(-LN(2)/25))/(LN(2)/25)*Calculateur!BJ79*Calculateur!BL79*VLOOKUP('Données projet'!$B$9,Paramètres!$A$1:$I$88,3,0)*0.475*44/12</f>
        <v>0</v>
      </c>
      <c r="BP79" s="45">
        <f>EXP(-LN(2)/2)*BP78+(1-EXP(-LN(2)/2))/(LN(2)/2)*BJ79*BM79*VLOOKUP('Données projet'!$B$9,Paramètres!$A$1:$I$88,3,0)*0.475*44/12</f>
        <v>0</v>
      </c>
      <c r="BQ79" s="46">
        <f t="shared" si="49"/>
        <v>0</v>
      </c>
      <c r="BR79" s="32" t="e">
        <f>VLOOKUP(A79,'Données projet'!$A$139:$I$159,2,0)</f>
        <v>#N/A</v>
      </c>
      <c r="BS79" s="33" t="e">
        <f>VLOOKUP(A79,'Données projet'!$A$139:$I$159,9,0)</f>
        <v>#N/A</v>
      </c>
      <c r="BT79" s="33">
        <f t="array" ref="BT79">INDEX(BS:BS,MIN(IF(ISNUMBER(BS79:BS275),ROW(BS79:BS275),"")))</f>
        <v>0</v>
      </c>
      <c r="BU79" s="33">
        <f t="shared" si="72"/>
        <v>0</v>
      </c>
      <c r="BV79" s="38" t="e">
        <f>BU79*VLOOKUP('Données projet'!$B$13,Paramètres!$A$1:$I$88,3,0)*VLOOKUP('Données projet'!$B$13,Paramètres!$A$1:$I$88,5,0)</f>
        <v>#N/A</v>
      </c>
      <c r="BW79" s="34" t="e">
        <f t="shared" si="73"/>
        <v>#N/A</v>
      </c>
      <c r="BX79" s="44" t="e">
        <f t="shared" si="50"/>
        <v>#N/A</v>
      </c>
      <c r="BY79" s="36">
        <f>IF(ISNA(VLOOKUP(A79,'Données projet'!$A$139:$I$159,3,0)),0,VLOOKUP(A79,'Données projet'!$A$139:$I$159,3,0))</f>
        <v>0</v>
      </c>
      <c r="BZ79" s="36">
        <f>IF(ISNA(VLOOKUP(A79,'Données projet'!$A$139:$I$159,4,0)),0,VLOOKUP(A79,'Données projet'!$A$139:$I$159,4,0))</f>
        <v>0</v>
      </c>
      <c r="CA79" s="37">
        <f>IF(ISNA(VLOOKUP(A79,'Données projet'!$A$139:$I$159,5,0)),0%,VLOOKUP(A79,'Données projet'!$A$139:$I$159,5,0)*VLOOKUP('Données projet'!$B$13,Paramètres!$A$1:$I$88,7,0))</f>
        <v>0</v>
      </c>
      <c r="CB79" s="37">
        <f>IF(ISNA(VLOOKUP(A79,'Données projet'!$A$139:$I$159,6,0)),0%,VLOOKUP(A79,'Données projet'!$A$139:$I$159,6,0)*VLOOKUP('Données projet'!$B$13,Paramètres!$A$1:$I$88,7,0))</f>
        <v>0</v>
      </c>
      <c r="CC79" s="37">
        <f>IF(ISNA(VLOOKUP(A79,'Données projet'!$A$139:$I$159,7,0)),0%,VLOOKUP(A79,'Données projet'!$A$139:$I$159,7,0))</f>
        <v>0</v>
      </c>
      <c r="CD79" s="45">
        <f>EXP(-LN(2)/35)*CD78+(1-EXP(-LN(2)/35))/(LN(2)/35)*BZ79*CA79*VLOOKUP('Données projet'!$B$9,Paramètres!$A$1:$I$88,3,0)*0.475*44/12</f>
        <v>0</v>
      </c>
      <c r="CE79" s="45">
        <f>EXP(-LN(2)/25)*CE78+(1-EXP(-LN(2)/25))/(LN(2)/25)*Calculateur!BZ79*Calculateur!CB79*VLOOKUP('Données projet'!$B$9,Paramètres!$A$1:$I$88,3,0)*0.475*44/12</f>
        <v>0</v>
      </c>
      <c r="CF79" s="45">
        <f>EXP(-LN(2)/2)*CF78+(1-EXP(-LN(2)/2))/(LN(2)/2)*BZ79*CC79*VLOOKUP('Données projet'!$B$9,Paramètres!$A$1:$I$88,3,0)*0.475*44/12</f>
        <v>0</v>
      </c>
      <c r="CG79" s="46">
        <f t="shared" si="51"/>
        <v>0</v>
      </c>
      <c r="CH79" s="32" t="e">
        <f>VLOOKUP(A79,'Données projet'!$A$165:$I$185,2,0)</f>
        <v>#N/A</v>
      </c>
      <c r="CI79" s="33" t="e">
        <f>VLOOKUP(A79,'Données projet'!$A$165:$I$185,9,0)</f>
        <v>#N/A</v>
      </c>
      <c r="CJ79" s="33">
        <f t="array" ref="CJ79">INDEX(CI:CI,MIN(IF(ISNUMBER(CI79:CI275),ROW(CI79:CI275),"")))</f>
        <v>0</v>
      </c>
      <c r="CK79" s="33">
        <f t="shared" si="74"/>
        <v>0</v>
      </c>
      <c r="CL79" s="38" t="e">
        <f>CK79*VLOOKUP('Données projet'!$B$14,Paramètres!$A$1:$I$88,3,0)*VLOOKUP('Données projet'!$B$14,Paramètres!$A$1:$I$88,5,0)</f>
        <v>#N/A</v>
      </c>
      <c r="CM79" s="34" t="e">
        <f t="shared" si="75"/>
        <v>#N/A</v>
      </c>
      <c r="CN79" s="44" t="e">
        <f t="shared" si="52"/>
        <v>#N/A</v>
      </c>
      <c r="CO79" s="36">
        <f>IF(ISNA(VLOOKUP(A79,'Données projet'!$A$165:$I$185,3,0)),0,VLOOKUP(A79,'Données projet'!$A$165:$I$185,3,0))</f>
        <v>0</v>
      </c>
      <c r="CP79" s="36">
        <f>IF(ISNA(VLOOKUP(A79,'Données projet'!$A$165:$I$185,4,0)),0,VLOOKUP(A79,'Données projet'!$A$165:$I$185,4,0))</f>
        <v>0</v>
      </c>
      <c r="CQ79" s="37">
        <f>IF(ISNA(VLOOKUP(A79,'Données projet'!$A$165:$I$185,5,0)),0%,VLOOKUP(A79,'Données projet'!$A$165:$I$185,5,0)*VLOOKUP('Données projet'!$B$14,Paramètres!$A$1:$I$88,7,0))</f>
        <v>0</v>
      </c>
      <c r="CR79" s="37">
        <f>IF(ISNA(VLOOKUP(A79,'Données projet'!$A$165:$I$185,6,0)),0%,VLOOKUP(A79,'Données projet'!$A$165:$I$185,6,0)*VLOOKUP('Données projet'!$B$14,Paramètres!$A$1:$I$88,7,0))</f>
        <v>0</v>
      </c>
      <c r="CS79" s="37">
        <f>IF(ISNA(VLOOKUP(A79,'Données projet'!$A$165:$I$185,7,0)),0%,VLOOKUP(A79,'Données projet'!$A$165:$I$185,7,0))</f>
        <v>0</v>
      </c>
      <c r="CT79" s="45">
        <f>EXP(-LN(2)/35)*CT78+(1-EXP(-LN(2)/35))/(LN(2)/35)*CP79*CQ79*VLOOKUP('Données projet'!$B$9,Paramètres!$A$1:$I$88,3,0)*0.475*44/12</f>
        <v>0</v>
      </c>
      <c r="CU79" s="45">
        <f>EXP(-LN(2)/25)*CU78+(1-EXP(-LN(2)/25))/(LN(2)/25)*Calculateur!CP79*Calculateur!CR79*VLOOKUP('Données projet'!$B$9,Paramètres!$A$1:$I$88,3,0)*0.475*44/12</f>
        <v>0</v>
      </c>
      <c r="CV79" s="45">
        <f>EXP(-LN(2)/2)*CV78+(1-EXP(-LN(2)/2))/(LN(2)/2)*CP79*CS79*VLOOKUP('Données projet'!$B$9,Paramètres!$A$1:$I$88,3,0)*0.475*44/12</f>
        <v>0</v>
      </c>
      <c r="CW79" s="46">
        <f t="shared" si="53"/>
        <v>0</v>
      </c>
      <c r="CX79" s="32" t="e">
        <f>VLOOKUP(A79,'Données projet'!$A$191:$I$211,2,0)</f>
        <v>#N/A</v>
      </c>
      <c r="CY79" s="33" t="e">
        <f>VLOOKUP(A79,'Données projet'!$A$191:$I$211,9,0)</f>
        <v>#N/A</v>
      </c>
      <c r="CZ79" s="33">
        <f t="array" ref="CZ79">INDEX(CY:CY,MIN(IF(ISNUMBER(CY79:CY275),ROW(CY79:CY275),"")))</f>
        <v>0</v>
      </c>
      <c r="DA79" s="33">
        <f t="shared" si="76"/>
        <v>0</v>
      </c>
      <c r="DB79" s="38" t="e">
        <f>DA79*VLOOKUP('Données projet'!$B$15,Paramètres!$A$1:$I$88,3,0)*VLOOKUP('Données projet'!$B$15,Paramètres!$A$1:$I$88,5,0)</f>
        <v>#N/A</v>
      </c>
      <c r="DC79" s="34" t="e">
        <f t="shared" si="77"/>
        <v>#N/A</v>
      </c>
      <c r="DD79" s="44" t="e">
        <f t="shared" si="54"/>
        <v>#N/A</v>
      </c>
      <c r="DE79" s="36">
        <f>IF(ISNA(VLOOKUP(A79,'Données projet'!$A$191:$I$211,3,0)),0,VLOOKUP(A79,'Données projet'!$A$191:$I$211,3,0))</f>
        <v>0</v>
      </c>
      <c r="DF79" s="36">
        <f>IF(ISNA(VLOOKUP(A79,'Données projet'!$A$191:$I$211,4,0)),0,VLOOKUP(A79,'Données projet'!$A$191:$I$211,4,0))</f>
        <v>0</v>
      </c>
      <c r="DG79" s="37">
        <f>IF(ISNA(VLOOKUP(A79,'Données projet'!$A$191:$I$211,5,0)),0%,VLOOKUP(A79,'Données projet'!$A$191:$I$211,5,0)*VLOOKUP('Données projet'!$B$15,Paramètres!$A$1:$I$88,7,0))</f>
        <v>0</v>
      </c>
      <c r="DH79" s="37">
        <f>IF(ISNA(VLOOKUP(A79,'Données projet'!$A$191:$I$211,6,0)),0%,VLOOKUP(A79,'Données projet'!$A$191:$I$211,6,0)*VLOOKUP('Données projet'!$B$15,Paramètres!$A$1:$I$88,7,0))</f>
        <v>0</v>
      </c>
      <c r="DI79" s="37">
        <f>IF(ISNA(VLOOKUP(A79,'Données projet'!$A$191:$I$211,7,0)),0%,VLOOKUP(A79,'Données projet'!$A$191:$I$211,7,0))</f>
        <v>0</v>
      </c>
      <c r="DJ79" s="45">
        <f>EXP(-LN(2)/35)*DJ78+(1-EXP(-LN(2)/35))/(LN(2)/35)*DF79*DG79*VLOOKUP('Données projet'!$B$9,Paramètres!$A$1:$I$88,3,0)*0.475*44/12</f>
        <v>0</v>
      </c>
      <c r="DK79" s="45">
        <f>EXP(-LN(2)/25)*DK78+(1-EXP(-LN(2)/25))/(LN(2)/25)*Calculateur!DF79*Calculateur!DH79*VLOOKUP('Données projet'!$B$9,Paramètres!$A$1:$I$88,3,0)*0.475*44/12</f>
        <v>0</v>
      </c>
      <c r="DL79" s="45">
        <f>EXP(-LN(2)/2)*DL78+(1-EXP(-LN(2)/2))/(LN(2)/2)*DF79*DI79*VLOOKUP('Données projet'!$B$9,Paramètres!$A$1:$I$88,3,0)*0.475*44/12</f>
        <v>0</v>
      </c>
      <c r="DM79" s="46">
        <f t="shared" si="55"/>
        <v>0</v>
      </c>
      <c r="DN79" s="32" t="e">
        <f>VLOOKUP(A79,'Données projet'!$A$217:$I$237,2,0)</f>
        <v>#N/A</v>
      </c>
      <c r="DO79" s="33" t="e">
        <f>VLOOKUP(A79,'Données projet'!$A$217:$I$237,9,0)</f>
        <v>#N/A</v>
      </c>
      <c r="DP79" s="33">
        <f t="array" ref="DP79">INDEX(DO:DO,MIN(IF(ISNUMBER(DO79:DO275),ROW(DO79:DO275),"")))</f>
        <v>0</v>
      </c>
      <c r="DQ79" s="33">
        <f t="shared" si="78"/>
        <v>0</v>
      </c>
      <c r="DR79" s="38" t="e">
        <f>DQ79*VLOOKUP('Données projet'!$B$16,Paramètres!$A$1:$I$88,3,0)*VLOOKUP('Données projet'!$B$16,Paramètres!$A$1:$I$88,5,0)</f>
        <v>#N/A</v>
      </c>
      <c r="DS79" s="34" t="e">
        <f t="shared" si="79"/>
        <v>#N/A</v>
      </c>
      <c r="DT79" s="44" t="e">
        <f t="shared" si="56"/>
        <v>#N/A</v>
      </c>
      <c r="DU79" s="36">
        <f>IF(ISNA(VLOOKUP(A79,'Données projet'!$A$217:$I$237,3,0)),0,VLOOKUP(A79,'Données projet'!$A$217:$I$237,3,0))</f>
        <v>0</v>
      </c>
      <c r="DV79" s="36">
        <f>IF(ISNA(VLOOKUP(A79,'Données projet'!$A$217:$I$237,4,0)),0,VLOOKUP(A79,'Données projet'!$A$217:$I$237,4,0))</f>
        <v>0</v>
      </c>
      <c r="DW79" s="37">
        <f>IF(ISNA(VLOOKUP(A79,'Données projet'!$A$217:$I$237,5,0)),0%,VLOOKUP(A79,'Données projet'!$A$217:$I$237,5,0)*VLOOKUP('Données projet'!$B$16,Paramètres!$A$1:$I$88,7,0))</f>
        <v>0</v>
      </c>
      <c r="DX79" s="37">
        <f>IF(ISNA(VLOOKUP(A79,'Données projet'!$A$217:$I$237,6,0)),0%,VLOOKUP(A79,'Données projet'!$A$217:$I$237,6,0)*VLOOKUP('Données projet'!$B$16,Paramètres!$A$1:$I$88,7,0))</f>
        <v>0</v>
      </c>
      <c r="DY79" s="37">
        <f>IF(ISNA(VLOOKUP(A79,'Données projet'!$A$217:$I$237,7,0)),0%,VLOOKUP(A79,'Données projet'!$A$217:$I$237,7,0))</f>
        <v>0</v>
      </c>
      <c r="DZ79" s="45">
        <f>EXP(-LN(2)/35)*DZ78+(1-EXP(-LN(2)/35))/(LN(2)/35)*DV79*DW79*VLOOKUP('Données projet'!$B$9,Paramètres!$A$1:$I$88,3,0)*0.475*44/12</f>
        <v>0</v>
      </c>
      <c r="EA79" s="45">
        <f>EXP(-LN(2)/25)*EA78+(1-EXP(-LN(2)/25))/(LN(2)/25)*Calculateur!DV79*Calculateur!DX79*VLOOKUP('Données projet'!$B$9,Paramètres!$A$1:$I$88,3,0)*0.475*44/12</f>
        <v>0</v>
      </c>
      <c r="EB79" s="45">
        <f>EXP(-LN(2)/2)*EB78+(1-EXP(-LN(2)/2))/(LN(2)/2)*DV79*DY79*VLOOKUP('Données projet'!$B$9,Paramètres!$A$1:$I$88,3,0)*0.475*44/12</f>
        <v>0</v>
      </c>
      <c r="EC79" s="46">
        <f t="shared" si="57"/>
        <v>0</v>
      </c>
      <c r="ED79" s="32" t="e">
        <f>VLOOKUP(A79,'Données projet'!$A$243:$I$263,2,0)</f>
        <v>#N/A</v>
      </c>
      <c r="EE79" s="33" t="e">
        <f>VLOOKUP(A79,'Données projet'!$A$243:$I$263,9,0)</f>
        <v>#N/A</v>
      </c>
      <c r="EF79" s="33">
        <f t="array" ref="EF79">INDEX(EE:EE,MIN(IF(ISNUMBER(EE79:EE275),ROW(EE79:EE275),"")))</f>
        <v>0</v>
      </c>
      <c r="EG79" s="33">
        <f t="shared" si="80"/>
        <v>0</v>
      </c>
      <c r="EH79" s="38" t="e">
        <f>EG79*VLOOKUP('Données projet'!$B$17,Paramètres!$A$1:$I$88,3,0)*VLOOKUP('Données projet'!$B$17,Paramètres!$A$1:$I$88,5,0)</f>
        <v>#N/A</v>
      </c>
      <c r="EI79" s="34" t="e">
        <f t="shared" si="81"/>
        <v>#N/A</v>
      </c>
      <c r="EJ79" s="44" t="e">
        <f t="shared" si="58"/>
        <v>#N/A</v>
      </c>
      <c r="EK79" s="36">
        <f>IF(ISNA(VLOOKUP(A79,'Données projet'!$A$243:$I$263,3,0)),0,VLOOKUP(A79,'Données projet'!$A$243:$I$263,3,0))</f>
        <v>0</v>
      </c>
      <c r="EL79" s="36">
        <f>IF(ISNA(VLOOKUP(A79,'Données projet'!$A$243:$I$263,4,0)),0,VLOOKUP(A79,'Données projet'!$A$243:$I$263,4,0))</f>
        <v>0</v>
      </c>
      <c r="EM79" s="37">
        <f>IF(ISNA(VLOOKUP(A79,'Données projet'!$A$243:$I$263,5,0)),0%,VLOOKUP(A79,'Données projet'!$A$243:$I$263,5,0)*VLOOKUP('Données projet'!$B$17,Paramètres!$A$1:$I$88,7,0))</f>
        <v>0</v>
      </c>
      <c r="EN79" s="37">
        <f>IF(ISNA(VLOOKUP(A79,'Données projet'!$A$243:$I$263,6,0)),0%,VLOOKUP(A79,'Données projet'!$A$243:$I$263,6,0)*VLOOKUP('Données projet'!$B$17,Paramètres!$A$1:$I$88,7,0))</f>
        <v>0</v>
      </c>
      <c r="EO79" s="37">
        <f>IF(ISNA(VLOOKUP(A79,'Données projet'!$A$243:$I$263,7,0)),0%,VLOOKUP(A79,'Données projet'!$A$243:$I$263,7,0))</f>
        <v>0</v>
      </c>
      <c r="EP79" s="45">
        <f>EXP(-LN(2)/35)*EP78+(1-EXP(-LN(2)/35))/(LN(2)/35)*EL79*EM79*VLOOKUP('Données projet'!$B$9,Paramètres!$A$1:$I$88,3,0)*0.475*44/12</f>
        <v>0</v>
      </c>
      <c r="EQ79" s="45">
        <f>EXP(-LN(2)/25)*EQ78+(1-EXP(-LN(2)/25))/(LN(2)/25)*Calculateur!EL79*Calculateur!EN79*VLOOKUP('Données projet'!$B$9,Paramètres!$A$1:$I$88,3,0)*0.475*44/12</f>
        <v>0</v>
      </c>
      <c r="ER79" s="45">
        <f>EXP(-LN(2)/2)*ER78+(1-EXP(-LN(2)/2))/(LN(2)/2)*EL79*EO79*VLOOKUP('Données projet'!$B$9,Paramètres!$A$1:$I$88,3,0)*0.475*44/12</f>
        <v>0</v>
      </c>
      <c r="ES79" s="46">
        <f t="shared" si="59"/>
        <v>0</v>
      </c>
      <c r="ET79" s="32" t="e">
        <f>VLOOKUP(A79,'Données projet'!$A$269:$I$289,2,0)</f>
        <v>#N/A</v>
      </c>
      <c r="EU79" s="33" t="e">
        <f>VLOOKUP(A79,'Données projet'!$A$269:$I$289,9,0)</f>
        <v>#N/A</v>
      </c>
      <c r="EV79" s="33">
        <f t="array" ref="EV79">INDEX(EU:EU,MIN(IF(ISNUMBER(EU79:EU275),ROW(EU79:EU275),"")))</f>
        <v>0</v>
      </c>
      <c r="EW79" s="33">
        <f t="shared" si="82"/>
        <v>0</v>
      </c>
      <c r="EX79" s="38" t="e">
        <f>EW79*VLOOKUP('Données projet'!$B$18,Paramètres!$A$1:$I$88,3,0)*VLOOKUP('Données projet'!$B$18,Paramètres!$A$1:$I$88,5,0)</f>
        <v>#N/A</v>
      </c>
      <c r="EY79" s="34" t="e">
        <f t="shared" si="83"/>
        <v>#N/A</v>
      </c>
      <c r="EZ79" s="44" t="e">
        <f t="shared" si="60"/>
        <v>#N/A</v>
      </c>
      <c r="FA79" s="36">
        <f>IF(ISNA(VLOOKUP(A79,'Données projet'!$A$269:$I$289,3,0)),0,VLOOKUP(A79,'Données projet'!$A$269:$I$289,3,0))</f>
        <v>0</v>
      </c>
      <c r="FB79" s="36">
        <f>IF(ISNA(VLOOKUP(A79,'Données projet'!$A$269:$I$289,4,0)),0,VLOOKUP(A79,'Données projet'!$A$269:$I$289,4,0))</f>
        <v>0</v>
      </c>
      <c r="FC79" s="37">
        <f>IF(ISNA(VLOOKUP(A79,'Données projet'!$A$269:$I$289,5,0)),0%,VLOOKUP(A79,'Données projet'!$A$269:$I$289,5,0)*VLOOKUP('Données projet'!$B$18,Paramètres!$A$1:$I$88,7,0))</f>
        <v>0</v>
      </c>
      <c r="FD79" s="37">
        <f>IF(ISNA(VLOOKUP(A79,'Données projet'!$A$269:$I$289,6,0)),0%,VLOOKUP(A79,'Données projet'!$A$269:$I$289,6,0)*VLOOKUP('Données projet'!$B$18,Paramètres!$A$1:$I$88,7,0))</f>
        <v>0</v>
      </c>
      <c r="FE79" s="37">
        <f>IF(ISNA(VLOOKUP(A79,'Données projet'!$A$269:$I$289,7,0)),0%,VLOOKUP(A79,'Données projet'!$A$269:$I$289,7,0))</f>
        <v>0</v>
      </c>
      <c r="FF79" s="45">
        <f>EXP(-LN(2)/35)*FF78+(1-EXP(-LN(2)/35))/(LN(2)/35)*FB79*FC79*VLOOKUP('Données projet'!$B$9,Paramètres!$A$1:$I$88,3,0)*0.475*44/12</f>
        <v>0</v>
      </c>
      <c r="FG79" s="45">
        <f>EXP(-LN(2)/25)*FG78+(1-EXP(-LN(2)/25))/(LN(2)/25)*Calculateur!FB79*Calculateur!FD79*VLOOKUP('Données projet'!$B$9,Paramètres!$A$1:$I$88,3,0)*0.475*44/12</f>
        <v>0</v>
      </c>
      <c r="FH79" s="45">
        <f>EXP(-LN(2)/2)*FH78+(1-EXP(-LN(2)/2))/(LN(2)/2)*FB79*FE79*VLOOKUP('Données projet'!$B$9,Paramètres!$A$1:$I$88,3,0)*0.475*44/12</f>
        <v>0</v>
      </c>
      <c r="FI79" s="46">
        <f t="shared" si="61"/>
        <v>0</v>
      </c>
    </row>
    <row r="80" spans="1:165" x14ac:dyDescent="0.25">
      <c r="A80" s="24">
        <f t="shared" si="62"/>
        <v>77</v>
      </c>
      <c r="B80" s="25">
        <f>IF('Scénario référence'!$N$1=1,5,0)</f>
        <v>0</v>
      </c>
      <c r="C80" s="40">
        <f>IF(OR('Scénario référence'!$N$1=2,'Scénario référence'!$N$1=4),C79+1*VLOOKUP('Scénario référence'!$G$14,Paramètres!$A$1:$I$88,3,0)*VLOOKUP('Scénario référence'!$G$14,Paramètres!$A$1:$I$88,5,0),IF(OR('Scénario référence'!$N$1=3,'Scénario référence'!$N$1=5),C79+0.5*VLOOKUP('Scénario référence'!$G$14,Paramètres!$A$1:$I$88,3,0)*VLOOKUP('Scénario référence'!$G$14,Paramètres!$A$1:$I$88,5,0),0))</f>
        <v>42.041999999999966</v>
      </c>
      <c r="D80" s="26">
        <f t="shared" si="63"/>
        <v>12.538300920096166</v>
      </c>
      <c r="E80" s="27">
        <f>IF('Scénario référence'!$N$1=1,B80*44/12,(C80+D80)*0.475*44/12)</f>
        <v>95.060690769167422</v>
      </c>
      <c r="F80" s="28" t="e">
        <f>VLOOKUP(A80,'Données projet'!$A$35:$I$55,2,0)</f>
        <v>#N/A</v>
      </c>
      <c r="G80" s="28" t="e">
        <f>VLOOKUP(A80,'Données projet'!$A$35:$I$55,9,0)</f>
        <v>#N/A</v>
      </c>
      <c r="H80" s="33">
        <f t="array" ref="H80">INDEX(G:G,MIN(IF(ISNUMBER(G80:G276),ROW(G80:G276),"")))</f>
        <v>5.9</v>
      </c>
      <c r="I80" s="28">
        <f t="shared" si="64"/>
        <v>242.79999999999987</v>
      </c>
      <c r="J80" s="41">
        <f>I80*VLOOKUP('Données projet'!$B$9,Paramètres!$A$1:$I$88,3,0)*VLOOKUP('Données projet'!$B$9,Paramètres!$A$1:$I$88,5,0)</f>
        <v>246.19919999999988</v>
      </c>
      <c r="K80" s="41">
        <f t="shared" si="65"/>
        <v>59.77133248344078</v>
      </c>
      <c r="L80" s="42">
        <f t="shared" si="42"/>
        <v>532.89867740865918</v>
      </c>
      <c r="M80" s="30">
        <f>IF(ISNA(VLOOKUP(A80,'Données projet'!$A$35:$I$55,3,0)),0,VLOOKUP(A80,'Données projet'!$A$35:$I$55,3,0))</f>
        <v>0</v>
      </c>
      <c r="N80" s="30">
        <f>IF(ISNA(VLOOKUP(A80,'Données projet'!$A$35:$I$55,4,0)),0,VLOOKUP(A80,'Données projet'!$A$35:$I$55,4,0))</f>
        <v>0</v>
      </c>
      <c r="O80" s="31">
        <f>IF(ISNA(VLOOKUP(A80,'Données projet'!$A$35:$I$55,5,0)),0%,VLOOKUP(A80,'Données projet'!$A$35:$I$55,5,0)*VLOOKUP('Données projet'!$B$9,Paramètres!$A$1:$I$88,7,0))</f>
        <v>0</v>
      </c>
      <c r="P80" s="31">
        <f>IF(ISNA(VLOOKUP(A80,'Données projet'!$A$35:$I$55,6,0)),0%,VLOOKUP(A80,'Données projet'!$A$35:$I$55,6,0)*VLOOKUP('Données projet'!$B$9,Paramètres!$A$1:$I$88,7,0))</f>
        <v>0</v>
      </c>
      <c r="Q80" s="31">
        <f>IF(ISNA(VLOOKUP(A80,'Données projet'!$A$35:$I$55,7,0)),0%,VLOOKUP(A80,'Données projet'!$A$35:$I$55,7,0))</f>
        <v>0</v>
      </c>
      <c r="R80" s="43">
        <f>EXP(-LN(2)/35)*R79+(1-EXP(-LN(2)/35))/(LN(2)/35)*N80*O80*VLOOKUP('Données projet'!$B$9,Paramètres!$A$1:$I$88,3,0)*0.475*44/12</f>
        <v>0</v>
      </c>
      <c r="S80" s="43">
        <f>EXP(-LN(2)/25)*S79+(1-EXP(-LN(2)/25))/(LN(2)/25)*Calculateur!N80*Calculateur!P80*VLOOKUP('Données projet'!$B$9,Paramètres!$A$1:$I$88,3,0)*0.475*44/12</f>
        <v>0</v>
      </c>
      <c r="T80" s="43">
        <f>EXP(-LN(2)/2)*T79+(1-EXP(-LN(2)/2))/(LN(2)/2)*N80*Q80*VLOOKUP('Données projet'!$B$9,Paramètres!$A$1:$I$88,3,0)*0.475*44/12</f>
        <v>0</v>
      </c>
      <c r="U80" s="43">
        <f t="shared" si="43"/>
        <v>0</v>
      </c>
      <c r="V80" s="32" t="e">
        <f>VLOOKUP(A80,'Données projet'!$A$61:$I$81,2,0)</f>
        <v>#N/A</v>
      </c>
      <c r="W80" s="33" t="e">
        <f>VLOOKUP(A80,'Données projet'!$A$61:$I$81,9,0)</f>
        <v>#N/A</v>
      </c>
      <c r="X80" s="33">
        <f t="array" ref="X80">INDEX(W:W,MIN(IF(ISNUMBER(W80:W276),ROW(W80:W276),"")))</f>
        <v>0</v>
      </c>
      <c r="Y80" s="33">
        <f t="shared" si="66"/>
        <v>0</v>
      </c>
      <c r="Z80" s="34" t="e">
        <f>Y80*VLOOKUP('Données projet'!$B$10,Paramètres!$A$1:$I$88,3,0)*VLOOKUP('Données projet'!$B$10,Paramètres!$A$1:$I$88,5,0)</f>
        <v>#N/A</v>
      </c>
      <c r="AA80" s="34" t="e">
        <f t="shared" si="67"/>
        <v>#N/A</v>
      </c>
      <c r="AB80" s="44" t="e">
        <f t="shared" si="44"/>
        <v>#N/A</v>
      </c>
      <c r="AC80" s="36">
        <f>IF(ISNA(VLOOKUP(A80,'Données projet'!$A$61:$I$81,3,0)),0,VLOOKUP(A80,'Données projet'!$A$61:$I$81,3,0))</f>
        <v>0</v>
      </c>
      <c r="AD80" s="36">
        <f>IF(ISNA(VLOOKUP(A80,'Données projet'!$A$61:$I$81,4,0)),0,VLOOKUP(A80,'Données projet'!$A$61:$I$81,4,0))</f>
        <v>0</v>
      </c>
      <c r="AE80" s="37">
        <f>IF(ISNA(VLOOKUP(A80,'Données projet'!$A$61:$I$81,5,0)),0%,VLOOKUP(A80,'Données projet'!$A$61:$I$81,5,0)*VLOOKUP('Données projet'!$B$10,Paramètres!$A$1:$I$88,7,0))</f>
        <v>0</v>
      </c>
      <c r="AF80" s="37">
        <f>IF(ISNA(VLOOKUP(A80,'Données projet'!$A$61:$I$81,6,0)),0%,VLOOKUP(A80,'Données projet'!$A$61:$I$81,6,0)*VLOOKUP('Données projet'!$B$10,Paramètres!$A$1:$I$88,7,0))</f>
        <v>0</v>
      </c>
      <c r="AG80" s="37">
        <f>IF(ISNA(VLOOKUP(A80,'Données projet'!$A$61:$I$81,7,0)),0%,VLOOKUP(A80,'Données projet'!$A$61:$I$81,7,0))</f>
        <v>0</v>
      </c>
      <c r="AH80" s="45">
        <f>EXP(-LN(2)/35)*AH79+(1-EXP(-LN(2)/35))/(LN(2)/35)*AD80*AE80*VLOOKUP('Données projet'!$B$9,Paramètres!$A$1:$I$88,3,0)*0.475*44/12</f>
        <v>0</v>
      </c>
      <c r="AI80" s="45">
        <f>EXP(-LN(2)/25)*AI79+(1-EXP(-LN(2)/25))/(LN(2)/25)*Calculateur!AD80*Calculateur!AF80*VLOOKUP('Données projet'!$B$9,Paramètres!$A$1:$I$88,3,0)*0.475*44/12</f>
        <v>0</v>
      </c>
      <c r="AJ80" s="45">
        <f>EXP(-LN(2)/2)*AJ79+(1-EXP(-LN(2)/2))/(LN(2)/2)*AD80*AG80*VLOOKUP('Données projet'!$B$9,Paramètres!$A$1:$I$88,3,0)*0.475*44/12</f>
        <v>0</v>
      </c>
      <c r="AK80" s="45">
        <f t="shared" si="45"/>
        <v>0</v>
      </c>
      <c r="AL80" s="32" t="e">
        <f>VLOOKUP(A80,'Données projet'!$A$87:$I$107,2,0)</f>
        <v>#N/A</v>
      </c>
      <c r="AM80" s="33" t="e">
        <f>VLOOKUP(A80,'Données projet'!$A$87:$I$107,9,0)</f>
        <v>#N/A</v>
      </c>
      <c r="AN80" s="33">
        <f t="array" ref="AN80">INDEX(AM:AM,MIN(IF(ISNUMBER(AM80:AM276),ROW(AM80:AM276),"")))</f>
        <v>0</v>
      </c>
      <c r="AO80" s="33">
        <f t="shared" si="68"/>
        <v>0</v>
      </c>
      <c r="AP80" s="34" t="e">
        <f>AO80*VLOOKUP('Données projet'!$B$11,Paramètres!$A$1:$I$88,3,0)*VLOOKUP('Données projet'!$B$11,Paramètres!$A$1:$I$88,5,0)</f>
        <v>#N/A</v>
      </c>
      <c r="AQ80" s="34" t="e">
        <f t="shared" si="69"/>
        <v>#N/A</v>
      </c>
      <c r="AR80" s="44" t="e">
        <f t="shared" si="46"/>
        <v>#N/A</v>
      </c>
      <c r="AS80" s="36">
        <f>IF(ISNA(VLOOKUP(A80,'Données projet'!$A$87:$I$107,3,0)),0,VLOOKUP(A80,'Données projet'!$A$87:$I$107,3,0))</f>
        <v>0</v>
      </c>
      <c r="AT80" s="36">
        <f>IF(ISNA(VLOOKUP(A80,'Données projet'!$A$87:$I$107,4,0)),0,VLOOKUP(A80,'Données projet'!$A$87:$I$107,4,0))</f>
        <v>0</v>
      </c>
      <c r="AU80" s="37">
        <f>IF(ISNA(VLOOKUP(A80,'Données projet'!$A$87:$I$107,5,0)),0%,VLOOKUP(A80,'Données projet'!$A$87:$I$107,5,0)*VLOOKUP('Données projet'!$B$11,Paramètres!$A$1:$I$88,7,0))</f>
        <v>0</v>
      </c>
      <c r="AV80" s="37">
        <f>IF(ISNA(VLOOKUP(A80,'Données projet'!$A$87:$I$107,6,0)),0%,VLOOKUP(A80,'Données projet'!$A$87:$I$107,6,0)*VLOOKUP('Données projet'!$B$11,Paramètres!$A$1:$I$88,7,0))</f>
        <v>0</v>
      </c>
      <c r="AW80" s="37">
        <f>IF(ISNA(VLOOKUP(A80,'Données projet'!$A$87:$I$107,7,0)),0%,VLOOKUP(A80,'Données projet'!$A$87:$I$107,7,0))</f>
        <v>0</v>
      </c>
      <c r="AX80" s="45">
        <f>EXP(-LN(2)/35)*AX79+(1-EXP(-LN(2)/35))/(LN(2)/35)*AT80*AU80*VLOOKUP('Données projet'!$B$9,Paramètres!$A$1:$I$88,3,0)*0.475*44/12</f>
        <v>0</v>
      </c>
      <c r="AY80" s="45">
        <f>EXP(-LN(2)/25)*AY79+(1-EXP(-LN(2)/25))/(LN(2)/25)*Calculateur!AT80*Calculateur!AV80*VLOOKUP('Données projet'!$B$9,Paramètres!$A$1:$I$88,3,0)*0.475*44/12</f>
        <v>0</v>
      </c>
      <c r="AZ80" s="45">
        <f>EXP(-LN(2)/2)*AZ79+(1-EXP(-LN(2)/2))/(LN(2)/2)*AT80*AW80*VLOOKUP('Données projet'!$B$9,Paramètres!$A$1:$I$88,3,0)*0.475*44/12</f>
        <v>0</v>
      </c>
      <c r="BA80" s="46">
        <f t="shared" si="47"/>
        <v>0</v>
      </c>
      <c r="BB80" s="32" t="e">
        <f>VLOOKUP(A80,'Données projet'!$A$113:$I$133,2,0)</f>
        <v>#N/A</v>
      </c>
      <c r="BC80" s="33" t="e">
        <f>VLOOKUP(A80,'Données projet'!$A$113:$I$133,9,0)</f>
        <v>#N/A</v>
      </c>
      <c r="BD80" s="33">
        <f t="array" ref="BD80">INDEX(BC:BC,MIN(IF(ISNUMBER(BC80:BC276),ROW(BC80:BC276),"")))</f>
        <v>0</v>
      </c>
      <c r="BE80" s="33">
        <f t="shared" si="70"/>
        <v>0</v>
      </c>
      <c r="BF80" s="34" t="e">
        <f>BE80*VLOOKUP('Données projet'!$B$12,Paramètres!$A$1:$I$88,3,0)*VLOOKUP('Données projet'!$B$12,Paramètres!$A$1:$I$88,5,0)</f>
        <v>#N/A</v>
      </c>
      <c r="BG80" s="34" t="e">
        <f t="shared" si="71"/>
        <v>#N/A</v>
      </c>
      <c r="BH80" s="44" t="e">
        <f t="shared" si="48"/>
        <v>#N/A</v>
      </c>
      <c r="BI80" s="36">
        <f>IF(ISNA(VLOOKUP(A80,'Données projet'!$A$113:$I$133,3,0)),0,VLOOKUP(A80,'Données projet'!$A$113:$I$133,3,0))</f>
        <v>0</v>
      </c>
      <c r="BJ80" s="36">
        <f>IF(ISNA(VLOOKUP(A80,'Données projet'!$A$113:$I$133,4,0)),0,VLOOKUP(A80,'Données projet'!$A$113:$I$133,4,0))</f>
        <v>0</v>
      </c>
      <c r="BK80" s="37">
        <f>IF(ISNA(VLOOKUP(A80,'Données projet'!$A$113:$I$133,5,0)),0%,VLOOKUP(A80,'Données projet'!$A$113:$I$133,5,0)*VLOOKUP('Données projet'!$B$12,Paramètres!$A$1:$I$88,7,0))</f>
        <v>0</v>
      </c>
      <c r="BL80" s="37">
        <f>IF(ISNA(VLOOKUP(A80,'Données projet'!$A$113:$I$133,6,0)),0%,VLOOKUP(A80,'Données projet'!$A$113:$I$133,6,0)*VLOOKUP('Données projet'!$B$12,Paramètres!$A$1:$I$88,7,0))</f>
        <v>0</v>
      </c>
      <c r="BM80" s="37">
        <f>IF(ISNA(VLOOKUP(A80,'Données projet'!$A$113:$I$133,7,0)),0%,VLOOKUP(A80,'Données projet'!$A$113:$I$133,7,0))</f>
        <v>0</v>
      </c>
      <c r="BN80" s="45">
        <f>EXP(-LN(2)/35)*BN79+(1-EXP(-LN(2)/35))/(LN(2)/35)*BJ80*BK80*VLOOKUP('Données projet'!$B$9,Paramètres!$A$1:$I$88,3,0)*0.475*44/12</f>
        <v>0</v>
      </c>
      <c r="BO80" s="45">
        <f>EXP(-LN(2)/25)*BO79+(1-EXP(-LN(2)/25))/(LN(2)/25)*Calculateur!BJ80*Calculateur!BL80*VLOOKUP('Données projet'!$B$9,Paramètres!$A$1:$I$88,3,0)*0.475*44/12</f>
        <v>0</v>
      </c>
      <c r="BP80" s="45">
        <f>EXP(-LN(2)/2)*BP79+(1-EXP(-LN(2)/2))/(LN(2)/2)*BJ80*BM80*VLOOKUP('Données projet'!$B$9,Paramètres!$A$1:$I$88,3,0)*0.475*44/12</f>
        <v>0</v>
      </c>
      <c r="BQ80" s="46">
        <f t="shared" si="49"/>
        <v>0</v>
      </c>
      <c r="BR80" s="32" t="e">
        <f>VLOOKUP(A80,'Données projet'!$A$139:$I$159,2,0)</f>
        <v>#N/A</v>
      </c>
      <c r="BS80" s="33" t="e">
        <f>VLOOKUP(A80,'Données projet'!$A$139:$I$159,9,0)</f>
        <v>#N/A</v>
      </c>
      <c r="BT80" s="33">
        <f t="array" ref="BT80">INDEX(BS:BS,MIN(IF(ISNUMBER(BS80:BS276),ROW(BS80:BS276),"")))</f>
        <v>0</v>
      </c>
      <c r="BU80" s="33">
        <f t="shared" si="72"/>
        <v>0</v>
      </c>
      <c r="BV80" s="38" t="e">
        <f>BU80*VLOOKUP('Données projet'!$B$13,Paramètres!$A$1:$I$88,3,0)*VLOOKUP('Données projet'!$B$13,Paramètres!$A$1:$I$88,5,0)</f>
        <v>#N/A</v>
      </c>
      <c r="BW80" s="34" t="e">
        <f t="shared" si="73"/>
        <v>#N/A</v>
      </c>
      <c r="BX80" s="44" t="e">
        <f t="shared" si="50"/>
        <v>#N/A</v>
      </c>
      <c r="BY80" s="36">
        <f>IF(ISNA(VLOOKUP(A80,'Données projet'!$A$139:$I$159,3,0)),0,VLOOKUP(A80,'Données projet'!$A$139:$I$159,3,0))</f>
        <v>0</v>
      </c>
      <c r="BZ80" s="36">
        <f>IF(ISNA(VLOOKUP(A80,'Données projet'!$A$139:$I$159,4,0)),0,VLOOKUP(A80,'Données projet'!$A$139:$I$159,4,0))</f>
        <v>0</v>
      </c>
      <c r="CA80" s="37">
        <f>IF(ISNA(VLOOKUP(A80,'Données projet'!$A$139:$I$159,5,0)),0%,VLOOKUP(A80,'Données projet'!$A$139:$I$159,5,0)*VLOOKUP('Données projet'!$B$13,Paramètres!$A$1:$I$88,7,0))</f>
        <v>0</v>
      </c>
      <c r="CB80" s="37">
        <f>IF(ISNA(VLOOKUP(A80,'Données projet'!$A$139:$I$159,6,0)),0%,VLOOKUP(A80,'Données projet'!$A$139:$I$159,6,0)*VLOOKUP('Données projet'!$B$13,Paramètres!$A$1:$I$88,7,0))</f>
        <v>0</v>
      </c>
      <c r="CC80" s="37">
        <f>IF(ISNA(VLOOKUP(A80,'Données projet'!$A$139:$I$159,7,0)),0%,VLOOKUP(A80,'Données projet'!$A$139:$I$159,7,0))</f>
        <v>0</v>
      </c>
      <c r="CD80" s="45">
        <f>EXP(-LN(2)/35)*CD79+(1-EXP(-LN(2)/35))/(LN(2)/35)*BZ80*CA80*VLOOKUP('Données projet'!$B$9,Paramètres!$A$1:$I$88,3,0)*0.475*44/12</f>
        <v>0</v>
      </c>
      <c r="CE80" s="45">
        <f>EXP(-LN(2)/25)*CE79+(1-EXP(-LN(2)/25))/(LN(2)/25)*Calculateur!BZ80*Calculateur!CB80*VLOOKUP('Données projet'!$B$9,Paramètres!$A$1:$I$88,3,0)*0.475*44/12</f>
        <v>0</v>
      </c>
      <c r="CF80" s="45">
        <f>EXP(-LN(2)/2)*CF79+(1-EXP(-LN(2)/2))/(LN(2)/2)*BZ80*CC80*VLOOKUP('Données projet'!$B$9,Paramètres!$A$1:$I$88,3,0)*0.475*44/12</f>
        <v>0</v>
      </c>
      <c r="CG80" s="46">
        <f t="shared" si="51"/>
        <v>0</v>
      </c>
      <c r="CH80" s="32" t="e">
        <f>VLOOKUP(A80,'Données projet'!$A$165:$I$185,2,0)</f>
        <v>#N/A</v>
      </c>
      <c r="CI80" s="33" t="e">
        <f>VLOOKUP(A80,'Données projet'!$A$165:$I$185,9,0)</f>
        <v>#N/A</v>
      </c>
      <c r="CJ80" s="33">
        <f t="array" ref="CJ80">INDEX(CI:CI,MIN(IF(ISNUMBER(CI80:CI276),ROW(CI80:CI276),"")))</f>
        <v>0</v>
      </c>
      <c r="CK80" s="33">
        <f t="shared" si="74"/>
        <v>0</v>
      </c>
      <c r="CL80" s="38" t="e">
        <f>CK80*VLOOKUP('Données projet'!$B$14,Paramètres!$A$1:$I$88,3,0)*VLOOKUP('Données projet'!$B$14,Paramètres!$A$1:$I$88,5,0)</f>
        <v>#N/A</v>
      </c>
      <c r="CM80" s="34" t="e">
        <f t="shared" si="75"/>
        <v>#N/A</v>
      </c>
      <c r="CN80" s="44" t="e">
        <f t="shared" si="52"/>
        <v>#N/A</v>
      </c>
      <c r="CO80" s="36">
        <f>IF(ISNA(VLOOKUP(A80,'Données projet'!$A$165:$I$185,3,0)),0,VLOOKUP(A80,'Données projet'!$A$165:$I$185,3,0))</f>
        <v>0</v>
      </c>
      <c r="CP80" s="36">
        <f>IF(ISNA(VLOOKUP(A80,'Données projet'!$A$165:$I$185,4,0)),0,VLOOKUP(A80,'Données projet'!$A$165:$I$185,4,0))</f>
        <v>0</v>
      </c>
      <c r="CQ80" s="37">
        <f>IF(ISNA(VLOOKUP(A80,'Données projet'!$A$165:$I$185,5,0)),0%,VLOOKUP(A80,'Données projet'!$A$165:$I$185,5,0)*VLOOKUP('Données projet'!$B$14,Paramètres!$A$1:$I$88,7,0))</f>
        <v>0</v>
      </c>
      <c r="CR80" s="37">
        <f>IF(ISNA(VLOOKUP(A80,'Données projet'!$A$165:$I$185,6,0)),0%,VLOOKUP(A80,'Données projet'!$A$165:$I$185,6,0)*VLOOKUP('Données projet'!$B$14,Paramètres!$A$1:$I$88,7,0))</f>
        <v>0</v>
      </c>
      <c r="CS80" s="37">
        <f>IF(ISNA(VLOOKUP(A80,'Données projet'!$A$165:$I$185,7,0)),0%,VLOOKUP(A80,'Données projet'!$A$165:$I$185,7,0))</f>
        <v>0</v>
      </c>
      <c r="CT80" s="45">
        <f>EXP(-LN(2)/35)*CT79+(1-EXP(-LN(2)/35))/(LN(2)/35)*CP80*CQ80*VLOOKUP('Données projet'!$B$9,Paramètres!$A$1:$I$88,3,0)*0.475*44/12</f>
        <v>0</v>
      </c>
      <c r="CU80" s="45">
        <f>EXP(-LN(2)/25)*CU79+(1-EXP(-LN(2)/25))/(LN(2)/25)*Calculateur!CP80*Calculateur!CR80*VLOOKUP('Données projet'!$B$9,Paramètres!$A$1:$I$88,3,0)*0.475*44/12</f>
        <v>0</v>
      </c>
      <c r="CV80" s="45">
        <f>EXP(-LN(2)/2)*CV79+(1-EXP(-LN(2)/2))/(LN(2)/2)*CP80*CS80*VLOOKUP('Données projet'!$B$9,Paramètres!$A$1:$I$88,3,0)*0.475*44/12</f>
        <v>0</v>
      </c>
      <c r="CW80" s="46">
        <f t="shared" si="53"/>
        <v>0</v>
      </c>
      <c r="CX80" s="32" t="e">
        <f>VLOOKUP(A80,'Données projet'!$A$191:$I$211,2,0)</f>
        <v>#N/A</v>
      </c>
      <c r="CY80" s="33" t="e">
        <f>VLOOKUP(A80,'Données projet'!$A$191:$I$211,9,0)</f>
        <v>#N/A</v>
      </c>
      <c r="CZ80" s="33">
        <f t="array" ref="CZ80">INDEX(CY:CY,MIN(IF(ISNUMBER(CY80:CY276),ROW(CY80:CY276),"")))</f>
        <v>0</v>
      </c>
      <c r="DA80" s="33">
        <f t="shared" si="76"/>
        <v>0</v>
      </c>
      <c r="DB80" s="38" t="e">
        <f>DA80*VLOOKUP('Données projet'!$B$15,Paramètres!$A$1:$I$88,3,0)*VLOOKUP('Données projet'!$B$15,Paramètres!$A$1:$I$88,5,0)</f>
        <v>#N/A</v>
      </c>
      <c r="DC80" s="34" t="e">
        <f t="shared" si="77"/>
        <v>#N/A</v>
      </c>
      <c r="DD80" s="44" t="e">
        <f t="shared" si="54"/>
        <v>#N/A</v>
      </c>
      <c r="DE80" s="36">
        <f>IF(ISNA(VLOOKUP(A80,'Données projet'!$A$191:$I$211,3,0)),0,VLOOKUP(A80,'Données projet'!$A$191:$I$211,3,0))</f>
        <v>0</v>
      </c>
      <c r="DF80" s="36">
        <f>IF(ISNA(VLOOKUP(A80,'Données projet'!$A$191:$I$211,4,0)),0,VLOOKUP(A80,'Données projet'!$A$191:$I$211,4,0))</f>
        <v>0</v>
      </c>
      <c r="DG80" s="37">
        <f>IF(ISNA(VLOOKUP(A80,'Données projet'!$A$191:$I$211,5,0)),0%,VLOOKUP(A80,'Données projet'!$A$191:$I$211,5,0)*VLOOKUP('Données projet'!$B$15,Paramètres!$A$1:$I$88,7,0))</f>
        <v>0</v>
      </c>
      <c r="DH80" s="37">
        <f>IF(ISNA(VLOOKUP(A80,'Données projet'!$A$191:$I$211,6,0)),0%,VLOOKUP(A80,'Données projet'!$A$191:$I$211,6,0)*VLOOKUP('Données projet'!$B$15,Paramètres!$A$1:$I$88,7,0))</f>
        <v>0</v>
      </c>
      <c r="DI80" s="37">
        <f>IF(ISNA(VLOOKUP(A80,'Données projet'!$A$191:$I$211,7,0)),0%,VLOOKUP(A80,'Données projet'!$A$191:$I$211,7,0))</f>
        <v>0</v>
      </c>
      <c r="DJ80" s="45">
        <f>EXP(-LN(2)/35)*DJ79+(1-EXP(-LN(2)/35))/(LN(2)/35)*DF80*DG80*VLOOKUP('Données projet'!$B$9,Paramètres!$A$1:$I$88,3,0)*0.475*44/12</f>
        <v>0</v>
      </c>
      <c r="DK80" s="45">
        <f>EXP(-LN(2)/25)*DK79+(1-EXP(-LN(2)/25))/(LN(2)/25)*Calculateur!DF80*Calculateur!DH80*VLOOKUP('Données projet'!$B$9,Paramètres!$A$1:$I$88,3,0)*0.475*44/12</f>
        <v>0</v>
      </c>
      <c r="DL80" s="45">
        <f>EXP(-LN(2)/2)*DL79+(1-EXP(-LN(2)/2))/(LN(2)/2)*DF80*DI80*VLOOKUP('Données projet'!$B$9,Paramètres!$A$1:$I$88,3,0)*0.475*44/12</f>
        <v>0</v>
      </c>
      <c r="DM80" s="46">
        <f t="shared" si="55"/>
        <v>0</v>
      </c>
      <c r="DN80" s="32" t="e">
        <f>VLOOKUP(A80,'Données projet'!$A$217:$I$237,2,0)</f>
        <v>#N/A</v>
      </c>
      <c r="DO80" s="33" t="e">
        <f>VLOOKUP(A80,'Données projet'!$A$217:$I$237,9,0)</f>
        <v>#N/A</v>
      </c>
      <c r="DP80" s="33">
        <f t="array" ref="DP80">INDEX(DO:DO,MIN(IF(ISNUMBER(DO80:DO276),ROW(DO80:DO276),"")))</f>
        <v>0</v>
      </c>
      <c r="DQ80" s="33">
        <f t="shared" si="78"/>
        <v>0</v>
      </c>
      <c r="DR80" s="38" t="e">
        <f>DQ80*VLOOKUP('Données projet'!$B$16,Paramètres!$A$1:$I$88,3,0)*VLOOKUP('Données projet'!$B$16,Paramètres!$A$1:$I$88,5,0)</f>
        <v>#N/A</v>
      </c>
      <c r="DS80" s="34" t="e">
        <f t="shared" si="79"/>
        <v>#N/A</v>
      </c>
      <c r="DT80" s="44" t="e">
        <f t="shared" si="56"/>
        <v>#N/A</v>
      </c>
      <c r="DU80" s="36">
        <f>IF(ISNA(VLOOKUP(A80,'Données projet'!$A$217:$I$237,3,0)),0,VLOOKUP(A80,'Données projet'!$A$217:$I$237,3,0))</f>
        <v>0</v>
      </c>
      <c r="DV80" s="36">
        <f>IF(ISNA(VLOOKUP(A80,'Données projet'!$A$217:$I$237,4,0)),0,VLOOKUP(A80,'Données projet'!$A$217:$I$237,4,0))</f>
        <v>0</v>
      </c>
      <c r="DW80" s="37">
        <f>IF(ISNA(VLOOKUP(A80,'Données projet'!$A$217:$I$237,5,0)),0%,VLOOKUP(A80,'Données projet'!$A$217:$I$237,5,0)*VLOOKUP('Données projet'!$B$16,Paramètres!$A$1:$I$88,7,0))</f>
        <v>0</v>
      </c>
      <c r="DX80" s="37">
        <f>IF(ISNA(VLOOKUP(A80,'Données projet'!$A$217:$I$237,6,0)),0%,VLOOKUP(A80,'Données projet'!$A$217:$I$237,6,0)*VLOOKUP('Données projet'!$B$16,Paramètres!$A$1:$I$88,7,0))</f>
        <v>0</v>
      </c>
      <c r="DY80" s="37">
        <f>IF(ISNA(VLOOKUP(A80,'Données projet'!$A$217:$I$237,7,0)),0%,VLOOKUP(A80,'Données projet'!$A$217:$I$237,7,0))</f>
        <v>0</v>
      </c>
      <c r="DZ80" s="45">
        <f>EXP(-LN(2)/35)*DZ79+(1-EXP(-LN(2)/35))/(LN(2)/35)*DV80*DW80*VLOOKUP('Données projet'!$B$9,Paramètres!$A$1:$I$88,3,0)*0.475*44/12</f>
        <v>0</v>
      </c>
      <c r="EA80" s="45">
        <f>EXP(-LN(2)/25)*EA79+(1-EXP(-LN(2)/25))/(LN(2)/25)*Calculateur!DV80*Calculateur!DX80*VLOOKUP('Données projet'!$B$9,Paramètres!$A$1:$I$88,3,0)*0.475*44/12</f>
        <v>0</v>
      </c>
      <c r="EB80" s="45">
        <f>EXP(-LN(2)/2)*EB79+(1-EXP(-LN(2)/2))/(LN(2)/2)*DV80*DY80*VLOOKUP('Données projet'!$B$9,Paramètres!$A$1:$I$88,3,0)*0.475*44/12</f>
        <v>0</v>
      </c>
      <c r="EC80" s="46">
        <f t="shared" si="57"/>
        <v>0</v>
      </c>
      <c r="ED80" s="32" t="e">
        <f>VLOOKUP(A80,'Données projet'!$A$243:$I$263,2,0)</f>
        <v>#N/A</v>
      </c>
      <c r="EE80" s="33" t="e">
        <f>VLOOKUP(A80,'Données projet'!$A$243:$I$263,9,0)</f>
        <v>#N/A</v>
      </c>
      <c r="EF80" s="33">
        <f t="array" ref="EF80">INDEX(EE:EE,MIN(IF(ISNUMBER(EE80:EE276),ROW(EE80:EE276),"")))</f>
        <v>0</v>
      </c>
      <c r="EG80" s="33">
        <f t="shared" si="80"/>
        <v>0</v>
      </c>
      <c r="EH80" s="38" t="e">
        <f>EG80*VLOOKUP('Données projet'!$B$17,Paramètres!$A$1:$I$88,3,0)*VLOOKUP('Données projet'!$B$17,Paramètres!$A$1:$I$88,5,0)</f>
        <v>#N/A</v>
      </c>
      <c r="EI80" s="34" t="e">
        <f t="shared" si="81"/>
        <v>#N/A</v>
      </c>
      <c r="EJ80" s="44" t="e">
        <f t="shared" si="58"/>
        <v>#N/A</v>
      </c>
      <c r="EK80" s="36">
        <f>IF(ISNA(VLOOKUP(A80,'Données projet'!$A$243:$I$263,3,0)),0,VLOOKUP(A80,'Données projet'!$A$243:$I$263,3,0))</f>
        <v>0</v>
      </c>
      <c r="EL80" s="36">
        <f>IF(ISNA(VLOOKUP(A80,'Données projet'!$A$243:$I$263,4,0)),0,VLOOKUP(A80,'Données projet'!$A$243:$I$263,4,0))</f>
        <v>0</v>
      </c>
      <c r="EM80" s="37">
        <f>IF(ISNA(VLOOKUP(A80,'Données projet'!$A$243:$I$263,5,0)),0%,VLOOKUP(A80,'Données projet'!$A$243:$I$263,5,0)*VLOOKUP('Données projet'!$B$17,Paramètres!$A$1:$I$88,7,0))</f>
        <v>0</v>
      </c>
      <c r="EN80" s="37">
        <f>IF(ISNA(VLOOKUP(A80,'Données projet'!$A$243:$I$263,6,0)),0%,VLOOKUP(A80,'Données projet'!$A$243:$I$263,6,0)*VLOOKUP('Données projet'!$B$17,Paramètres!$A$1:$I$88,7,0))</f>
        <v>0</v>
      </c>
      <c r="EO80" s="37">
        <f>IF(ISNA(VLOOKUP(A80,'Données projet'!$A$243:$I$263,7,0)),0%,VLOOKUP(A80,'Données projet'!$A$243:$I$263,7,0))</f>
        <v>0</v>
      </c>
      <c r="EP80" s="45">
        <f>EXP(-LN(2)/35)*EP79+(1-EXP(-LN(2)/35))/(LN(2)/35)*EL80*EM80*VLOOKUP('Données projet'!$B$9,Paramètres!$A$1:$I$88,3,0)*0.475*44/12</f>
        <v>0</v>
      </c>
      <c r="EQ80" s="45">
        <f>EXP(-LN(2)/25)*EQ79+(1-EXP(-LN(2)/25))/(LN(2)/25)*Calculateur!EL80*Calculateur!EN80*VLOOKUP('Données projet'!$B$9,Paramètres!$A$1:$I$88,3,0)*0.475*44/12</f>
        <v>0</v>
      </c>
      <c r="ER80" s="45">
        <f>EXP(-LN(2)/2)*ER79+(1-EXP(-LN(2)/2))/(LN(2)/2)*EL80*EO80*VLOOKUP('Données projet'!$B$9,Paramètres!$A$1:$I$88,3,0)*0.475*44/12</f>
        <v>0</v>
      </c>
      <c r="ES80" s="46">
        <f t="shared" si="59"/>
        <v>0</v>
      </c>
      <c r="ET80" s="32" t="e">
        <f>VLOOKUP(A80,'Données projet'!$A$269:$I$289,2,0)</f>
        <v>#N/A</v>
      </c>
      <c r="EU80" s="33" t="e">
        <f>VLOOKUP(A80,'Données projet'!$A$269:$I$289,9,0)</f>
        <v>#N/A</v>
      </c>
      <c r="EV80" s="33">
        <f t="array" ref="EV80">INDEX(EU:EU,MIN(IF(ISNUMBER(EU80:EU276),ROW(EU80:EU276),"")))</f>
        <v>0</v>
      </c>
      <c r="EW80" s="33">
        <f t="shared" si="82"/>
        <v>0</v>
      </c>
      <c r="EX80" s="38" t="e">
        <f>EW80*VLOOKUP('Données projet'!$B$18,Paramètres!$A$1:$I$88,3,0)*VLOOKUP('Données projet'!$B$18,Paramètres!$A$1:$I$88,5,0)</f>
        <v>#N/A</v>
      </c>
      <c r="EY80" s="34" t="e">
        <f t="shared" si="83"/>
        <v>#N/A</v>
      </c>
      <c r="EZ80" s="44" t="e">
        <f t="shared" si="60"/>
        <v>#N/A</v>
      </c>
      <c r="FA80" s="36">
        <f>IF(ISNA(VLOOKUP(A80,'Données projet'!$A$269:$I$289,3,0)),0,VLOOKUP(A80,'Données projet'!$A$269:$I$289,3,0))</f>
        <v>0</v>
      </c>
      <c r="FB80" s="36">
        <f>IF(ISNA(VLOOKUP(A80,'Données projet'!$A$269:$I$289,4,0)),0,VLOOKUP(A80,'Données projet'!$A$269:$I$289,4,0))</f>
        <v>0</v>
      </c>
      <c r="FC80" s="37">
        <f>IF(ISNA(VLOOKUP(A80,'Données projet'!$A$269:$I$289,5,0)),0%,VLOOKUP(A80,'Données projet'!$A$269:$I$289,5,0)*VLOOKUP('Données projet'!$B$18,Paramètres!$A$1:$I$88,7,0))</f>
        <v>0</v>
      </c>
      <c r="FD80" s="37">
        <f>IF(ISNA(VLOOKUP(A80,'Données projet'!$A$269:$I$289,6,0)),0%,VLOOKUP(A80,'Données projet'!$A$269:$I$289,6,0)*VLOOKUP('Données projet'!$B$18,Paramètres!$A$1:$I$88,7,0))</f>
        <v>0</v>
      </c>
      <c r="FE80" s="37">
        <f>IF(ISNA(VLOOKUP(A80,'Données projet'!$A$269:$I$289,7,0)),0%,VLOOKUP(A80,'Données projet'!$A$269:$I$289,7,0))</f>
        <v>0</v>
      </c>
      <c r="FF80" s="45">
        <f>EXP(-LN(2)/35)*FF79+(1-EXP(-LN(2)/35))/(LN(2)/35)*FB80*FC80*VLOOKUP('Données projet'!$B$9,Paramètres!$A$1:$I$88,3,0)*0.475*44/12</f>
        <v>0</v>
      </c>
      <c r="FG80" s="45">
        <f>EXP(-LN(2)/25)*FG79+(1-EXP(-LN(2)/25))/(LN(2)/25)*Calculateur!FB80*Calculateur!FD80*VLOOKUP('Données projet'!$B$9,Paramètres!$A$1:$I$88,3,0)*0.475*44/12</f>
        <v>0</v>
      </c>
      <c r="FH80" s="45">
        <f>EXP(-LN(2)/2)*FH79+(1-EXP(-LN(2)/2))/(LN(2)/2)*FB80*FE80*VLOOKUP('Données projet'!$B$9,Paramètres!$A$1:$I$88,3,0)*0.475*44/12</f>
        <v>0</v>
      </c>
      <c r="FI80" s="46">
        <f t="shared" si="61"/>
        <v>0</v>
      </c>
    </row>
    <row r="81" spans="1:165" x14ac:dyDescent="0.25">
      <c r="A81" s="24">
        <f t="shared" si="62"/>
        <v>78</v>
      </c>
      <c r="B81" s="25">
        <f>IF('Scénario référence'!$N$1=1,5,0)</f>
        <v>0</v>
      </c>
      <c r="C81" s="40">
        <f>IF(OR('Scénario référence'!$N$1=2,'Scénario référence'!$N$1=4),C80+1*VLOOKUP('Scénario référence'!$G$14,Paramètres!$A$1:$I$88,3,0)*VLOOKUP('Scénario référence'!$G$14,Paramètres!$A$1:$I$88,5,0),IF(OR('Scénario référence'!$N$1=3,'Scénario référence'!$N$1=5),C80+0.5*VLOOKUP('Scénario référence'!$G$14,Paramètres!$A$1:$I$88,3,0)*VLOOKUP('Scénario référence'!$G$14,Paramètres!$A$1:$I$88,5,0),0))</f>
        <v>42.587999999999965</v>
      </c>
      <c r="D81" s="26">
        <f t="shared" si="63"/>
        <v>12.682073764365757</v>
      </c>
      <c r="E81" s="27">
        <f>IF('Scénario référence'!$N$1=1,B81*44/12,(C81+D81)*0.475*44/12)</f>
        <v>96.262045139603629</v>
      </c>
      <c r="F81" s="28" t="e">
        <f>VLOOKUP(A81,'Données projet'!$A$35:$I$55,2,0)</f>
        <v>#N/A</v>
      </c>
      <c r="G81" s="28" t="e">
        <f>VLOOKUP(A81,'Données projet'!$A$35:$I$55,9,0)</f>
        <v>#N/A</v>
      </c>
      <c r="H81" s="33">
        <f t="array" ref="H81">INDEX(G:G,MIN(IF(ISNUMBER(G81:G277),ROW(G81:G277),"")))</f>
        <v>5.9</v>
      </c>
      <c r="I81" s="28">
        <f t="shared" si="64"/>
        <v>248.69999999999987</v>
      </c>
      <c r="J81" s="41">
        <f>I81*VLOOKUP('Données projet'!$B$9,Paramètres!$A$1:$I$88,3,0)*VLOOKUP('Données projet'!$B$9,Paramètres!$A$1:$I$88,5,0)</f>
        <v>252.18179999999987</v>
      </c>
      <c r="K81" s="41">
        <f t="shared" si="65"/>
        <v>61.052903950515969</v>
      </c>
      <c r="L81" s="42">
        <f t="shared" si="42"/>
        <v>545.55044271381507</v>
      </c>
      <c r="M81" s="30">
        <f>IF(ISNA(VLOOKUP(A81,'Données projet'!$A$35:$I$55,3,0)),0,VLOOKUP(A81,'Données projet'!$A$35:$I$55,3,0))</f>
        <v>0</v>
      </c>
      <c r="N81" s="30">
        <f>IF(ISNA(VLOOKUP(A81,'Données projet'!$A$35:$I$55,4,0)),0,VLOOKUP(A81,'Données projet'!$A$35:$I$55,4,0))</f>
        <v>0</v>
      </c>
      <c r="O81" s="31">
        <f>IF(ISNA(VLOOKUP(A81,'Données projet'!$A$35:$I$55,5,0)),0%,VLOOKUP(A81,'Données projet'!$A$35:$I$55,5,0)*VLOOKUP('Données projet'!$B$9,Paramètres!$A$1:$I$88,7,0))</f>
        <v>0</v>
      </c>
      <c r="P81" s="31">
        <f>IF(ISNA(VLOOKUP(A81,'Données projet'!$A$35:$I$55,6,0)),0%,VLOOKUP(A81,'Données projet'!$A$35:$I$55,6,0)*VLOOKUP('Données projet'!$B$9,Paramètres!$A$1:$I$88,7,0))</f>
        <v>0</v>
      </c>
      <c r="Q81" s="31">
        <f>IF(ISNA(VLOOKUP(A81,'Données projet'!$A$35:$I$55,7,0)),0%,VLOOKUP(A81,'Données projet'!$A$35:$I$55,7,0))</f>
        <v>0</v>
      </c>
      <c r="R81" s="43">
        <f>EXP(-LN(2)/35)*R80+(1-EXP(-LN(2)/35))/(LN(2)/35)*N81*O81*VLOOKUP('Données projet'!$B$9,Paramètres!$A$1:$I$88,3,0)*0.475*44/12</f>
        <v>0</v>
      </c>
      <c r="S81" s="43">
        <f>EXP(-LN(2)/25)*S80+(1-EXP(-LN(2)/25))/(LN(2)/25)*Calculateur!N81*Calculateur!P81*VLOOKUP('Données projet'!$B$9,Paramètres!$A$1:$I$88,3,0)*0.475*44/12</f>
        <v>0</v>
      </c>
      <c r="T81" s="43">
        <f>EXP(-LN(2)/2)*T80+(1-EXP(-LN(2)/2))/(LN(2)/2)*N81*Q81*VLOOKUP('Données projet'!$B$9,Paramètres!$A$1:$I$88,3,0)*0.475*44/12</f>
        <v>0</v>
      </c>
      <c r="U81" s="43">
        <f t="shared" si="43"/>
        <v>0</v>
      </c>
      <c r="V81" s="32" t="e">
        <f>VLOOKUP(A81,'Données projet'!$A$61:$I$81,2,0)</f>
        <v>#N/A</v>
      </c>
      <c r="W81" s="33" t="e">
        <f>VLOOKUP(A81,'Données projet'!$A$61:$I$81,9,0)</f>
        <v>#N/A</v>
      </c>
      <c r="X81" s="33">
        <f t="array" ref="X81">INDEX(W:W,MIN(IF(ISNUMBER(W81:W277),ROW(W81:W277),"")))</f>
        <v>0</v>
      </c>
      <c r="Y81" s="33">
        <f t="shared" si="66"/>
        <v>0</v>
      </c>
      <c r="Z81" s="34" t="e">
        <f>Y81*VLOOKUP('Données projet'!$B$10,Paramètres!$A$1:$I$88,3,0)*VLOOKUP('Données projet'!$B$10,Paramètres!$A$1:$I$88,5,0)</f>
        <v>#N/A</v>
      </c>
      <c r="AA81" s="34" t="e">
        <f t="shared" si="67"/>
        <v>#N/A</v>
      </c>
      <c r="AB81" s="44" t="e">
        <f t="shared" si="44"/>
        <v>#N/A</v>
      </c>
      <c r="AC81" s="36">
        <f>IF(ISNA(VLOOKUP(A81,'Données projet'!$A$61:$I$81,3,0)),0,VLOOKUP(A81,'Données projet'!$A$61:$I$81,3,0))</f>
        <v>0</v>
      </c>
      <c r="AD81" s="36">
        <f>IF(ISNA(VLOOKUP(A81,'Données projet'!$A$61:$I$81,4,0)),0,VLOOKUP(A81,'Données projet'!$A$61:$I$81,4,0))</f>
        <v>0</v>
      </c>
      <c r="AE81" s="37">
        <f>IF(ISNA(VLOOKUP(A81,'Données projet'!$A$61:$I$81,5,0)),0%,VLOOKUP(A81,'Données projet'!$A$61:$I$81,5,0)*VLOOKUP('Données projet'!$B$10,Paramètres!$A$1:$I$88,7,0))</f>
        <v>0</v>
      </c>
      <c r="AF81" s="37">
        <f>IF(ISNA(VLOOKUP(A81,'Données projet'!$A$61:$I$81,6,0)),0%,VLOOKUP(A81,'Données projet'!$A$61:$I$81,6,0)*VLOOKUP('Données projet'!$B$10,Paramètres!$A$1:$I$88,7,0))</f>
        <v>0</v>
      </c>
      <c r="AG81" s="37">
        <f>IF(ISNA(VLOOKUP(A81,'Données projet'!$A$61:$I$81,7,0)),0%,VLOOKUP(A81,'Données projet'!$A$61:$I$81,7,0))</f>
        <v>0</v>
      </c>
      <c r="AH81" s="45">
        <f>EXP(-LN(2)/35)*AH80+(1-EXP(-LN(2)/35))/(LN(2)/35)*AD81*AE81*VLOOKUP('Données projet'!$B$9,Paramètres!$A$1:$I$88,3,0)*0.475*44/12</f>
        <v>0</v>
      </c>
      <c r="AI81" s="45">
        <f>EXP(-LN(2)/25)*AI80+(1-EXP(-LN(2)/25))/(LN(2)/25)*Calculateur!AD81*Calculateur!AF81*VLOOKUP('Données projet'!$B$9,Paramètres!$A$1:$I$88,3,0)*0.475*44/12</f>
        <v>0</v>
      </c>
      <c r="AJ81" s="45">
        <f>EXP(-LN(2)/2)*AJ80+(1-EXP(-LN(2)/2))/(LN(2)/2)*AD81*AG81*VLOOKUP('Données projet'!$B$9,Paramètres!$A$1:$I$88,3,0)*0.475*44/12</f>
        <v>0</v>
      </c>
      <c r="AK81" s="45">
        <f t="shared" si="45"/>
        <v>0</v>
      </c>
      <c r="AL81" s="32" t="e">
        <f>VLOOKUP(A81,'Données projet'!$A$87:$I$107,2,0)</f>
        <v>#N/A</v>
      </c>
      <c r="AM81" s="33" t="e">
        <f>VLOOKUP(A81,'Données projet'!$A$87:$I$107,9,0)</f>
        <v>#N/A</v>
      </c>
      <c r="AN81" s="33">
        <f t="array" ref="AN81">INDEX(AM:AM,MIN(IF(ISNUMBER(AM81:AM277),ROW(AM81:AM277),"")))</f>
        <v>0</v>
      </c>
      <c r="AO81" s="33">
        <f t="shared" si="68"/>
        <v>0</v>
      </c>
      <c r="AP81" s="34" t="e">
        <f>AO81*VLOOKUP('Données projet'!$B$11,Paramètres!$A$1:$I$88,3,0)*VLOOKUP('Données projet'!$B$11,Paramètres!$A$1:$I$88,5,0)</f>
        <v>#N/A</v>
      </c>
      <c r="AQ81" s="34" t="e">
        <f t="shared" si="69"/>
        <v>#N/A</v>
      </c>
      <c r="AR81" s="44" t="e">
        <f t="shared" si="46"/>
        <v>#N/A</v>
      </c>
      <c r="AS81" s="36">
        <f>IF(ISNA(VLOOKUP(A81,'Données projet'!$A$87:$I$107,3,0)),0,VLOOKUP(A81,'Données projet'!$A$87:$I$107,3,0))</f>
        <v>0</v>
      </c>
      <c r="AT81" s="36">
        <f>IF(ISNA(VLOOKUP(A81,'Données projet'!$A$87:$I$107,4,0)),0,VLOOKUP(A81,'Données projet'!$A$87:$I$107,4,0))</f>
        <v>0</v>
      </c>
      <c r="AU81" s="37">
        <f>IF(ISNA(VLOOKUP(A81,'Données projet'!$A$87:$I$107,5,0)),0%,VLOOKUP(A81,'Données projet'!$A$87:$I$107,5,0)*VLOOKUP('Données projet'!$B$11,Paramètres!$A$1:$I$88,7,0))</f>
        <v>0</v>
      </c>
      <c r="AV81" s="37">
        <f>IF(ISNA(VLOOKUP(A81,'Données projet'!$A$87:$I$107,6,0)),0%,VLOOKUP(A81,'Données projet'!$A$87:$I$107,6,0)*VLOOKUP('Données projet'!$B$11,Paramètres!$A$1:$I$88,7,0))</f>
        <v>0</v>
      </c>
      <c r="AW81" s="37">
        <f>IF(ISNA(VLOOKUP(A81,'Données projet'!$A$87:$I$107,7,0)),0%,VLOOKUP(A81,'Données projet'!$A$87:$I$107,7,0))</f>
        <v>0</v>
      </c>
      <c r="AX81" s="45">
        <f>EXP(-LN(2)/35)*AX80+(1-EXP(-LN(2)/35))/(LN(2)/35)*AT81*AU81*VLOOKUP('Données projet'!$B$9,Paramètres!$A$1:$I$88,3,0)*0.475*44/12</f>
        <v>0</v>
      </c>
      <c r="AY81" s="45">
        <f>EXP(-LN(2)/25)*AY80+(1-EXP(-LN(2)/25))/(LN(2)/25)*Calculateur!AT81*Calculateur!AV81*VLOOKUP('Données projet'!$B$9,Paramètres!$A$1:$I$88,3,0)*0.475*44/12</f>
        <v>0</v>
      </c>
      <c r="AZ81" s="45">
        <f>EXP(-LN(2)/2)*AZ80+(1-EXP(-LN(2)/2))/(LN(2)/2)*AT81*AW81*VLOOKUP('Données projet'!$B$9,Paramètres!$A$1:$I$88,3,0)*0.475*44/12</f>
        <v>0</v>
      </c>
      <c r="BA81" s="46">
        <f t="shared" si="47"/>
        <v>0</v>
      </c>
      <c r="BB81" s="32" t="e">
        <f>VLOOKUP(A81,'Données projet'!$A$113:$I$133,2,0)</f>
        <v>#N/A</v>
      </c>
      <c r="BC81" s="33" t="e">
        <f>VLOOKUP(A81,'Données projet'!$A$113:$I$133,9,0)</f>
        <v>#N/A</v>
      </c>
      <c r="BD81" s="33">
        <f t="array" ref="BD81">INDEX(BC:BC,MIN(IF(ISNUMBER(BC81:BC277),ROW(BC81:BC277),"")))</f>
        <v>0</v>
      </c>
      <c r="BE81" s="33">
        <f t="shared" si="70"/>
        <v>0</v>
      </c>
      <c r="BF81" s="34" t="e">
        <f>BE81*VLOOKUP('Données projet'!$B$12,Paramètres!$A$1:$I$88,3,0)*VLOOKUP('Données projet'!$B$12,Paramètres!$A$1:$I$88,5,0)</f>
        <v>#N/A</v>
      </c>
      <c r="BG81" s="34" t="e">
        <f t="shared" si="71"/>
        <v>#N/A</v>
      </c>
      <c r="BH81" s="44" t="e">
        <f t="shared" si="48"/>
        <v>#N/A</v>
      </c>
      <c r="BI81" s="36">
        <f>IF(ISNA(VLOOKUP(A81,'Données projet'!$A$113:$I$133,3,0)),0,VLOOKUP(A81,'Données projet'!$A$113:$I$133,3,0))</f>
        <v>0</v>
      </c>
      <c r="BJ81" s="36">
        <f>IF(ISNA(VLOOKUP(A81,'Données projet'!$A$113:$I$133,4,0)),0,VLOOKUP(A81,'Données projet'!$A$113:$I$133,4,0))</f>
        <v>0</v>
      </c>
      <c r="BK81" s="37">
        <f>IF(ISNA(VLOOKUP(A81,'Données projet'!$A$113:$I$133,5,0)),0%,VLOOKUP(A81,'Données projet'!$A$113:$I$133,5,0)*VLOOKUP('Données projet'!$B$12,Paramètres!$A$1:$I$88,7,0))</f>
        <v>0</v>
      </c>
      <c r="BL81" s="37">
        <f>IF(ISNA(VLOOKUP(A81,'Données projet'!$A$113:$I$133,6,0)),0%,VLOOKUP(A81,'Données projet'!$A$113:$I$133,6,0)*VLOOKUP('Données projet'!$B$12,Paramètres!$A$1:$I$88,7,0))</f>
        <v>0</v>
      </c>
      <c r="BM81" s="37">
        <f>IF(ISNA(VLOOKUP(A81,'Données projet'!$A$113:$I$133,7,0)),0%,VLOOKUP(A81,'Données projet'!$A$113:$I$133,7,0))</f>
        <v>0</v>
      </c>
      <c r="BN81" s="45">
        <f>EXP(-LN(2)/35)*BN80+(1-EXP(-LN(2)/35))/(LN(2)/35)*BJ81*BK81*VLOOKUP('Données projet'!$B$9,Paramètres!$A$1:$I$88,3,0)*0.475*44/12</f>
        <v>0</v>
      </c>
      <c r="BO81" s="45">
        <f>EXP(-LN(2)/25)*BO80+(1-EXP(-LN(2)/25))/(LN(2)/25)*Calculateur!BJ81*Calculateur!BL81*VLOOKUP('Données projet'!$B$9,Paramètres!$A$1:$I$88,3,0)*0.475*44/12</f>
        <v>0</v>
      </c>
      <c r="BP81" s="45">
        <f>EXP(-LN(2)/2)*BP80+(1-EXP(-LN(2)/2))/(LN(2)/2)*BJ81*BM81*VLOOKUP('Données projet'!$B$9,Paramètres!$A$1:$I$88,3,0)*0.475*44/12</f>
        <v>0</v>
      </c>
      <c r="BQ81" s="46">
        <f t="shared" si="49"/>
        <v>0</v>
      </c>
      <c r="BR81" s="32" t="e">
        <f>VLOOKUP(A81,'Données projet'!$A$139:$I$159,2,0)</f>
        <v>#N/A</v>
      </c>
      <c r="BS81" s="33" t="e">
        <f>VLOOKUP(A81,'Données projet'!$A$139:$I$159,9,0)</f>
        <v>#N/A</v>
      </c>
      <c r="BT81" s="33">
        <f t="array" ref="BT81">INDEX(BS:BS,MIN(IF(ISNUMBER(BS81:BS277),ROW(BS81:BS277),"")))</f>
        <v>0</v>
      </c>
      <c r="BU81" s="33">
        <f t="shared" si="72"/>
        <v>0</v>
      </c>
      <c r="BV81" s="38" t="e">
        <f>BU81*VLOOKUP('Données projet'!$B$13,Paramètres!$A$1:$I$88,3,0)*VLOOKUP('Données projet'!$B$13,Paramètres!$A$1:$I$88,5,0)</f>
        <v>#N/A</v>
      </c>
      <c r="BW81" s="34" t="e">
        <f t="shared" si="73"/>
        <v>#N/A</v>
      </c>
      <c r="BX81" s="44" t="e">
        <f t="shared" si="50"/>
        <v>#N/A</v>
      </c>
      <c r="BY81" s="36">
        <f>IF(ISNA(VLOOKUP(A81,'Données projet'!$A$139:$I$159,3,0)),0,VLOOKUP(A81,'Données projet'!$A$139:$I$159,3,0))</f>
        <v>0</v>
      </c>
      <c r="BZ81" s="36">
        <f>IF(ISNA(VLOOKUP(A81,'Données projet'!$A$139:$I$159,4,0)),0,VLOOKUP(A81,'Données projet'!$A$139:$I$159,4,0))</f>
        <v>0</v>
      </c>
      <c r="CA81" s="37">
        <f>IF(ISNA(VLOOKUP(A81,'Données projet'!$A$139:$I$159,5,0)),0%,VLOOKUP(A81,'Données projet'!$A$139:$I$159,5,0)*VLOOKUP('Données projet'!$B$13,Paramètres!$A$1:$I$88,7,0))</f>
        <v>0</v>
      </c>
      <c r="CB81" s="37">
        <f>IF(ISNA(VLOOKUP(A81,'Données projet'!$A$139:$I$159,6,0)),0%,VLOOKUP(A81,'Données projet'!$A$139:$I$159,6,0)*VLOOKUP('Données projet'!$B$13,Paramètres!$A$1:$I$88,7,0))</f>
        <v>0</v>
      </c>
      <c r="CC81" s="37">
        <f>IF(ISNA(VLOOKUP(A81,'Données projet'!$A$139:$I$159,7,0)),0%,VLOOKUP(A81,'Données projet'!$A$139:$I$159,7,0))</f>
        <v>0</v>
      </c>
      <c r="CD81" s="45">
        <f>EXP(-LN(2)/35)*CD80+(1-EXP(-LN(2)/35))/(LN(2)/35)*BZ81*CA81*VLOOKUP('Données projet'!$B$9,Paramètres!$A$1:$I$88,3,0)*0.475*44/12</f>
        <v>0</v>
      </c>
      <c r="CE81" s="45">
        <f>EXP(-LN(2)/25)*CE80+(1-EXP(-LN(2)/25))/(LN(2)/25)*Calculateur!BZ81*Calculateur!CB81*VLOOKUP('Données projet'!$B$9,Paramètres!$A$1:$I$88,3,0)*0.475*44/12</f>
        <v>0</v>
      </c>
      <c r="CF81" s="45">
        <f>EXP(-LN(2)/2)*CF80+(1-EXP(-LN(2)/2))/(LN(2)/2)*BZ81*CC81*VLOOKUP('Données projet'!$B$9,Paramètres!$A$1:$I$88,3,0)*0.475*44/12</f>
        <v>0</v>
      </c>
      <c r="CG81" s="46">
        <f t="shared" si="51"/>
        <v>0</v>
      </c>
      <c r="CH81" s="32" t="e">
        <f>VLOOKUP(A81,'Données projet'!$A$165:$I$185,2,0)</f>
        <v>#N/A</v>
      </c>
      <c r="CI81" s="33" t="e">
        <f>VLOOKUP(A81,'Données projet'!$A$165:$I$185,9,0)</f>
        <v>#N/A</v>
      </c>
      <c r="CJ81" s="33">
        <f t="array" ref="CJ81">INDEX(CI:CI,MIN(IF(ISNUMBER(CI81:CI277),ROW(CI81:CI277),"")))</f>
        <v>0</v>
      </c>
      <c r="CK81" s="33">
        <f t="shared" si="74"/>
        <v>0</v>
      </c>
      <c r="CL81" s="38" t="e">
        <f>CK81*VLOOKUP('Données projet'!$B$14,Paramètres!$A$1:$I$88,3,0)*VLOOKUP('Données projet'!$B$14,Paramètres!$A$1:$I$88,5,0)</f>
        <v>#N/A</v>
      </c>
      <c r="CM81" s="34" t="e">
        <f t="shared" si="75"/>
        <v>#N/A</v>
      </c>
      <c r="CN81" s="44" t="e">
        <f t="shared" si="52"/>
        <v>#N/A</v>
      </c>
      <c r="CO81" s="36">
        <f>IF(ISNA(VLOOKUP(A81,'Données projet'!$A$165:$I$185,3,0)),0,VLOOKUP(A81,'Données projet'!$A$165:$I$185,3,0))</f>
        <v>0</v>
      </c>
      <c r="CP81" s="36">
        <f>IF(ISNA(VLOOKUP(A81,'Données projet'!$A$165:$I$185,4,0)),0,VLOOKUP(A81,'Données projet'!$A$165:$I$185,4,0))</f>
        <v>0</v>
      </c>
      <c r="CQ81" s="37">
        <f>IF(ISNA(VLOOKUP(A81,'Données projet'!$A$165:$I$185,5,0)),0%,VLOOKUP(A81,'Données projet'!$A$165:$I$185,5,0)*VLOOKUP('Données projet'!$B$14,Paramètres!$A$1:$I$88,7,0))</f>
        <v>0</v>
      </c>
      <c r="CR81" s="37">
        <f>IF(ISNA(VLOOKUP(A81,'Données projet'!$A$165:$I$185,6,0)),0%,VLOOKUP(A81,'Données projet'!$A$165:$I$185,6,0)*VLOOKUP('Données projet'!$B$14,Paramètres!$A$1:$I$88,7,0))</f>
        <v>0</v>
      </c>
      <c r="CS81" s="37">
        <f>IF(ISNA(VLOOKUP(A81,'Données projet'!$A$165:$I$185,7,0)),0%,VLOOKUP(A81,'Données projet'!$A$165:$I$185,7,0))</f>
        <v>0</v>
      </c>
      <c r="CT81" s="45">
        <f>EXP(-LN(2)/35)*CT80+(1-EXP(-LN(2)/35))/(LN(2)/35)*CP81*CQ81*VLOOKUP('Données projet'!$B$9,Paramètres!$A$1:$I$88,3,0)*0.475*44/12</f>
        <v>0</v>
      </c>
      <c r="CU81" s="45">
        <f>EXP(-LN(2)/25)*CU80+(1-EXP(-LN(2)/25))/(LN(2)/25)*Calculateur!CP81*Calculateur!CR81*VLOOKUP('Données projet'!$B$9,Paramètres!$A$1:$I$88,3,0)*0.475*44/12</f>
        <v>0</v>
      </c>
      <c r="CV81" s="45">
        <f>EXP(-LN(2)/2)*CV80+(1-EXP(-LN(2)/2))/(LN(2)/2)*CP81*CS81*VLOOKUP('Données projet'!$B$9,Paramètres!$A$1:$I$88,3,0)*0.475*44/12</f>
        <v>0</v>
      </c>
      <c r="CW81" s="46">
        <f t="shared" si="53"/>
        <v>0</v>
      </c>
      <c r="CX81" s="32" t="e">
        <f>VLOOKUP(A81,'Données projet'!$A$191:$I$211,2,0)</f>
        <v>#N/A</v>
      </c>
      <c r="CY81" s="33" t="e">
        <f>VLOOKUP(A81,'Données projet'!$A$191:$I$211,9,0)</f>
        <v>#N/A</v>
      </c>
      <c r="CZ81" s="33">
        <f t="array" ref="CZ81">INDEX(CY:CY,MIN(IF(ISNUMBER(CY81:CY277),ROW(CY81:CY277),"")))</f>
        <v>0</v>
      </c>
      <c r="DA81" s="33">
        <f t="shared" si="76"/>
        <v>0</v>
      </c>
      <c r="DB81" s="38" t="e">
        <f>DA81*VLOOKUP('Données projet'!$B$15,Paramètres!$A$1:$I$88,3,0)*VLOOKUP('Données projet'!$B$15,Paramètres!$A$1:$I$88,5,0)</f>
        <v>#N/A</v>
      </c>
      <c r="DC81" s="34" t="e">
        <f t="shared" si="77"/>
        <v>#N/A</v>
      </c>
      <c r="DD81" s="44" t="e">
        <f t="shared" si="54"/>
        <v>#N/A</v>
      </c>
      <c r="DE81" s="36">
        <f>IF(ISNA(VLOOKUP(A81,'Données projet'!$A$191:$I$211,3,0)),0,VLOOKUP(A81,'Données projet'!$A$191:$I$211,3,0))</f>
        <v>0</v>
      </c>
      <c r="DF81" s="36">
        <f>IF(ISNA(VLOOKUP(A81,'Données projet'!$A$191:$I$211,4,0)),0,VLOOKUP(A81,'Données projet'!$A$191:$I$211,4,0))</f>
        <v>0</v>
      </c>
      <c r="DG81" s="37">
        <f>IF(ISNA(VLOOKUP(A81,'Données projet'!$A$191:$I$211,5,0)),0%,VLOOKUP(A81,'Données projet'!$A$191:$I$211,5,0)*VLOOKUP('Données projet'!$B$15,Paramètres!$A$1:$I$88,7,0))</f>
        <v>0</v>
      </c>
      <c r="DH81" s="37">
        <f>IF(ISNA(VLOOKUP(A81,'Données projet'!$A$191:$I$211,6,0)),0%,VLOOKUP(A81,'Données projet'!$A$191:$I$211,6,0)*VLOOKUP('Données projet'!$B$15,Paramètres!$A$1:$I$88,7,0))</f>
        <v>0</v>
      </c>
      <c r="DI81" s="37">
        <f>IF(ISNA(VLOOKUP(A81,'Données projet'!$A$191:$I$211,7,0)),0%,VLOOKUP(A81,'Données projet'!$A$191:$I$211,7,0))</f>
        <v>0</v>
      </c>
      <c r="DJ81" s="45">
        <f>EXP(-LN(2)/35)*DJ80+(1-EXP(-LN(2)/35))/(LN(2)/35)*DF81*DG81*VLOOKUP('Données projet'!$B$9,Paramètres!$A$1:$I$88,3,0)*0.475*44/12</f>
        <v>0</v>
      </c>
      <c r="DK81" s="45">
        <f>EXP(-LN(2)/25)*DK80+(1-EXP(-LN(2)/25))/(LN(2)/25)*Calculateur!DF81*Calculateur!DH81*VLOOKUP('Données projet'!$B$9,Paramètres!$A$1:$I$88,3,0)*0.475*44/12</f>
        <v>0</v>
      </c>
      <c r="DL81" s="45">
        <f>EXP(-LN(2)/2)*DL80+(1-EXP(-LN(2)/2))/(LN(2)/2)*DF81*DI81*VLOOKUP('Données projet'!$B$9,Paramètres!$A$1:$I$88,3,0)*0.475*44/12</f>
        <v>0</v>
      </c>
      <c r="DM81" s="46">
        <f t="shared" si="55"/>
        <v>0</v>
      </c>
      <c r="DN81" s="32" t="e">
        <f>VLOOKUP(A81,'Données projet'!$A$217:$I$237,2,0)</f>
        <v>#N/A</v>
      </c>
      <c r="DO81" s="33" t="e">
        <f>VLOOKUP(A81,'Données projet'!$A$217:$I$237,9,0)</f>
        <v>#N/A</v>
      </c>
      <c r="DP81" s="33">
        <f t="array" ref="DP81">INDEX(DO:DO,MIN(IF(ISNUMBER(DO81:DO277),ROW(DO81:DO277),"")))</f>
        <v>0</v>
      </c>
      <c r="DQ81" s="33">
        <f t="shared" si="78"/>
        <v>0</v>
      </c>
      <c r="DR81" s="38" t="e">
        <f>DQ81*VLOOKUP('Données projet'!$B$16,Paramètres!$A$1:$I$88,3,0)*VLOOKUP('Données projet'!$B$16,Paramètres!$A$1:$I$88,5,0)</f>
        <v>#N/A</v>
      </c>
      <c r="DS81" s="34" t="e">
        <f t="shared" si="79"/>
        <v>#N/A</v>
      </c>
      <c r="DT81" s="44" t="e">
        <f t="shared" si="56"/>
        <v>#N/A</v>
      </c>
      <c r="DU81" s="36">
        <f>IF(ISNA(VLOOKUP(A81,'Données projet'!$A$217:$I$237,3,0)),0,VLOOKUP(A81,'Données projet'!$A$217:$I$237,3,0))</f>
        <v>0</v>
      </c>
      <c r="DV81" s="36">
        <f>IF(ISNA(VLOOKUP(A81,'Données projet'!$A$217:$I$237,4,0)),0,VLOOKUP(A81,'Données projet'!$A$217:$I$237,4,0))</f>
        <v>0</v>
      </c>
      <c r="DW81" s="37">
        <f>IF(ISNA(VLOOKUP(A81,'Données projet'!$A$217:$I$237,5,0)),0%,VLOOKUP(A81,'Données projet'!$A$217:$I$237,5,0)*VLOOKUP('Données projet'!$B$16,Paramètres!$A$1:$I$88,7,0))</f>
        <v>0</v>
      </c>
      <c r="DX81" s="37">
        <f>IF(ISNA(VLOOKUP(A81,'Données projet'!$A$217:$I$237,6,0)),0%,VLOOKUP(A81,'Données projet'!$A$217:$I$237,6,0)*VLOOKUP('Données projet'!$B$16,Paramètres!$A$1:$I$88,7,0))</f>
        <v>0</v>
      </c>
      <c r="DY81" s="37">
        <f>IF(ISNA(VLOOKUP(A81,'Données projet'!$A$217:$I$237,7,0)),0%,VLOOKUP(A81,'Données projet'!$A$217:$I$237,7,0))</f>
        <v>0</v>
      </c>
      <c r="DZ81" s="45">
        <f>EXP(-LN(2)/35)*DZ80+(1-EXP(-LN(2)/35))/(LN(2)/35)*DV81*DW81*VLOOKUP('Données projet'!$B$9,Paramètres!$A$1:$I$88,3,0)*0.475*44/12</f>
        <v>0</v>
      </c>
      <c r="EA81" s="45">
        <f>EXP(-LN(2)/25)*EA80+(1-EXP(-LN(2)/25))/(LN(2)/25)*Calculateur!DV81*Calculateur!DX81*VLOOKUP('Données projet'!$B$9,Paramètres!$A$1:$I$88,3,0)*0.475*44/12</f>
        <v>0</v>
      </c>
      <c r="EB81" s="45">
        <f>EXP(-LN(2)/2)*EB80+(1-EXP(-LN(2)/2))/(LN(2)/2)*DV81*DY81*VLOOKUP('Données projet'!$B$9,Paramètres!$A$1:$I$88,3,0)*0.475*44/12</f>
        <v>0</v>
      </c>
      <c r="EC81" s="46">
        <f t="shared" si="57"/>
        <v>0</v>
      </c>
      <c r="ED81" s="32" t="e">
        <f>VLOOKUP(A81,'Données projet'!$A$243:$I$263,2,0)</f>
        <v>#N/A</v>
      </c>
      <c r="EE81" s="33" t="e">
        <f>VLOOKUP(A81,'Données projet'!$A$243:$I$263,9,0)</f>
        <v>#N/A</v>
      </c>
      <c r="EF81" s="33">
        <f t="array" ref="EF81">INDEX(EE:EE,MIN(IF(ISNUMBER(EE81:EE277),ROW(EE81:EE277),"")))</f>
        <v>0</v>
      </c>
      <c r="EG81" s="33">
        <f t="shared" si="80"/>
        <v>0</v>
      </c>
      <c r="EH81" s="38" t="e">
        <f>EG81*VLOOKUP('Données projet'!$B$17,Paramètres!$A$1:$I$88,3,0)*VLOOKUP('Données projet'!$B$17,Paramètres!$A$1:$I$88,5,0)</f>
        <v>#N/A</v>
      </c>
      <c r="EI81" s="34" t="e">
        <f t="shared" si="81"/>
        <v>#N/A</v>
      </c>
      <c r="EJ81" s="44" t="e">
        <f t="shared" si="58"/>
        <v>#N/A</v>
      </c>
      <c r="EK81" s="36">
        <f>IF(ISNA(VLOOKUP(A81,'Données projet'!$A$243:$I$263,3,0)),0,VLOOKUP(A81,'Données projet'!$A$243:$I$263,3,0))</f>
        <v>0</v>
      </c>
      <c r="EL81" s="36">
        <f>IF(ISNA(VLOOKUP(A81,'Données projet'!$A$243:$I$263,4,0)),0,VLOOKUP(A81,'Données projet'!$A$243:$I$263,4,0))</f>
        <v>0</v>
      </c>
      <c r="EM81" s="37">
        <f>IF(ISNA(VLOOKUP(A81,'Données projet'!$A$243:$I$263,5,0)),0%,VLOOKUP(A81,'Données projet'!$A$243:$I$263,5,0)*VLOOKUP('Données projet'!$B$17,Paramètres!$A$1:$I$88,7,0))</f>
        <v>0</v>
      </c>
      <c r="EN81" s="37">
        <f>IF(ISNA(VLOOKUP(A81,'Données projet'!$A$243:$I$263,6,0)),0%,VLOOKUP(A81,'Données projet'!$A$243:$I$263,6,0)*VLOOKUP('Données projet'!$B$17,Paramètres!$A$1:$I$88,7,0))</f>
        <v>0</v>
      </c>
      <c r="EO81" s="37">
        <f>IF(ISNA(VLOOKUP(A81,'Données projet'!$A$243:$I$263,7,0)),0%,VLOOKUP(A81,'Données projet'!$A$243:$I$263,7,0))</f>
        <v>0</v>
      </c>
      <c r="EP81" s="45">
        <f>EXP(-LN(2)/35)*EP80+(1-EXP(-LN(2)/35))/(LN(2)/35)*EL81*EM81*VLOOKUP('Données projet'!$B$9,Paramètres!$A$1:$I$88,3,0)*0.475*44/12</f>
        <v>0</v>
      </c>
      <c r="EQ81" s="45">
        <f>EXP(-LN(2)/25)*EQ80+(1-EXP(-LN(2)/25))/(LN(2)/25)*Calculateur!EL81*Calculateur!EN81*VLOOKUP('Données projet'!$B$9,Paramètres!$A$1:$I$88,3,0)*0.475*44/12</f>
        <v>0</v>
      </c>
      <c r="ER81" s="45">
        <f>EXP(-LN(2)/2)*ER80+(1-EXP(-LN(2)/2))/(LN(2)/2)*EL81*EO81*VLOOKUP('Données projet'!$B$9,Paramètres!$A$1:$I$88,3,0)*0.475*44/12</f>
        <v>0</v>
      </c>
      <c r="ES81" s="46">
        <f t="shared" si="59"/>
        <v>0</v>
      </c>
      <c r="ET81" s="32" t="e">
        <f>VLOOKUP(A81,'Données projet'!$A$269:$I$289,2,0)</f>
        <v>#N/A</v>
      </c>
      <c r="EU81" s="33" t="e">
        <f>VLOOKUP(A81,'Données projet'!$A$269:$I$289,9,0)</f>
        <v>#N/A</v>
      </c>
      <c r="EV81" s="33">
        <f t="array" ref="EV81">INDEX(EU:EU,MIN(IF(ISNUMBER(EU81:EU277),ROW(EU81:EU277),"")))</f>
        <v>0</v>
      </c>
      <c r="EW81" s="33">
        <f t="shared" si="82"/>
        <v>0</v>
      </c>
      <c r="EX81" s="38" t="e">
        <f>EW81*VLOOKUP('Données projet'!$B$18,Paramètres!$A$1:$I$88,3,0)*VLOOKUP('Données projet'!$B$18,Paramètres!$A$1:$I$88,5,0)</f>
        <v>#N/A</v>
      </c>
      <c r="EY81" s="34" t="e">
        <f t="shared" si="83"/>
        <v>#N/A</v>
      </c>
      <c r="EZ81" s="44" t="e">
        <f t="shared" si="60"/>
        <v>#N/A</v>
      </c>
      <c r="FA81" s="36">
        <f>IF(ISNA(VLOOKUP(A81,'Données projet'!$A$269:$I$289,3,0)),0,VLOOKUP(A81,'Données projet'!$A$269:$I$289,3,0))</f>
        <v>0</v>
      </c>
      <c r="FB81" s="36">
        <f>IF(ISNA(VLOOKUP(A81,'Données projet'!$A$269:$I$289,4,0)),0,VLOOKUP(A81,'Données projet'!$A$269:$I$289,4,0))</f>
        <v>0</v>
      </c>
      <c r="FC81" s="37">
        <f>IF(ISNA(VLOOKUP(A81,'Données projet'!$A$269:$I$289,5,0)),0%,VLOOKUP(A81,'Données projet'!$A$269:$I$289,5,0)*VLOOKUP('Données projet'!$B$18,Paramètres!$A$1:$I$88,7,0))</f>
        <v>0</v>
      </c>
      <c r="FD81" s="37">
        <f>IF(ISNA(VLOOKUP(A81,'Données projet'!$A$269:$I$289,6,0)),0%,VLOOKUP(A81,'Données projet'!$A$269:$I$289,6,0)*VLOOKUP('Données projet'!$B$18,Paramètres!$A$1:$I$88,7,0))</f>
        <v>0</v>
      </c>
      <c r="FE81" s="37">
        <f>IF(ISNA(VLOOKUP(A81,'Données projet'!$A$269:$I$289,7,0)),0%,VLOOKUP(A81,'Données projet'!$A$269:$I$289,7,0))</f>
        <v>0</v>
      </c>
      <c r="FF81" s="45">
        <f>EXP(-LN(2)/35)*FF80+(1-EXP(-LN(2)/35))/(LN(2)/35)*FB81*FC81*VLOOKUP('Données projet'!$B$9,Paramètres!$A$1:$I$88,3,0)*0.475*44/12</f>
        <v>0</v>
      </c>
      <c r="FG81" s="45">
        <f>EXP(-LN(2)/25)*FG80+(1-EXP(-LN(2)/25))/(LN(2)/25)*Calculateur!FB81*Calculateur!FD81*VLOOKUP('Données projet'!$B$9,Paramètres!$A$1:$I$88,3,0)*0.475*44/12</f>
        <v>0</v>
      </c>
      <c r="FH81" s="45">
        <f>EXP(-LN(2)/2)*FH80+(1-EXP(-LN(2)/2))/(LN(2)/2)*FB81*FE81*VLOOKUP('Données projet'!$B$9,Paramètres!$A$1:$I$88,3,0)*0.475*44/12</f>
        <v>0</v>
      </c>
      <c r="FI81" s="46">
        <f t="shared" si="61"/>
        <v>0</v>
      </c>
    </row>
    <row r="82" spans="1:165" x14ac:dyDescent="0.25">
      <c r="A82" s="24">
        <f t="shared" si="62"/>
        <v>79</v>
      </c>
      <c r="B82" s="25">
        <f>IF('Scénario référence'!$N$1=1,5,0)</f>
        <v>0</v>
      </c>
      <c r="C82" s="40">
        <f>IF(OR('Scénario référence'!$N$1=2,'Scénario référence'!$N$1=4),C81+1*VLOOKUP('Scénario référence'!$G$14,Paramètres!$A$1:$I$88,3,0)*VLOOKUP('Scénario référence'!$G$14,Paramètres!$A$1:$I$88,5,0),IF(OR('Scénario référence'!$N$1=3,'Scénario référence'!$N$1=5),C81+0.5*VLOOKUP('Scénario référence'!$G$14,Paramètres!$A$1:$I$88,3,0)*VLOOKUP('Scénario référence'!$G$14,Paramètres!$A$1:$I$88,5,0),0))</f>
        <v>43.133999999999965</v>
      </c>
      <c r="D82" s="26">
        <f t="shared" si="63"/>
        <v>12.82563220911333</v>
      </c>
      <c r="E82" s="27">
        <f>IF('Scénario référence'!$N$1=1,B82*44/12,(C82+D82)*0.475*44/12)</f>
        <v>97.463026097538986</v>
      </c>
      <c r="F82" s="28" t="e">
        <f>VLOOKUP(A82,'Données projet'!$A$35:$I$55,2,0)</f>
        <v>#N/A</v>
      </c>
      <c r="G82" s="28" t="e">
        <f>VLOOKUP(A82,'Données projet'!$A$35:$I$55,9,0)</f>
        <v>#N/A</v>
      </c>
      <c r="H82" s="33">
        <f t="array" ref="H82">INDEX(G:G,MIN(IF(ISNUMBER(G82:G278),ROW(G82:G278),"")))</f>
        <v>5.9</v>
      </c>
      <c r="I82" s="28">
        <f t="shared" si="64"/>
        <v>254.59999999999988</v>
      </c>
      <c r="J82" s="41">
        <f>I82*VLOOKUP('Données projet'!$B$9,Paramètres!$A$1:$I$88,3,0)*VLOOKUP('Données projet'!$B$9,Paramètres!$A$1:$I$88,5,0)</f>
        <v>258.16439999999989</v>
      </c>
      <c r="K82" s="41">
        <f t="shared" si="65"/>
        <v>62.3309410183914</v>
      </c>
      <c r="L82" s="42">
        <f t="shared" si="42"/>
        <v>558.19605227369811</v>
      </c>
      <c r="M82" s="30">
        <f>IF(ISNA(VLOOKUP(A82,'Données projet'!$A$35:$I$55,3,0)),0,VLOOKUP(A82,'Données projet'!$A$35:$I$55,3,0))</f>
        <v>0</v>
      </c>
      <c r="N82" s="30">
        <f>IF(ISNA(VLOOKUP(A82,'Données projet'!$A$35:$I$55,4,0)),0,VLOOKUP(A82,'Données projet'!$A$35:$I$55,4,0))</f>
        <v>0</v>
      </c>
      <c r="O82" s="31">
        <f>IF(ISNA(VLOOKUP(A82,'Données projet'!$A$35:$I$55,5,0)),0%,VLOOKUP(A82,'Données projet'!$A$35:$I$55,5,0)*VLOOKUP('Données projet'!$B$9,Paramètres!$A$1:$I$88,7,0))</f>
        <v>0</v>
      </c>
      <c r="P82" s="31">
        <f>IF(ISNA(VLOOKUP(A82,'Données projet'!$A$35:$I$55,6,0)),0%,VLOOKUP(A82,'Données projet'!$A$35:$I$55,6,0)*VLOOKUP('Données projet'!$B$9,Paramètres!$A$1:$I$88,7,0))</f>
        <v>0</v>
      </c>
      <c r="Q82" s="31">
        <f>IF(ISNA(VLOOKUP(A82,'Données projet'!$A$35:$I$55,7,0)),0%,VLOOKUP(A82,'Données projet'!$A$35:$I$55,7,0))</f>
        <v>0</v>
      </c>
      <c r="R82" s="43">
        <f>EXP(-LN(2)/35)*R81+(1-EXP(-LN(2)/35))/(LN(2)/35)*N82*O82*VLOOKUP('Données projet'!$B$9,Paramètres!$A$1:$I$88,3,0)*0.475*44/12</f>
        <v>0</v>
      </c>
      <c r="S82" s="43">
        <f>EXP(-LN(2)/25)*S81+(1-EXP(-LN(2)/25))/(LN(2)/25)*Calculateur!N82*Calculateur!P82*VLOOKUP('Données projet'!$B$9,Paramètres!$A$1:$I$88,3,0)*0.475*44/12</f>
        <v>0</v>
      </c>
      <c r="T82" s="43">
        <f>EXP(-LN(2)/2)*T81+(1-EXP(-LN(2)/2))/(LN(2)/2)*N82*Q82*VLOOKUP('Données projet'!$B$9,Paramètres!$A$1:$I$88,3,0)*0.475*44/12</f>
        <v>0</v>
      </c>
      <c r="U82" s="43">
        <f t="shared" si="43"/>
        <v>0</v>
      </c>
      <c r="V82" s="32" t="e">
        <f>VLOOKUP(A82,'Données projet'!$A$61:$I$81,2,0)</f>
        <v>#N/A</v>
      </c>
      <c r="W82" s="33" t="e">
        <f>VLOOKUP(A82,'Données projet'!$A$61:$I$81,9,0)</f>
        <v>#N/A</v>
      </c>
      <c r="X82" s="33">
        <f t="array" ref="X82">INDEX(W:W,MIN(IF(ISNUMBER(W82:W278),ROW(W82:W278),"")))</f>
        <v>0</v>
      </c>
      <c r="Y82" s="33">
        <f t="shared" si="66"/>
        <v>0</v>
      </c>
      <c r="Z82" s="34" t="e">
        <f>Y82*VLOOKUP('Données projet'!$B$10,Paramètres!$A$1:$I$88,3,0)*VLOOKUP('Données projet'!$B$10,Paramètres!$A$1:$I$88,5,0)</f>
        <v>#N/A</v>
      </c>
      <c r="AA82" s="34" t="e">
        <f t="shared" si="67"/>
        <v>#N/A</v>
      </c>
      <c r="AB82" s="44" t="e">
        <f t="shared" si="44"/>
        <v>#N/A</v>
      </c>
      <c r="AC82" s="36">
        <f>IF(ISNA(VLOOKUP(A82,'Données projet'!$A$61:$I$81,3,0)),0,VLOOKUP(A82,'Données projet'!$A$61:$I$81,3,0))</f>
        <v>0</v>
      </c>
      <c r="AD82" s="36">
        <f>IF(ISNA(VLOOKUP(A82,'Données projet'!$A$61:$I$81,4,0)),0,VLOOKUP(A82,'Données projet'!$A$61:$I$81,4,0))</f>
        <v>0</v>
      </c>
      <c r="AE82" s="37">
        <f>IF(ISNA(VLOOKUP(A82,'Données projet'!$A$61:$I$81,5,0)),0%,VLOOKUP(A82,'Données projet'!$A$61:$I$81,5,0)*VLOOKUP('Données projet'!$B$10,Paramètres!$A$1:$I$88,7,0))</f>
        <v>0</v>
      </c>
      <c r="AF82" s="37">
        <f>IF(ISNA(VLOOKUP(A82,'Données projet'!$A$61:$I$81,6,0)),0%,VLOOKUP(A82,'Données projet'!$A$61:$I$81,6,0)*VLOOKUP('Données projet'!$B$10,Paramètres!$A$1:$I$88,7,0))</f>
        <v>0</v>
      </c>
      <c r="AG82" s="37">
        <f>IF(ISNA(VLOOKUP(A82,'Données projet'!$A$61:$I$81,7,0)),0%,VLOOKUP(A82,'Données projet'!$A$61:$I$81,7,0))</f>
        <v>0</v>
      </c>
      <c r="AH82" s="45">
        <f>EXP(-LN(2)/35)*AH81+(1-EXP(-LN(2)/35))/(LN(2)/35)*AD82*AE82*VLOOKUP('Données projet'!$B$9,Paramètres!$A$1:$I$88,3,0)*0.475*44/12</f>
        <v>0</v>
      </c>
      <c r="AI82" s="45">
        <f>EXP(-LN(2)/25)*AI81+(1-EXP(-LN(2)/25))/(LN(2)/25)*Calculateur!AD82*Calculateur!AF82*VLOOKUP('Données projet'!$B$9,Paramètres!$A$1:$I$88,3,0)*0.475*44/12</f>
        <v>0</v>
      </c>
      <c r="AJ82" s="45">
        <f>EXP(-LN(2)/2)*AJ81+(1-EXP(-LN(2)/2))/(LN(2)/2)*AD82*AG82*VLOOKUP('Données projet'!$B$9,Paramètres!$A$1:$I$88,3,0)*0.475*44/12</f>
        <v>0</v>
      </c>
      <c r="AK82" s="45">
        <f t="shared" si="45"/>
        <v>0</v>
      </c>
      <c r="AL82" s="32" t="e">
        <f>VLOOKUP(A82,'Données projet'!$A$87:$I$107,2,0)</f>
        <v>#N/A</v>
      </c>
      <c r="AM82" s="33" t="e">
        <f>VLOOKUP(A82,'Données projet'!$A$87:$I$107,9,0)</f>
        <v>#N/A</v>
      </c>
      <c r="AN82" s="33">
        <f t="array" ref="AN82">INDEX(AM:AM,MIN(IF(ISNUMBER(AM82:AM278),ROW(AM82:AM278),"")))</f>
        <v>0</v>
      </c>
      <c r="AO82" s="33">
        <f t="shared" si="68"/>
        <v>0</v>
      </c>
      <c r="AP82" s="34" t="e">
        <f>AO82*VLOOKUP('Données projet'!$B$11,Paramètres!$A$1:$I$88,3,0)*VLOOKUP('Données projet'!$B$11,Paramètres!$A$1:$I$88,5,0)</f>
        <v>#N/A</v>
      </c>
      <c r="AQ82" s="34" t="e">
        <f t="shared" si="69"/>
        <v>#N/A</v>
      </c>
      <c r="AR82" s="44" t="e">
        <f t="shared" si="46"/>
        <v>#N/A</v>
      </c>
      <c r="AS82" s="36">
        <f>IF(ISNA(VLOOKUP(A82,'Données projet'!$A$87:$I$107,3,0)),0,VLOOKUP(A82,'Données projet'!$A$87:$I$107,3,0))</f>
        <v>0</v>
      </c>
      <c r="AT82" s="36">
        <f>IF(ISNA(VLOOKUP(A82,'Données projet'!$A$87:$I$107,4,0)),0,VLOOKUP(A82,'Données projet'!$A$87:$I$107,4,0))</f>
        <v>0</v>
      </c>
      <c r="AU82" s="37">
        <f>IF(ISNA(VLOOKUP(A82,'Données projet'!$A$87:$I$107,5,0)),0%,VLOOKUP(A82,'Données projet'!$A$87:$I$107,5,0)*VLOOKUP('Données projet'!$B$11,Paramètres!$A$1:$I$88,7,0))</f>
        <v>0</v>
      </c>
      <c r="AV82" s="37">
        <f>IF(ISNA(VLOOKUP(A82,'Données projet'!$A$87:$I$107,6,0)),0%,VLOOKUP(A82,'Données projet'!$A$87:$I$107,6,0)*VLOOKUP('Données projet'!$B$11,Paramètres!$A$1:$I$88,7,0))</f>
        <v>0</v>
      </c>
      <c r="AW82" s="37">
        <f>IF(ISNA(VLOOKUP(A82,'Données projet'!$A$87:$I$107,7,0)),0%,VLOOKUP(A82,'Données projet'!$A$87:$I$107,7,0))</f>
        <v>0</v>
      </c>
      <c r="AX82" s="45">
        <f>EXP(-LN(2)/35)*AX81+(1-EXP(-LN(2)/35))/(LN(2)/35)*AT82*AU82*VLOOKUP('Données projet'!$B$9,Paramètres!$A$1:$I$88,3,0)*0.475*44/12</f>
        <v>0</v>
      </c>
      <c r="AY82" s="45">
        <f>EXP(-LN(2)/25)*AY81+(1-EXP(-LN(2)/25))/(LN(2)/25)*Calculateur!AT82*Calculateur!AV82*VLOOKUP('Données projet'!$B$9,Paramètres!$A$1:$I$88,3,0)*0.475*44/12</f>
        <v>0</v>
      </c>
      <c r="AZ82" s="45">
        <f>EXP(-LN(2)/2)*AZ81+(1-EXP(-LN(2)/2))/(LN(2)/2)*AT82*AW82*VLOOKUP('Données projet'!$B$9,Paramètres!$A$1:$I$88,3,0)*0.475*44/12</f>
        <v>0</v>
      </c>
      <c r="BA82" s="46">
        <f t="shared" si="47"/>
        <v>0</v>
      </c>
      <c r="BB82" s="32" t="e">
        <f>VLOOKUP(A82,'Données projet'!$A$113:$I$133,2,0)</f>
        <v>#N/A</v>
      </c>
      <c r="BC82" s="33" t="e">
        <f>VLOOKUP(A82,'Données projet'!$A$113:$I$133,9,0)</f>
        <v>#N/A</v>
      </c>
      <c r="BD82" s="33">
        <f t="array" ref="BD82">INDEX(BC:BC,MIN(IF(ISNUMBER(BC82:BC278),ROW(BC82:BC278),"")))</f>
        <v>0</v>
      </c>
      <c r="BE82" s="33">
        <f t="shared" si="70"/>
        <v>0</v>
      </c>
      <c r="BF82" s="34" t="e">
        <f>BE82*VLOOKUP('Données projet'!$B$12,Paramètres!$A$1:$I$88,3,0)*VLOOKUP('Données projet'!$B$12,Paramètres!$A$1:$I$88,5,0)</f>
        <v>#N/A</v>
      </c>
      <c r="BG82" s="34" t="e">
        <f t="shared" si="71"/>
        <v>#N/A</v>
      </c>
      <c r="BH82" s="44" t="e">
        <f t="shared" si="48"/>
        <v>#N/A</v>
      </c>
      <c r="BI82" s="36">
        <f>IF(ISNA(VLOOKUP(A82,'Données projet'!$A$113:$I$133,3,0)),0,VLOOKUP(A82,'Données projet'!$A$113:$I$133,3,0))</f>
        <v>0</v>
      </c>
      <c r="BJ82" s="36">
        <f>IF(ISNA(VLOOKUP(A82,'Données projet'!$A$113:$I$133,4,0)),0,VLOOKUP(A82,'Données projet'!$A$113:$I$133,4,0))</f>
        <v>0</v>
      </c>
      <c r="BK82" s="37">
        <f>IF(ISNA(VLOOKUP(A82,'Données projet'!$A$113:$I$133,5,0)),0%,VLOOKUP(A82,'Données projet'!$A$113:$I$133,5,0)*VLOOKUP('Données projet'!$B$12,Paramètres!$A$1:$I$88,7,0))</f>
        <v>0</v>
      </c>
      <c r="BL82" s="37">
        <f>IF(ISNA(VLOOKUP(A82,'Données projet'!$A$113:$I$133,6,0)),0%,VLOOKUP(A82,'Données projet'!$A$113:$I$133,6,0)*VLOOKUP('Données projet'!$B$12,Paramètres!$A$1:$I$88,7,0))</f>
        <v>0</v>
      </c>
      <c r="BM82" s="37">
        <f>IF(ISNA(VLOOKUP(A82,'Données projet'!$A$113:$I$133,7,0)),0%,VLOOKUP(A82,'Données projet'!$A$113:$I$133,7,0))</f>
        <v>0</v>
      </c>
      <c r="BN82" s="45">
        <f>EXP(-LN(2)/35)*BN81+(1-EXP(-LN(2)/35))/(LN(2)/35)*BJ82*BK82*VLOOKUP('Données projet'!$B$9,Paramètres!$A$1:$I$88,3,0)*0.475*44/12</f>
        <v>0</v>
      </c>
      <c r="BO82" s="45">
        <f>EXP(-LN(2)/25)*BO81+(1-EXP(-LN(2)/25))/(LN(2)/25)*Calculateur!BJ82*Calculateur!BL82*VLOOKUP('Données projet'!$B$9,Paramètres!$A$1:$I$88,3,0)*0.475*44/12</f>
        <v>0</v>
      </c>
      <c r="BP82" s="45">
        <f>EXP(-LN(2)/2)*BP81+(1-EXP(-LN(2)/2))/(LN(2)/2)*BJ82*BM82*VLOOKUP('Données projet'!$B$9,Paramètres!$A$1:$I$88,3,0)*0.475*44/12</f>
        <v>0</v>
      </c>
      <c r="BQ82" s="46">
        <f t="shared" si="49"/>
        <v>0</v>
      </c>
      <c r="BR82" s="32" t="e">
        <f>VLOOKUP(A82,'Données projet'!$A$139:$I$159,2,0)</f>
        <v>#N/A</v>
      </c>
      <c r="BS82" s="33" t="e">
        <f>VLOOKUP(A82,'Données projet'!$A$139:$I$159,9,0)</f>
        <v>#N/A</v>
      </c>
      <c r="BT82" s="33">
        <f t="array" ref="BT82">INDEX(BS:BS,MIN(IF(ISNUMBER(BS82:BS278),ROW(BS82:BS278),"")))</f>
        <v>0</v>
      </c>
      <c r="BU82" s="33">
        <f t="shared" si="72"/>
        <v>0</v>
      </c>
      <c r="BV82" s="38" t="e">
        <f>BU82*VLOOKUP('Données projet'!$B$13,Paramètres!$A$1:$I$88,3,0)*VLOOKUP('Données projet'!$B$13,Paramètres!$A$1:$I$88,5,0)</f>
        <v>#N/A</v>
      </c>
      <c r="BW82" s="34" t="e">
        <f t="shared" si="73"/>
        <v>#N/A</v>
      </c>
      <c r="BX82" s="44" t="e">
        <f t="shared" si="50"/>
        <v>#N/A</v>
      </c>
      <c r="BY82" s="36">
        <f>IF(ISNA(VLOOKUP(A82,'Données projet'!$A$139:$I$159,3,0)),0,VLOOKUP(A82,'Données projet'!$A$139:$I$159,3,0))</f>
        <v>0</v>
      </c>
      <c r="BZ82" s="36">
        <f>IF(ISNA(VLOOKUP(A82,'Données projet'!$A$139:$I$159,4,0)),0,VLOOKUP(A82,'Données projet'!$A$139:$I$159,4,0))</f>
        <v>0</v>
      </c>
      <c r="CA82" s="37">
        <f>IF(ISNA(VLOOKUP(A82,'Données projet'!$A$139:$I$159,5,0)),0%,VLOOKUP(A82,'Données projet'!$A$139:$I$159,5,0)*VLOOKUP('Données projet'!$B$13,Paramètres!$A$1:$I$88,7,0))</f>
        <v>0</v>
      </c>
      <c r="CB82" s="37">
        <f>IF(ISNA(VLOOKUP(A82,'Données projet'!$A$139:$I$159,6,0)),0%,VLOOKUP(A82,'Données projet'!$A$139:$I$159,6,0)*VLOOKUP('Données projet'!$B$13,Paramètres!$A$1:$I$88,7,0))</f>
        <v>0</v>
      </c>
      <c r="CC82" s="37">
        <f>IF(ISNA(VLOOKUP(A82,'Données projet'!$A$139:$I$159,7,0)),0%,VLOOKUP(A82,'Données projet'!$A$139:$I$159,7,0))</f>
        <v>0</v>
      </c>
      <c r="CD82" s="45">
        <f>EXP(-LN(2)/35)*CD81+(1-EXP(-LN(2)/35))/(LN(2)/35)*BZ82*CA82*VLOOKUP('Données projet'!$B$9,Paramètres!$A$1:$I$88,3,0)*0.475*44/12</f>
        <v>0</v>
      </c>
      <c r="CE82" s="45">
        <f>EXP(-LN(2)/25)*CE81+(1-EXP(-LN(2)/25))/(LN(2)/25)*Calculateur!BZ82*Calculateur!CB82*VLOOKUP('Données projet'!$B$9,Paramètres!$A$1:$I$88,3,0)*0.475*44/12</f>
        <v>0</v>
      </c>
      <c r="CF82" s="45">
        <f>EXP(-LN(2)/2)*CF81+(1-EXP(-LN(2)/2))/(LN(2)/2)*BZ82*CC82*VLOOKUP('Données projet'!$B$9,Paramètres!$A$1:$I$88,3,0)*0.475*44/12</f>
        <v>0</v>
      </c>
      <c r="CG82" s="46">
        <f t="shared" si="51"/>
        <v>0</v>
      </c>
      <c r="CH82" s="32" t="e">
        <f>VLOOKUP(A82,'Données projet'!$A$165:$I$185,2,0)</f>
        <v>#N/A</v>
      </c>
      <c r="CI82" s="33" t="e">
        <f>VLOOKUP(A82,'Données projet'!$A$165:$I$185,9,0)</f>
        <v>#N/A</v>
      </c>
      <c r="CJ82" s="33">
        <f t="array" ref="CJ82">INDEX(CI:CI,MIN(IF(ISNUMBER(CI82:CI278),ROW(CI82:CI278),"")))</f>
        <v>0</v>
      </c>
      <c r="CK82" s="33">
        <f t="shared" si="74"/>
        <v>0</v>
      </c>
      <c r="CL82" s="38" t="e">
        <f>CK82*VLOOKUP('Données projet'!$B$14,Paramètres!$A$1:$I$88,3,0)*VLOOKUP('Données projet'!$B$14,Paramètres!$A$1:$I$88,5,0)</f>
        <v>#N/A</v>
      </c>
      <c r="CM82" s="34" t="e">
        <f t="shared" si="75"/>
        <v>#N/A</v>
      </c>
      <c r="CN82" s="44" t="e">
        <f t="shared" si="52"/>
        <v>#N/A</v>
      </c>
      <c r="CO82" s="36">
        <f>IF(ISNA(VLOOKUP(A82,'Données projet'!$A$165:$I$185,3,0)),0,VLOOKUP(A82,'Données projet'!$A$165:$I$185,3,0))</f>
        <v>0</v>
      </c>
      <c r="CP82" s="36">
        <f>IF(ISNA(VLOOKUP(A82,'Données projet'!$A$165:$I$185,4,0)),0,VLOOKUP(A82,'Données projet'!$A$165:$I$185,4,0))</f>
        <v>0</v>
      </c>
      <c r="CQ82" s="37">
        <f>IF(ISNA(VLOOKUP(A82,'Données projet'!$A$165:$I$185,5,0)),0%,VLOOKUP(A82,'Données projet'!$A$165:$I$185,5,0)*VLOOKUP('Données projet'!$B$14,Paramètres!$A$1:$I$88,7,0))</f>
        <v>0</v>
      </c>
      <c r="CR82" s="37">
        <f>IF(ISNA(VLOOKUP(A82,'Données projet'!$A$165:$I$185,6,0)),0%,VLOOKUP(A82,'Données projet'!$A$165:$I$185,6,0)*VLOOKUP('Données projet'!$B$14,Paramètres!$A$1:$I$88,7,0))</f>
        <v>0</v>
      </c>
      <c r="CS82" s="37">
        <f>IF(ISNA(VLOOKUP(A82,'Données projet'!$A$165:$I$185,7,0)),0%,VLOOKUP(A82,'Données projet'!$A$165:$I$185,7,0))</f>
        <v>0</v>
      </c>
      <c r="CT82" s="45">
        <f>EXP(-LN(2)/35)*CT81+(1-EXP(-LN(2)/35))/(LN(2)/35)*CP82*CQ82*VLOOKUP('Données projet'!$B$9,Paramètres!$A$1:$I$88,3,0)*0.475*44/12</f>
        <v>0</v>
      </c>
      <c r="CU82" s="45">
        <f>EXP(-LN(2)/25)*CU81+(1-EXP(-LN(2)/25))/(LN(2)/25)*Calculateur!CP82*Calculateur!CR82*VLOOKUP('Données projet'!$B$9,Paramètres!$A$1:$I$88,3,0)*0.475*44/12</f>
        <v>0</v>
      </c>
      <c r="CV82" s="45">
        <f>EXP(-LN(2)/2)*CV81+(1-EXP(-LN(2)/2))/(LN(2)/2)*CP82*CS82*VLOOKUP('Données projet'!$B$9,Paramètres!$A$1:$I$88,3,0)*0.475*44/12</f>
        <v>0</v>
      </c>
      <c r="CW82" s="46">
        <f t="shared" si="53"/>
        <v>0</v>
      </c>
      <c r="CX82" s="32" t="e">
        <f>VLOOKUP(A82,'Données projet'!$A$191:$I$211,2,0)</f>
        <v>#N/A</v>
      </c>
      <c r="CY82" s="33" t="e">
        <f>VLOOKUP(A82,'Données projet'!$A$191:$I$211,9,0)</f>
        <v>#N/A</v>
      </c>
      <c r="CZ82" s="33">
        <f t="array" ref="CZ82">INDEX(CY:CY,MIN(IF(ISNUMBER(CY82:CY278),ROW(CY82:CY278),"")))</f>
        <v>0</v>
      </c>
      <c r="DA82" s="33">
        <f t="shared" si="76"/>
        <v>0</v>
      </c>
      <c r="DB82" s="38" t="e">
        <f>DA82*VLOOKUP('Données projet'!$B$15,Paramètres!$A$1:$I$88,3,0)*VLOOKUP('Données projet'!$B$15,Paramètres!$A$1:$I$88,5,0)</f>
        <v>#N/A</v>
      </c>
      <c r="DC82" s="34" t="e">
        <f t="shared" si="77"/>
        <v>#N/A</v>
      </c>
      <c r="DD82" s="44" t="e">
        <f t="shared" si="54"/>
        <v>#N/A</v>
      </c>
      <c r="DE82" s="36">
        <f>IF(ISNA(VLOOKUP(A82,'Données projet'!$A$191:$I$211,3,0)),0,VLOOKUP(A82,'Données projet'!$A$191:$I$211,3,0))</f>
        <v>0</v>
      </c>
      <c r="DF82" s="36">
        <f>IF(ISNA(VLOOKUP(A82,'Données projet'!$A$191:$I$211,4,0)),0,VLOOKUP(A82,'Données projet'!$A$191:$I$211,4,0))</f>
        <v>0</v>
      </c>
      <c r="DG82" s="37">
        <f>IF(ISNA(VLOOKUP(A82,'Données projet'!$A$191:$I$211,5,0)),0%,VLOOKUP(A82,'Données projet'!$A$191:$I$211,5,0)*VLOOKUP('Données projet'!$B$15,Paramètres!$A$1:$I$88,7,0))</f>
        <v>0</v>
      </c>
      <c r="DH82" s="37">
        <f>IF(ISNA(VLOOKUP(A82,'Données projet'!$A$191:$I$211,6,0)),0%,VLOOKUP(A82,'Données projet'!$A$191:$I$211,6,0)*VLOOKUP('Données projet'!$B$15,Paramètres!$A$1:$I$88,7,0))</f>
        <v>0</v>
      </c>
      <c r="DI82" s="37">
        <f>IF(ISNA(VLOOKUP(A82,'Données projet'!$A$191:$I$211,7,0)),0%,VLOOKUP(A82,'Données projet'!$A$191:$I$211,7,0))</f>
        <v>0</v>
      </c>
      <c r="DJ82" s="45">
        <f>EXP(-LN(2)/35)*DJ81+(1-EXP(-LN(2)/35))/(LN(2)/35)*DF82*DG82*VLOOKUP('Données projet'!$B$9,Paramètres!$A$1:$I$88,3,0)*0.475*44/12</f>
        <v>0</v>
      </c>
      <c r="DK82" s="45">
        <f>EXP(-LN(2)/25)*DK81+(1-EXP(-LN(2)/25))/(LN(2)/25)*Calculateur!DF82*Calculateur!DH82*VLOOKUP('Données projet'!$B$9,Paramètres!$A$1:$I$88,3,0)*0.475*44/12</f>
        <v>0</v>
      </c>
      <c r="DL82" s="45">
        <f>EXP(-LN(2)/2)*DL81+(1-EXP(-LN(2)/2))/(LN(2)/2)*DF82*DI82*VLOOKUP('Données projet'!$B$9,Paramètres!$A$1:$I$88,3,0)*0.475*44/12</f>
        <v>0</v>
      </c>
      <c r="DM82" s="46">
        <f t="shared" si="55"/>
        <v>0</v>
      </c>
      <c r="DN82" s="32" t="e">
        <f>VLOOKUP(A82,'Données projet'!$A$217:$I$237,2,0)</f>
        <v>#N/A</v>
      </c>
      <c r="DO82" s="33" t="e">
        <f>VLOOKUP(A82,'Données projet'!$A$217:$I$237,9,0)</f>
        <v>#N/A</v>
      </c>
      <c r="DP82" s="33">
        <f t="array" ref="DP82">INDEX(DO:DO,MIN(IF(ISNUMBER(DO82:DO278),ROW(DO82:DO278),"")))</f>
        <v>0</v>
      </c>
      <c r="DQ82" s="33">
        <f t="shared" si="78"/>
        <v>0</v>
      </c>
      <c r="DR82" s="38" t="e">
        <f>DQ82*VLOOKUP('Données projet'!$B$16,Paramètres!$A$1:$I$88,3,0)*VLOOKUP('Données projet'!$B$16,Paramètres!$A$1:$I$88,5,0)</f>
        <v>#N/A</v>
      </c>
      <c r="DS82" s="34" t="e">
        <f t="shared" si="79"/>
        <v>#N/A</v>
      </c>
      <c r="DT82" s="44" t="e">
        <f t="shared" si="56"/>
        <v>#N/A</v>
      </c>
      <c r="DU82" s="36">
        <f>IF(ISNA(VLOOKUP(A82,'Données projet'!$A$217:$I$237,3,0)),0,VLOOKUP(A82,'Données projet'!$A$217:$I$237,3,0))</f>
        <v>0</v>
      </c>
      <c r="DV82" s="36">
        <f>IF(ISNA(VLOOKUP(A82,'Données projet'!$A$217:$I$237,4,0)),0,VLOOKUP(A82,'Données projet'!$A$217:$I$237,4,0))</f>
        <v>0</v>
      </c>
      <c r="DW82" s="37">
        <f>IF(ISNA(VLOOKUP(A82,'Données projet'!$A$217:$I$237,5,0)),0%,VLOOKUP(A82,'Données projet'!$A$217:$I$237,5,0)*VLOOKUP('Données projet'!$B$16,Paramètres!$A$1:$I$88,7,0))</f>
        <v>0</v>
      </c>
      <c r="DX82" s="37">
        <f>IF(ISNA(VLOOKUP(A82,'Données projet'!$A$217:$I$237,6,0)),0%,VLOOKUP(A82,'Données projet'!$A$217:$I$237,6,0)*VLOOKUP('Données projet'!$B$16,Paramètres!$A$1:$I$88,7,0))</f>
        <v>0</v>
      </c>
      <c r="DY82" s="37">
        <f>IF(ISNA(VLOOKUP(A82,'Données projet'!$A$217:$I$237,7,0)),0%,VLOOKUP(A82,'Données projet'!$A$217:$I$237,7,0))</f>
        <v>0</v>
      </c>
      <c r="DZ82" s="45">
        <f>EXP(-LN(2)/35)*DZ81+(1-EXP(-LN(2)/35))/(LN(2)/35)*DV82*DW82*VLOOKUP('Données projet'!$B$9,Paramètres!$A$1:$I$88,3,0)*0.475*44/12</f>
        <v>0</v>
      </c>
      <c r="EA82" s="45">
        <f>EXP(-LN(2)/25)*EA81+(1-EXP(-LN(2)/25))/(LN(2)/25)*Calculateur!DV82*Calculateur!DX82*VLOOKUP('Données projet'!$B$9,Paramètres!$A$1:$I$88,3,0)*0.475*44/12</f>
        <v>0</v>
      </c>
      <c r="EB82" s="45">
        <f>EXP(-LN(2)/2)*EB81+(1-EXP(-LN(2)/2))/(LN(2)/2)*DV82*DY82*VLOOKUP('Données projet'!$B$9,Paramètres!$A$1:$I$88,3,0)*0.475*44/12</f>
        <v>0</v>
      </c>
      <c r="EC82" s="46">
        <f t="shared" si="57"/>
        <v>0</v>
      </c>
      <c r="ED82" s="32" t="e">
        <f>VLOOKUP(A82,'Données projet'!$A$243:$I$263,2,0)</f>
        <v>#N/A</v>
      </c>
      <c r="EE82" s="33" t="e">
        <f>VLOOKUP(A82,'Données projet'!$A$243:$I$263,9,0)</f>
        <v>#N/A</v>
      </c>
      <c r="EF82" s="33">
        <f t="array" ref="EF82">INDEX(EE:EE,MIN(IF(ISNUMBER(EE82:EE278),ROW(EE82:EE278),"")))</f>
        <v>0</v>
      </c>
      <c r="EG82" s="33">
        <f t="shared" si="80"/>
        <v>0</v>
      </c>
      <c r="EH82" s="38" t="e">
        <f>EG82*VLOOKUP('Données projet'!$B$17,Paramètres!$A$1:$I$88,3,0)*VLOOKUP('Données projet'!$B$17,Paramètres!$A$1:$I$88,5,0)</f>
        <v>#N/A</v>
      </c>
      <c r="EI82" s="34" t="e">
        <f t="shared" si="81"/>
        <v>#N/A</v>
      </c>
      <c r="EJ82" s="44" t="e">
        <f t="shared" si="58"/>
        <v>#N/A</v>
      </c>
      <c r="EK82" s="36">
        <f>IF(ISNA(VLOOKUP(A82,'Données projet'!$A$243:$I$263,3,0)),0,VLOOKUP(A82,'Données projet'!$A$243:$I$263,3,0))</f>
        <v>0</v>
      </c>
      <c r="EL82" s="36">
        <f>IF(ISNA(VLOOKUP(A82,'Données projet'!$A$243:$I$263,4,0)),0,VLOOKUP(A82,'Données projet'!$A$243:$I$263,4,0))</f>
        <v>0</v>
      </c>
      <c r="EM82" s="37">
        <f>IF(ISNA(VLOOKUP(A82,'Données projet'!$A$243:$I$263,5,0)),0%,VLOOKUP(A82,'Données projet'!$A$243:$I$263,5,0)*VLOOKUP('Données projet'!$B$17,Paramètres!$A$1:$I$88,7,0))</f>
        <v>0</v>
      </c>
      <c r="EN82" s="37">
        <f>IF(ISNA(VLOOKUP(A82,'Données projet'!$A$243:$I$263,6,0)),0%,VLOOKUP(A82,'Données projet'!$A$243:$I$263,6,0)*VLOOKUP('Données projet'!$B$17,Paramètres!$A$1:$I$88,7,0))</f>
        <v>0</v>
      </c>
      <c r="EO82" s="37">
        <f>IF(ISNA(VLOOKUP(A82,'Données projet'!$A$243:$I$263,7,0)),0%,VLOOKUP(A82,'Données projet'!$A$243:$I$263,7,0))</f>
        <v>0</v>
      </c>
      <c r="EP82" s="45">
        <f>EXP(-LN(2)/35)*EP81+(1-EXP(-LN(2)/35))/(LN(2)/35)*EL82*EM82*VLOOKUP('Données projet'!$B$9,Paramètres!$A$1:$I$88,3,0)*0.475*44/12</f>
        <v>0</v>
      </c>
      <c r="EQ82" s="45">
        <f>EXP(-LN(2)/25)*EQ81+(1-EXP(-LN(2)/25))/(LN(2)/25)*Calculateur!EL82*Calculateur!EN82*VLOOKUP('Données projet'!$B$9,Paramètres!$A$1:$I$88,3,0)*0.475*44/12</f>
        <v>0</v>
      </c>
      <c r="ER82" s="45">
        <f>EXP(-LN(2)/2)*ER81+(1-EXP(-LN(2)/2))/(LN(2)/2)*EL82*EO82*VLOOKUP('Données projet'!$B$9,Paramètres!$A$1:$I$88,3,0)*0.475*44/12</f>
        <v>0</v>
      </c>
      <c r="ES82" s="46">
        <f t="shared" si="59"/>
        <v>0</v>
      </c>
      <c r="ET82" s="32" t="e">
        <f>VLOOKUP(A82,'Données projet'!$A$269:$I$289,2,0)</f>
        <v>#N/A</v>
      </c>
      <c r="EU82" s="33" t="e">
        <f>VLOOKUP(A82,'Données projet'!$A$269:$I$289,9,0)</f>
        <v>#N/A</v>
      </c>
      <c r="EV82" s="33">
        <f t="array" ref="EV82">INDEX(EU:EU,MIN(IF(ISNUMBER(EU82:EU278),ROW(EU82:EU278),"")))</f>
        <v>0</v>
      </c>
      <c r="EW82" s="33">
        <f t="shared" si="82"/>
        <v>0</v>
      </c>
      <c r="EX82" s="38" t="e">
        <f>EW82*VLOOKUP('Données projet'!$B$18,Paramètres!$A$1:$I$88,3,0)*VLOOKUP('Données projet'!$B$18,Paramètres!$A$1:$I$88,5,0)</f>
        <v>#N/A</v>
      </c>
      <c r="EY82" s="34" t="e">
        <f t="shared" si="83"/>
        <v>#N/A</v>
      </c>
      <c r="EZ82" s="44" t="e">
        <f t="shared" si="60"/>
        <v>#N/A</v>
      </c>
      <c r="FA82" s="36">
        <f>IF(ISNA(VLOOKUP(A82,'Données projet'!$A$269:$I$289,3,0)),0,VLOOKUP(A82,'Données projet'!$A$269:$I$289,3,0))</f>
        <v>0</v>
      </c>
      <c r="FB82" s="36">
        <f>IF(ISNA(VLOOKUP(A82,'Données projet'!$A$269:$I$289,4,0)),0,VLOOKUP(A82,'Données projet'!$A$269:$I$289,4,0))</f>
        <v>0</v>
      </c>
      <c r="FC82" s="37">
        <f>IF(ISNA(VLOOKUP(A82,'Données projet'!$A$269:$I$289,5,0)),0%,VLOOKUP(A82,'Données projet'!$A$269:$I$289,5,0)*VLOOKUP('Données projet'!$B$18,Paramètres!$A$1:$I$88,7,0))</f>
        <v>0</v>
      </c>
      <c r="FD82" s="37">
        <f>IF(ISNA(VLOOKUP(A82,'Données projet'!$A$269:$I$289,6,0)),0%,VLOOKUP(A82,'Données projet'!$A$269:$I$289,6,0)*VLOOKUP('Données projet'!$B$18,Paramètres!$A$1:$I$88,7,0))</f>
        <v>0</v>
      </c>
      <c r="FE82" s="37">
        <f>IF(ISNA(VLOOKUP(A82,'Données projet'!$A$269:$I$289,7,0)),0%,VLOOKUP(A82,'Données projet'!$A$269:$I$289,7,0))</f>
        <v>0</v>
      </c>
      <c r="FF82" s="45">
        <f>EXP(-LN(2)/35)*FF81+(1-EXP(-LN(2)/35))/(LN(2)/35)*FB82*FC82*VLOOKUP('Données projet'!$B$9,Paramètres!$A$1:$I$88,3,0)*0.475*44/12</f>
        <v>0</v>
      </c>
      <c r="FG82" s="45">
        <f>EXP(-LN(2)/25)*FG81+(1-EXP(-LN(2)/25))/(LN(2)/25)*Calculateur!FB82*Calculateur!FD82*VLOOKUP('Données projet'!$B$9,Paramètres!$A$1:$I$88,3,0)*0.475*44/12</f>
        <v>0</v>
      </c>
      <c r="FH82" s="45">
        <f>EXP(-LN(2)/2)*FH81+(1-EXP(-LN(2)/2))/(LN(2)/2)*FB82*FE82*VLOOKUP('Données projet'!$B$9,Paramètres!$A$1:$I$88,3,0)*0.475*44/12</f>
        <v>0</v>
      </c>
      <c r="FI82" s="46">
        <f t="shared" si="61"/>
        <v>0</v>
      </c>
    </row>
    <row r="83" spans="1:165" x14ac:dyDescent="0.25">
      <c r="A83" s="24">
        <f t="shared" si="62"/>
        <v>80</v>
      </c>
      <c r="B83" s="25">
        <f>IF('Scénario référence'!$N$1=1,5,0)</f>
        <v>0</v>
      </c>
      <c r="C83" s="40">
        <f>IF(OR('Scénario référence'!$N$1=2,'Scénario référence'!$N$1=4),C82+1*VLOOKUP('Scénario référence'!$G$14,Paramètres!$A$1:$I$88,3,0)*VLOOKUP('Scénario référence'!$G$14,Paramètres!$A$1:$I$88,5,0),IF(OR('Scénario référence'!$N$1=3,'Scénario référence'!$N$1=5),C82+0.5*VLOOKUP('Scénario référence'!$G$14,Paramètres!$A$1:$I$88,3,0)*VLOOKUP('Scénario référence'!$G$14,Paramètres!$A$1:$I$88,5,0),0))</f>
        <v>43.679999999999964</v>
      </c>
      <c r="D83" s="26">
        <f t="shared" si="63"/>
        <v>12.968979282088567</v>
      </c>
      <c r="E83" s="27">
        <f>IF('Scénario référence'!$N$1=1,B83*44/12,(C83+D83)*0.475*44/12)</f>
        <v>98.663638916304194</v>
      </c>
      <c r="F83" s="28" t="e">
        <f>VLOOKUP(A83,'Données projet'!$A$35:$I$55,2,0)</f>
        <v>#N/A</v>
      </c>
      <c r="G83" s="28" t="e">
        <f>VLOOKUP(A83,'Données projet'!$A$35:$I$55,9,0)</f>
        <v>#N/A</v>
      </c>
      <c r="H83" s="33">
        <f t="array" ref="H83">INDEX(G:G,MIN(IF(ISNUMBER(G83:G279),ROW(G83:G279),"")))</f>
        <v>5.9</v>
      </c>
      <c r="I83" s="28">
        <f t="shared" si="64"/>
        <v>260.49999999999989</v>
      </c>
      <c r="J83" s="41">
        <f>I83*VLOOKUP('Données projet'!$B$9,Paramètres!$A$1:$I$88,3,0)*VLOOKUP('Données projet'!$B$9,Paramètres!$A$1:$I$88,5,0)</f>
        <v>264.14699999999988</v>
      </c>
      <c r="K83" s="41">
        <f t="shared" si="65"/>
        <v>63.605535018865886</v>
      </c>
      <c r="L83" s="42">
        <f t="shared" si="42"/>
        <v>570.83566515785787</v>
      </c>
      <c r="M83" s="30">
        <f>IF(ISNA(VLOOKUP(A83,'Données projet'!$A$35:$I$55,3,0)),0,VLOOKUP(A83,'Données projet'!$A$35:$I$55,3,0))</f>
        <v>0</v>
      </c>
      <c r="N83" s="30">
        <f>IF(ISNA(VLOOKUP(A83,'Données projet'!$A$35:$I$55,4,0)),0,VLOOKUP(A83,'Données projet'!$A$35:$I$55,4,0))</f>
        <v>0</v>
      </c>
      <c r="O83" s="31">
        <f>IF(ISNA(VLOOKUP(A83,'Données projet'!$A$35:$I$55,5,0)),0%,VLOOKUP(A83,'Données projet'!$A$35:$I$55,5,0)*VLOOKUP('Données projet'!$B$9,Paramètres!$A$1:$I$88,7,0))</f>
        <v>0</v>
      </c>
      <c r="P83" s="31">
        <f>IF(ISNA(VLOOKUP(A83,'Données projet'!$A$35:$I$55,6,0)),0%,VLOOKUP(A83,'Données projet'!$A$35:$I$55,6,0)*VLOOKUP('Données projet'!$B$9,Paramètres!$A$1:$I$88,7,0))</f>
        <v>0</v>
      </c>
      <c r="Q83" s="31">
        <f>IF(ISNA(VLOOKUP(A83,'Données projet'!$A$35:$I$55,7,0)),0%,VLOOKUP(A83,'Données projet'!$A$35:$I$55,7,0))</f>
        <v>0</v>
      </c>
      <c r="R83" s="43">
        <f>EXP(-LN(2)/35)*R82+(1-EXP(-LN(2)/35))/(LN(2)/35)*N83*O83*VLOOKUP('Données projet'!$B$9,Paramètres!$A$1:$I$88,3,0)*0.475*44/12</f>
        <v>0</v>
      </c>
      <c r="S83" s="43">
        <f>EXP(-LN(2)/25)*S82+(1-EXP(-LN(2)/25))/(LN(2)/25)*Calculateur!N83*Calculateur!P83*VLOOKUP('Données projet'!$B$9,Paramètres!$A$1:$I$88,3,0)*0.475*44/12</f>
        <v>0</v>
      </c>
      <c r="T83" s="43">
        <f>EXP(-LN(2)/2)*T82+(1-EXP(-LN(2)/2))/(LN(2)/2)*N83*Q83*VLOOKUP('Données projet'!$B$9,Paramètres!$A$1:$I$88,3,0)*0.475*44/12</f>
        <v>0</v>
      </c>
      <c r="U83" s="43">
        <f t="shared" si="43"/>
        <v>0</v>
      </c>
      <c r="V83" s="32" t="e">
        <f>VLOOKUP(A83,'Données projet'!$A$61:$I$81,2,0)</f>
        <v>#N/A</v>
      </c>
      <c r="W83" s="33" t="e">
        <f>VLOOKUP(A83,'Données projet'!$A$61:$I$81,9,0)</f>
        <v>#N/A</v>
      </c>
      <c r="X83" s="33">
        <f t="array" ref="X83">INDEX(W:W,MIN(IF(ISNUMBER(W83:W279),ROW(W83:W279),"")))</f>
        <v>0</v>
      </c>
      <c r="Y83" s="33">
        <f t="shared" si="66"/>
        <v>0</v>
      </c>
      <c r="Z83" s="34" t="e">
        <f>Y83*VLOOKUP('Données projet'!$B$10,Paramètres!$A$1:$I$88,3,0)*VLOOKUP('Données projet'!$B$10,Paramètres!$A$1:$I$88,5,0)</f>
        <v>#N/A</v>
      </c>
      <c r="AA83" s="34" t="e">
        <f t="shared" si="67"/>
        <v>#N/A</v>
      </c>
      <c r="AB83" s="44" t="e">
        <f t="shared" si="44"/>
        <v>#N/A</v>
      </c>
      <c r="AC83" s="36">
        <f>IF(ISNA(VLOOKUP(A83,'Données projet'!$A$61:$I$81,3,0)),0,VLOOKUP(A83,'Données projet'!$A$61:$I$81,3,0))</f>
        <v>0</v>
      </c>
      <c r="AD83" s="36">
        <f>IF(ISNA(VLOOKUP(A83,'Données projet'!$A$61:$I$81,4,0)),0,VLOOKUP(A83,'Données projet'!$A$61:$I$81,4,0))</f>
        <v>0</v>
      </c>
      <c r="AE83" s="37">
        <f>IF(ISNA(VLOOKUP(A83,'Données projet'!$A$61:$I$81,5,0)),0%,VLOOKUP(A83,'Données projet'!$A$61:$I$81,5,0)*VLOOKUP('Données projet'!$B$10,Paramètres!$A$1:$I$88,7,0))</f>
        <v>0</v>
      </c>
      <c r="AF83" s="37">
        <f>IF(ISNA(VLOOKUP(A83,'Données projet'!$A$61:$I$81,6,0)),0%,VLOOKUP(A83,'Données projet'!$A$61:$I$81,6,0)*VLOOKUP('Données projet'!$B$10,Paramètres!$A$1:$I$88,7,0))</f>
        <v>0</v>
      </c>
      <c r="AG83" s="37">
        <f>IF(ISNA(VLOOKUP(A83,'Données projet'!$A$61:$I$81,7,0)),0%,VLOOKUP(A83,'Données projet'!$A$61:$I$81,7,0))</f>
        <v>0</v>
      </c>
      <c r="AH83" s="45">
        <f>EXP(-LN(2)/35)*AH82+(1-EXP(-LN(2)/35))/(LN(2)/35)*AD83*AE83*VLOOKUP('Données projet'!$B$9,Paramètres!$A$1:$I$88,3,0)*0.475*44/12</f>
        <v>0</v>
      </c>
      <c r="AI83" s="45">
        <f>EXP(-LN(2)/25)*AI82+(1-EXP(-LN(2)/25))/(LN(2)/25)*Calculateur!AD83*Calculateur!AF83*VLOOKUP('Données projet'!$B$9,Paramètres!$A$1:$I$88,3,0)*0.475*44/12</f>
        <v>0</v>
      </c>
      <c r="AJ83" s="45">
        <f>EXP(-LN(2)/2)*AJ82+(1-EXP(-LN(2)/2))/(LN(2)/2)*AD83*AG83*VLOOKUP('Données projet'!$B$9,Paramètres!$A$1:$I$88,3,0)*0.475*44/12</f>
        <v>0</v>
      </c>
      <c r="AK83" s="45">
        <f t="shared" si="45"/>
        <v>0</v>
      </c>
      <c r="AL83" s="32" t="e">
        <f>VLOOKUP(A83,'Données projet'!$A$87:$I$107,2,0)</f>
        <v>#N/A</v>
      </c>
      <c r="AM83" s="33" t="e">
        <f>VLOOKUP(A83,'Données projet'!$A$87:$I$107,9,0)</f>
        <v>#N/A</v>
      </c>
      <c r="AN83" s="33">
        <f t="array" ref="AN83">INDEX(AM:AM,MIN(IF(ISNUMBER(AM83:AM279),ROW(AM83:AM279),"")))</f>
        <v>0</v>
      </c>
      <c r="AO83" s="33">
        <f t="shared" si="68"/>
        <v>0</v>
      </c>
      <c r="AP83" s="34" t="e">
        <f>AO83*VLOOKUP('Données projet'!$B$11,Paramètres!$A$1:$I$88,3,0)*VLOOKUP('Données projet'!$B$11,Paramètres!$A$1:$I$88,5,0)</f>
        <v>#N/A</v>
      </c>
      <c r="AQ83" s="34" t="e">
        <f t="shared" si="69"/>
        <v>#N/A</v>
      </c>
      <c r="AR83" s="44" t="e">
        <f t="shared" si="46"/>
        <v>#N/A</v>
      </c>
      <c r="AS83" s="36">
        <f>IF(ISNA(VLOOKUP(A83,'Données projet'!$A$87:$I$107,3,0)),0,VLOOKUP(A83,'Données projet'!$A$87:$I$107,3,0))</f>
        <v>0</v>
      </c>
      <c r="AT83" s="36">
        <f>IF(ISNA(VLOOKUP(A83,'Données projet'!$A$87:$I$107,4,0)),0,VLOOKUP(A83,'Données projet'!$A$87:$I$107,4,0))</f>
        <v>0</v>
      </c>
      <c r="AU83" s="37">
        <f>IF(ISNA(VLOOKUP(A83,'Données projet'!$A$87:$I$107,5,0)),0%,VLOOKUP(A83,'Données projet'!$A$87:$I$107,5,0)*VLOOKUP('Données projet'!$B$11,Paramètres!$A$1:$I$88,7,0))</f>
        <v>0</v>
      </c>
      <c r="AV83" s="37">
        <f>IF(ISNA(VLOOKUP(A83,'Données projet'!$A$87:$I$107,6,0)),0%,VLOOKUP(A83,'Données projet'!$A$87:$I$107,6,0)*VLOOKUP('Données projet'!$B$11,Paramètres!$A$1:$I$88,7,0))</f>
        <v>0</v>
      </c>
      <c r="AW83" s="37">
        <f>IF(ISNA(VLOOKUP(A83,'Données projet'!$A$87:$I$107,7,0)),0%,VLOOKUP(A83,'Données projet'!$A$87:$I$107,7,0))</f>
        <v>0</v>
      </c>
      <c r="AX83" s="45">
        <f>EXP(-LN(2)/35)*AX82+(1-EXP(-LN(2)/35))/(LN(2)/35)*AT83*AU83*VLOOKUP('Données projet'!$B$9,Paramètres!$A$1:$I$88,3,0)*0.475*44/12</f>
        <v>0</v>
      </c>
      <c r="AY83" s="45">
        <f>EXP(-LN(2)/25)*AY82+(1-EXP(-LN(2)/25))/(LN(2)/25)*Calculateur!AT83*Calculateur!AV83*VLOOKUP('Données projet'!$B$9,Paramètres!$A$1:$I$88,3,0)*0.475*44/12</f>
        <v>0</v>
      </c>
      <c r="AZ83" s="45">
        <f>EXP(-LN(2)/2)*AZ82+(1-EXP(-LN(2)/2))/(LN(2)/2)*AT83*AW83*VLOOKUP('Données projet'!$B$9,Paramètres!$A$1:$I$88,3,0)*0.475*44/12</f>
        <v>0</v>
      </c>
      <c r="BA83" s="46">
        <f t="shared" si="47"/>
        <v>0</v>
      </c>
      <c r="BB83" s="32" t="e">
        <f>VLOOKUP(A83,'Données projet'!$A$113:$I$133,2,0)</f>
        <v>#N/A</v>
      </c>
      <c r="BC83" s="33" t="e">
        <f>VLOOKUP(A83,'Données projet'!$A$113:$I$133,9,0)</f>
        <v>#N/A</v>
      </c>
      <c r="BD83" s="33">
        <f t="array" ref="BD83">INDEX(BC:BC,MIN(IF(ISNUMBER(BC83:BC279),ROW(BC83:BC279),"")))</f>
        <v>0</v>
      </c>
      <c r="BE83" s="33">
        <f t="shared" si="70"/>
        <v>0</v>
      </c>
      <c r="BF83" s="34" t="e">
        <f>BE83*VLOOKUP('Données projet'!$B$12,Paramètres!$A$1:$I$88,3,0)*VLOOKUP('Données projet'!$B$12,Paramètres!$A$1:$I$88,5,0)</f>
        <v>#N/A</v>
      </c>
      <c r="BG83" s="34" t="e">
        <f t="shared" si="71"/>
        <v>#N/A</v>
      </c>
      <c r="BH83" s="44" t="e">
        <f t="shared" si="48"/>
        <v>#N/A</v>
      </c>
      <c r="BI83" s="36">
        <f>IF(ISNA(VLOOKUP(A83,'Données projet'!$A$113:$I$133,3,0)),0,VLOOKUP(A83,'Données projet'!$A$113:$I$133,3,0))</f>
        <v>0</v>
      </c>
      <c r="BJ83" s="36">
        <f>IF(ISNA(VLOOKUP(A83,'Données projet'!$A$113:$I$133,4,0)),0,VLOOKUP(A83,'Données projet'!$A$113:$I$133,4,0))</f>
        <v>0</v>
      </c>
      <c r="BK83" s="37">
        <f>IF(ISNA(VLOOKUP(A83,'Données projet'!$A$113:$I$133,5,0)),0%,VLOOKUP(A83,'Données projet'!$A$113:$I$133,5,0)*VLOOKUP('Données projet'!$B$12,Paramètres!$A$1:$I$88,7,0))</f>
        <v>0</v>
      </c>
      <c r="BL83" s="37">
        <f>IF(ISNA(VLOOKUP(A83,'Données projet'!$A$113:$I$133,6,0)),0%,VLOOKUP(A83,'Données projet'!$A$113:$I$133,6,0)*VLOOKUP('Données projet'!$B$12,Paramètres!$A$1:$I$88,7,0))</f>
        <v>0</v>
      </c>
      <c r="BM83" s="37">
        <f>IF(ISNA(VLOOKUP(A83,'Données projet'!$A$113:$I$133,7,0)),0%,VLOOKUP(A83,'Données projet'!$A$113:$I$133,7,0))</f>
        <v>0</v>
      </c>
      <c r="BN83" s="45">
        <f>EXP(-LN(2)/35)*BN82+(1-EXP(-LN(2)/35))/(LN(2)/35)*BJ83*BK83*VLOOKUP('Données projet'!$B$9,Paramètres!$A$1:$I$88,3,0)*0.475*44/12</f>
        <v>0</v>
      </c>
      <c r="BO83" s="45">
        <f>EXP(-LN(2)/25)*BO82+(1-EXP(-LN(2)/25))/(LN(2)/25)*Calculateur!BJ83*Calculateur!BL83*VLOOKUP('Données projet'!$B$9,Paramètres!$A$1:$I$88,3,0)*0.475*44/12</f>
        <v>0</v>
      </c>
      <c r="BP83" s="45">
        <f>EXP(-LN(2)/2)*BP82+(1-EXP(-LN(2)/2))/(LN(2)/2)*BJ83*BM83*VLOOKUP('Données projet'!$B$9,Paramètres!$A$1:$I$88,3,0)*0.475*44/12</f>
        <v>0</v>
      </c>
      <c r="BQ83" s="46">
        <f t="shared" si="49"/>
        <v>0</v>
      </c>
      <c r="BR83" s="32" t="e">
        <f>VLOOKUP(A83,'Données projet'!$A$139:$I$159,2,0)</f>
        <v>#N/A</v>
      </c>
      <c r="BS83" s="33" t="e">
        <f>VLOOKUP(A83,'Données projet'!$A$139:$I$159,9,0)</f>
        <v>#N/A</v>
      </c>
      <c r="BT83" s="33">
        <f t="array" ref="BT83">INDEX(BS:BS,MIN(IF(ISNUMBER(BS83:BS279),ROW(BS83:BS279),"")))</f>
        <v>0</v>
      </c>
      <c r="BU83" s="33">
        <f t="shared" si="72"/>
        <v>0</v>
      </c>
      <c r="BV83" s="38" t="e">
        <f>BU83*VLOOKUP('Données projet'!$B$13,Paramètres!$A$1:$I$88,3,0)*VLOOKUP('Données projet'!$B$13,Paramètres!$A$1:$I$88,5,0)</f>
        <v>#N/A</v>
      </c>
      <c r="BW83" s="34" t="e">
        <f t="shared" si="73"/>
        <v>#N/A</v>
      </c>
      <c r="BX83" s="44" t="e">
        <f t="shared" si="50"/>
        <v>#N/A</v>
      </c>
      <c r="BY83" s="36">
        <f>IF(ISNA(VLOOKUP(A83,'Données projet'!$A$139:$I$159,3,0)),0,VLOOKUP(A83,'Données projet'!$A$139:$I$159,3,0))</f>
        <v>0</v>
      </c>
      <c r="BZ83" s="36">
        <f>IF(ISNA(VLOOKUP(A83,'Données projet'!$A$139:$I$159,4,0)),0,VLOOKUP(A83,'Données projet'!$A$139:$I$159,4,0))</f>
        <v>0</v>
      </c>
      <c r="CA83" s="37">
        <f>IF(ISNA(VLOOKUP(A83,'Données projet'!$A$139:$I$159,5,0)),0%,VLOOKUP(A83,'Données projet'!$A$139:$I$159,5,0)*VLOOKUP('Données projet'!$B$13,Paramètres!$A$1:$I$88,7,0))</f>
        <v>0</v>
      </c>
      <c r="CB83" s="37">
        <f>IF(ISNA(VLOOKUP(A83,'Données projet'!$A$139:$I$159,6,0)),0%,VLOOKUP(A83,'Données projet'!$A$139:$I$159,6,0)*VLOOKUP('Données projet'!$B$13,Paramètres!$A$1:$I$88,7,0))</f>
        <v>0</v>
      </c>
      <c r="CC83" s="37">
        <f>IF(ISNA(VLOOKUP(A83,'Données projet'!$A$139:$I$159,7,0)),0%,VLOOKUP(A83,'Données projet'!$A$139:$I$159,7,0))</f>
        <v>0</v>
      </c>
      <c r="CD83" s="45">
        <f>EXP(-LN(2)/35)*CD82+(1-EXP(-LN(2)/35))/(LN(2)/35)*BZ83*CA83*VLOOKUP('Données projet'!$B$9,Paramètres!$A$1:$I$88,3,0)*0.475*44/12</f>
        <v>0</v>
      </c>
      <c r="CE83" s="45">
        <f>EXP(-LN(2)/25)*CE82+(1-EXP(-LN(2)/25))/(LN(2)/25)*Calculateur!BZ83*Calculateur!CB83*VLOOKUP('Données projet'!$B$9,Paramètres!$A$1:$I$88,3,0)*0.475*44/12</f>
        <v>0</v>
      </c>
      <c r="CF83" s="45">
        <f>EXP(-LN(2)/2)*CF82+(1-EXP(-LN(2)/2))/(LN(2)/2)*BZ83*CC83*VLOOKUP('Données projet'!$B$9,Paramètres!$A$1:$I$88,3,0)*0.475*44/12</f>
        <v>0</v>
      </c>
      <c r="CG83" s="46">
        <f t="shared" si="51"/>
        <v>0</v>
      </c>
      <c r="CH83" s="32" t="e">
        <f>VLOOKUP(A83,'Données projet'!$A$165:$I$185,2,0)</f>
        <v>#N/A</v>
      </c>
      <c r="CI83" s="33" t="e">
        <f>VLOOKUP(A83,'Données projet'!$A$165:$I$185,9,0)</f>
        <v>#N/A</v>
      </c>
      <c r="CJ83" s="33">
        <f t="array" ref="CJ83">INDEX(CI:CI,MIN(IF(ISNUMBER(CI83:CI279),ROW(CI83:CI279),"")))</f>
        <v>0</v>
      </c>
      <c r="CK83" s="33">
        <f t="shared" si="74"/>
        <v>0</v>
      </c>
      <c r="CL83" s="38" t="e">
        <f>CK83*VLOOKUP('Données projet'!$B$14,Paramètres!$A$1:$I$88,3,0)*VLOOKUP('Données projet'!$B$14,Paramètres!$A$1:$I$88,5,0)</f>
        <v>#N/A</v>
      </c>
      <c r="CM83" s="34" t="e">
        <f t="shared" si="75"/>
        <v>#N/A</v>
      </c>
      <c r="CN83" s="44" t="e">
        <f t="shared" si="52"/>
        <v>#N/A</v>
      </c>
      <c r="CO83" s="36">
        <f>IF(ISNA(VLOOKUP(A83,'Données projet'!$A$165:$I$185,3,0)),0,VLOOKUP(A83,'Données projet'!$A$165:$I$185,3,0))</f>
        <v>0</v>
      </c>
      <c r="CP83" s="36">
        <f>IF(ISNA(VLOOKUP(A83,'Données projet'!$A$165:$I$185,4,0)),0,VLOOKUP(A83,'Données projet'!$A$165:$I$185,4,0))</f>
        <v>0</v>
      </c>
      <c r="CQ83" s="37">
        <f>IF(ISNA(VLOOKUP(A83,'Données projet'!$A$165:$I$185,5,0)),0%,VLOOKUP(A83,'Données projet'!$A$165:$I$185,5,0)*VLOOKUP('Données projet'!$B$14,Paramètres!$A$1:$I$88,7,0))</f>
        <v>0</v>
      </c>
      <c r="CR83" s="37">
        <f>IF(ISNA(VLOOKUP(A83,'Données projet'!$A$165:$I$185,6,0)),0%,VLOOKUP(A83,'Données projet'!$A$165:$I$185,6,0)*VLOOKUP('Données projet'!$B$14,Paramètres!$A$1:$I$88,7,0))</f>
        <v>0</v>
      </c>
      <c r="CS83" s="37">
        <f>IF(ISNA(VLOOKUP(A83,'Données projet'!$A$165:$I$185,7,0)),0%,VLOOKUP(A83,'Données projet'!$A$165:$I$185,7,0))</f>
        <v>0</v>
      </c>
      <c r="CT83" s="45">
        <f>EXP(-LN(2)/35)*CT82+(1-EXP(-LN(2)/35))/(LN(2)/35)*CP83*CQ83*VLOOKUP('Données projet'!$B$9,Paramètres!$A$1:$I$88,3,0)*0.475*44/12</f>
        <v>0</v>
      </c>
      <c r="CU83" s="45">
        <f>EXP(-LN(2)/25)*CU82+(1-EXP(-LN(2)/25))/(LN(2)/25)*Calculateur!CP83*Calculateur!CR83*VLOOKUP('Données projet'!$B$9,Paramètres!$A$1:$I$88,3,0)*0.475*44/12</f>
        <v>0</v>
      </c>
      <c r="CV83" s="45">
        <f>EXP(-LN(2)/2)*CV82+(1-EXP(-LN(2)/2))/(LN(2)/2)*CP83*CS83*VLOOKUP('Données projet'!$B$9,Paramètres!$A$1:$I$88,3,0)*0.475*44/12</f>
        <v>0</v>
      </c>
      <c r="CW83" s="46">
        <f t="shared" si="53"/>
        <v>0</v>
      </c>
      <c r="CX83" s="32" t="e">
        <f>VLOOKUP(A83,'Données projet'!$A$191:$I$211,2,0)</f>
        <v>#N/A</v>
      </c>
      <c r="CY83" s="33" t="e">
        <f>VLOOKUP(A83,'Données projet'!$A$191:$I$211,9,0)</f>
        <v>#N/A</v>
      </c>
      <c r="CZ83" s="33">
        <f t="array" ref="CZ83">INDEX(CY:CY,MIN(IF(ISNUMBER(CY83:CY279),ROW(CY83:CY279),"")))</f>
        <v>0</v>
      </c>
      <c r="DA83" s="33">
        <f t="shared" si="76"/>
        <v>0</v>
      </c>
      <c r="DB83" s="38" t="e">
        <f>DA83*VLOOKUP('Données projet'!$B$15,Paramètres!$A$1:$I$88,3,0)*VLOOKUP('Données projet'!$B$15,Paramètres!$A$1:$I$88,5,0)</f>
        <v>#N/A</v>
      </c>
      <c r="DC83" s="34" t="e">
        <f t="shared" si="77"/>
        <v>#N/A</v>
      </c>
      <c r="DD83" s="44" t="e">
        <f t="shared" si="54"/>
        <v>#N/A</v>
      </c>
      <c r="DE83" s="36">
        <f>IF(ISNA(VLOOKUP(A83,'Données projet'!$A$191:$I$211,3,0)),0,VLOOKUP(A83,'Données projet'!$A$191:$I$211,3,0))</f>
        <v>0</v>
      </c>
      <c r="DF83" s="36">
        <f>IF(ISNA(VLOOKUP(A83,'Données projet'!$A$191:$I$211,4,0)),0,VLOOKUP(A83,'Données projet'!$A$191:$I$211,4,0))</f>
        <v>0</v>
      </c>
      <c r="DG83" s="37">
        <f>IF(ISNA(VLOOKUP(A83,'Données projet'!$A$191:$I$211,5,0)),0%,VLOOKUP(A83,'Données projet'!$A$191:$I$211,5,0)*VLOOKUP('Données projet'!$B$15,Paramètres!$A$1:$I$88,7,0))</f>
        <v>0</v>
      </c>
      <c r="DH83" s="37">
        <f>IF(ISNA(VLOOKUP(A83,'Données projet'!$A$191:$I$211,6,0)),0%,VLOOKUP(A83,'Données projet'!$A$191:$I$211,6,0)*VLOOKUP('Données projet'!$B$15,Paramètres!$A$1:$I$88,7,0))</f>
        <v>0</v>
      </c>
      <c r="DI83" s="37">
        <f>IF(ISNA(VLOOKUP(A83,'Données projet'!$A$191:$I$211,7,0)),0%,VLOOKUP(A83,'Données projet'!$A$191:$I$211,7,0))</f>
        <v>0</v>
      </c>
      <c r="DJ83" s="45">
        <f>EXP(-LN(2)/35)*DJ82+(1-EXP(-LN(2)/35))/(LN(2)/35)*DF83*DG83*VLOOKUP('Données projet'!$B$9,Paramètres!$A$1:$I$88,3,0)*0.475*44/12</f>
        <v>0</v>
      </c>
      <c r="DK83" s="45">
        <f>EXP(-LN(2)/25)*DK82+(1-EXP(-LN(2)/25))/(LN(2)/25)*Calculateur!DF83*Calculateur!DH83*VLOOKUP('Données projet'!$B$9,Paramètres!$A$1:$I$88,3,0)*0.475*44/12</f>
        <v>0</v>
      </c>
      <c r="DL83" s="45">
        <f>EXP(-LN(2)/2)*DL82+(1-EXP(-LN(2)/2))/(LN(2)/2)*DF83*DI83*VLOOKUP('Données projet'!$B$9,Paramètres!$A$1:$I$88,3,0)*0.475*44/12</f>
        <v>0</v>
      </c>
      <c r="DM83" s="46">
        <f t="shared" si="55"/>
        <v>0</v>
      </c>
      <c r="DN83" s="32" t="e">
        <f>VLOOKUP(A83,'Données projet'!$A$217:$I$237,2,0)</f>
        <v>#N/A</v>
      </c>
      <c r="DO83" s="33" t="e">
        <f>VLOOKUP(A83,'Données projet'!$A$217:$I$237,9,0)</f>
        <v>#N/A</v>
      </c>
      <c r="DP83" s="33">
        <f t="array" ref="DP83">INDEX(DO:DO,MIN(IF(ISNUMBER(DO83:DO279),ROW(DO83:DO279),"")))</f>
        <v>0</v>
      </c>
      <c r="DQ83" s="33">
        <f t="shared" si="78"/>
        <v>0</v>
      </c>
      <c r="DR83" s="38" t="e">
        <f>DQ83*VLOOKUP('Données projet'!$B$16,Paramètres!$A$1:$I$88,3,0)*VLOOKUP('Données projet'!$B$16,Paramètres!$A$1:$I$88,5,0)</f>
        <v>#N/A</v>
      </c>
      <c r="DS83" s="34" t="e">
        <f t="shared" si="79"/>
        <v>#N/A</v>
      </c>
      <c r="DT83" s="44" t="e">
        <f t="shared" si="56"/>
        <v>#N/A</v>
      </c>
      <c r="DU83" s="36">
        <f>IF(ISNA(VLOOKUP(A83,'Données projet'!$A$217:$I$237,3,0)),0,VLOOKUP(A83,'Données projet'!$A$217:$I$237,3,0))</f>
        <v>0</v>
      </c>
      <c r="DV83" s="36">
        <f>IF(ISNA(VLOOKUP(A83,'Données projet'!$A$217:$I$237,4,0)),0,VLOOKUP(A83,'Données projet'!$A$217:$I$237,4,0))</f>
        <v>0</v>
      </c>
      <c r="DW83" s="37">
        <f>IF(ISNA(VLOOKUP(A83,'Données projet'!$A$217:$I$237,5,0)),0%,VLOOKUP(A83,'Données projet'!$A$217:$I$237,5,0)*VLOOKUP('Données projet'!$B$16,Paramètres!$A$1:$I$88,7,0))</f>
        <v>0</v>
      </c>
      <c r="DX83" s="37">
        <f>IF(ISNA(VLOOKUP(A83,'Données projet'!$A$217:$I$237,6,0)),0%,VLOOKUP(A83,'Données projet'!$A$217:$I$237,6,0)*VLOOKUP('Données projet'!$B$16,Paramètres!$A$1:$I$88,7,0))</f>
        <v>0</v>
      </c>
      <c r="DY83" s="37">
        <f>IF(ISNA(VLOOKUP(A83,'Données projet'!$A$217:$I$237,7,0)),0%,VLOOKUP(A83,'Données projet'!$A$217:$I$237,7,0))</f>
        <v>0</v>
      </c>
      <c r="DZ83" s="45">
        <f>EXP(-LN(2)/35)*DZ82+(1-EXP(-LN(2)/35))/(LN(2)/35)*DV83*DW83*VLOOKUP('Données projet'!$B$9,Paramètres!$A$1:$I$88,3,0)*0.475*44/12</f>
        <v>0</v>
      </c>
      <c r="EA83" s="45">
        <f>EXP(-LN(2)/25)*EA82+(1-EXP(-LN(2)/25))/(LN(2)/25)*Calculateur!DV83*Calculateur!DX83*VLOOKUP('Données projet'!$B$9,Paramètres!$A$1:$I$88,3,0)*0.475*44/12</f>
        <v>0</v>
      </c>
      <c r="EB83" s="45">
        <f>EXP(-LN(2)/2)*EB82+(1-EXP(-LN(2)/2))/(LN(2)/2)*DV83*DY83*VLOOKUP('Données projet'!$B$9,Paramètres!$A$1:$I$88,3,0)*0.475*44/12</f>
        <v>0</v>
      </c>
      <c r="EC83" s="46">
        <f t="shared" si="57"/>
        <v>0</v>
      </c>
      <c r="ED83" s="32" t="e">
        <f>VLOOKUP(A83,'Données projet'!$A$243:$I$263,2,0)</f>
        <v>#N/A</v>
      </c>
      <c r="EE83" s="33" t="e">
        <f>VLOOKUP(A83,'Données projet'!$A$243:$I$263,9,0)</f>
        <v>#N/A</v>
      </c>
      <c r="EF83" s="33">
        <f t="array" ref="EF83">INDEX(EE:EE,MIN(IF(ISNUMBER(EE83:EE279),ROW(EE83:EE279),"")))</f>
        <v>0</v>
      </c>
      <c r="EG83" s="33">
        <f t="shared" si="80"/>
        <v>0</v>
      </c>
      <c r="EH83" s="38" t="e">
        <f>EG83*VLOOKUP('Données projet'!$B$17,Paramètres!$A$1:$I$88,3,0)*VLOOKUP('Données projet'!$B$17,Paramètres!$A$1:$I$88,5,0)</f>
        <v>#N/A</v>
      </c>
      <c r="EI83" s="34" t="e">
        <f t="shared" si="81"/>
        <v>#N/A</v>
      </c>
      <c r="EJ83" s="44" t="e">
        <f t="shared" si="58"/>
        <v>#N/A</v>
      </c>
      <c r="EK83" s="36">
        <f>IF(ISNA(VLOOKUP(A83,'Données projet'!$A$243:$I$263,3,0)),0,VLOOKUP(A83,'Données projet'!$A$243:$I$263,3,0))</f>
        <v>0</v>
      </c>
      <c r="EL83" s="36">
        <f>IF(ISNA(VLOOKUP(A83,'Données projet'!$A$243:$I$263,4,0)),0,VLOOKUP(A83,'Données projet'!$A$243:$I$263,4,0))</f>
        <v>0</v>
      </c>
      <c r="EM83" s="37">
        <f>IF(ISNA(VLOOKUP(A83,'Données projet'!$A$243:$I$263,5,0)),0%,VLOOKUP(A83,'Données projet'!$A$243:$I$263,5,0)*VLOOKUP('Données projet'!$B$17,Paramètres!$A$1:$I$88,7,0))</f>
        <v>0</v>
      </c>
      <c r="EN83" s="37">
        <f>IF(ISNA(VLOOKUP(A83,'Données projet'!$A$243:$I$263,6,0)),0%,VLOOKUP(A83,'Données projet'!$A$243:$I$263,6,0)*VLOOKUP('Données projet'!$B$17,Paramètres!$A$1:$I$88,7,0))</f>
        <v>0</v>
      </c>
      <c r="EO83" s="37">
        <f>IF(ISNA(VLOOKUP(A83,'Données projet'!$A$243:$I$263,7,0)),0%,VLOOKUP(A83,'Données projet'!$A$243:$I$263,7,0))</f>
        <v>0</v>
      </c>
      <c r="EP83" s="45">
        <f>EXP(-LN(2)/35)*EP82+(1-EXP(-LN(2)/35))/(LN(2)/35)*EL83*EM83*VLOOKUP('Données projet'!$B$9,Paramètres!$A$1:$I$88,3,0)*0.475*44/12</f>
        <v>0</v>
      </c>
      <c r="EQ83" s="45">
        <f>EXP(-LN(2)/25)*EQ82+(1-EXP(-LN(2)/25))/(LN(2)/25)*Calculateur!EL83*Calculateur!EN83*VLOOKUP('Données projet'!$B$9,Paramètres!$A$1:$I$88,3,0)*0.475*44/12</f>
        <v>0</v>
      </c>
      <c r="ER83" s="45">
        <f>EXP(-LN(2)/2)*ER82+(1-EXP(-LN(2)/2))/(LN(2)/2)*EL83*EO83*VLOOKUP('Données projet'!$B$9,Paramètres!$A$1:$I$88,3,0)*0.475*44/12</f>
        <v>0</v>
      </c>
      <c r="ES83" s="46">
        <f t="shared" si="59"/>
        <v>0</v>
      </c>
      <c r="ET83" s="32" t="e">
        <f>VLOOKUP(A83,'Données projet'!$A$269:$I$289,2,0)</f>
        <v>#N/A</v>
      </c>
      <c r="EU83" s="33" t="e">
        <f>VLOOKUP(A83,'Données projet'!$A$269:$I$289,9,0)</f>
        <v>#N/A</v>
      </c>
      <c r="EV83" s="33">
        <f t="array" ref="EV83">INDEX(EU:EU,MIN(IF(ISNUMBER(EU83:EU279),ROW(EU83:EU279),"")))</f>
        <v>0</v>
      </c>
      <c r="EW83" s="33">
        <f t="shared" si="82"/>
        <v>0</v>
      </c>
      <c r="EX83" s="38" t="e">
        <f>EW83*VLOOKUP('Données projet'!$B$18,Paramètres!$A$1:$I$88,3,0)*VLOOKUP('Données projet'!$B$18,Paramètres!$A$1:$I$88,5,0)</f>
        <v>#N/A</v>
      </c>
      <c r="EY83" s="34" t="e">
        <f t="shared" si="83"/>
        <v>#N/A</v>
      </c>
      <c r="EZ83" s="44" t="e">
        <f t="shared" si="60"/>
        <v>#N/A</v>
      </c>
      <c r="FA83" s="36">
        <f>IF(ISNA(VLOOKUP(A83,'Données projet'!$A$269:$I$289,3,0)),0,VLOOKUP(A83,'Données projet'!$A$269:$I$289,3,0))</f>
        <v>0</v>
      </c>
      <c r="FB83" s="36">
        <f>IF(ISNA(VLOOKUP(A83,'Données projet'!$A$269:$I$289,4,0)),0,VLOOKUP(A83,'Données projet'!$A$269:$I$289,4,0))</f>
        <v>0</v>
      </c>
      <c r="FC83" s="37">
        <f>IF(ISNA(VLOOKUP(A83,'Données projet'!$A$269:$I$289,5,0)),0%,VLOOKUP(A83,'Données projet'!$A$269:$I$289,5,0)*VLOOKUP('Données projet'!$B$18,Paramètres!$A$1:$I$88,7,0))</f>
        <v>0</v>
      </c>
      <c r="FD83" s="37">
        <f>IF(ISNA(VLOOKUP(A83,'Données projet'!$A$269:$I$289,6,0)),0%,VLOOKUP(A83,'Données projet'!$A$269:$I$289,6,0)*VLOOKUP('Données projet'!$B$18,Paramètres!$A$1:$I$88,7,0))</f>
        <v>0</v>
      </c>
      <c r="FE83" s="37">
        <f>IF(ISNA(VLOOKUP(A83,'Données projet'!$A$269:$I$289,7,0)),0%,VLOOKUP(A83,'Données projet'!$A$269:$I$289,7,0))</f>
        <v>0</v>
      </c>
      <c r="FF83" s="45">
        <f>EXP(-LN(2)/35)*FF82+(1-EXP(-LN(2)/35))/(LN(2)/35)*FB83*FC83*VLOOKUP('Données projet'!$B$9,Paramètres!$A$1:$I$88,3,0)*0.475*44/12</f>
        <v>0</v>
      </c>
      <c r="FG83" s="45">
        <f>EXP(-LN(2)/25)*FG82+(1-EXP(-LN(2)/25))/(LN(2)/25)*Calculateur!FB83*Calculateur!FD83*VLOOKUP('Données projet'!$B$9,Paramètres!$A$1:$I$88,3,0)*0.475*44/12</f>
        <v>0</v>
      </c>
      <c r="FH83" s="45">
        <f>EXP(-LN(2)/2)*FH82+(1-EXP(-LN(2)/2))/(LN(2)/2)*FB83*FE83*VLOOKUP('Données projet'!$B$9,Paramètres!$A$1:$I$88,3,0)*0.475*44/12</f>
        <v>0</v>
      </c>
      <c r="FI83" s="46">
        <f t="shared" si="61"/>
        <v>0</v>
      </c>
    </row>
    <row r="84" spans="1:165" x14ac:dyDescent="0.25">
      <c r="A84" s="24">
        <f t="shared" si="62"/>
        <v>81</v>
      </c>
      <c r="B84" s="25">
        <f>IF('Scénario référence'!$N$1=1,5,0)</f>
        <v>0</v>
      </c>
      <c r="C84" s="40">
        <f>IF(OR('Scénario référence'!$N$1=2,'Scénario référence'!$N$1=4),C83+1*VLOOKUP('Scénario référence'!$G$14,Paramètres!$A$1:$I$88,3,0)*VLOOKUP('Scénario référence'!$G$14,Paramètres!$A$1:$I$88,5,0),IF(OR('Scénario référence'!$N$1=3,'Scénario référence'!$N$1=5),C83+0.5*VLOOKUP('Scénario référence'!$G$14,Paramètres!$A$1:$I$88,3,0)*VLOOKUP('Scénario référence'!$G$14,Paramètres!$A$1:$I$88,5,0),0))</f>
        <v>44.225999999999964</v>
      </c>
      <c r="D84" s="26">
        <f t="shared" si="63"/>
        <v>13.112117930994097</v>
      </c>
      <c r="E84" s="27">
        <f>IF('Scénario référence'!$N$1=1,B84*44/12,(C84+D84)*0.475*44/12)</f>
        <v>99.863888729814661</v>
      </c>
      <c r="F84" s="28" t="e">
        <f>VLOOKUP(A84,'Données projet'!$A$35:$I$55,2,0)</f>
        <v>#N/A</v>
      </c>
      <c r="G84" s="28" t="e">
        <f>VLOOKUP(A84,'Données projet'!$A$35:$I$55,9,0)</f>
        <v>#N/A</v>
      </c>
      <c r="H84" s="33">
        <f t="array" ref="H84">INDEX(G:G,MIN(IF(ISNUMBER(G84:G280),ROW(G84:G280),"")))</f>
        <v>5.9</v>
      </c>
      <c r="I84" s="28">
        <f t="shared" si="64"/>
        <v>266.39999999999986</v>
      </c>
      <c r="J84" s="41">
        <f>I84*VLOOKUP('Données projet'!$B$9,Paramètres!$A$1:$I$88,3,0)*VLOOKUP('Données projet'!$B$9,Paramètres!$A$1:$I$88,5,0)</f>
        <v>270.12959999999987</v>
      </c>
      <c r="K84" s="41">
        <f t="shared" si="65"/>
        <v>64.876772910497735</v>
      </c>
      <c r="L84" s="42">
        <f t="shared" si="42"/>
        <v>583.46943281911661</v>
      </c>
      <c r="M84" s="30">
        <f>IF(ISNA(VLOOKUP(A84,'Données projet'!$A$35:$I$55,3,0)),0,VLOOKUP(A84,'Données projet'!$A$35:$I$55,3,0))</f>
        <v>0</v>
      </c>
      <c r="N84" s="30">
        <f>IF(ISNA(VLOOKUP(A84,'Données projet'!$A$35:$I$55,4,0)),0,VLOOKUP(A84,'Données projet'!$A$35:$I$55,4,0))</f>
        <v>0</v>
      </c>
      <c r="O84" s="31">
        <f>IF(ISNA(VLOOKUP(A84,'Données projet'!$A$35:$I$55,5,0)),0%,VLOOKUP(A84,'Données projet'!$A$35:$I$55,5,0)*VLOOKUP('Données projet'!$B$9,Paramètres!$A$1:$I$88,7,0))</f>
        <v>0</v>
      </c>
      <c r="P84" s="31">
        <f>IF(ISNA(VLOOKUP(A84,'Données projet'!$A$35:$I$55,6,0)),0%,VLOOKUP(A84,'Données projet'!$A$35:$I$55,6,0)*VLOOKUP('Données projet'!$B$9,Paramètres!$A$1:$I$88,7,0))</f>
        <v>0</v>
      </c>
      <c r="Q84" s="31">
        <f>IF(ISNA(VLOOKUP(A84,'Données projet'!$A$35:$I$55,7,0)),0%,VLOOKUP(A84,'Données projet'!$A$35:$I$55,7,0))</f>
        <v>0</v>
      </c>
      <c r="R84" s="43">
        <f>EXP(-LN(2)/35)*R83+(1-EXP(-LN(2)/35))/(LN(2)/35)*N84*O84*VLOOKUP('Données projet'!$B$9,Paramètres!$A$1:$I$88,3,0)*0.475*44/12</f>
        <v>0</v>
      </c>
      <c r="S84" s="43">
        <f>EXP(-LN(2)/25)*S83+(1-EXP(-LN(2)/25))/(LN(2)/25)*Calculateur!N84*Calculateur!P84*VLOOKUP('Données projet'!$B$9,Paramètres!$A$1:$I$88,3,0)*0.475*44/12</f>
        <v>0</v>
      </c>
      <c r="T84" s="43">
        <f>EXP(-LN(2)/2)*T83+(1-EXP(-LN(2)/2))/(LN(2)/2)*N84*Q84*VLOOKUP('Données projet'!$B$9,Paramètres!$A$1:$I$88,3,0)*0.475*44/12</f>
        <v>0</v>
      </c>
      <c r="U84" s="43">
        <f t="shared" si="43"/>
        <v>0</v>
      </c>
      <c r="V84" s="32" t="e">
        <f>VLOOKUP(A84,'Données projet'!$A$61:$I$81,2,0)</f>
        <v>#N/A</v>
      </c>
      <c r="W84" s="33" t="e">
        <f>VLOOKUP(A84,'Données projet'!$A$61:$I$81,9,0)</f>
        <v>#N/A</v>
      </c>
      <c r="X84" s="33">
        <f t="array" ref="X84">INDEX(W:W,MIN(IF(ISNUMBER(W84:W280),ROW(W84:W280),"")))</f>
        <v>0</v>
      </c>
      <c r="Y84" s="33">
        <f t="shared" si="66"/>
        <v>0</v>
      </c>
      <c r="Z84" s="34" t="e">
        <f>Y84*VLOOKUP('Données projet'!$B$10,Paramètres!$A$1:$I$88,3,0)*VLOOKUP('Données projet'!$B$10,Paramètres!$A$1:$I$88,5,0)</f>
        <v>#N/A</v>
      </c>
      <c r="AA84" s="34" t="e">
        <f t="shared" si="67"/>
        <v>#N/A</v>
      </c>
      <c r="AB84" s="44" t="e">
        <f t="shared" si="44"/>
        <v>#N/A</v>
      </c>
      <c r="AC84" s="36">
        <f>IF(ISNA(VLOOKUP(A84,'Données projet'!$A$61:$I$81,3,0)),0,VLOOKUP(A84,'Données projet'!$A$61:$I$81,3,0))</f>
        <v>0</v>
      </c>
      <c r="AD84" s="36">
        <f>IF(ISNA(VLOOKUP(A84,'Données projet'!$A$61:$I$81,4,0)),0,VLOOKUP(A84,'Données projet'!$A$61:$I$81,4,0))</f>
        <v>0</v>
      </c>
      <c r="AE84" s="37">
        <f>IF(ISNA(VLOOKUP(A84,'Données projet'!$A$61:$I$81,5,0)),0%,VLOOKUP(A84,'Données projet'!$A$61:$I$81,5,0)*VLOOKUP('Données projet'!$B$10,Paramètres!$A$1:$I$88,7,0))</f>
        <v>0</v>
      </c>
      <c r="AF84" s="37">
        <f>IF(ISNA(VLOOKUP(A84,'Données projet'!$A$61:$I$81,6,0)),0%,VLOOKUP(A84,'Données projet'!$A$61:$I$81,6,0)*VLOOKUP('Données projet'!$B$10,Paramètres!$A$1:$I$88,7,0))</f>
        <v>0</v>
      </c>
      <c r="AG84" s="37">
        <f>IF(ISNA(VLOOKUP(A84,'Données projet'!$A$61:$I$81,7,0)),0%,VLOOKUP(A84,'Données projet'!$A$61:$I$81,7,0))</f>
        <v>0</v>
      </c>
      <c r="AH84" s="45">
        <f>EXP(-LN(2)/35)*AH83+(1-EXP(-LN(2)/35))/(LN(2)/35)*AD84*AE84*VLOOKUP('Données projet'!$B$9,Paramètres!$A$1:$I$88,3,0)*0.475*44/12</f>
        <v>0</v>
      </c>
      <c r="AI84" s="45">
        <f>EXP(-LN(2)/25)*AI83+(1-EXP(-LN(2)/25))/(LN(2)/25)*Calculateur!AD84*Calculateur!AF84*VLOOKUP('Données projet'!$B$9,Paramètres!$A$1:$I$88,3,0)*0.475*44/12</f>
        <v>0</v>
      </c>
      <c r="AJ84" s="45">
        <f>EXP(-LN(2)/2)*AJ83+(1-EXP(-LN(2)/2))/(LN(2)/2)*AD84*AG84*VLOOKUP('Données projet'!$B$9,Paramètres!$A$1:$I$88,3,0)*0.475*44/12</f>
        <v>0</v>
      </c>
      <c r="AK84" s="45">
        <f t="shared" si="45"/>
        <v>0</v>
      </c>
      <c r="AL84" s="32" t="e">
        <f>VLOOKUP(A84,'Données projet'!$A$87:$I$107,2,0)</f>
        <v>#N/A</v>
      </c>
      <c r="AM84" s="33" t="e">
        <f>VLOOKUP(A84,'Données projet'!$A$87:$I$107,9,0)</f>
        <v>#N/A</v>
      </c>
      <c r="AN84" s="33">
        <f t="array" ref="AN84">INDEX(AM:AM,MIN(IF(ISNUMBER(AM84:AM280),ROW(AM84:AM280),"")))</f>
        <v>0</v>
      </c>
      <c r="AO84" s="33">
        <f t="shared" si="68"/>
        <v>0</v>
      </c>
      <c r="AP84" s="34" t="e">
        <f>AO84*VLOOKUP('Données projet'!$B$11,Paramètres!$A$1:$I$88,3,0)*VLOOKUP('Données projet'!$B$11,Paramètres!$A$1:$I$88,5,0)</f>
        <v>#N/A</v>
      </c>
      <c r="AQ84" s="34" t="e">
        <f t="shared" si="69"/>
        <v>#N/A</v>
      </c>
      <c r="AR84" s="44" t="e">
        <f t="shared" si="46"/>
        <v>#N/A</v>
      </c>
      <c r="AS84" s="36">
        <f>IF(ISNA(VLOOKUP(A84,'Données projet'!$A$87:$I$107,3,0)),0,VLOOKUP(A84,'Données projet'!$A$87:$I$107,3,0))</f>
        <v>0</v>
      </c>
      <c r="AT84" s="36">
        <f>IF(ISNA(VLOOKUP(A84,'Données projet'!$A$87:$I$107,4,0)),0,VLOOKUP(A84,'Données projet'!$A$87:$I$107,4,0))</f>
        <v>0</v>
      </c>
      <c r="AU84" s="37">
        <f>IF(ISNA(VLOOKUP(A84,'Données projet'!$A$87:$I$107,5,0)),0%,VLOOKUP(A84,'Données projet'!$A$87:$I$107,5,0)*VLOOKUP('Données projet'!$B$11,Paramètres!$A$1:$I$88,7,0))</f>
        <v>0</v>
      </c>
      <c r="AV84" s="37">
        <f>IF(ISNA(VLOOKUP(A84,'Données projet'!$A$87:$I$107,6,0)),0%,VLOOKUP(A84,'Données projet'!$A$87:$I$107,6,0)*VLOOKUP('Données projet'!$B$11,Paramètres!$A$1:$I$88,7,0))</f>
        <v>0</v>
      </c>
      <c r="AW84" s="37">
        <f>IF(ISNA(VLOOKUP(A84,'Données projet'!$A$87:$I$107,7,0)),0%,VLOOKUP(A84,'Données projet'!$A$87:$I$107,7,0))</f>
        <v>0</v>
      </c>
      <c r="AX84" s="45">
        <f>EXP(-LN(2)/35)*AX83+(1-EXP(-LN(2)/35))/(LN(2)/35)*AT84*AU84*VLOOKUP('Données projet'!$B$9,Paramètres!$A$1:$I$88,3,0)*0.475*44/12</f>
        <v>0</v>
      </c>
      <c r="AY84" s="45">
        <f>EXP(-LN(2)/25)*AY83+(1-EXP(-LN(2)/25))/(LN(2)/25)*Calculateur!AT84*Calculateur!AV84*VLOOKUP('Données projet'!$B$9,Paramètres!$A$1:$I$88,3,0)*0.475*44/12</f>
        <v>0</v>
      </c>
      <c r="AZ84" s="45">
        <f>EXP(-LN(2)/2)*AZ83+(1-EXP(-LN(2)/2))/(LN(2)/2)*AT84*AW84*VLOOKUP('Données projet'!$B$9,Paramètres!$A$1:$I$88,3,0)*0.475*44/12</f>
        <v>0</v>
      </c>
      <c r="BA84" s="46">
        <f t="shared" si="47"/>
        <v>0</v>
      </c>
      <c r="BB84" s="32" t="e">
        <f>VLOOKUP(A84,'Données projet'!$A$113:$I$133,2,0)</f>
        <v>#N/A</v>
      </c>
      <c r="BC84" s="33" t="e">
        <f>VLOOKUP(A84,'Données projet'!$A$113:$I$133,9,0)</f>
        <v>#N/A</v>
      </c>
      <c r="BD84" s="33">
        <f t="array" ref="BD84">INDEX(BC:BC,MIN(IF(ISNUMBER(BC84:BC280),ROW(BC84:BC280),"")))</f>
        <v>0</v>
      </c>
      <c r="BE84" s="33">
        <f t="shared" si="70"/>
        <v>0</v>
      </c>
      <c r="BF84" s="34" t="e">
        <f>BE84*VLOOKUP('Données projet'!$B$12,Paramètres!$A$1:$I$88,3,0)*VLOOKUP('Données projet'!$B$12,Paramètres!$A$1:$I$88,5,0)</f>
        <v>#N/A</v>
      </c>
      <c r="BG84" s="34" t="e">
        <f t="shared" si="71"/>
        <v>#N/A</v>
      </c>
      <c r="BH84" s="44" t="e">
        <f t="shared" si="48"/>
        <v>#N/A</v>
      </c>
      <c r="BI84" s="36">
        <f>IF(ISNA(VLOOKUP(A84,'Données projet'!$A$113:$I$133,3,0)),0,VLOOKUP(A84,'Données projet'!$A$113:$I$133,3,0))</f>
        <v>0</v>
      </c>
      <c r="BJ84" s="36">
        <f>IF(ISNA(VLOOKUP(A84,'Données projet'!$A$113:$I$133,4,0)),0,VLOOKUP(A84,'Données projet'!$A$113:$I$133,4,0))</f>
        <v>0</v>
      </c>
      <c r="BK84" s="37">
        <f>IF(ISNA(VLOOKUP(A84,'Données projet'!$A$113:$I$133,5,0)),0%,VLOOKUP(A84,'Données projet'!$A$113:$I$133,5,0)*VLOOKUP('Données projet'!$B$12,Paramètres!$A$1:$I$88,7,0))</f>
        <v>0</v>
      </c>
      <c r="BL84" s="37">
        <f>IF(ISNA(VLOOKUP(A84,'Données projet'!$A$113:$I$133,6,0)),0%,VLOOKUP(A84,'Données projet'!$A$113:$I$133,6,0)*VLOOKUP('Données projet'!$B$12,Paramètres!$A$1:$I$88,7,0))</f>
        <v>0</v>
      </c>
      <c r="BM84" s="37">
        <f>IF(ISNA(VLOOKUP(A84,'Données projet'!$A$113:$I$133,7,0)),0%,VLOOKUP(A84,'Données projet'!$A$113:$I$133,7,0))</f>
        <v>0</v>
      </c>
      <c r="BN84" s="45">
        <f>EXP(-LN(2)/35)*BN83+(1-EXP(-LN(2)/35))/(LN(2)/35)*BJ84*BK84*VLOOKUP('Données projet'!$B$9,Paramètres!$A$1:$I$88,3,0)*0.475*44/12</f>
        <v>0</v>
      </c>
      <c r="BO84" s="45">
        <f>EXP(-LN(2)/25)*BO83+(1-EXP(-LN(2)/25))/(LN(2)/25)*Calculateur!BJ84*Calculateur!BL84*VLOOKUP('Données projet'!$B$9,Paramètres!$A$1:$I$88,3,0)*0.475*44/12</f>
        <v>0</v>
      </c>
      <c r="BP84" s="45">
        <f>EXP(-LN(2)/2)*BP83+(1-EXP(-LN(2)/2))/(LN(2)/2)*BJ84*BM84*VLOOKUP('Données projet'!$B$9,Paramètres!$A$1:$I$88,3,0)*0.475*44/12</f>
        <v>0</v>
      </c>
      <c r="BQ84" s="46">
        <f t="shared" si="49"/>
        <v>0</v>
      </c>
      <c r="BR84" s="32" t="e">
        <f>VLOOKUP(A84,'Données projet'!$A$139:$I$159,2,0)</f>
        <v>#N/A</v>
      </c>
      <c r="BS84" s="33" t="e">
        <f>VLOOKUP(A84,'Données projet'!$A$139:$I$159,9,0)</f>
        <v>#N/A</v>
      </c>
      <c r="BT84" s="33">
        <f t="array" ref="BT84">INDEX(BS:BS,MIN(IF(ISNUMBER(BS84:BS280),ROW(BS84:BS280),"")))</f>
        <v>0</v>
      </c>
      <c r="BU84" s="33">
        <f t="shared" si="72"/>
        <v>0</v>
      </c>
      <c r="BV84" s="38" t="e">
        <f>BU84*VLOOKUP('Données projet'!$B$13,Paramètres!$A$1:$I$88,3,0)*VLOOKUP('Données projet'!$B$13,Paramètres!$A$1:$I$88,5,0)</f>
        <v>#N/A</v>
      </c>
      <c r="BW84" s="34" t="e">
        <f t="shared" si="73"/>
        <v>#N/A</v>
      </c>
      <c r="BX84" s="44" t="e">
        <f t="shared" si="50"/>
        <v>#N/A</v>
      </c>
      <c r="BY84" s="36">
        <f>IF(ISNA(VLOOKUP(A84,'Données projet'!$A$139:$I$159,3,0)),0,VLOOKUP(A84,'Données projet'!$A$139:$I$159,3,0))</f>
        <v>0</v>
      </c>
      <c r="BZ84" s="36">
        <f>IF(ISNA(VLOOKUP(A84,'Données projet'!$A$139:$I$159,4,0)),0,VLOOKUP(A84,'Données projet'!$A$139:$I$159,4,0))</f>
        <v>0</v>
      </c>
      <c r="CA84" s="37">
        <f>IF(ISNA(VLOOKUP(A84,'Données projet'!$A$139:$I$159,5,0)),0%,VLOOKUP(A84,'Données projet'!$A$139:$I$159,5,0)*VLOOKUP('Données projet'!$B$13,Paramètres!$A$1:$I$88,7,0))</f>
        <v>0</v>
      </c>
      <c r="CB84" s="37">
        <f>IF(ISNA(VLOOKUP(A84,'Données projet'!$A$139:$I$159,6,0)),0%,VLOOKUP(A84,'Données projet'!$A$139:$I$159,6,0)*VLOOKUP('Données projet'!$B$13,Paramètres!$A$1:$I$88,7,0))</f>
        <v>0</v>
      </c>
      <c r="CC84" s="37">
        <f>IF(ISNA(VLOOKUP(A84,'Données projet'!$A$139:$I$159,7,0)),0%,VLOOKUP(A84,'Données projet'!$A$139:$I$159,7,0))</f>
        <v>0</v>
      </c>
      <c r="CD84" s="45">
        <f>EXP(-LN(2)/35)*CD83+(1-EXP(-LN(2)/35))/(LN(2)/35)*BZ84*CA84*VLOOKUP('Données projet'!$B$9,Paramètres!$A$1:$I$88,3,0)*0.475*44/12</f>
        <v>0</v>
      </c>
      <c r="CE84" s="45">
        <f>EXP(-LN(2)/25)*CE83+(1-EXP(-LN(2)/25))/(LN(2)/25)*Calculateur!BZ84*Calculateur!CB84*VLOOKUP('Données projet'!$B$9,Paramètres!$A$1:$I$88,3,0)*0.475*44/12</f>
        <v>0</v>
      </c>
      <c r="CF84" s="45">
        <f>EXP(-LN(2)/2)*CF83+(1-EXP(-LN(2)/2))/(LN(2)/2)*BZ84*CC84*VLOOKUP('Données projet'!$B$9,Paramètres!$A$1:$I$88,3,0)*0.475*44/12</f>
        <v>0</v>
      </c>
      <c r="CG84" s="46">
        <f t="shared" si="51"/>
        <v>0</v>
      </c>
      <c r="CH84" s="32" t="e">
        <f>VLOOKUP(A84,'Données projet'!$A$165:$I$185,2,0)</f>
        <v>#N/A</v>
      </c>
      <c r="CI84" s="33" t="e">
        <f>VLOOKUP(A84,'Données projet'!$A$165:$I$185,9,0)</f>
        <v>#N/A</v>
      </c>
      <c r="CJ84" s="33">
        <f t="array" ref="CJ84">INDEX(CI:CI,MIN(IF(ISNUMBER(CI84:CI280),ROW(CI84:CI280),"")))</f>
        <v>0</v>
      </c>
      <c r="CK84" s="33">
        <f t="shared" si="74"/>
        <v>0</v>
      </c>
      <c r="CL84" s="38" t="e">
        <f>CK84*VLOOKUP('Données projet'!$B$14,Paramètres!$A$1:$I$88,3,0)*VLOOKUP('Données projet'!$B$14,Paramètres!$A$1:$I$88,5,0)</f>
        <v>#N/A</v>
      </c>
      <c r="CM84" s="34" t="e">
        <f t="shared" si="75"/>
        <v>#N/A</v>
      </c>
      <c r="CN84" s="44" t="e">
        <f t="shared" si="52"/>
        <v>#N/A</v>
      </c>
      <c r="CO84" s="36">
        <f>IF(ISNA(VLOOKUP(A84,'Données projet'!$A$165:$I$185,3,0)),0,VLOOKUP(A84,'Données projet'!$A$165:$I$185,3,0))</f>
        <v>0</v>
      </c>
      <c r="CP84" s="36">
        <f>IF(ISNA(VLOOKUP(A84,'Données projet'!$A$165:$I$185,4,0)),0,VLOOKUP(A84,'Données projet'!$A$165:$I$185,4,0))</f>
        <v>0</v>
      </c>
      <c r="CQ84" s="37">
        <f>IF(ISNA(VLOOKUP(A84,'Données projet'!$A$165:$I$185,5,0)),0%,VLOOKUP(A84,'Données projet'!$A$165:$I$185,5,0)*VLOOKUP('Données projet'!$B$14,Paramètres!$A$1:$I$88,7,0))</f>
        <v>0</v>
      </c>
      <c r="CR84" s="37">
        <f>IF(ISNA(VLOOKUP(A84,'Données projet'!$A$165:$I$185,6,0)),0%,VLOOKUP(A84,'Données projet'!$A$165:$I$185,6,0)*VLOOKUP('Données projet'!$B$14,Paramètres!$A$1:$I$88,7,0))</f>
        <v>0</v>
      </c>
      <c r="CS84" s="37">
        <f>IF(ISNA(VLOOKUP(A84,'Données projet'!$A$165:$I$185,7,0)),0%,VLOOKUP(A84,'Données projet'!$A$165:$I$185,7,0))</f>
        <v>0</v>
      </c>
      <c r="CT84" s="45">
        <f>EXP(-LN(2)/35)*CT83+(1-EXP(-LN(2)/35))/(LN(2)/35)*CP84*CQ84*VLOOKUP('Données projet'!$B$9,Paramètres!$A$1:$I$88,3,0)*0.475*44/12</f>
        <v>0</v>
      </c>
      <c r="CU84" s="45">
        <f>EXP(-LN(2)/25)*CU83+(1-EXP(-LN(2)/25))/(LN(2)/25)*Calculateur!CP84*Calculateur!CR84*VLOOKUP('Données projet'!$B$9,Paramètres!$A$1:$I$88,3,0)*0.475*44/12</f>
        <v>0</v>
      </c>
      <c r="CV84" s="45">
        <f>EXP(-LN(2)/2)*CV83+(1-EXP(-LN(2)/2))/(LN(2)/2)*CP84*CS84*VLOOKUP('Données projet'!$B$9,Paramètres!$A$1:$I$88,3,0)*0.475*44/12</f>
        <v>0</v>
      </c>
      <c r="CW84" s="46">
        <f t="shared" si="53"/>
        <v>0</v>
      </c>
      <c r="CX84" s="32" t="e">
        <f>VLOOKUP(A84,'Données projet'!$A$191:$I$211,2,0)</f>
        <v>#N/A</v>
      </c>
      <c r="CY84" s="33" t="e">
        <f>VLOOKUP(A84,'Données projet'!$A$191:$I$211,9,0)</f>
        <v>#N/A</v>
      </c>
      <c r="CZ84" s="33">
        <f t="array" ref="CZ84">INDEX(CY:CY,MIN(IF(ISNUMBER(CY84:CY280),ROW(CY84:CY280),"")))</f>
        <v>0</v>
      </c>
      <c r="DA84" s="33">
        <f t="shared" si="76"/>
        <v>0</v>
      </c>
      <c r="DB84" s="38" t="e">
        <f>DA84*VLOOKUP('Données projet'!$B$15,Paramètres!$A$1:$I$88,3,0)*VLOOKUP('Données projet'!$B$15,Paramètres!$A$1:$I$88,5,0)</f>
        <v>#N/A</v>
      </c>
      <c r="DC84" s="34" t="e">
        <f t="shared" si="77"/>
        <v>#N/A</v>
      </c>
      <c r="DD84" s="44" t="e">
        <f t="shared" si="54"/>
        <v>#N/A</v>
      </c>
      <c r="DE84" s="36">
        <f>IF(ISNA(VLOOKUP(A84,'Données projet'!$A$191:$I$211,3,0)),0,VLOOKUP(A84,'Données projet'!$A$191:$I$211,3,0))</f>
        <v>0</v>
      </c>
      <c r="DF84" s="36">
        <f>IF(ISNA(VLOOKUP(A84,'Données projet'!$A$191:$I$211,4,0)),0,VLOOKUP(A84,'Données projet'!$A$191:$I$211,4,0))</f>
        <v>0</v>
      </c>
      <c r="DG84" s="37">
        <f>IF(ISNA(VLOOKUP(A84,'Données projet'!$A$191:$I$211,5,0)),0%,VLOOKUP(A84,'Données projet'!$A$191:$I$211,5,0)*VLOOKUP('Données projet'!$B$15,Paramètres!$A$1:$I$88,7,0))</f>
        <v>0</v>
      </c>
      <c r="DH84" s="37">
        <f>IF(ISNA(VLOOKUP(A84,'Données projet'!$A$191:$I$211,6,0)),0%,VLOOKUP(A84,'Données projet'!$A$191:$I$211,6,0)*VLOOKUP('Données projet'!$B$15,Paramètres!$A$1:$I$88,7,0))</f>
        <v>0</v>
      </c>
      <c r="DI84" s="37">
        <f>IF(ISNA(VLOOKUP(A84,'Données projet'!$A$191:$I$211,7,0)),0%,VLOOKUP(A84,'Données projet'!$A$191:$I$211,7,0))</f>
        <v>0</v>
      </c>
      <c r="DJ84" s="45">
        <f>EXP(-LN(2)/35)*DJ83+(1-EXP(-LN(2)/35))/(LN(2)/35)*DF84*DG84*VLOOKUP('Données projet'!$B$9,Paramètres!$A$1:$I$88,3,0)*0.475*44/12</f>
        <v>0</v>
      </c>
      <c r="DK84" s="45">
        <f>EXP(-LN(2)/25)*DK83+(1-EXP(-LN(2)/25))/(LN(2)/25)*Calculateur!DF84*Calculateur!DH84*VLOOKUP('Données projet'!$B$9,Paramètres!$A$1:$I$88,3,0)*0.475*44/12</f>
        <v>0</v>
      </c>
      <c r="DL84" s="45">
        <f>EXP(-LN(2)/2)*DL83+(1-EXP(-LN(2)/2))/(LN(2)/2)*DF84*DI84*VLOOKUP('Données projet'!$B$9,Paramètres!$A$1:$I$88,3,0)*0.475*44/12</f>
        <v>0</v>
      </c>
      <c r="DM84" s="46">
        <f t="shared" si="55"/>
        <v>0</v>
      </c>
      <c r="DN84" s="32" t="e">
        <f>VLOOKUP(A84,'Données projet'!$A$217:$I$237,2,0)</f>
        <v>#N/A</v>
      </c>
      <c r="DO84" s="33" t="e">
        <f>VLOOKUP(A84,'Données projet'!$A$217:$I$237,9,0)</f>
        <v>#N/A</v>
      </c>
      <c r="DP84" s="33">
        <f t="array" ref="DP84">INDEX(DO:DO,MIN(IF(ISNUMBER(DO84:DO280),ROW(DO84:DO280),"")))</f>
        <v>0</v>
      </c>
      <c r="DQ84" s="33">
        <f t="shared" si="78"/>
        <v>0</v>
      </c>
      <c r="DR84" s="38" t="e">
        <f>DQ84*VLOOKUP('Données projet'!$B$16,Paramètres!$A$1:$I$88,3,0)*VLOOKUP('Données projet'!$B$16,Paramètres!$A$1:$I$88,5,0)</f>
        <v>#N/A</v>
      </c>
      <c r="DS84" s="34" t="e">
        <f t="shared" si="79"/>
        <v>#N/A</v>
      </c>
      <c r="DT84" s="44" t="e">
        <f t="shared" si="56"/>
        <v>#N/A</v>
      </c>
      <c r="DU84" s="36">
        <f>IF(ISNA(VLOOKUP(A84,'Données projet'!$A$217:$I$237,3,0)),0,VLOOKUP(A84,'Données projet'!$A$217:$I$237,3,0))</f>
        <v>0</v>
      </c>
      <c r="DV84" s="36">
        <f>IF(ISNA(VLOOKUP(A84,'Données projet'!$A$217:$I$237,4,0)),0,VLOOKUP(A84,'Données projet'!$A$217:$I$237,4,0))</f>
        <v>0</v>
      </c>
      <c r="DW84" s="37">
        <f>IF(ISNA(VLOOKUP(A84,'Données projet'!$A$217:$I$237,5,0)),0%,VLOOKUP(A84,'Données projet'!$A$217:$I$237,5,0)*VLOOKUP('Données projet'!$B$16,Paramètres!$A$1:$I$88,7,0))</f>
        <v>0</v>
      </c>
      <c r="DX84" s="37">
        <f>IF(ISNA(VLOOKUP(A84,'Données projet'!$A$217:$I$237,6,0)),0%,VLOOKUP(A84,'Données projet'!$A$217:$I$237,6,0)*VLOOKUP('Données projet'!$B$16,Paramètres!$A$1:$I$88,7,0))</f>
        <v>0</v>
      </c>
      <c r="DY84" s="37">
        <f>IF(ISNA(VLOOKUP(A84,'Données projet'!$A$217:$I$237,7,0)),0%,VLOOKUP(A84,'Données projet'!$A$217:$I$237,7,0))</f>
        <v>0</v>
      </c>
      <c r="DZ84" s="45">
        <f>EXP(-LN(2)/35)*DZ83+(1-EXP(-LN(2)/35))/(LN(2)/35)*DV84*DW84*VLOOKUP('Données projet'!$B$9,Paramètres!$A$1:$I$88,3,0)*0.475*44/12</f>
        <v>0</v>
      </c>
      <c r="EA84" s="45">
        <f>EXP(-LN(2)/25)*EA83+(1-EXP(-LN(2)/25))/(LN(2)/25)*Calculateur!DV84*Calculateur!DX84*VLOOKUP('Données projet'!$B$9,Paramètres!$A$1:$I$88,3,0)*0.475*44/12</f>
        <v>0</v>
      </c>
      <c r="EB84" s="45">
        <f>EXP(-LN(2)/2)*EB83+(1-EXP(-LN(2)/2))/(LN(2)/2)*DV84*DY84*VLOOKUP('Données projet'!$B$9,Paramètres!$A$1:$I$88,3,0)*0.475*44/12</f>
        <v>0</v>
      </c>
      <c r="EC84" s="46">
        <f t="shared" si="57"/>
        <v>0</v>
      </c>
      <c r="ED84" s="32" t="e">
        <f>VLOOKUP(A84,'Données projet'!$A$243:$I$263,2,0)</f>
        <v>#N/A</v>
      </c>
      <c r="EE84" s="33" t="e">
        <f>VLOOKUP(A84,'Données projet'!$A$243:$I$263,9,0)</f>
        <v>#N/A</v>
      </c>
      <c r="EF84" s="33">
        <f t="array" ref="EF84">INDEX(EE:EE,MIN(IF(ISNUMBER(EE84:EE280),ROW(EE84:EE280),"")))</f>
        <v>0</v>
      </c>
      <c r="EG84" s="33">
        <f t="shared" si="80"/>
        <v>0</v>
      </c>
      <c r="EH84" s="38" t="e">
        <f>EG84*VLOOKUP('Données projet'!$B$17,Paramètres!$A$1:$I$88,3,0)*VLOOKUP('Données projet'!$B$17,Paramètres!$A$1:$I$88,5,0)</f>
        <v>#N/A</v>
      </c>
      <c r="EI84" s="34" t="e">
        <f t="shared" si="81"/>
        <v>#N/A</v>
      </c>
      <c r="EJ84" s="44" t="e">
        <f t="shared" si="58"/>
        <v>#N/A</v>
      </c>
      <c r="EK84" s="36">
        <f>IF(ISNA(VLOOKUP(A84,'Données projet'!$A$243:$I$263,3,0)),0,VLOOKUP(A84,'Données projet'!$A$243:$I$263,3,0))</f>
        <v>0</v>
      </c>
      <c r="EL84" s="36">
        <f>IF(ISNA(VLOOKUP(A84,'Données projet'!$A$243:$I$263,4,0)),0,VLOOKUP(A84,'Données projet'!$A$243:$I$263,4,0))</f>
        <v>0</v>
      </c>
      <c r="EM84" s="37">
        <f>IF(ISNA(VLOOKUP(A84,'Données projet'!$A$243:$I$263,5,0)),0%,VLOOKUP(A84,'Données projet'!$A$243:$I$263,5,0)*VLOOKUP('Données projet'!$B$17,Paramètres!$A$1:$I$88,7,0))</f>
        <v>0</v>
      </c>
      <c r="EN84" s="37">
        <f>IF(ISNA(VLOOKUP(A84,'Données projet'!$A$243:$I$263,6,0)),0%,VLOOKUP(A84,'Données projet'!$A$243:$I$263,6,0)*VLOOKUP('Données projet'!$B$17,Paramètres!$A$1:$I$88,7,0))</f>
        <v>0</v>
      </c>
      <c r="EO84" s="37">
        <f>IF(ISNA(VLOOKUP(A84,'Données projet'!$A$243:$I$263,7,0)),0%,VLOOKUP(A84,'Données projet'!$A$243:$I$263,7,0))</f>
        <v>0</v>
      </c>
      <c r="EP84" s="45">
        <f>EXP(-LN(2)/35)*EP83+(1-EXP(-LN(2)/35))/(LN(2)/35)*EL84*EM84*VLOOKUP('Données projet'!$B$9,Paramètres!$A$1:$I$88,3,0)*0.475*44/12</f>
        <v>0</v>
      </c>
      <c r="EQ84" s="45">
        <f>EXP(-LN(2)/25)*EQ83+(1-EXP(-LN(2)/25))/(LN(2)/25)*Calculateur!EL84*Calculateur!EN84*VLOOKUP('Données projet'!$B$9,Paramètres!$A$1:$I$88,3,0)*0.475*44/12</f>
        <v>0</v>
      </c>
      <c r="ER84" s="45">
        <f>EXP(-LN(2)/2)*ER83+(1-EXP(-LN(2)/2))/(LN(2)/2)*EL84*EO84*VLOOKUP('Données projet'!$B$9,Paramètres!$A$1:$I$88,3,0)*0.475*44/12</f>
        <v>0</v>
      </c>
      <c r="ES84" s="46">
        <f t="shared" si="59"/>
        <v>0</v>
      </c>
      <c r="ET84" s="32" t="e">
        <f>VLOOKUP(A84,'Données projet'!$A$269:$I$289,2,0)</f>
        <v>#N/A</v>
      </c>
      <c r="EU84" s="33" t="e">
        <f>VLOOKUP(A84,'Données projet'!$A$269:$I$289,9,0)</f>
        <v>#N/A</v>
      </c>
      <c r="EV84" s="33">
        <f t="array" ref="EV84">INDEX(EU:EU,MIN(IF(ISNUMBER(EU84:EU280),ROW(EU84:EU280),"")))</f>
        <v>0</v>
      </c>
      <c r="EW84" s="33">
        <f t="shared" si="82"/>
        <v>0</v>
      </c>
      <c r="EX84" s="38" t="e">
        <f>EW84*VLOOKUP('Données projet'!$B$18,Paramètres!$A$1:$I$88,3,0)*VLOOKUP('Données projet'!$B$18,Paramètres!$A$1:$I$88,5,0)</f>
        <v>#N/A</v>
      </c>
      <c r="EY84" s="34" t="e">
        <f t="shared" si="83"/>
        <v>#N/A</v>
      </c>
      <c r="EZ84" s="44" t="e">
        <f t="shared" si="60"/>
        <v>#N/A</v>
      </c>
      <c r="FA84" s="36">
        <f>IF(ISNA(VLOOKUP(A84,'Données projet'!$A$269:$I$289,3,0)),0,VLOOKUP(A84,'Données projet'!$A$269:$I$289,3,0))</f>
        <v>0</v>
      </c>
      <c r="FB84" s="36">
        <f>IF(ISNA(VLOOKUP(A84,'Données projet'!$A$269:$I$289,4,0)),0,VLOOKUP(A84,'Données projet'!$A$269:$I$289,4,0))</f>
        <v>0</v>
      </c>
      <c r="FC84" s="37">
        <f>IF(ISNA(VLOOKUP(A84,'Données projet'!$A$269:$I$289,5,0)),0%,VLOOKUP(A84,'Données projet'!$A$269:$I$289,5,0)*VLOOKUP('Données projet'!$B$18,Paramètres!$A$1:$I$88,7,0))</f>
        <v>0</v>
      </c>
      <c r="FD84" s="37">
        <f>IF(ISNA(VLOOKUP(A84,'Données projet'!$A$269:$I$289,6,0)),0%,VLOOKUP(A84,'Données projet'!$A$269:$I$289,6,0)*VLOOKUP('Données projet'!$B$18,Paramètres!$A$1:$I$88,7,0))</f>
        <v>0</v>
      </c>
      <c r="FE84" s="37">
        <f>IF(ISNA(VLOOKUP(A84,'Données projet'!$A$269:$I$289,7,0)),0%,VLOOKUP(A84,'Données projet'!$A$269:$I$289,7,0))</f>
        <v>0</v>
      </c>
      <c r="FF84" s="45">
        <f>EXP(-LN(2)/35)*FF83+(1-EXP(-LN(2)/35))/(LN(2)/35)*FB84*FC84*VLOOKUP('Données projet'!$B$9,Paramètres!$A$1:$I$88,3,0)*0.475*44/12</f>
        <v>0</v>
      </c>
      <c r="FG84" s="45">
        <f>EXP(-LN(2)/25)*FG83+(1-EXP(-LN(2)/25))/(LN(2)/25)*Calculateur!FB84*Calculateur!FD84*VLOOKUP('Données projet'!$B$9,Paramètres!$A$1:$I$88,3,0)*0.475*44/12</f>
        <v>0</v>
      </c>
      <c r="FH84" s="45">
        <f>EXP(-LN(2)/2)*FH83+(1-EXP(-LN(2)/2))/(LN(2)/2)*FB84*FE84*VLOOKUP('Données projet'!$B$9,Paramètres!$A$1:$I$88,3,0)*0.475*44/12</f>
        <v>0</v>
      </c>
      <c r="FI84" s="46">
        <f t="shared" si="61"/>
        <v>0</v>
      </c>
    </row>
    <row r="85" spans="1:165" x14ac:dyDescent="0.25">
      <c r="A85" s="24">
        <f t="shared" si="62"/>
        <v>82</v>
      </c>
      <c r="B85" s="25">
        <f>IF('Scénario référence'!$N$1=1,5,0)</f>
        <v>0</v>
      </c>
      <c r="C85" s="40">
        <f>IF(OR('Scénario référence'!$N$1=2,'Scénario référence'!$N$1=4),C84+1*VLOOKUP('Scénario référence'!$G$14,Paramètres!$A$1:$I$88,3,0)*VLOOKUP('Scénario référence'!$G$14,Paramètres!$A$1:$I$88,5,0),IF(OR('Scénario référence'!$N$1=3,'Scénario référence'!$N$1=5),C84+0.5*VLOOKUP('Scénario référence'!$G$14,Paramètres!$A$1:$I$88,3,0)*VLOOKUP('Scénario référence'!$G$14,Paramètres!$A$1:$I$88,5,0),0))</f>
        <v>44.771999999999963</v>
      </c>
      <c r="D85" s="26">
        <f t="shared" si="63"/>
        <v>13.255051026563269</v>
      </c>
      <c r="E85" s="27">
        <f>IF('Scénario référence'!$N$1=1,B85*44/12,(C85+D85)*0.475*44/12)</f>
        <v>101.06378053793094</v>
      </c>
      <c r="F85" s="28" t="e">
        <f>VLOOKUP(A85,'Données projet'!$A$35:$I$55,2,0)</f>
        <v>#N/A</v>
      </c>
      <c r="G85" s="28" t="e">
        <f>VLOOKUP(A85,'Données projet'!$A$35:$I$55,9,0)</f>
        <v>#N/A</v>
      </c>
      <c r="H85" s="33">
        <f t="array" ref="H85">INDEX(G:G,MIN(IF(ISNUMBER(G85:G281),ROW(G85:G281),"")))</f>
        <v>5.9</v>
      </c>
      <c r="I85" s="28">
        <f t="shared" si="64"/>
        <v>272.29999999999984</v>
      </c>
      <c r="J85" s="41">
        <f>I85*VLOOKUP('Données projet'!$B$9,Paramètres!$A$1:$I$88,3,0)*VLOOKUP('Données projet'!$B$9,Paramètres!$A$1:$I$88,5,0)</f>
        <v>276.11219999999986</v>
      </c>
      <c r="K85" s="41">
        <f t="shared" si="65"/>
        <v>66.144737580152963</v>
      </c>
      <c r="L85" s="42">
        <f t="shared" si="42"/>
        <v>596.09749961876616</v>
      </c>
      <c r="M85" s="30">
        <f>IF(ISNA(VLOOKUP(A85,'Données projet'!$A$35:$I$55,3,0)),0,VLOOKUP(A85,'Données projet'!$A$35:$I$55,3,0))</f>
        <v>0</v>
      </c>
      <c r="N85" s="30">
        <f>IF(ISNA(VLOOKUP(A85,'Données projet'!$A$35:$I$55,4,0)),0,VLOOKUP(A85,'Données projet'!$A$35:$I$55,4,0))</f>
        <v>0</v>
      </c>
      <c r="O85" s="31">
        <f>IF(ISNA(VLOOKUP(A85,'Données projet'!$A$35:$I$55,5,0)),0%,VLOOKUP(A85,'Données projet'!$A$35:$I$55,5,0)*VLOOKUP('Données projet'!$B$9,Paramètres!$A$1:$I$88,7,0))</f>
        <v>0</v>
      </c>
      <c r="P85" s="31">
        <f>IF(ISNA(VLOOKUP(A85,'Données projet'!$A$35:$I$55,6,0)),0%,VLOOKUP(A85,'Données projet'!$A$35:$I$55,6,0)*VLOOKUP('Données projet'!$B$9,Paramètres!$A$1:$I$88,7,0))</f>
        <v>0</v>
      </c>
      <c r="Q85" s="31">
        <f>IF(ISNA(VLOOKUP(A85,'Données projet'!$A$35:$I$55,7,0)),0%,VLOOKUP(A85,'Données projet'!$A$35:$I$55,7,0))</f>
        <v>0</v>
      </c>
      <c r="R85" s="43">
        <f>EXP(-LN(2)/35)*R84+(1-EXP(-LN(2)/35))/(LN(2)/35)*N85*O85*VLOOKUP('Données projet'!$B$9,Paramètres!$A$1:$I$88,3,0)*0.475*44/12</f>
        <v>0</v>
      </c>
      <c r="S85" s="43">
        <f>EXP(-LN(2)/25)*S84+(1-EXP(-LN(2)/25))/(LN(2)/25)*Calculateur!N85*Calculateur!P85*VLOOKUP('Données projet'!$B$9,Paramètres!$A$1:$I$88,3,0)*0.475*44/12</f>
        <v>0</v>
      </c>
      <c r="T85" s="43">
        <f>EXP(-LN(2)/2)*T84+(1-EXP(-LN(2)/2))/(LN(2)/2)*N85*Q85*VLOOKUP('Données projet'!$B$9,Paramètres!$A$1:$I$88,3,0)*0.475*44/12</f>
        <v>0</v>
      </c>
      <c r="U85" s="43">
        <f t="shared" si="43"/>
        <v>0</v>
      </c>
      <c r="V85" s="32" t="e">
        <f>VLOOKUP(A85,'Données projet'!$A$61:$I$81,2,0)</f>
        <v>#N/A</v>
      </c>
      <c r="W85" s="33" t="e">
        <f>VLOOKUP(A85,'Données projet'!$A$61:$I$81,9,0)</f>
        <v>#N/A</v>
      </c>
      <c r="X85" s="33">
        <f t="array" ref="X85">INDEX(W:W,MIN(IF(ISNUMBER(W85:W281),ROW(W85:W281),"")))</f>
        <v>0</v>
      </c>
      <c r="Y85" s="33">
        <f t="shared" si="66"/>
        <v>0</v>
      </c>
      <c r="Z85" s="34" t="e">
        <f>Y85*VLOOKUP('Données projet'!$B$10,Paramètres!$A$1:$I$88,3,0)*VLOOKUP('Données projet'!$B$10,Paramètres!$A$1:$I$88,5,0)</f>
        <v>#N/A</v>
      </c>
      <c r="AA85" s="34" t="e">
        <f t="shared" si="67"/>
        <v>#N/A</v>
      </c>
      <c r="AB85" s="44" t="e">
        <f t="shared" si="44"/>
        <v>#N/A</v>
      </c>
      <c r="AC85" s="36">
        <f>IF(ISNA(VLOOKUP(A85,'Données projet'!$A$61:$I$81,3,0)),0,VLOOKUP(A85,'Données projet'!$A$61:$I$81,3,0))</f>
        <v>0</v>
      </c>
      <c r="AD85" s="36">
        <f>IF(ISNA(VLOOKUP(A85,'Données projet'!$A$61:$I$81,4,0)),0,VLOOKUP(A85,'Données projet'!$A$61:$I$81,4,0))</f>
        <v>0</v>
      </c>
      <c r="AE85" s="37">
        <f>IF(ISNA(VLOOKUP(A85,'Données projet'!$A$61:$I$81,5,0)),0%,VLOOKUP(A85,'Données projet'!$A$61:$I$81,5,0)*VLOOKUP('Données projet'!$B$10,Paramètres!$A$1:$I$88,7,0))</f>
        <v>0</v>
      </c>
      <c r="AF85" s="37">
        <f>IF(ISNA(VLOOKUP(A85,'Données projet'!$A$61:$I$81,6,0)),0%,VLOOKUP(A85,'Données projet'!$A$61:$I$81,6,0)*VLOOKUP('Données projet'!$B$10,Paramètres!$A$1:$I$88,7,0))</f>
        <v>0</v>
      </c>
      <c r="AG85" s="37">
        <f>IF(ISNA(VLOOKUP(A85,'Données projet'!$A$61:$I$81,7,0)),0%,VLOOKUP(A85,'Données projet'!$A$61:$I$81,7,0))</f>
        <v>0</v>
      </c>
      <c r="AH85" s="45">
        <f>EXP(-LN(2)/35)*AH84+(1-EXP(-LN(2)/35))/(LN(2)/35)*AD85*AE85*VLOOKUP('Données projet'!$B$9,Paramètres!$A$1:$I$88,3,0)*0.475*44/12</f>
        <v>0</v>
      </c>
      <c r="AI85" s="45">
        <f>EXP(-LN(2)/25)*AI84+(1-EXP(-LN(2)/25))/(LN(2)/25)*Calculateur!AD85*Calculateur!AF85*VLOOKUP('Données projet'!$B$9,Paramètres!$A$1:$I$88,3,0)*0.475*44/12</f>
        <v>0</v>
      </c>
      <c r="AJ85" s="45">
        <f>EXP(-LN(2)/2)*AJ84+(1-EXP(-LN(2)/2))/(LN(2)/2)*AD85*AG85*VLOOKUP('Données projet'!$B$9,Paramètres!$A$1:$I$88,3,0)*0.475*44/12</f>
        <v>0</v>
      </c>
      <c r="AK85" s="45">
        <f t="shared" si="45"/>
        <v>0</v>
      </c>
      <c r="AL85" s="32" t="e">
        <f>VLOOKUP(A85,'Données projet'!$A$87:$I$107,2,0)</f>
        <v>#N/A</v>
      </c>
      <c r="AM85" s="33" t="e">
        <f>VLOOKUP(A85,'Données projet'!$A$87:$I$107,9,0)</f>
        <v>#N/A</v>
      </c>
      <c r="AN85" s="33">
        <f t="array" ref="AN85">INDEX(AM:AM,MIN(IF(ISNUMBER(AM85:AM281),ROW(AM85:AM281),"")))</f>
        <v>0</v>
      </c>
      <c r="AO85" s="33">
        <f t="shared" si="68"/>
        <v>0</v>
      </c>
      <c r="AP85" s="34" t="e">
        <f>AO85*VLOOKUP('Données projet'!$B$11,Paramètres!$A$1:$I$88,3,0)*VLOOKUP('Données projet'!$B$11,Paramètres!$A$1:$I$88,5,0)</f>
        <v>#N/A</v>
      </c>
      <c r="AQ85" s="34" t="e">
        <f t="shared" si="69"/>
        <v>#N/A</v>
      </c>
      <c r="AR85" s="44" t="e">
        <f t="shared" si="46"/>
        <v>#N/A</v>
      </c>
      <c r="AS85" s="36">
        <f>IF(ISNA(VLOOKUP(A85,'Données projet'!$A$87:$I$107,3,0)),0,VLOOKUP(A85,'Données projet'!$A$87:$I$107,3,0))</f>
        <v>0</v>
      </c>
      <c r="AT85" s="36">
        <f>IF(ISNA(VLOOKUP(A85,'Données projet'!$A$87:$I$107,4,0)),0,VLOOKUP(A85,'Données projet'!$A$87:$I$107,4,0))</f>
        <v>0</v>
      </c>
      <c r="AU85" s="37">
        <f>IF(ISNA(VLOOKUP(A85,'Données projet'!$A$87:$I$107,5,0)),0%,VLOOKUP(A85,'Données projet'!$A$87:$I$107,5,0)*VLOOKUP('Données projet'!$B$11,Paramètres!$A$1:$I$88,7,0))</f>
        <v>0</v>
      </c>
      <c r="AV85" s="37">
        <f>IF(ISNA(VLOOKUP(A85,'Données projet'!$A$87:$I$107,6,0)),0%,VLOOKUP(A85,'Données projet'!$A$87:$I$107,6,0)*VLOOKUP('Données projet'!$B$11,Paramètres!$A$1:$I$88,7,0))</f>
        <v>0</v>
      </c>
      <c r="AW85" s="37">
        <f>IF(ISNA(VLOOKUP(A85,'Données projet'!$A$87:$I$107,7,0)),0%,VLOOKUP(A85,'Données projet'!$A$87:$I$107,7,0))</f>
        <v>0</v>
      </c>
      <c r="AX85" s="45">
        <f>EXP(-LN(2)/35)*AX84+(1-EXP(-LN(2)/35))/(LN(2)/35)*AT85*AU85*VLOOKUP('Données projet'!$B$9,Paramètres!$A$1:$I$88,3,0)*0.475*44/12</f>
        <v>0</v>
      </c>
      <c r="AY85" s="45">
        <f>EXP(-LN(2)/25)*AY84+(1-EXP(-LN(2)/25))/(LN(2)/25)*Calculateur!AT85*Calculateur!AV85*VLOOKUP('Données projet'!$B$9,Paramètres!$A$1:$I$88,3,0)*0.475*44/12</f>
        <v>0</v>
      </c>
      <c r="AZ85" s="45">
        <f>EXP(-LN(2)/2)*AZ84+(1-EXP(-LN(2)/2))/(LN(2)/2)*AT85*AW85*VLOOKUP('Données projet'!$B$9,Paramètres!$A$1:$I$88,3,0)*0.475*44/12</f>
        <v>0</v>
      </c>
      <c r="BA85" s="46">
        <f t="shared" si="47"/>
        <v>0</v>
      </c>
      <c r="BB85" s="32" t="e">
        <f>VLOOKUP(A85,'Données projet'!$A$113:$I$133,2,0)</f>
        <v>#N/A</v>
      </c>
      <c r="BC85" s="33" t="e">
        <f>VLOOKUP(A85,'Données projet'!$A$113:$I$133,9,0)</f>
        <v>#N/A</v>
      </c>
      <c r="BD85" s="33">
        <f t="array" ref="BD85">INDEX(BC:BC,MIN(IF(ISNUMBER(BC85:BC281),ROW(BC85:BC281),"")))</f>
        <v>0</v>
      </c>
      <c r="BE85" s="33">
        <f t="shared" si="70"/>
        <v>0</v>
      </c>
      <c r="BF85" s="34" t="e">
        <f>BE85*VLOOKUP('Données projet'!$B$12,Paramètres!$A$1:$I$88,3,0)*VLOOKUP('Données projet'!$B$12,Paramètres!$A$1:$I$88,5,0)</f>
        <v>#N/A</v>
      </c>
      <c r="BG85" s="34" t="e">
        <f t="shared" si="71"/>
        <v>#N/A</v>
      </c>
      <c r="BH85" s="44" t="e">
        <f t="shared" si="48"/>
        <v>#N/A</v>
      </c>
      <c r="BI85" s="36">
        <f>IF(ISNA(VLOOKUP(A85,'Données projet'!$A$113:$I$133,3,0)),0,VLOOKUP(A85,'Données projet'!$A$113:$I$133,3,0))</f>
        <v>0</v>
      </c>
      <c r="BJ85" s="36">
        <f>IF(ISNA(VLOOKUP(A85,'Données projet'!$A$113:$I$133,4,0)),0,VLOOKUP(A85,'Données projet'!$A$113:$I$133,4,0))</f>
        <v>0</v>
      </c>
      <c r="BK85" s="37">
        <f>IF(ISNA(VLOOKUP(A85,'Données projet'!$A$113:$I$133,5,0)),0%,VLOOKUP(A85,'Données projet'!$A$113:$I$133,5,0)*VLOOKUP('Données projet'!$B$12,Paramètres!$A$1:$I$88,7,0))</f>
        <v>0</v>
      </c>
      <c r="BL85" s="37">
        <f>IF(ISNA(VLOOKUP(A85,'Données projet'!$A$113:$I$133,6,0)),0%,VLOOKUP(A85,'Données projet'!$A$113:$I$133,6,0)*VLOOKUP('Données projet'!$B$12,Paramètres!$A$1:$I$88,7,0))</f>
        <v>0</v>
      </c>
      <c r="BM85" s="37">
        <f>IF(ISNA(VLOOKUP(A85,'Données projet'!$A$113:$I$133,7,0)),0%,VLOOKUP(A85,'Données projet'!$A$113:$I$133,7,0))</f>
        <v>0</v>
      </c>
      <c r="BN85" s="45">
        <f>EXP(-LN(2)/35)*BN84+(1-EXP(-LN(2)/35))/(LN(2)/35)*BJ85*BK85*VLOOKUP('Données projet'!$B$9,Paramètres!$A$1:$I$88,3,0)*0.475*44/12</f>
        <v>0</v>
      </c>
      <c r="BO85" s="45">
        <f>EXP(-LN(2)/25)*BO84+(1-EXP(-LN(2)/25))/(LN(2)/25)*Calculateur!BJ85*Calculateur!BL85*VLOOKUP('Données projet'!$B$9,Paramètres!$A$1:$I$88,3,0)*0.475*44/12</f>
        <v>0</v>
      </c>
      <c r="BP85" s="45">
        <f>EXP(-LN(2)/2)*BP84+(1-EXP(-LN(2)/2))/(LN(2)/2)*BJ85*BM85*VLOOKUP('Données projet'!$B$9,Paramètres!$A$1:$I$88,3,0)*0.475*44/12</f>
        <v>0</v>
      </c>
      <c r="BQ85" s="46">
        <f t="shared" si="49"/>
        <v>0</v>
      </c>
      <c r="BR85" s="32" t="e">
        <f>VLOOKUP(A85,'Données projet'!$A$139:$I$159,2,0)</f>
        <v>#N/A</v>
      </c>
      <c r="BS85" s="33" t="e">
        <f>VLOOKUP(A85,'Données projet'!$A$139:$I$159,9,0)</f>
        <v>#N/A</v>
      </c>
      <c r="BT85" s="33">
        <f t="array" ref="BT85">INDEX(BS:BS,MIN(IF(ISNUMBER(BS85:BS281),ROW(BS85:BS281),"")))</f>
        <v>0</v>
      </c>
      <c r="BU85" s="33">
        <f t="shared" si="72"/>
        <v>0</v>
      </c>
      <c r="BV85" s="38" t="e">
        <f>BU85*VLOOKUP('Données projet'!$B$13,Paramètres!$A$1:$I$88,3,0)*VLOOKUP('Données projet'!$B$13,Paramètres!$A$1:$I$88,5,0)</f>
        <v>#N/A</v>
      </c>
      <c r="BW85" s="34" t="e">
        <f t="shared" si="73"/>
        <v>#N/A</v>
      </c>
      <c r="BX85" s="44" t="e">
        <f t="shared" si="50"/>
        <v>#N/A</v>
      </c>
      <c r="BY85" s="36">
        <f>IF(ISNA(VLOOKUP(A85,'Données projet'!$A$139:$I$159,3,0)),0,VLOOKUP(A85,'Données projet'!$A$139:$I$159,3,0))</f>
        <v>0</v>
      </c>
      <c r="BZ85" s="36">
        <f>IF(ISNA(VLOOKUP(A85,'Données projet'!$A$139:$I$159,4,0)),0,VLOOKUP(A85,'Données projet'!$A$139:$I$159,4,0))</f>
        <v>0</v>
      </c>
      <c r="CA85" s="37">
        <f>IF(ISNA(VLOOKUP(A85,'Données projet'!$A$139:$I$159,5,0)),0%,VLOOKUP(A85,'Données projet'!$A$139:$I$159,5,0)*VLOOKUP('Données projet'!$B$13,Paramètres!$A$1:$I$88,7,0))</f>
        <v>0</v>
      </c>
      <c r="CB85" s="37">
        <f>IF(ISNA(VLOOKUP(A85,'Données projet'!$A$139:$I$159,6,0)),0%,VLOOKUP(A85,'Données projet'!$A$139:$I$159,6,0)*VLOOKUP('Données projet'!$B$13,Paramètres!$A$1:$I$88,7,0))</f>
        <v>0</v>
      </c>
      <c r="CC85" s="37">
        <f>IF(ISNA(VLOOKUP(A85,'Données projet'!$A$139:$I$159,7,0)),0%,VLOOKUP(A85,'Données projet'!$A$139:$I$159,7,0))</f>
        <v>0</v>
      </c>
      <c r="CD85" s="45">
        <f>EXP(-LN(2)/35)*CD84+(1-EXP(-LN(2)/35))/(LN(2)/35)*BZ85*CA85*VLOOKUP('Données projet'!$B$9,Paramètres!$A$1:$I$88,3,0)*0.475*44/12</f>
        <v>0</v>
      </c>
      <c r="CE85" s="45">
        <f>EXP(-LN(2)/25)*CE84+(1-EXP(-LN(2)/25))/(LN(2)/25)*Calculateur!BZ85*Calculateur!CB85*VLOOKUP('Données projet'!$B$9,Paramètres!$A$1:$I$88,3,0)*0.475*44/12</f>
        <v>0</v>
      </c>
      <c r="CF85" s="45">
        <f>EXP(-LN(2)/2)*CF84+(1-EXP(-LN(2)/2))/(LN(2)/2)*BZ85*CC85*VLOOKUP('Données projet'!$B$9,Paramètres!$A$1:$I$88,3,0)*0.475*44/12</f>
        <v>0</v>
      </c>
      <c r="CG85" s="46">
        <f t="shared" si="51"/>
        <v>0</v>
      </c>
      <c r="CH85" s="32" t="e">
        <f>VLOOKUP(A85,'Données projet'!$A$165:$I$185,2,0)</f>
        <v>#N/A</v>
      </c>
      <c r="CI85" s="33" t="e">
        <f>VLOOKUP(A85,'Données projet'!$A$165:$I$185,9,0)</f>
        <v>#N/A</v>
      </c>
      <c r="CJ85" s="33">
        <f t="array" ref="CJ85">INDEX(CI:CI,MIN(IF(ISNUMBER(CI85:CI281),ROW(CI85:CI281),"")))</f>
        <v>0</v>
      </c>
      <c r="CK85" s="33">
        <f t="shared" si="74"/>
        <v>0</v>
      </c>
      <c r="CL85" s="38" t="e">
        <f>CK85*VLOOKUP('Données projet'!$B$14,Paramètres!$A$1:$I$88,3,0)*VLOOKUP('Données projet'!$B$14,Paramètres!$A$1:$I$88,5,0)</f>
        <v>#N/A</v>
      </c>
      <c r="CM85" s="34" t="e">
        <f t="shared" si="75"/>
        <v>#N/A</v>
      </c>
      <c r="CN85" s="44" t="e">
        <f t="shared" si="52"/>
        <v>#N/A</v>
      </c>
      <c r="CO85" s="36">
        <f>IF(ISNA(VLOOKUP(A85,'Données projet'!$A$165:$I$185,3,0)),0,VLOOKUP(A85,'Données projet'!$A$165:$I$185,3,0))</f>
        <v>0</v>
      </c>
      <c r="CP85" s="36">
        <f>IF(ISNA(VLOOKUP(A85,'Données projet'!$A$165:$I$185,4,0)),0,VLOOKUP(A85,'Données projet'!$A$165:$I$185,4,0))</f>
        <v>0</v>
      </c>
      <c r="CQ85" s="37">
        <f>IF(ISNA(VLOOKUP(A85,'Données projet'!$A$165:$I$185,5,0)),0%,VLOOKUP(A85,'Données projet'!$A$165:$I$185,5,0)*VLOOKUP('Données projet'!$B$14,Paramètres!$A$1:$I$88,7,0))</f>
        <v>0</v>
      </c>
      <c r="CR85" s="37">
        <f>IF(ISNA(VLOOKUP(A85,'Données projet'!$A$165:$I$185,6,0)),0%,VLOOKUP(A85,'Données projet'!$A$165:$I$185,6,0)*VLOOKUP('Données projet'!$B$14,Paramètres!$A$1:$I$88,7,0))</f>
        <v>0</v>
      </c>
      <c r="CS85" s="37">
        <f>IF(ISNA(VLOOKUP(A85,'Données projet'!$A$165:$I$185,7,0)),0%,VLOOKUP(A85,'Données projet'!$A$165:$I$185,7,0))</f>
        <v>0</v>
      </c>
      <c r="CT85" s="45">
        <f>EXP(-LN(2)/35)*CT84+(1-EXP(-LN(2)/35))/(LN(2)/35)*CP85*CQ85*VLOOKUP('Données projet'!$B$9,Paramètres!$A$1:$I$88,3,0)*0.475*44/12</f>
        <v>0</v>
      </c>
      <c r="CU85" s="45">
        <f>EXP(-LN(2)/25)*CU84+(1-EXP(-LN(2)/25))/(LN(2)/25)*Calculateur!CP85*Calculateur!CR85*VLOOKUP('Données projet'!$B$9,Paramètres!$A$1:$I$88,3,0)*0.475*44/12</f>
        <v>0</v>
      </c>
      <c r="CV85" s="45">
        <f>EXP(-LN(2)/2)*CV84+(1-EXP(-LN(2)/2))/(LN(2)/2)*CP85*CS85*VLOOKUP('Données projet'!$B$9,Paramètres!$A$1:$I$88,3,0)*0.475*44/12</f>
        <v>0</v>
      </c>
      <c r="CW85" s="46">
        <f t="shared" si="53"/>
        <v>0</v>
      </c>
      <c r="CX85" s="32" t="e">
        <f>VLOOKUP(A85,'Données projet'!$A$191:$I$211,2,0)</f>
        <v>#N/A</v>
      </c>
      <c r="CY85" s="33" t="e">
        <f>VLOOKUP(A85,'Données projet'!$A$191:$I$211,9,0)</f>
        <v>#N/A</v>
      </c>
      <c r="CZ85" s="33">
        <f t="array" ref="CZ85">INDEX(CY:CY,MIN(IF(ISNUMBER(CY85:CY281),ROW(CY85:CY281),"")))</f>
        <v>0</v>
      </c>
      <c r="DA85" s="33">
        <f t="shared" si="76"/>
        <v>0</v>
      </c>
      <c r="DB85" s="38" t="e">
        <f>DA85*VLOOKUP('Données projet'!$B$15,Paramètres!$A$1:$I$88,3,0)*VLOOKUP('Données projet'!$B$15,Paramètres!$A$1:$I$88,5,0)</f>
        <v>#N/A</v>
      </c>
      <c r="DC85" s="34" t="e">
        <f t="shared" si="77"/>
        <v>#N/A</v>
      </c>
      <c r="DD85" s="44" t="e">
        <f t="shared" si="54"/>
        <v>#N/A</v>
      </c>
      <c r="DE85" s="36">
        <f>IF(ISNA(VLOOKUP(A85,'Données projet'!$A$191:$I$211,3,0)),0,VLOOKUP(A85,'Données projet'!$A$191:$I$211,3,0))</f>
        <v>0</v>
      </c>
      <c r="DF85" s="36">
        <f>IF(ISNA(VLOOKUP(A85,'Données projet'!$A$191:$I$211,4,0)),0,VLOOKUP(A85,'Données projet'!$A$191:$I$211,4,0))</f>
        <v>0</v>
      </c>
      <c r="DG85" s="37">
        <f>IF(ISNA(VLOOKUP(A85,'Données projet'!$A$191:$I$211,5,0)),0%,VLOOKUP(A85,'Données projet'!$A$191:$I$211,5,0)*VLOOKUP('Données projet'!$B$15,Paramètres!$A$1:$I$88,7,0))</f>
        <v>0</v>
      </c>
      <c r="DH85" s="37">
        <f>IF(ISNA(VLOOKUP(A85,'Données projet'!$A$191:$I$211,6,0)),0%,VLOOKUP(A85,'Données projet'!$A$191:$I$211,6,0)*VLOOKUP('Données projet'!$B$15,Paramètres!$A$1:$I$88,7,0))</f>
        <v>0</v>
      </c>
      <c r="DI85" s="37">
        <f>IF(ISNA(VLOOKUP(A85,'Données projet'!$A$191:$I$211,7,0)),0%,VLOOKUP(A85,'Données projet'!$A$191:$I$211,7,0))</f>
        <v>0</v>
      </c>
      <c r="DJ85" s="45">
        <f>EXP(-LN(2)/35)*DJ84+(1-EXP(-LN(2)/35))/(LN(2)/35)*DF85*DG85*VLOOKUP('Données projet'!$B$9,Paramètres!$A$1:$I$88,3,0)*0.475*44/12</f>
        <v>0</v>
      </c>
      <c r="DK85" s="45">
        <f>EXP(-LN(2)/25)*DK84+(1-EXP(-LN(2)/25))/(LN(2)/25)*Calculateur!DF85*Calculateur!DH85*VLOOKUP('Données projet'!$B$9,Paramètres!$A$1:$I$88,3,0)*0.475*44/12</f>
        <v>0</v>
      </c>
      <c r="DL85" s="45">
        <f>EXP(-LN(2)/2)*DL84+(1-EXP(-LN(2)/2))/(LN(2)/2)*DF85*DI85*VLOOKUP('Données projet'!$B$9,Paramètres!$A$1:$I$88,3,0)*0.475*44/12</f>
        <v>0</v>
      </c>
      <c r="DM85" s="46">
        <f t="shared" si="55"/>
        <v>0</v>
      </c>
      <c r="DN85" s="32" t="e">
        <f>VLOOKUP(A85,'Données projet'!$A$217:$I$237,2,0)</f>
        <v>#N/A</v>
      </c>
      <c r="DO85" s="33" t="e">
        <f>VLOOKUP(A85,'Données projet'!$A$217:$I$237,9,0)</f>
        <v>#N/A</v>
      </c>
      <c r="DP85" s="33">
        <f t="array" ref="DP85">INDEX(DO:DO,MIN(IF(ISNUMBER(DO85:DO281),ROW(DO85:DO281),"")))</f>
        <v>0</v>
      </c>
      <c r="DQ85" s="33">
        <f t="shared" si="78"/>
        <v>0</v>
      </c>
      <c r="DR85" s="38" t="e">
        <f>DQ85*VLOOKUP('Données projet'!$B$16,Paramètres!$A$1:$I$88,3,0)*VLOOKUP('Données projet'!$B$16,Paramètres!$A$1:$I$88,5,0)</f>
        <v>#N/A</v>
      </c>
      <c r="DS85" s="34" t="e">
        <f t="shared" si="79"/>
        <v>#N/A</v>
      </c>
      <c r="DT85" s="44" t="e">
        <f t="shared" si="56"/>
        <v>#N/A</v>
      </c>
      <c r="DU85" s="36">
        <f>IF(ISNA(VLOOKUP(A85,'Données projet'!$A$217:$I$237,3,0)),0,VLOOKUP(A85,'Données projet'!$A$217:$I$237,3,0))</f>
        <v>0</v>
      </c>
      <c r="DV85" s="36">
        <f>IF(ISNA(VLOOKUP(A85,'Données projet'!$A$217:$I$237,4,0)),0,VLOOKUP(A85,'Données projet'!$A$217:$I$237,4,0))</f>
        <v>0</v>
      </c>
      <c r="DW85" s="37">
        <f>IF(ISNA(VLOOKUP(A85,'Données projet'!$A$217:$I$237,5,0)),0%,VLOOKUP(A85,'Données projet'!$A$217:$I$237,5,0)*VLOOKUP('Données projet'!$B$16,Paramètres!$A$1:$I$88,7,0))</f>
        <v>0</v>
      </c>
      <c r="DX85" s="37">
        <f>IF(ISNA(VLOOKUP(A85,'Données projet'!$A$217:$I$237,6,0)),0%,VLOOKUP(A85,'Données projet'!$A$217:$I$237,6,0)*VLOOKUP('Données projet'!$B$16,Paramètres!$A$1:$I$88,7,0))</f>
        <v>0</v>
      </c>
      <c r="DY85" s="37">
        <f>IF(ISNA(VLOOKUP(A85,'Données projet'!$A$217:$I$237,7,0)),0%,VLOOKUP(A85,'Données projet'!$A$217:$I$237,7,0))</f>
        <v>0</v>
      </c>
      <c r="DZ85" s="45">
        <f>EXP(-LN(2)/35)*DZ84+(1-EXP(-LN(2)/35))/(LN(2)/35)*DV85*DW85*VLOOKUP('Données projet'!$B$9,Paramètres!$A$1:$I$88,3,0)*0.475*44/12</f>
        <v>0</v>
      </c>
      <c r="EA85" s="45">
        <f>EXP(-LN(2)/25)*EA84+(1-EXP(-LN(2)/25))/(LN(2)/25)*Calculateur!DV85*Calculateur!DX85*VLOOKUP('Données projet'!$B$9,Paramètres!$A$1:$I$88,3,0)*0.475*44/12</f>
        <v>0</v>
      </c>
      <c r="EB85" s="45">
        <f>EXP(-LN(2)/2)*EB84+(1-EXP(-LN(2)/2))/(LN(2)/2)*DV85*DY85*VLOOKUP('Données projet'!$B$9,Paramètres!$A$1:$I$88,3,0)*0.475*44/12</f>
        <v>0</v>
      </c>
      <c r="EC85" s="46">
        <f t="shared" si="57"/>
        <v>0</v>
      </c>
      <c r="ED85" s="32" t="e">
        <f>VLOOKUP(A85,'Données projet'!$A$243:$I$263,2,0)</f>
        <v>#N/A</v>
      </c>
      <c r="EE85" s="33" t="e">
        <f>VLOOKUP(A85,'Données projet'!$A$243:$I$263,9,0)</f>
        <v>#N/A</v>
      </c>
      <c r="EF85" s="33">
        <f t="array" ref="EF85">INDEX(EE:EE,MIN(IF(ISNUMBER(EE85:EE281),ROW(EE85:EE281),"")))</f>
        <v>0</v>
      </c>
      <c r="EG85" s="33">
        <f t="shared" si="80"/>
        <v>0</v>
      </c>
      <c r="EH85" s="38" t="e">
        <f>EG85*VLOOKUP('Données projet'!$B$17,Paramètres!$A$1:$I$88,3,0)*VLOOKUP('Données projet'!$B$17,Paramètres!$A$1:$I$88,5,0)</f>
        <v>#N/A</v>
      </c>
      <c r="EI85" s="34" t="e">
        <f t="shared" si="81"/>
        <v>#N/A</v>
      </c>
      <c r="EJ85" s="44" t="e">
        <f t="shared" si="58"/>
        <v>#N/A</v>
      </c>
      <c r="EK85" s="36">
        <f>IF(ISNA(VLOOKUP(A85,'Données projet'!$A$243:$I$263,3,0)),0,VLOOKUP(A85,'Données projet'!$A$243:$I$263,3,0))</f>
        <v>0</v>
      </c>
      <c r="EL85" s="36">
        <f>IF(ISNA(VLOOKUP(A85,'Données projet'!$A$243:$I$263,4,0)),0,VLOOKUP(A85,'Données projet'!$A$243:$I$263,4,0))</f>
        <v>0</v>
      </c>
      <c r="EM85" s="37">
        <f>IF(ISNA(VLOOKUP(A85,'Données projet'!$A$243:$I$263,5,0)),0%,VLOOKUP(A85,'Données projet'!$A$243:$I$263,5,0)*VLOOKUP('Données projet'!$B$17,Paramètres!$A$1:$I$88,7,0))</f>
        <v>0</v>
      </c>
      <c r="EN85" s="37">
        <f>IF(ISNA(VLOOKUP(A85,'Données projet'!$A$243:$I$263,6,0)),0%,VLOOKUP(A85,'Données projet'!$A$243:$I$263,6,0)*VLOOKUP('Données projet'!$B$17,Paramètres!$A$1:$I$88,7,0))</f>
        <v>0</v>
      </c>
      <c r="EO85" s="37">
        <f>IF(ISNA(VLOOKUP(A85,'Données projet'!$A$243:$I$263,7,0)),0%,VLOOKUP(A85,'Données projet'!$A$243:$I$263,7,0))</f>
        <v>0</v>
      </c>
      <c r="EP85" s="45">
        <f>EXP(-LN(2)/35)*EP84+(1-EXP(-LN(2)/35))/(LN(2)/35)*EL85*EM85*VLOOKUP('Données projet'!$B$9,Paramètres!$A$1:$I$88,3,0)*0.475*44/12</f>
        <v>0</v>
      </c>
      <c r="EQ85" s="45">
        <f>EXP(-LN(2)/25)*EQ84+(1-EXP(-LN(2)/25))/(LN(2)/25)*Calculateur!EL85*Calculateur!EN85*VLOOKUP('Données projet'!$B$9,Paramètres!$A$1:$I$88,3,0)*0.475*44/12</f>
        <v>0</v>
      </c>
      <c r="ER85" s="45">
        <f>EXP(-LN(2)/2)*ER84+(1-EXP(-LN(2)/2))/(LN(2)/2)*EL85*EO85*VLOOKUP('Données projet'!$B$9,Paramètres!$A$1:$I$88,3,0)*0.475*44/12</f>
        <v>0</v>
      </c>
      <c r="ES85" s="46">
        <f t="shared" si="59"/>
        <v>0</v>
      </c>
      <c r="ET85" s="32" t="e">
        <f>VLOOKUP(A85,'Données projet'!$A$269:$I$289,2,0)</f>
        <v>#N/A</v>
      </c>
      <c r="EU85" s="33" t="e">
        <f>VLOOKUP(A85,'Données projet'!$A$269:$I$289,9,0)</f>
        <v>#N/A</v>
      </c>
      <c r="EV85" s="33">
        <f t="array" ref="EV85">INDEX(EU:EU,MIN(IF(ISNUMBER(EU85:EU281),ROW(EU85:EU281),"")))</f>
        <v>0</v>
      </c>
      <c r="EW85" s="33">
        <f t="shared" si="82"/>
        <v>0</v>
      </c>
      <c r="EX85" s="38" t="e">
        <f>EW85*VLOOKUP('Données projet'!$B$18,Paramètres!$A$1:$I$88,3,0)*VLOOKUP('Données projet'!$B$18,Paramètres!$A$1:$I$88,5,0)</f>
        <v>#N/A</v>
      </c>
      <c r="EY85" s="34" t="e">
        <f t="shared" si="83"/>
        <v>#N/A</v>
      </c>
      <c r="EZ85" s="44" t="e">
        <f t="shared" si="60"/>
        <v>#N/A</v>
      </c>
      <c r="FA85" s="36">
        <f>IF(ISNA(VLOOKUP(A85,'Données projet'!$A$269:$I$289,3,0)),0,VLOOKUP(A85,'Données projet'!$A$269:$I$289,3,0))</f>
        <v>0</v>
      </c>
      <c r="FB85" s="36">
        <f>IF(ISNA(VLOOKUP(A85,'Données projet'!$A$269:$I$289,4,0)),0,VLOOKUP(A85,'Données projet'!$A$269:$I$289,4,0))</f>
        <v>0</v>
      </c>
      <c r="FC85" s="37">
        <f>IF(ISNA(VLOOKUP(A85,'Données projet'!$A$269:$I$289,5,0)),0%,VLOOKUP(A85,'Données projet'!$A$269:$I$289,5,0)*VLOOKUP('Données projet'!$B$18,Paramètres!$A$1:$I$88,7,0))</f>
        <v>0</v>
      </c>
      <c r="FD85" s="37">
        <f>IF(ISNA(VLOOKUP(A85,'Données projet'!$A$269:$I$289,6,0)),0%,VLOOKUP(A85,'Données projet'!$A$269:$I$289,6,0)*VLOOKUP('Données projet'!$B$18,Paramètres!$A$1:$I$88,7,0))</f>
        <v>0</v>
      </c>
      <c r="FE85" s="37">
        <f>IF(ISNA(VLOOKUP(A85,'Données projet'!$A$269:$I$289,7,0)),0%,VLOOKUP(A85,'Données projet'!$A$269:$I$289,7,0))</f>
        <v>0</v>
      </c>
      <c r="FF85" s="45">
        <f>EXP(-LN(2)/35)*FF84+(1-EXP(-LN(2)/35))/(LN(2)/35)*FB85*FC85*VLOOKUP('Données projet'!$B$9,Paramètres!$A$1:$I$88,3,0)*0.475*44/12</f>
        <v>0</v>
      </c>
      <c r="FG85" s="45">
        <f>EXP(-LN(2)/25)*FG84+(1-EXP(-LN(2)/25))/(LN(2)/25)*Calculateur!FB85*Calculateur!FD85*VLOOKUP('Données projet'!$B$9,Paramètres!$A$1:$I$88,3,0)*0.475*44/12</f>
        <v>0</v>
      </c>
      <c r="FH85" s="45">
        <f>EXP(-LN(2)/2)*FH84+(1-EXP(-LN(2)/2))/(LN(2)/2)*FB85*FE85*VLOOKUP('Données projet'!$B$9,Paramètres!$A$1:$I$88,3,0)*0.475*44/12</f>
        <v>0</v>
      </c>
      <c r="FI85" s="46">
        <f t="shared" si="61"/>
        <v>0</v>
      </c>
    </row>
    <row r="86" spans="1:165" x14ac:dyDescent="0.25">
      <c r="A86" s="24">
        <f t="shared" si="62"/>
        <v>83</v>
      </c>
      <c r="B86" s="25">
        <f>IF('Scénario référence'!$N$1=1,5,0)</f>
        <v>0</v>
      </c>
      <c r="C86" s="40">
        <f>IF(OR('Scénario référence'!$N$1=2,'Scénario référence'!$N$1=4),C85+1*VLOOKUP('Scénario référence'!$G$14,Paramètres!$A$1:$I$88,3,0)*VLOOKUP('Scénario référence'!$G$14,Paramètres!$A$1:$I$88,5,0),IF(OR('Scénario référence'!$N$1=3,'Scénario référence'!$N$1=5),C85+0.5*VLOOKUP('Scénario référence'!$G$14,Paramètres!$A$1:$I$88,3,0)*VLOOKUP('Scénario référence'!$G$14,Paramètres!$A$1:$I$88,5,0),0))</f>
        <v>45.317999999999962</v>
      </c>
      <c r="D86" s="26">
        <f t="shared" si="63"/>
        <v>13.397781365483624</v>
      </c>
      <c r="E86" s="27">
        <f>IF('Scénario référence'!$N$1=1,B86*44/12,(C86+D86)*0.475*44/12)</f>
        <v>102.26331921155058</v>
      </c>
      <c r="F86" s="28" t="e">
        <f>VLOOKUP(A86,'Données projet'!$A$35:$I$55,2,0)</f>
        <v>#N/A</v>
      </c>
      <c r="G86" s="28" t="e">
        <f>VLOOKUP(A86,'Données projet'!$A$35:$I$55,9,0)</f>
        <v>#N/A</v>
      </c>
      <c r="H86" s="33">
        <f t="array" ref="H86">INDEX(G:G,MIN(IF(ISNUMBER(G86:G282),ROW(G86:G282),"")))</f>
        <v>5.9</v>
      </c>
      <c r="I86" s="28">
        <f t="shared" si="64"/>
        <v>278.19999999999982</v>
      </c>
      <c r="J86" s="41">
        <f>I86*VLOOKUP('Données projet'!$B$9,Paramètres!$A$1:$I$88,3,0)*VLOOKUP('Données projet'!$B$9,Paramètres!$A$1:$I$88,5,0)</f>
        <v>282.09479999999985</v>
      </c>
      <c r="K86" s="41">
        <f t="shared" si="65"/>
        <v>67.409508117681739</v>
      </c>
      <c r="L86" s="42">
        <f t="shared" si="42"/>
        <v>608.72000330496201</v>
      </c>
      <c r="M86" s="30">
        <f>IF(ISNA(VLOOKUP(A86,'Données projet'!$A$35:$I$55,3,0)),0,VLOOKUP(A86,'Données projet'!$A$35:$I$55,3,0))</f>
        <v>0</v>
      </c>
      <c r="N86" s="30">
        <f>IF(ISNA(VLOOKUP(A86,'Données projet'!$A$35:$I$55,4,0)),0,VLOOKUP(A86,'Données projet'!$A$35:$I$55,4,0))</f>
        <v>0</v>
      </c>
      <c r="O86" s="31">
        <f>IF(ISNA(VLOOKUP(A86,'Données projet'!$A$35:$I$55,5,0)),0%,VLOOKUP(A86,'Données projet'!$A$35:$I$55,5,0)*VLOOKUP('Données projet'!$B$9,Paramètres!$A$1:$I$88,7,0))</f>
        <v>0</v>
      </c>
      <c r="P86" s="31">
        <f>IF(ISNA(VLOOKUP(A86,'Données projet'!$A$35:$I$55,6,0)),0%,VLOOKUP(A86,'Données projet'!$A$35:$I$55,6,0)*VLOOKUP('Données projet'!$B$9,Paramètres!$A$1:$I$88,7,0))</f>
        <v>0</v>
      </c>
      <c r="Q86" s="31">
        <f>IF(ISNA(VLOOKUP(A86,'Données projet'!$A$35:$I$55,7,0)),0%,VLOOKUP(A86,'Données projet'!$A$35:$I$55,7,0))</f>
        <v>0</v>
      </c>
      <c r="R86" s="43">
        <f>EXP(-LN(2)/35)*R85+(1-EXP(-LN(2)/35))/(LN(2)/35)*N86*O86*VLOOKUP('Données projet'!$B$9,Paramètres!$A$1:$I$88,3,0)*0.475*44/12</f>
        <v>0</v>
      </c>
      <c r="S86" s="43">
        <f>EXP(-LN(2)/25)*S85+(1-EXP(-LN(2)/25))/(LN(2)/25)*Calculateur!N86*Calculateur!P86*VLOOKUP('Données projet'!$B$9,Paramètres!$A$1:$I$88,3,0)*0.475*44/12</f>
        <v>0</v>
      </c>
      <c r="T86" s="43">
        <f>EXP(-LN(2)/2)*T85+(1-EXP(-LN(2)/2))/(LN(2)/2)*N86*Q86*VLOOKUP('Données projet'!$B$9,Paramètres!$A$1:$I$88,3,0)*0.475*44/12</f>
        <v>0</v>
      </c>
      <c r="U86" s="43">
        <f t="shared" si="43"/>
        <v>0</v>
      </c>
      <c r="V86" s="32" t="e">
        <f>VLOOKUP(A86,'Données projet'!$A$61:$I$81,2,0)</f>
        <v>#N/A</v>
      </c>
      <c r="W86" s="33" t="e">
        <f>VLOOKUP(A86,'Données projet'!$A$61:$I$81,9,0)</f>
        <v>#N/A</v>
      </c>
      <c r="X86" s="33">
        <f t="array" ref="X86">INDEX(W:W,MIN(IF(ISNUMBER(W86:W282),ROW(W86:W282),"")))</f>
        <v>0</v>
      </c>
      <c r="Y86" s="33">
        <f t="shared" si="66"/>
        <v>0</v>
      </c>
      <c r="Z86" s="34" t="e">
        <f>Y86*VLOOKUP('Données projet'!$B$10,Paramètres!$A$1:$I$88,3,0)*VLOOKUP('Données projet'!$B$10,Paramètres!$A$1:$I$88,5,0)</f>
        <v>#N/A</v>
      </c>
      <c r="AA86" s="34" t="e">
        <f t="shared" si="67"/>
        <v>#N/A</v>
      </c>
      <c r="AB86" s="44" t="e">
        <f t="shared" si="44"/>
        <v>#N/A</v>
      </c>
      <c r="AC86" s="36">
        <f>IF(ISNA(VLOOKUP(A86,'Données projet'!$A$61:$I$81,3,0)),0,VLOOKUP(A86,'Données projet'!$A$61:$I$81,3,0))</f>
        <v>0</v>
      </c>
      <c r="AD86" s="36">
        <f>IF(ISNA(VLOOKUP(A86,'Données projet'!$A$61:$I$81,4,0)),0,VLOOKUP(A86,'Données projet'!$A$61:$I$81,4,0))</f>
        <v>0</v>
      </c>
      <c r="AE86" s="37">
        <f>IF(ISNA(VLOOKUP(A86,'Données projet'!$A$61:$I$81,5,0)),0%,VLOOKUP(A86,'Données projet'!$A$61:$I$81,5,0)*VLOOKUP('Données projet'!$B$10,Paramètres!$A$1:$I$88,7,0))</f>
        <v>0</v>
      </c>
      <c r="AF86" s="37">
        <f>IF(ISNA(VLOOKUP(A86,'Données projet'!$A$61:$I$81,6,0)),0%,VLOOKUP(A86,'Données projet'!$A$61:$I$81,6,0)*VLOOKUP('Données projet'!$B$10,Paramètres!$A$1:$I$88,7,0))</f>
        <v>0</v>
      </c>
      <c r="AG86" s="37">
        <f>IF(ISNA(VLOOKUP(A86,'Données projet'!$A$61:$I$81,7,0)),0%,VLOOKUP(A86,'Données projet'!$A$61:$I$81,7,0))</f>
        <v>0</v>
      </c>
      <c r="AH86" s="45">
        <f>EXP(-LN(2)/35)*AH85+(1-EXP(-LN(2)/35))/(LN(2)/35)*AD86*AE86*VLOOKUP('Données projet'!$B$9,Paramètres!$A$1:$I$88,3,0)*0.475*44/12</f>
        <v>0</v>
      </c>
      <c r="AI86" s="45">
        <f>EXP(-LN(2)/25)*AI85+(1-EXP(-LN(2)/25))/(LN(2)/25)*Calculateur!AD86*Calculateur!AF86*VLOOKUP('Données projet'!$B$9,Paramètres!$A$1:$I$88,3,0)*0.475*44/12</f>
        <v>0</v>
      </c>
      <c r="AJ86" s="45">
        <f>EXP(-LN(2)/2)*AJ85+(1-EXP(-LN(2)/2))/(LN(2)/2)*AD86*AG86*VLOOKUP('Données projet'!$B$9,Paramètres!$A$1:$I$88,3,0)*0.475*44/12</f>
        <v>0</v>
      </c>
      <c r="AK86" s="45">
        <f t="shared" si="45"/>
        <v>0</v>
      </c>
      <c r="AL86" s="32" t="e">
        <f>VLOOKUP(A86,'Données projet'!$A$87:$I$107,2,0)</f>
        <v>#N/A</v>
      </c>
      <c r="AM86" s="33" t="e">
        <f>VLOOKUP(A86,'Données projet'!$A$87:$I$107,9,0)</f>
        <v>#N/A</v>
      </c>
      <c r="AN86" s="33">
        <f t="array" ref="AN86">INDEX(AM:AM,MIN(IF(ISNUMBER(AM86:AM282),ROW(AM86:AM282),"")))</f>
        <v>0</v>
      </c>
      <c r="AO86" s="33">
        <f t="shared" si="68"/>
        <v>0</v>
      </c>
      <c r="AP86" s="34" t="e">
        <f>AO86*VLOOKUP('Données projet'!$B$11,Paramètres!$A$1:$I$88,3,0)*VLOOKUP('Données projet'!$B$11,Paramètres!$A$1:$I$88,5,0)</f>
        <v>#N/A</v>
      </c>
      <c r="AQ86" s="34" t="e">
        <f t="shared" si="69"/>
        <v>#N/A</v>
      </c>
      <c r="AR86" s="44" t="e">
        <f t="shared" si="46"/>
        <v>#N/A</v>
      </c>
      <c r="AS86" s="36">
        <f>IF(ISNA(VLOOKUP(A86,'Données projet'!$A$87:$I$107,3,0)),0,VLOOKUP(A86,'Données projet'!$A$87:$I$107,3,0))</f>
        <v>0</v>
      </c>
      <c r="AT86" s="36">
        <f>IF(ISNA(VLOOKUP(A86,'Données projet'!$A$87:$I$107,4,0)),0,VLOOKUP(A86,'Données projet'!$A$87:$I$107,4,0))</f>
        <v>0</v>
      </c>
      <c r="AU86" s="37">
        <f>IF(ISNA(VLOOKUP(A86,'Données projet'!$A$87:$I$107,5,0)),0%,VLOOKUP(A86,'Données projet'!$A$87:$I$107,5,0)*VLOOKUP('Données projet'!$B$11,Paramètres!$A$1:$I$88,7,0))</f>
        <v>0</v>
      </c>
      <c r="AV86" s="37">
        <f>IF(ISNA(VLOOKUP(A86,'Données projet'!$A$87:$I$107,6,0)),0%,VLOOKUP(A86,'Données projet'!$A$87:$I$107,6,0)*VLOOKUP('Données projet'!$B$11,Paramètres!$A$1:$I$88,7,0))</f>
        <v>0</v>
      </c>
      <c r="AW86" s="37">
        <f>IF(ISNA(VLOOKUP(A86,'Données projet'!$A$87:$I$107,7,0)),0%,VLOOKUP(A86,'Données projet'!$A$87:$I$107,7,0))</f>
        <v>0</v>
      </c>
      <c r="AX86" s="45">
        <f>EXP(-LN(2)/35)*AX85+(1-EXP(-LN(2)/35))/(LN(2)/35)*AT86*AU86*VLOOKUP('Données projet'!$B$9,Paramètres!$A$1:$I$88,3,0)*0.475*44/12</f>
        <v>0</v>
      </c>
      <c r="AY86" s="45">
        <f>EXP(-LN(2)/25)*AY85+(1-EXP(-LN(2)/25))/(LN(2)/25)*Calculateur!AT86*Calculateur!AV86*VLOOKUP('Données projet'!$B$9,Paramètres!$A$1:$I$88,3,0)*0.475*44/12</f>
        <v>0</v>
      </c>
      <c r="AZ86" s="45">
        <f>EXP(-LN(2)/2)*AZ85+(1-EXP(-LN(2)/2))/(LN(2)/2)*AT86*AW86*VLOOKUP('Données projet'!$B$9,Paramètres!$A$1:$I$88,3,0)*0.475*44/12</f>
        <v>0</v>
      </c>
      <c r="BA86" s="46">
        <f t="shared" si="47"/>
        <v>0</v>
      </c>
      <c r="BB86" s="32" t="e">
        <f>VLOOKUP(A86,'Données projet'!$A$113:$I$133,2,0)</f>
        <v>#N/A</v>
      </c>
      <c r="BC86" s="33" t="e">
        <f>VLOOKUP(A86,'Données projet'!$A$113:$I$133,9,0)</f>
        <v>#N/A</v>
      </c>
      <c r="BD86" s="33">
        <f t="array" ref="BD86">INDEX(BC:BC,MIN(IF(ISNUMBER(BC86:BC282),ROW(BC86:BC282),"")))</f>
        <v>0</v>
      </c>
      <c r="BE86" s="33">
        <f t="shared" si="70"/>
        <v>0</v>
      </c>
      <c r="BF86" s="34" t="e">
        <f>BE86*VLOOKUP('Données projet'!$B$12,Paramètres!$A$1:$I$88,3,0)*VLOOKUP('Données projet'!$B$12,Paramètres!$A$1:$I$88,5,0)</f>
        <v>#N/A</v>
      </c>
      <c r="BG86" s="34" t="e">
        <f t="shared" si="71"/>
        <v>#N/A</v>
      </c>
      <c r="BH86" s="44" t="e">
        <f t="shared" si="48"/>
        <v>#N/A</v>
      </c>
      <c r="BI86" s="36">
        <f>IF(ISNA(VLOOKUP(A86,'Données projet'!$A$113:$I$133,3,0)),0,VLOOKUP(A86,'Données projet'!$A$113:$I$133,3,0))</f>
        <v>0</v>
      </c>
      <c r="BJ86" s="36">
        <f>IF(ISNA(VLOOKUP(A86,'Données projet'!$A$113:$I$133,4,0)),0,VLOOKUP(A86,'Données projet'!$A$113:$I$133,4,0))</f>
        <v>0</v>
      </c>
      <c r="BK86" s="37">
        <f>IF(ISNA(VLOOKUP(A86,'Données projet'!$A$113:$I$133,5,0)),0%,VLOOKUP(A86,'Données projet'!$A$113:$I$133,5,0)*VLOOKUP('Données projet'!$B$12,Paramètres!$A$1:$I$88,7,0))</f>
        <v>0</v>
      </c>
      <c r="BL86" s="37">
        <f>IF(ISNA(VLOOKUP(A86,'Données projet'!$A$113:$I$133,6,0)),0%,VLOOKUP(A86,'Données projet'!$A$113:$I$133,6,0)*VLOOKUP('Données projet'!$B$12,Paramètres!$A$1:$I$88,7,0))</f>
        <v>0</v>
      </c>
      <c r="BM86" s="37">
        <f>IF(ISNA(VLOOKUP(A86,'Données projet'!$A$113:$I$133,7,0)),0%,VLOOKUP(A86,'Données projet'!$A$113:$I$133,7,0))</f>
        <v>0</v>
      </c>
      <c r="BN86" s="45">
        <f>EXP(-LN(2)/35)*BN85+(1-EXP(-LN(2)/35))/(LN(2)/35)*BJ86*BK86*VLOOKUP('Données projet'!$B$9,Paramètres!$A$1:$I$88,3,0)*0.475*44/12</f>
        <v>0</v>
      </c>
      <c r="BO86" s="45">
        <f>EXP(-LN(2)/25)*BO85+(1-EXP(-LN(2)/25))/(LN(2)/25)*Calculateur!BJ86*Calculateur!BL86*VLOOKUP('Données projet'!$B$9,Paramètres!$A$1:$I$88,3,0)*0.475*44/12</f>
        <v>0</v>
      </c>
      <c r="BP86" s="45">
        <f>EXP(-LN(2)/2)*BP85+(1-EXP(-LN(2)/2))/(LN(2)/2)*BJ86*BM86*VLOOKUP('Données projet'!$B$9,Paramètres!$A$1:$I$88,3,0)*0.475*44/12</f>
        <v>0</v>
      </c>
      <c r="BQ86" s="46">
        <f t="shared" si="49"/>
        <v>0</v>
      </c>
      <c r="BR86" s="32" t="e">
        <f>VLOOKUP(A86,'Données projet'!$A$139:$I$159,2,0)</f>
        <v>#N/A</v>
      </c>
      <c r="BS86" s="33" t="e">
        <f>VLOOKUP(A86,'Données projet'!$A$139:$I$159,9,0)</f>
        <v>#N/A</v>
      </c>
      <c r="BT86" s="33">
        <f t="array" ref="BT86">INDEX(BS:BS,MIN(IF(ISNUMBER(BS86:BS282),ROW(BS86:BS282),"")))</f>
        <v>0</v>
      </c>
      <c r="BU86" s="33">
        <f t="shared" si="72"/>
        <v>0</v>
      </c>
      <c r="BV86" s="38" t="e">
        <f>BU86*VLOOKUP('Données projet'!$B$13,Paramètres!$A$1:$I$88,3,0)*VLOOKUP('Données projet'!$B$13,Paramètres!$A$1:$I$88,5,0)</f>
        <v>#N/A</v>
      </c>
      <c r="BW86" s="34" t="e">
        <f t="shared" si="73"/>
        <v>#N/A</v>
      </c>
      <c r="BX86" s="44" t="e">
        <f t="shared" si="50"/>
        <v>#N/A</v>
      </c>
      <c r="BY86" s="36">
        <f>IF(ISNA(VLOOKUP(A86,'Données projet'!$A$139:$I$159,3,0)),0,VLOOKUP(A86,'Données projet'!$A$139:$I$159,3,0))</f>
        <v>0</v>
      </c>
      <c r="BZ86" s="36">
        <f>IF(ISNA(VLOOKUP(A86,'Données projet'!$A$139:$I$159,4,0)),0,VLOOKUP(A86,'Données projet'!$A$139:$I$159,4,0))</f>
        <v>0</v>
      </c>
      <c r="CA86" s="37">
        <f>IF(ISNA(VLOOKUP(A86,'Données projet'!$A$139:$I$159,5,0)),0%,VLOOKUP(A86,'Données projet'!$A$139:$I$159,5,0)*VLOOKUP('Données projet'!$B$13,Paramètres!$A$1:$I$88,7,0))</f>
        <v>0</v>
      </c>
      <c r="CB86" s="37">
        <f>IF(ISNA(VLOOKUP(A86,'Données projet'!$A$139:$I$159,6,0)),0%,VLOOKUP(A86,'Données projet'!$A$139:$I$159,6,0)*VLOOKUP('Données projet'!$B$13,Paramètres!$A$1:$I$88,7,0))</f>
        <v>0</v>
      </c>
      <c r="CC86" s="37">
        <f>IF(ISNA(VLOOKUP(A86,'Données projet'!$A$139:$I$159,7,0)),0%,VLOOKUP(A86,'Données projet'!$A$139:$I$159,7,0))</f>
        <v>0</v>
      </c>
      <c r="CD86" s="45">
        <f>EXP(-LN(2)/35)*CD85+(1-EXP(-LN(2)/35))/(LN(2)/35)*BZ86*CA86*VLOOKUP('Données projet'!$B$9,Paramètres!$A$1:$I$88,3,0)*0.475*44/12</f>
        <v>0</v>
      </c>
      <c r="CE86" s="45">
        <f>EXP(-LN(2)/25)*CE85+(1-EXP(-LN(2)/25))/(LN(2)/25)*Calculateur!BZ86*Calculateur!CB86*VLOOKUP('Données projet'!$B$9,Paramètres!$A$1:$I$88,3,0)*0.475*44/12</f>
        <v>0</v>
      </c>
      <c r="CF86" s="45">
        <f>EXP(-LN(2)/2)*CF85+(1-EXP(-LN(2)/2))/(LN(2)/2)*BZ86*CC86*VLOOKUP('Données projet'!$B$9,Paramètres!$A$1:$I$88,3,0)*0.475*44/12</f>
        <v>0</v>
      </c>
      <c r="CG86" s="46">
        <f t="shared" si="51"/>
        <v>0</v>
      </c>
      <c r="CH86" s="32" t="e">
        <f>VLOOKUP(A86,'Données projet'!$A$165:$I$185,2,0)</f>
        <v>#N/A</v>
      </c>
      <c r="CI86" s="33" t="e">
        <f>VLOOKUP(A86,'Données projet'!$A$165:$I$185,9,0)</f>
        <v>#N/A</v>
      </c>
      <c r="CJ86" s="33">
        <f t="array" ref="CJ86">INDEX(CI:CI,MIN(IF(ISNUMBER(CI86:CI282),ROW(CI86:CI282),"")))</f>
        <v>0</v>
      </c>
      <c r="CK86" s="33">
        <f t="shared" si="74"/>
        <v>0</v>
      </c>
      <c r="CL86" s="38" t="e">
        <f>CK86*VLOOKUP('Données projet'!$B$14,Paramètres!$A$1:$I$88,3,0)*VLOOKUP('Données projet'!$B$14,Paramètres!$A$1:$I$88,5,0)</f>
        <v>#N/A</v>
      </c>
      <c r="CM86" s="34" t="e">
        <f t="shared" si="75"/>
        <v>#N/A</v>
      </c>
      <c r="CN86" s="44" t="e">
        <f t="shared" si="52"/>
        <v>#N/A</v>
      </c>
      <c r="CO86" s="36">
        <f>IF(ISNA(VLOOKUP(A86,'Données projet'!$A$165:$I$185,3,0)),0,VLOOKUP(A86,'Données projet'!$A$165:$I$185,3,0))</f>
        <v>0</v>
      </c>
      <c r="CP86" s="36">
        <f>IF(ISNA(VLOOKUP(A86,'Données projet'!$A$165:$I$185,4,0)),0,VLOOKUP(A86,'Données projet'!$A$165:$I$185,4,0))</f>
        <v>0</v>
      </c>
      <c r="CQ86" s="37">
        <f>IF(ISNA(VLOOKUP(A86,'Données projet'!$A$165:$I$185,5,0)),0%,VLOOKUP(A86,'Données projet'!$A$165:$I$185,5,0)*VLOOKUP('Données projet'!$B$14,Paramètres!$A$1:$I$88,7,0))</f>
        <v>0</v>
      </c>
      <c r="CR86" s="37">
        <f>IF(ISNA(VLOOKUP(A86,'Données projet'!$A$165:$I$185,6,0)),0%,VLOOKUP(A86,'Données projet'!$A$165:$I$185,6,0)*VLOOKUP('Données projet'!$B$14,Paramètres!$A$1:$I$88,7,0))</f>
        <v>0</v>
      </c>
      <c r="CS86" s="37">
        <f>IF(ISNA(VLOOKUP(A86,'Données projet'!$A$165:$I$185,7,0)),0%,VLOOKUP(A86,'Données projet'!$A$165:$I$185,7,0))</f>
        <v>0</v>
      </c>
      <c r="CT86" s="45">
        <f>EXP(-LN(2)/35)*CT85+(1-EXP(-LN(2)/35))/(LN(2)/35)*CP86*CQ86*VLOOKUP('Données projet'!$B$9,Paramètres!$A$1:$I$88,3,0)*0.475*44/12</f>
        <v>0</v>
      </c>
      <c r="CU86" s="45">
        <f>EXP(-LN(2)/25)*CU85+(1-EXP(-LN(2)/25))/(LN(2)/25)*Calculateur!CP86*Calculateur!CR86*VLOOKUP('Données projet'!$B$9,Paramètres!$A$1:$I$88,3,0)*0.475*44/12</f>
        <v>0</v>
      </c>
      <c r="CV86" s="45">
        <f>EXP(-LN(2)/2)*CV85+(1-EXP(-LN(2)/2))/(LN(2)/2)*CP86*CS86*VLOOKUP('Données projet'!$B$9,Paramètres!$A$1:$I$88,3,0)*0.475*44/12</f>
        <v>0</v>
      </c>
      <c r="CW86" s="46">
        <f t="shared" si="53"/>
        <v>0</v>
      </c>
      <c r="CX86" s="32" t="e">
        <f>VLOOKUP(A86,'Données projet'!$A$191:$I$211,2,0)</f>
        <v>#N/A</v>
      </c>
      <c r="CY86" s="33" t="e">
        <f>VLOOKUP(A86,'Données projet'!$A$191:$I$211,9,0)</f>
        <v>#N/A</v>
      </c>
      <c r="CZ86" s="33">
        <f t="array" ref="CZ86">INDEX(CY:CY,MIN(IF(ISNUMBER(CY86:CY282),ROW(CY86:CY282),"")))</f>
        <v>0</v>
      </c>
      <c r="DA86" s="33">
        <f t="shared" si="76"/>
        <v>0</v>
      </c>
      <c r="DB86" s="38" t="e">
        <f>DA86*VLOOKUP('Données projet'!$B$15,Paramètres!$A$1:$I$88,3,0)*VLOOKUP('Données projet'!$B$15,Paramètres!$A$1:$I$88,5,0)</f>
        <v>#N/A</v>
      </c>
      <c r="DC86" s="34" t="e">
        <f t="shared" si="77"/>
        <v>#N/A</v>
      </c>
      <c r="DD86" s="44" t="e">
        <f t="shared" si="54"/>
        <v>#N/A</v>
      </c>
      <c r="DE86" s="36">
        <f>IF(ISNA(VLOOKUP(A86,'Données projet'!$A$191:$I$211,3,0)),0,VLOOKUP(A86,'Données projet'!$A$191:$I$211,3,0))</f>
        <v>0</v>
      </c>
      <c r="DF86" s="36">
        <f>IF(ISNA(VLOOKUP(A86,'Données projet'!$A$191:$I$211,4,0)),0,VLOOKUP(A86,'Données projet'!$A$191:$I$211,4,0))</f>
        <v>0</v>
      </c>
      <c r="DG86" s="37">
        <f>IF(ISNA(VLOOKUP(A86,'Données projet'!$A$191:$I$211,5,0)),0%,VLOOKUP(A86,'Données projet'!$A$191:$I$211,5,0)*VLOOKUP('Données projet'!$B$15,Paramètres!$A$1:$I$88,7,0))</f>
        <v>0</v>
      </c>
      <c r="DH86" s="37">
        <f>IF(ISNA(VLOOKUP(A86,'Données projet'!$A$191:$I$211,6,0)),0%,VLOOKUP(A86,'Données projet'!$A$191:$I$211,6,0)*VLOOKUP('Données projet'!$B$15,Paramètres!$A$1:$I$88,7,0))</f>
        <v>0</v>
      </c>
      <c r="DI86" s="37">
        <f>IF(ISNA(VLOOKUP(A86,'Données projet'!$A$191:$I$211,7,0)),0%,VLOOKUP(A86,'Données projet'!$A$191:$I$211,7,0))</f>
        <v>0</v>
      </c>
      <c r="DJ86" s="45">
        <f>EXP(-LN(2)/35)*DJ85+(1-EXP(-LN(2)/35))/(LN(2)/35)*DF86*DG86*VLOOKUP('Données projet'!$B$9,Paramètres!$A$1:$I$88,3,0)*0.475*44/12</f>
        <v>0</v>
      </c>
      <c r="DK86" s="45">
        <f>EXP(-LN(2)/25)*DK85+(1-EXP(-LN(2)/25))/(LN(2)/25)*Calculateur!DF86*Calculateur!DH86*VLOOKUP('Données projet'!$B$9,Paramètres!$A$1:$I$88,3,0)*0.475*44/12</f>
        <v>0</v>
      </c>
      <c r="DL86" s="45">
        <f>EXP(-LN(2)/2)*DL85+(1-EXP(-LN(2)/2))/(LN(2)/2)*DF86*DI86*VLOOKUP('Données projet'!$B$9,Paramètres!$A$1:$I$88,3,0)*0.475*44/12</f>
        <v>0</v>
      </c>
      <c r="DM86" s="46">
        <f t="shared" si="55"/>
        <v>0</v>
      </c>
      <c r="DN86" s="32" t="e">
        <f>VLOOKUP(A86,'Données projet'!$A$217:$I$237,2,0)</f>
        <v>#N/A</v>
      </c>
      <c r="DO86" s="33" t="e">
        <f>VLOOKUP(A86,'Données projet'!$A$217:$I$237,9,0)</f>
        <v>#N/A</v>
      </c>
      <c r="DP86" s="33">
        <f t="array" ref="DP86">INDEX(DO:DO,MIN(IF(ISNUMBER(DO86:DO282),ROW(DO86:DO282),"")))</f>
        <v>0</v>
      </c>
      <c r="DQ86" s="33">
        <f t="shared" si="78"/>
        <v>0</v>
      </c>
      <c r="DR86" s="38" t="e">
        <f>DQ86*VLOOKUP('Données projet'!$B$16,Paramètres!$A$1:$I$88,3,0)*VLOOKUP('Données projet'!$B$16,Paramètres!$A$1:$I$88,5,0)</f>
        <v>#N/A</v>
      </c>
      <c r="DS86" s="34" t="e">
        <f t="shared" si="79"/>
        <v>#N/A</v>
      </c>
      <c r="DT86" s="44" t="e">
        <f t="shared" si="56"/>
        <v>#N/A</v>
      </c>
      <c r="DU86" s="36">
        <f>IF(ISNA(VLOOKUP(A86,'Données projet'!$A$217:$I$237,3,0)),0,VLOOKUP(A86,'Données projet'!$A$217:$I$237,3,0))</f>
        <v>0</v>
      </c>
      <c r="DV86" s="36">
        <f>IF(ISNA(VLOOKUP(A86,'Données projet'!$A$217:$I$237,4,0)),0,VLOOKUP(A86,'Données projet'!$A$217:$I$237,4,0))</f>
        <v>0</v>
      </c>
      <c r="DW86" s="37">
        <f>IF(ISNA(VLOOKUP(A86,'Données projet'!$A$217:$I$237,5,0)),0%,VLOOKUP(A86,'Données projet'!$A$217:$I$237,5,0)*VLOOKUP('Données projet'!$B$16,Paramètres!$A$1:$I$88,7,0))</f>
        <v>0</v>
      </c>
      <c r="DX86" s="37">
        <f>IF(ISNA(VLOOKUP(A86,'Données projet'!$A$217:$I$237,6,0)),0%,VLOOKUP(A86,'Données projet'!$A$217:$I$237,6,0)*VLOOKUP('Données projet'!$B$16,Paramètres!$A$1:$I$88,7,0))</f>
        <v>0</v>
      </c>
      <c r="DY86" s="37">
        <f>IF(ISNA(VLOOKUP(A86,'Données projet'!$A$217:$I$237,7,0)),0%,VLOOKUP(A86,'Données projet'!$A$217:$I$237,7,0))</f>
        <v>0</v>
      </c>
      <c r="DZ86" s="45">
        <f>EXP(-LN(2)/35)*DZ85+(1-EXP(-LN(2)/35))/(LN(2)/35)*DV86*DW86*VLOOKUP('Données projet'!$B$9,Paramètres!$A$1:$I$88,3,0)*0.475*44/12</f>
        <v>0</v>
      </c>
      <c r="EA86" s="45">
        <f>EXP(-LN(2)/25)*EA85+(1-EXP(-LN(2)/25))/(LN(2)/25)*Calculateur!DV86*Calculateur!DX86*VLOOKUP('Données projet'!$B$9,Paramètres!$A$1:$I$88,3,0)*0.475*44/12</f>
        <v>0</v>
      </c>
      <c r="EB86" s="45">
        <f>EXP(-LN(2)/2)*EB85+(1-EXP(-LN(2)/2))/(LN(2)/2)*DV86*DY86*VLOOKUP('Données projet'!$B$9,Paramètres!$A$1:$I$88,3,0)*0.475*44/12</f>
        <v>0</v>
      </c>
      <c r="EC86" s="46">
        <f t="shared" si="57"/>
        <v>0</v>
      </c>
      <c r="ED86" s="32" t="e">
        <f>VLOOKUP(A86,'Données projet'!$A$243:$I$263,2,0)</f>
        <v>#N/A</v>
      </c>
      <c r="EE86" s="33" t="e">
        <f>VLOOKUP(A86,'Données projet'!$A$243:$I$263,9,0)</f>
        <v>#N/A</v>
      </c>
      <c r="EF86" s="33">
        <f t="array" ref="EF86">INDEX(EE:EE,MIN(IF(ISNUMBER(EE86:EE282),ROW(EE86:EE282),"")))</f>
        <v>0</v>
      </c>
      <c r="EG86" s="33">
        <f t="shared" si="80"/>
        <v>0</v>
      </c>
      <c r="EH86" s="38" t="e">
        <f>EG86*VLOOKUP('Données projet'!$B$17,Paramètres!$A$1:$I$88,3,0)*VLOOKUP('Données projet'!$B$17,Paramètres!$A$1:$I$88,5,0)</f>
        <v>#N/A</v>
      </c>
      <c r="EI86" s="34" t="e">
        <f t="shared" si="81"/>
        <v>#N/A</v>
      </c>
      <c r="EJ86" s="44" t="e">
        <f t="shared" si="58"/>
        <v>#N/A</v>
      </c>
      <c r="EK86" s="36">
        <f>IF(ISNA(VLOOKUP(A86,'Données projet'!$A$243:$I$263,3,0)),0,VLOOKUP(A86,'Données projet'!$A$243:$I$263,3,0))</f>
        <v>0</v>
      </c>
      <c r="EL86" s="36">
        <f>IF(ISNA(VLOOKUP(A86,'Données projet'!$A$243:$I$263,4,0)),0,VLOOKUP(A86,'Données projet'!$A$243:$I$263,4,0))</f>
        <v>0</v>
      </c>
      <c r="EM86" s="37">
        <f>IF(ISNA(VLOOKUP(A86,'Données projet'!$A$243:$I$263,5,0)),0%,VLOOKUP(A86,'Données projet'!$A$243:$I$263,5,0)*VLOOKUP('Données projet'!$B$17,Paramètres!$A$1:$I$88,7,0))</f>
        <v>0</v>
      </c>
      <c r="EN86" s="37">
        <f>IF(ISNA(VLOOKUP(A86,'Données projet'!$A$243:$I$263,6,0)),0%,VLOOKUP(A86,'Données projet'!$A$243:$I$263,6,0)*VLOOKUP('Données projet'!$B$17,Paramètres!$A$1:$I$88,7,0))</f>
        <v>0</v>
      </c>
      <c r="EO86" s="37">
        <f>IF(ISNA(VLOOKUP(A86,'Données projet'!$A$243:$I$263,7,0)),0%,VLOOKUP(A86,'Données projet'!$A$243:$I$263,7,0))</f>
        <v>0</v>
      </c>
      <c r="EP86" s="45">
        <f>EXP(-LN(2)/35)*EP85+(1-EXP(-LN(2)/35))/(LN(2)/35)*EL86*EM86*VLOOKUP('Données projet'!$B$9,Paramètres!$A$1:$I$88,3,0)*0.475*44/12</f>
        <v>0</v>
      </c>
      <c r="EQ86" s="45">
        <f>EXP(-LN(2)/25)*EQ85+(1-EXP(-LN(2)/25))/(LN(2)/25)*Calculateur!EL86*Calculateur!EN86*VLOOKUP('Données projet'!$B$9,Paramètres!$A$1:$I$88,3,0)*0.475*44/12</f>
        <v>0</v>
      </c>
      <c r="ER86" s="45">
        <f>EXP(-LN(2)/2)*ER85+(1-EXP(-LN(2)/2))/(LN(2)/2)*EL86*EO86*VLOOKUP('Données projet'!$B$9,Paramètres!$A$1:$I$88,3,0)*0.475*44/12</f>
        <v>0</v>
      </c>
      <c r="ES86" s="46">
        <f t="shared" si="59"/>
        <v>0</v>
      </c>
      <c r="ET86" s="32" t="e">
        <f>VLOOKUP(A86,'Données projet'!$A$269:$I$289,2,0)</f>
        <v>#N/A</v>
      </c>
      <c r="EU86" s="33" t="e">
        <f>VLOOKUP(A86,'Données projet'!$A$269:$I$289,9,0)</f>
        <v>#N/A</v>
      </c>
      <c r="EV86" s="33">
        <f t="array" ref="EV86">INDEX(EU:EU,MIN(IF(ISNUMBER(EU86:EU282),ROW(EU86:EU282),"")))</f>
        <v>0</v>
      </c>
      <c r="EW86" s="33">
        <f t="shared" si="82"/>
        <v>0</v>
      </c>
      <c r="EX86" s="38" t="e">
        <f>EW86*VLOOKUP('Données projet'!$B$18,Paramètres!$A$1:$I$88,3,0)*VLOOKUP('Données projet'!$B$18,Paramètres!$A$1:$I$88,5,0)</f>
        <v>#N/A</v>
      </c>
      <c r="EY86" s="34" t="e">
        <f t="shared" si="83"/>
        <v>#N/A</v>
      </c>
      <c r="EZ86" s="44" t="e">
        <f t="shared" si="60"/>
        <v>#N/A</v>
      </c>
      <c r="FA86" s="36">
        <f>IF(ISNA(VLOOKUP(A86,'Données projet'!$A$269:$I$289,3,0)),0,VLOOKUP(A86,'Données projet'!$A$269:$I$289,3,0))</f>
        <v>0</v>
      </c>
      <c r="FB86" s="36">
        <f>IF(ISNA(VLOOKUP(A86,'Données projet'!$A$269:$I$289,4,0)),0,VLOOKUP(A86,'Données projet'!$A$269:$I$289,4,0))</f>
        <v>0</v>
      </c>
      <c r="FC86" s="37">
        <f>IF(ISNA(VLOOKUP(A86,'Données projet'!$A$269:$I$289,5,0)),0%,VLOOKUP(A86,'Données projet'!$A$269:$I$289,5,0)*VLOOKUP('Données projet'!$B$18,Paramètres!$A$1:$I$88,7,0))</f>
        <v>0</v>
      </c>
      <c r="FD86" s="37">
        <f>IF(ISNA(VLOOKUP(A86,'Données projet'!$A$269:$I$289,6,0)),0%,VLOOKUP(A86,'Données projet'!$A$269:$I$289,6,0)*VLOOKUP('Données projet'!$B$18,Paramètres!$A$1:$I$88,7,0))</f>
        <v>0</v>
      </c>
      <c r="FE86" s="37">
        <f>IF(ISNA(VLOOKUP(A86,'Données projet'!$A$269:$I$289,7,0)),0%,VLOOKUP(A86,'Données projet'!$A$269:$I$289,7,0))</f>
        <v>0</v>
      </c>
      <c r="FF86" s="45">
        <f>EXP(-LN(2)/35)*FF85+(1-EXP(-LN(2)/35))/(LN(2)/35)*FB86*FC86*VLOOKUP('Données projet'!$B$9,Paramètres!$A$1:$I$88,3,0)*0.475*44/12</f>
        <v>0</v>
      </c>
      <c r="FG86" s="45">
        <f>EXP(-LN(2)/25)*FG85+(1-EXP(-LN(2)/25))/(LN(2)/25)*Calculateur!FB86*Calculateur!FD86*VLOOKUP('Données projet'!$B$9,Paramètres!$A$1:$I$88,3,0)*0.475*44/12</f>
        <v>0</v>
      </c>
      <c r="FH86" s="45">
        <f>EXP(-LN(2)/2)*FH85+(1-EXP(-LN(2)/2))/(LN(2)/2)*FB86*FE86*VLOOKUP('Données projet'!$B$9,Paramètres!$A$1:$I$88,3,0)*0.475*44/12</f>
        <v>0</v>
      </c>
      <c r="FI86" s="46">
        <f t="shared" si="61"/>
        <v>0</v>
      </c>
    </row>
    <row r="87" spans="1:165" x14ac:dyDescent="0.25">
      <c r="A87" s="24">
        <f t="shared" si="62"/>
        <v>84</v>
      </c>
      <c r="B87" s="25">
        <f>IF('Scénario référence'!$N$1=1,5,0)</f>
        <v>0</v>
      </c>
      <c r="C87" s="40">
        <f>IF(OR('Scénario référence'!$N$1=2,'Scénario référence'!$N$1=4),C86+1*VLOOKUP('Scénario référence'!$G$14,Paramètres!$A$1:$I$88,3,0)*VLOOKUP('Scénario référence'!$G$14,Paramètres!$A$1:$I$88,5,0),IF(OR('Scénario référence'!$N$1=3,'Scénario référence'!$N$1=5),C86+0.5*VLOOKUP('Scénario référence'!$G$14,Paramètres!$A$1:$I$88,3,0)*VLOOKUP('Scénario référence'!$G$14,Paramètres!$A$1:$I$88,5,0),0))</f>
        <v>45.863999999999962</v>
      </c>
      <c r="D87" s="26">
        <f t="shared" si="63"/>
        <v>13.540311673175388</v>
      </c>
      <c r="E87" s="27">
        <f>IF('Scénario référence'!$N$1=1,B87*44/12,(C87+D87)*0.475*44/12)</f>
        <v>103.46250949744706</v>
      </c>
      <c r="F87" s="28" t="e">
        <f>VLOOKUP(A87,'Données projet'!$A$35:$I$55,2,0)</f>
        <v>#N/A</v>
      </c>
      <c r="G87" s="28" t="e">
        <f>VLOOKUP(A87,'Données projet'!$A$35:$I$55,9,0)</f>
        <v>#N/A</v>
      </c>
      <c r="H87" s="33">
        <f t="array" ref="H87">INDEX(G:G,MIN(IF(ISNUMBER(G87:G283),ROW(G87:G283),"")))</f>
        <v>5.9</v>
      </c>
      <c r="I87" s="28">
        <f t="shared" si="64"/>
        <v>284.0999999999998</v>
      </c>
      <c r="J87" s="41">
        <f>I87*VLOOKUP('Données projet'!$B$9,Paramètres!$A$1:$I$88,3,0)*VLOOKUP('Données projet'!$B$9,Paramètres!$A$1:$I$88,5,0)</f>
        <v>288.07739999999984</v>
      </c>
      <c r="K87" s="41">
        <f t="shared" si="65"/>
        <v>68.671160066636261</v>
      </c>
      <c r="L87" s="42">
        <f t="shared" si="42"/>
        <v>621.33707544939125</v>
      </c>
      <c r="M87" s="30">
        <f>IF(ISNA(VLOOKUP(A87,'Données projet'!$A$35:$I$55,3,0)),0,VLOOKUP(A87,'Données projet'!$A$35:$I$55,3,0))</f>
        <v>0</v>
      </c>
      <c r="N87" s="30">
        <f>IF(ISNA(VLOOKUP(A87,'Données projet'!$A$35:$I$55,4,0)),0,VLOOKUP(A87,'Données projet'!$A$35:$I$55,4,0))</f>
        <v>0</v>
      </c>
      <c r="O87" s="31">
        <f>IF(ISNA(VLOOKUP(A87,'Données projet'!$A$35:$I$55,5,0)),0%,VLOOKUP(A87,'Données projet'!$A$35:$I$55,5,0)*VLOOKUP('Données projet'!$B$9,Paramètres!$A$1:$I$88,7,0))</f>
        <v>0</v>
      </c>
      <c r="P87" s="31">
        <f>IF(ISNA(VLOOKUP(A87,'Données projet'!$A$35:$I$55,6,0)),0%,VLOOKUP(A87,'Données projet'!$A$35:$I$55,6,0)*VLOOKUP('Données projet'!$B$9,Paramètres!$A$1:$I$88,7,0))</f>
        <v>0</v>
      </c>
      <c r="Q87" s="31">
        <f>IF(ISNA(VLOOKUP(A87,'Données projet'!$A$35:$I$55,7,0)),0%,VLOOKUP(A87,'Données projet'!$A$35:$I$55,7,0))</f>
        <v>0</v>
      </c>
      <c r="R87" s="43">
        <f>EXP(-LN(2)/35)*R86+(1-EXP(-LN(2)/35))/(LN(2)/35)*N87*O87*VLOOKUP('Données projet'!$B$9,Paramètres!$A$1:$I$88,3,0)*0.475*44/12</f>
        <v>0</v>
      </c>
      <c r="S87" s="43">
        <f>EXP(-LN(2)/25)*S86+(1-EXP(-LN(2)/25))/(LN(2)/25)*Calculateur!N87*Calculateur!P87*VLOOKUP('Données projet'!$B$9,Paramètres!$A$1:$I$88,3,0)*0.475*44/12</f>
        <v>0</v>
      </c>
      <c r="T87" s="43">
        <f>EXP(-LN(2)/2)*T86+(1-EXP(-LN(2)/2))/(LN(2)/2)*N87*Q87*VLOOKUP('Données projet'!$B$9,Paramètres!$A$1:$I$88,3,0)*0.475*44/12</f>
        <v>0</v>
      </c>
      <c r="U87" s="43">
        <f t="shared" si="43"/>
        <v>0</v>
      </c>
      <c r="V87" s="32" t="e">
        <f>VLOOKUP(A87,'Données projet'!$A$61:$I$81,2,0)</f>
        <v>#N/A</v>
      </c>
      <c r="W87" s="33" t="e">
        <f>VLOOKUP(A87,'Données projet'!$A$61:$I$81,9,0)</f>
        <v>#N/A</v>
      </c>
      <c r="X87" s="33">
        <f t="array" ref="X87">INDEX(W:W,MIN(IF(ISNUMBER(W87:W283),ROW(W87:W283),"")))</f>
        <v>0</v>
      </c>
      <c r="Y87" s="33">
        <f t="shared" si="66"/>
        <v>0</v>
      </c>
      <c r="Z87" s="34" t="e">
        <f>Y87*VLOOKUP('Données projet'!$B$10,Paramètres!$A$1:$I$88,3,0)*VLOOKUP('Données projet'!$B$10,Paramètres!$A$1:$I$88,5,0)</f>
        <v>#N/A</v>
      </c>
      <c r="AA87" s="34" t="e">
        <f t="shared" si="67"/>
        <v>#N/A</v>
      </c>
      <c r="AB87" s="44" t="e">
        <f t="shared" si="44"/>
        <v>#N/A</v>
      </c>
      <c r="AC87" s="36">
        <f>IF(ISNA(VLOOKUP(A87,'Données projet'!$A$61:$I$81,3,0)),0,VLOOKUP(A87,'Données projet'!$A$61:$I$81,3,0))</f>
        <v>0</v>
      </c>
      <c r="AD87" s="36">
        <f>IF(ISNA(VLOOKUP(A87,'Données projet'!$A$61:$I$81,4,0)),0,VLOOKUP(A87,'Données projet'!$A$61:$I$81,4,0))</f>
        <v>0</v>
      </c>
      <c r="AE87" s="37">
        <f>IF(ISNA(VLOOKUP(A87,'Données projet'!$A$61:$I$81,5,0)),0%,VLOOKUP(A87,'Données projet'!$A$61:$I$81,5,0)*VLOOKUP('Données projet'!$B$10,Paramètres!$A$1:$I$88,7,0))</f>
        <v>0</v>
      </c>
      <c r="AF87" s="37">
        <f>IF(ISNA(VLOOKUP(A87,'Données projet'!$A$61:$I$81,6,0)),0%,VLOOKUP(A87,'Données projet'!$A$61:$I$81,6,0)*VLOOKUP('Données projet'!$B$10,Paramètres!$A$1:$I$88,7,0))</f>
        <v>0</v>
      </c>
      <c r="AG87" s="37">
        <f>IF(ISNA(VLOOKUP(A87,'Données projet'!$A$61:$I$81,7,0)),0%,VLOOKUP(A87,'Données projet'!$A$61:$I$81,7,0))</f>
        <v>0</v>
      </c>
      <c r="AH87" s="45">
        <f>EXP(-LN(2)/35)*AH86+(1-EXP(-LN(2)/35))/(LN(2)/35)*AD87*AE87*VLOOKUP('Données projet'!$B$9,Paramètres!$A$1:$I$88,3,0)*0.475*44/12</f>
        <v>0</v>
      </c>
      <c r="AI87" s="45">
        <f>EXP(-LN(2)/25)*AI86+(1-EXP(-LN(2)/25))/(LN(2)/25)*Calculateur!AD87*Calculateur!AF87*VLOOKUP('Données projet'!$B$9,Paramètres!$A$1:$I$88,3,0)*0.475*44/12</f>
        <v>0</v>
      </c>
      <c r="AJ87" s="45">
        <f>EXP(-LN(2)/2)*AJ86+(1-EXP(-LN(2)/2))/(LN(2)/2)*AD87*AG87*VLOOKUP('Données projet'!$B$9,Paramètres!$A$1:$I$88,3,0)*0.475*44/12</f>
        <v>0</v>
      </c>
      <c r="AK87" s="45">
        <f t="shared" si="45"/>
        <v>0</v>
      </c>
      <c r="AL87" s="32" t="e">
        <f>VLOOKUP(A87,'Données projet'!$A$87:$I$107,2,0)</f>
        <v>#N/A</v>
      </c>
      <c r="AM87" s="33" t="e">
        <f>VLOOKUP(A87,'Données projet'!$A$87:$I$107,9,0)</f>
        <v>#N/A</v>
      </c>
      <c r="AN87" s="33">
        <f t="array" ref="AN87">INDEX(AM:AM,MIN(IF(ISNUMBER(AM87:AM283),ROW(AM87:AM283),"")))</f>
        <v>0</v>
      </c>
      <c r="AO87" s="33">
        <f t="shared" si="68"/>
        <v>0</v>
      </c>
      <c r="AP87" s="34" t="e">
        <f>AO87*VLOOKUP('Données projet'!$B$11,Paramètres!$A$1:$I$88,3,0)*VLOOKUP('Données projet'!$B$11,Paramètres!$A$1:$I$88,5,0)</f>
        <v>#N/A</v>
      </c>
      <c r="AQ87" s="34" t="e">
        <f t="shared" si="69"/>
        <v>#N/A</v>
      </c>
      <c r="AR87" s="44" t="e">
        <f t="shared" si="46"/>
        <v>#N/A</v>
      </c>
      <c r="AS87" s="36">
        <f>IF(ISNA(VLOOKUP(A87,'Données projet'!$A$87:$I$107,3,0)),0,VLOOKUP(A87,'Données projet'!$A$87:$I$107,3,0))</f>
        <v>0</v>
      </c>
      <c r="AT87" s="36">
        <f>IF(ISNA(VLOOKUP(A87,'Données projet'!$A$87:$I$107,4,0)),0,VLOOKUP(A87,'Données projet'!$A$87:$I$107,4,0))</f>
        <v>0</v>
      </c>
      <c r="AU87" s="37">
        <f>IF(ISNA(VLOOKUP(A87,'Données projet'!$A$87:$I$107,5,0)),0%,VLOOKUP(A87,'Données projet'!$A$87:$I$107,5,0)*VLOOKUP('Données projet'!$B$11,Paramètres!$A$1:$I$88,7,0))</f>
        <v>0</v>
      </c>
      <c r="AV87" s="37">
        <f>IF(ISNA(VLOOKUP(A87,'Données projet'!$A$87:$I$107,6,0)),0%,VLOOKUP(A87,'Données projet'!$A$87:$I$107,6,0)*VLOOKUP('Données projet'!$B$11,Paramètres!$A$1:$I$88,7,0))</f>
        <v>0</v>
      </c>
      <c r="AW87" s="37">
        <f>IF(ISNA(VLOOKUP(A87,'Données projet'!$A$87:$I$107,7,0)),0%,VLOOKUP(A87,'Données projet'!$A$87:$I$107,7,0))</f>
        <v>0</v>
      </c>
      <c r="AX87" s="45">
        <f>EXP(-LN(2)/35)*AX86+(1-EXP(-LN(2)/35))/(LN(2)/35)*AT87*AU87*VLOOKUP('Données projet'!$B$9,Paramètres!$A$1:$I$88,3,0)*0.475*44/12</f>
        <v>0</v>
      </c>
      <c r="AY87" s="45">
        <f>EXP(-LN(2)/25)*AY86+(1-EXP(-LN(2)/25))/(LN(2)/25)*Calculateur!AT87*Calculateur!AV87*VLOOKUP('Données projet'!$B$9,Paramètres!$A$1:$I$88,3,0)*0.475*44/12</f>
        <v>0</v>
      </c>
      <c r="AZ87" s="45">
        <f>EXP(-LN(2)/2)*AZ86+(1-EXP(-LN(2)/2))/(LN(2)/2)*AT87*AW87*VLOOKUP('Données projet'!$B$9,Paramètres!$A$1:$I$88,3,0)*0.475*44/12</f>
        <v>0</v>
      </c>
      <c r="BA87" s="46">
        <f t="shared" si="47"/>
        <v>0</v>
      </c>
      <c r="BB87" s="32" t="e">
        <f>VLOOKUP(A87,'Données projet'!$A$113:$I$133,2,0)</f>
        <v>#N/A</v>
      </c>
      <c r="BC87" s="33" t="e">
        <f>VLOOKUP(A87,'Données projet'!$A$113:$I$133,9,0)</f>
        <v>#N/A</v>
      </c>
      <c r="BD87" s="33">
        <f t="array" ref="BD87">INDEX(BC:BC,MIN(IF(ISNUMBER(BC87:BC283),ROW(BC87:BC283),"")))</f>
        <v>0</v>
      </c>
      <c r="BE87" s="33">
        <f t="shared" si="70"/>
        <v>0</v>
      </c>
      <c r="BF87" s="34" t="e">
        <f>BE87*VLOOKUP('Données projet'!$B$12,Paramètres!$A$1:$I$88,3,0)*VLOOKUP('Données projet'!$B$12,Paramètres!$A$1:$I$88,5,0)</f>
        <v>#N/A</v>
      </c>
      <c r="BG87" s="34" t="e">
        <f t="shared" si="71"/>
        <v>#N/A</v>
      </c>
      <c r="BH87" s="44" t="e">
        <f t="shared" si="48"/>
        <v>#N/A</v>
      </c>
      <c r="BI87" s="36">
        <f>IF(ISNA(VLOOKUP(A87,'Données projet'!$A$113:$I$133,3,0)),0,VLOOKUP(A87,'Données projet'!$A$113:$I$133,3,0))</f>
        <v>0</v>
      </c>
      <c r="BJ87" s="36">
        <f>IF(ISNA(VLOOKUP(A87,'Données projet'!$A$113:$I$133,4,0)),0,VLOOKUP(A87,'Données projet'!$A$113:$I$133,4,0))</f>
        <v>0</v>
      </c>
      <c r="BK87" s="37">
        <f>IF(ISNA(VLOOKUP(A87,'Données projet'!$A$113:$I$133,5,0)),0%,VLOOKUP(A87,'Données projet'!$A$113:$I$133,5,0)*VLOOKUP('Données projet'!$B$12,Paramètres!$A$1:$I$88,7,0))</f>
        <v>0</v>
      </c>
      <c r="BL87" s="37">
        <f>IF(ISNA(VLOOKUP(A87,'Données projet'!$A$113:$I$133,6,0)),0%,VLOOKUP(A87,'Données projet'!$A$113:$I$133,6,0)*VLOOKUP('Données projet'!$B$12,Paramètres!$A$1:$I$88,7,0))</f>
        <v>0</v>
      </c>
      <c r="BM87" s="37">
        <f>IF(ISNA(VLOOKUP(A87,'Données projet'!$A$113:$I$133,7,0)),0%,VLOOKUP(A87,'Données projet'!$A$113:$I$133,7,0))</f>
        <v>0</v>
      </c>
      <c r="BN87" s="45">
        <f>EXP(-LN(2)/35)*BN86+(1-EXP(-LN(2)/35))/(LN(2)/35)*BJ87*BK87*VLOOKUP('Données projet'!$B$9,Paramètres!$A$1:$I$88,3,0)*0.475*44/12</f>
        <v>0</v>
      </c>
      <c r="BO87" s="45">
        <f>EXP(-LN(2)/25)*BO86+(1-EXP(-LN(2)/25))/(LN(2)/25)*Calculateur!BJ87*Calculateur!BL87*VLOOKUP('Données projet'!$B$9,Paramètres!$A$1:$I$88,3,0)*0.475*44/12</f>
        <v>0</v>
      </c>
      <c r="BP87" s="45">
        <f>EXP(-LN(2)/2)*BP86+(1-EXP(-LN(2)/2))/(LN(2)/2)*BJ87*BM87*VLOOKUP('Données projet'!$B$9,Paramètres!$A$1:$I$88,3,0)*0.475*44/12</f>
        <v>0</v>
      </c>
      <c r="BQ87" s="46">
        <f t="shared" si="49"/>
        <v>0</v>
      </c>
      <c r="BR87" s="32" t="e">
        <f>VLOOKUP(A87,'Données projet'!$A$139:$I$159,2,0)</f>
        <v>#N/A</v>
      </c>
      <c r="BS87" s="33" t="e">
        <f>VLOOKUP(A87,'Données projet'!$A$139:$I$159,9,0)</f>
        <v>#N/A</v>
      </c>
      <c r="BT87" s="33">
        <f t="array" ref="BT87">INDEX(BS:BS,MIN(IF(ISNUMBER(BS87:BS283),ROW(BS87:BS283),"")))</f>
        <v>0</v>
      </c>
      <c r="BU87" s="33">
        <f t="shared" si="72"/>
        <v>0</v>
      </c>
      <c r="BV87" s="38" t="e">
        <f>BU87*VLOOKUP('Données projet'!$B$13,Paramètres!$A$1:$I$88,3,0)*VLOOKUP('Données projet'!$B$13,Paramètres!$A$1:$I$88,5,0)</f>
        <v>#N/A</v>
      </c>
      <c r="BW87" s="34" t="e">
        <f t="shared" si="73"/>
        <v>#N/A</v>
      </c>
      <c r="BX87" s="44" t="e">
        <f t="shared" si="50"/>
        <v>#N/A</v>
      </c>
      <c r="BY87" s="36">
        <f>IF(ISNA(VLOOKUP(A87,'Données projet'!$A$139:$I$159,3,0)),0,VLOOKUP(A87,'Données projet'!$A$139:$I$159,3,0))</f>
        <v>0</v>
      </c>
      <c r="BZ87" s="36">
        <f>IF(ISNA(VLOOKUP(A87,'Données projet'!$A$139:$I$159,4,0)),0,VLOOKUP(A87,'Données projet'!$A$139:$I$159,4,0))</f>
        <v>0</v>
      </c>
      <c r="CA87" s="37">
        <f>IF(ISNA(VLOOKUP(A87,'Données projet'!$A$139:$I$159,5,0)),0%,VLOOKUP(A87,'Données projet'!$A$139:$I$159,5,0)*VLOOKUP('Données projet'!$B$13,Paramètres!$A$1:$I$88,7,0))</f>
        <v>0</v>
      </c>
      <c r="CB87" s="37">
        <f>IF(ISNA(VLOOKUP(A87,'Données projet'!$A$139:$I$159,6,0)),0%,VLOOKUP(A87,'Données projet'!$A$139:$I$159,6,0)*VLOOKUP('Données projet'!$B$13,Paramètres!$A$1:$I$88,7,0))</f>
        <v>0</v>
      </c>
      <c r="CC87" s="37">
        <f>IF(ISNA(VLOOKUP(A87,'Données projet'!$A$139:$I$159,7,0)),0%,VLOOKUP(A87,'Données projet'!$A$139:$I$159,7,0))</f>
        <v>0</v>
      </c>
      <c r="CD87" s="45">
        <f>EXP(-LN(2)/35)*CD86+(1-EXP(-LN(2)/35))/(LN(2)/35)*BZ87*CA87*VLOOKUP('Données projet'!$B$9,Paramètres!$A$1:$I$88,3,0)*0.475*44/12</f>
        <v>0</v>
      </c>
      <c r="CE87" s="45">
        <f>EXP(-LN(2)/25)*CE86+(1-EXP(-LN(2)/25))/(LN(2)/25)*Calculateur!BZ87*Calculateur!CB87*VLOOKUP('Données projet'!$B$9,Paramètres!$A$1:$I$88,3,0)*0.475*44/12</f>
        <v>0</v>
      </c>
      <c r="CF87" s="45">
        <f>EXP(-LN(2)/2)*CF86+(1-EXP(-LN(2)/2))/(LN(2)/2)*BZ87*CC87*VLOOKUP('Données projet'!$B$9,Paramètres!$A$1:$I$88,3,0)*0.475*44/12</f>
        <v>0</v>
      </c>
      <c r="CG87" s="46">
        <f t="shared" si="51"/>
        <v>0</v>
      </c>
      <c r="CH87" s="32" t="e">
        <f>VLOOKUP(A87,'Données projet'!$A$165:$I$185,2,0)</f>
        <v>#N/A</v>
      </c>
      <c r="CI87" s="33" t="e">
        <f>VLOOKUP(A87,'Données projet'!$A$165:$I$185,9,0)</f>
        <v>#N/A</v>
      </c>
      <c r="CJ87" s="33">
        <f t="array" ref="CJ87">INDEX(CI:CI,MIN(IF(ISNUMBER(CI87:CI283),ROW(CI87:CI283),"")))</f>
        <v>0</v>
      </c>
      <c r="CK87" s="33">
        <f t="shared" si="74"/>
        <v>0</v>
      </c>
      <c r="CL87" s="38" t="e">
        <f>CK87*VLOOKUP('Données projet'!$B$14,Paramètres!$A$1:$I$88,3,0)*VLOOKUP('Données projet'!$B$14,Paramètres!$A$1:$I$88,5,0)</f>
        <v>#N/A</v>
      </c>
      <c r="CM87" s="34" t="e">
        <f t="shared" si="75"/>
        <v>#N/A</v>
      </c>
      <c r="CN87" s="44" t="e">
        <f t="shared" si="52"/>
        <v>#N/A</v>
      </c>
      <c r="CO87" s="36">
        <f>IF(ISNA(VLOOKUP(A87,'Données projet'!$A$165:$I$185,3,0)),0,VLOOKUP(A87,'Données projet'!$A$165:$I$185,3,0))</f>
        <v>0</v>
      </c>
      <c r="CP87" s="36">
        <f>IF(ISNA(VLOOKUP(A87,'Données projet'!$A$165:$I$185,4,0)),0,VLOOKUP(A87,'Données projet'!$A$165:$I$185,4,0))</f>
        <v>0</v>
      </c>
      <c r="CQ87" s="37">
        <f>IF(ISNA(VLOOKUP(A87,'Données projet'!$A$165:$I$185,5,0)),0%,VLOOKUP(A87,'Données projet'!$A$165:$I$185,5,0)*VLOOKUP('Données projet'!$B$14,Paramètres!$A$1:$I$88,7,0))</f>
        <v>0</v>
      </c>
      <c r="CR87" s="37">
        <f>IF(ISNA(VLOOKUP(A87,'Données projet'!$A$165:$I$185,6,0)),0%,VLOOKUP(A87,'Données projet'!$A$165:$I$185,6,0)*VLOOKUP('Données projet'!$B$14,Paramètres!$A$1:$I$88,7,0))</f>
        <v>0</v>
      </c>
      <c r="CS87" s="37">
        <f>IF(ISNA(VLOOKUP(A87,'Données projet'!$A$165:$I$185,7,0)),0%,VLOOKUP(A87,'Données projet'!$A$165:$I$185,7,0))</f>
        <v>0</v>
      </c>
      <c r="CT87" s="45">
        <f>EXP(-LN(2)/35)*CT86+(1-EXP(-LN(2)/35))/(LN(2)/35)*CP87*CQ87*VLOOKUP('Données projet'!$B$9,Paramètres!$A$1:$I$88,3,0)*0.475*44/12</f>
        <v>0</v>
      </c>
      <c r="CU87" s="45">
        <f>EXP(-LN(2)/25)*CU86+(1-EXP(-LN(2)/25))/(LN(2)/25)*Calculateur!CP87*Calculateur!CR87*VLOOKUP('Données projet'!$B$9,Paramètres!$A$1:$I$88,3,0)*0.475*44/12</f>
        <v>0</v>
      </c>
      <c r="CV87" s="45">
        <f>EXP(-LN(2)/2)*CV86+(1-EXP(-LN(2)/2))/(LN(2)/2)*CP87*CS87*VLOOKUP('Données projet'!$B$9,Paramètres!$A$1:$I$88,3,0)*0.475*44/12</f>
        <v>0</v>
      </c>
      <c r="CW87" s="46">
        <f t="shared" si="53"/>
        <v>0</v>
      </c>
      <c r="CX87" s="32" t="e">
        <f>VLOOKUP(A87,'Données projet'!$A$191:$I$211,2,0)</f>
        <v>#N/A</v>
      </c>
      <c r="CY87" s="33" t="e">
        <f>VLOOKUP(A87,'Données projet'!$A$191:$I$211,9,0)</f>
        <v>#N/A</v>
      </c>
      <c r="CZ87" s="33">
        <f t="array" ref="CZ87">INDEX(CY:CY,MIN(IF(ISNUMBER(CY87:CY283),ROW(CY87:CY283),"")))</f>
        <v>0</v>
      </c>
      <c r="DA87" s="33">
        <f t="shared" si="76"/>
        <v>0</v>
      </c>
      <c r="DB87" s="38" t="e">
        <f>DA87*VLOOKUP('Données projet'!$B$15,Paramètres!$A$1:$I$88,3,0)*VLOOKUP('Données projet'!$B$15,Paramètres!$A$1:$I$88,5,0)</f>
        <v>#N/A</v>
      </c>
      <c r="DC87" s="34" t="e">
        <f t="shared" si="77"/>
        <v>#N/A</v>
      </c>
      <c r="DD87" s="44" t="e">
        <f t="shared" si="54"/>
        <v>#N/A</v>
      </c>
      <c r="DE87" s="36">
        <f>IF(ISNA(VLOOKUP(A87,'Données projet'!$A$191:$I$211,3,0)),0,VLOOKUP(A87,'Données projet'!$A$191:$I$211,3,0))</f>
        <v>0</v>
      </c>
      <c r="DF87" s="36">
        <f>IF(ISNA(VLOOKUP(A87,'Données projet'!$A$191:$I$211,4,0)),0,VLOOKUP(A87,'Données projet'!$A$191:$I$211,4,0))</f>
        <v>0</v>
      </c>
      <c r="DG87" s="37">
        <f>IF(ISNA(VLOOKUP(A87,'Données projet'!$A$191:$I$211,5,0)),0%,VLOOKUP(A87,'Données projet'!$A$191:$I$211,5,0)*VLOOKUP('Données projet'!$B$15,Paramètres!$A$1:$I$88,7,0))</f>
        <v>0</v>
      </c>
      <c r="DH87" s="37">
        <f>IF(ISNA(VLOOKUP(A87,'Données projet'!$A$191:$I$211,6,0)),0%,VLOOKUP(A87,'Données projet'!$A$191:$I$211,6,0)*VLOOKUP('Données projet'!$B$15,Paramètres!$A$1:$I$88,7,0))</f>
        <v>0</v>
      </c>
      <c r="DI87" s="37">
        <f>IF(ISNA(VLOOKUP(A87,'Données projet'!$A$191:$I$211,7,0)),0%,VLOOKUP(A87,'Données projet'!$A$191:$I$211,7,0))</f>
        <v>0</v>
      </c>
      <c r="DJ87" s="45">
        <f>EXP(-LN(2)/35)*DJ86+(1-EXP(-LN(2)/35))/(LN(2)/35)*DF87*DG87*VLOOKUP('Données projet'!$B$9,Paramètres!$A$1:$I$88,3,0)*0.475*44/12</f>
        <v>0</v>
      </c>
      <c r="DK87" s="45">
        <f>EXP(-LN(2)/25)*DK86+(1-EXP(-LN(2)/25))/(LN(2)/25)*Calculateur!DF87*Calculateur!DH87*VLOOKUP('Données projet'!$B$9,Paramètres!$A$1:$I$88,3,0)*0.475*44/12</f>
        <v>0</v>
      </c>
      <c r="DL87" s="45">
        <f>EXP(-LN(2)/2)*DL86+(1-EXP(-LN(2)/2))/(LN(2)/2)*DF87*DI87*VLOOKUP('Données projet'!$B$9,Paramètres!$A$1:$I$88,3,0)*0.475*44/12</f>
        <v>0</v>
      </c>
      <c r="DM87" s="46">
        <f t="shared" si="55"/>
        <v>0</v>
      </c>
      <c r="DN87" s="32" t="e">
        <f>VLOOKUP(A87,'Données projet'!$A$217:$I$237,2,0)</f>
        <v>#N/A</v>
      </c>
      <c r="DO87" s="33" t="e">
        <f>VLOOKUP(A87,'Données projet'!$A$217:$I$237,9,0)</f>
        <v>#N/A</v>
      </c>
      <c r="DP87" s="33">
        <f t="array" ref="DP87">INDEX(DO:DO,MIN(IF(ISNUMBER(DO87:DO283),ROW(DO87:DO283),"")))</f>
        <v>0</v>
      </c>
      <c r="DQ87" s="33">
        <f t="shared" si="78"/>
        <v>0</v>
      </c>
      <c r="DR87" s="38" t="e">
        <f>DQ87*VLOOKUP('Données projet'!$B$16,Paramètres!$A$1:$I$88,3,0)*VLOOKUP('Données projet'!$B$16,Paramètres!$A$1:$I$88,5,0)</f>
        <v>#N/A</v>
      </c>
      <c r="DS87" s="34" t="e">
        <f t="shared" si="79"/>
        <v>#N/A</v>
      </c>
      <c r="DT87" s="44" t="e">
        <f t="shared" si="56"/>
        <v>#N/A</v>
      </c>
      <c r="DU87" s="36">
        <f>IF(ISNA(VLOOKUP(A87,'Données projet'!$A$217:$I$237,3,0)),0,VLOOKUP(A87,'Données projet'!$A$217:$I$237,3,0))</f>
        <v>0</v>
      </c>
      <c r="DV87" s="36">
        <f>IF(ISNA(VLOOKUP(A87,'Données projet'!$A$217:$I$237,4,0)),0,VLOOKUP(A87,'Données projet'!$A$217:$I$237,4,0))</f>
        <v>0</v>
      </c>
      <c r="DW87" s="37">
        <f>IF(ISNA(VLOOKUP(A87,'Données projet'!$A$217:$I$237,5,0)),0%,VLOOKUP(A87,'Données projet'!$A$217:$I$237,5,0)*VLOOKUP('Données projet'!$B$16,Paramètres!$A$1:$I$88,7,0))</f>
        <v>0</v>
      </c>
      <c r="DX87" s="37">
        <f>IF(ISNA(VLOOKUP(A87,'Données projet'!$A$217:$I$237,6,0)),0%,VLOOKUP(A87,'Données projet'!$A$217:$I$237,6,0)*VLOOKUP('Données projet'!$B$16,Paramètres!$A$1:$I$88,7,0))</f>
        <v>0</v>
      </c>
      <c r="DY87" s="37">
        <f>IF(ISNA(VLOOKUP(A87,'Données projet'!$A$217:$I$237,7,0)),0%,VLOOKUP(A87,'Données projet'!$A$217:$I$237,7,0))</f>
        <v>0</v>
      </c>
      <c r="DZ87" s="45">
        <f>EXP(-LN(2)/35)*DZ86+(1-EXP(-LN(2)/35))/(LN(2)/35)*DV87*DW87*VLOOKUP('Données projet'!$B$9,Paramètres!$A$1:$I$88,3,0)*0.475*44/12</f>
        <v>0</v>
      </c>
      <c r="EA87" s="45">
        <f>EXP(-LN(2)/25)*EA86+(1-EXP(-LN(2)/25))/(LN(2)/25)*Calculateur!DV87*Calculateur!DX87*VLOOKUP('Données projet'!$B$9,Paramètres!$A$1:$I$88,3,0)*0.475*44/12</f>
        <v>0</v>
      </c>
      <c r="EB87" s="45">
        <f>EXP(-LN(2)/2)*EB86+(1-EXP(-LN(2)/2))/(LN(2)/2)*DV87*DY87*VLOOKUP('Données projet'!$B$9,Paramètres!$A$1:$I$88,3,0)*0.475*44/12</f>
        <v>0</v>
      </c>
      <c r="EC87" s="46">
        <f t="shared" si="57"/>
        <v>0</v>
      </c>
      <c r="ED87" s="32" t="e">
        <f>VLOOKUP(A87,'Données projet'!$A$243:$I$263,2,0)</f>
        <v>#N/A</v>
      </c>
      <c r="EE87" s="33" t="e">
        <f>VLOOKUP(A87,'Données projet'!$A$243:$I$263,9,0)</f>
        <v>#N/A</v>
      </c>
      <c r="EF87" s="33">
        <f t="array" ref="EF87">INDEX(EE:EE,MIN(IF(ISNUMBER(EE87:EE283),ROW(EE87:EE283),"")))</f>
        <v>0</v>
      </c>
      <c r="EG87" s="33">
        <f t="shared" si="80"/>
        <v>0</v>
      </c>
      <c r="EH87" s="38" t="e">
        <f>EG87*VLOOKUP('Données projet'!$B$17,Paramètres!$A$1:$I$88,3,0)*VLOOKUP('Données projet'!$B$17,Paramètres!$A$1:$I$88,5,0)</f>
        <v>#N/A</v>
      </c>
      <c r="EI87" s="34" t="e">
        <f t="shared" si="81"/>
        <v>#N/A</v>
      </c>
      <c r="EJ87" s="44" t="e">
        <f t="shared" si="58"/>
        <v>#N/A</v>
      </c>
      <c r="EK87" s="36">
        <f>IF(ISNA(VLOOKUP(A87,'Données projet'!$A$243:$I$263,3,0)),0,VLOOKUP(A87,'Données projet'!$A$243:$I$263,3,0))</f>
        <v>0</v>
      </c>
      <c r="EL87" s="36">
        <f>IF(ISNA(VLOOKUP(A87,'Données projet'!$A$243:$I$263,4,0)),0,VLOOKUP(A87,'Données projet'!$A$243:$I$263,4,0))</f>
        <v>0</v>
      </c>
      <c r="EM87" s="37">
        <f>IF(ISNA(VLOOKUP(A87,'Données projet'!$A$243:$I$263,5,0)),0%,VLOOKUP(A87,'Données projet'!$A$243:$I$263,5,0)*VLOOKUP('Données projet'!$B$17,Paramètres!$A$1:$I$88,7,0))</f>
        <v>0</v>
      </c>
      <c r="EN87" s="37">
        <f>IF(ISNA(VLOOKUP(A87,'Données projet'!$A$243:$I$263,6,0)),0%,VLOOKUP(A87,'Données projet'!$A$243:$I$263,6,0)*VLOOKUP('Données projet'!$B$17,Paramètres!$A$1:$I$88,7,0))</f>
        <v>0</v>
      </c>
      <c r="EO87" s="37">
        <f>IF(ISNA(VLOOKUP(A87,'Données projet'!$A$243:$I$263,7,0)),0%,VLOOKUP(A87,'Données projet'!$A$243:$I$263,7,0))</f>
        <v>0</v>
      </c>
      <c r="EP87" s="45">
        <f>EXP(-LN(2)/35)*EP86+(1-EXP(-LN(2)/35))/(LN(2)/35)*EL87*EM87*VLOOKUP('Données projet'!$B$9,Paramètres!$A$1:$I$88,3,0)*0.475*44/12</f>
        <v>0</v>
      </c>
      <c r="EQ87" s="45">
        <f>EXP(-LN(2)/25)*EQ86+(1-EXP(-LN(2)/25))/(LN(2)/25)*Calculateur!EL87*Calculateur!EN87*VLOOKUP('Données projet'!$B$9,Paramètres!$A$1:$I$88,3,0)*0.475*44/12</f>
        <v>0</v>
      </c>
      <c r="ER87" s="45">
        <f>EXP(-LN(2)/2)*ER86+(1-EXP(-LN(2)/2))/(LN(2)/2)*EL87*EO87*VLOOKUP('Données projet'!$B$9,Paramètres!$A$1:$I$88,3,0)*0.475*44/12</f>
        <v>0</v>
      </c>
      <c r="ES87" s="46">
        <f t="shared" si="59"/>
        <v>0</v>
      </c>
      <c r="ET87" s="32" t="e">
        <f>VLOOKUP(A87,'Données projet'!$A$269:$I$289,2,0)</f>
        <v>#N/A</v>
      </c>
      <c r="EU87" s="33" t="e">
        <f>VLOOKUP(A87,'Données projet'!$A$269:$I$289,9,0)</f>
        <v>#N/A</v>
      </c>
      <c r="EV87" s="33">
        <f t="array" ref="EV87">INDEX(EU:EU,MIN(IF(ISNUMBER(EU87:EU283),ROW(EU87:EU283),"")))</f>
        <v>0</v>
      </c>
      <c r="EW87" s="33">
        <f t="shared" si="82"/>
        <v>0</v>
      </c>
      <c r="EX87" s="38" t="e">
        <f>EW87*VLOOKUP('Données projet'!$B$18,Paramètres!$A$1:$I$88,3,0)*VLOOKUP('Données projet'!$B$18,Paramètres!$A$1:$I$88,5,0)</f>
        <v>#N/A</v>
      </c>
      <c r="EY87" s="34" t="e">
        <f t="shared" si="83"/>
        <v>#N/A</v>
      </c>
      <c r="EZ87" s="44" t="e">
        <f t="shared" si="60"/>
        <v>#N/A</v>
      </c>
      <c r="FA87" s="36">
        <f>IF(ISNA(VLOOKUP(A87,'Données projet'!$A$269:$I$289,3,0)),0,VLOOKUP(A87,'Données projet'!$A$269:$I$289,3,0))</f>
        <v>0</v>
      </c>
      <c r="FB87" s="36">
        <f>IF(ISNA(VLOOKUP(A87,'Données projet'!$A$269:$I$289,4,0)),0,VLOOKUP(A87,'Données projet'!$A$269:$I$289,4,0))</f>
        <v>0</v>
      </c>
      <c r="FC87" s="37">
        <f>IF(ISNA(VLOOKUP(A87,'Données projet'!$A$269:$I$289,5,0)),0%,VLOOKUP(A87,'Données projet'!$A$269:$I$289,5,0)*VLOOKUP('Données projet'!$B$18,Paramètres!$A$1:$I$88,7,0))</f>
        <v>0</v>
      </c>
      <c r="FD87" s="37">
        <f>IF(ISNA(VLOOKUP(A87,'Données projet'!$A$269:$I$289,6,0)),0%,VLOOKUP(A87,'Données projet'!$A$269:$I$289,6,0)*VLOOKUP('Données projet'!$B$18,Paramètres!$A$1:$I$88,7,0))</f>
        <v>0</v>
      </c>
      <c r="FE87" s="37">
        <f>IF(ISNA(VLOOKUP(A87,'Données projet'!$A$269:$I$289,7,0)),0%,VLOOKUP(A87,'Données projet'!$A$269:$I$289,7,0))</f>
        <v>0</v>
      </c>
      <c r="FF87" s="45">
        <f>EXP(-LN(2)/35)*FF86+(1-EXP(-LN(2)/35))/(LN(2)/35)*FB87*FC87*VLOOKUP('Données projet'!$B$9,Paramètres!$A$1:$I$88,3,0)*0.475*44/12</f>
        <v>0</v>
      </c>
      <c r="FG87" s="45">
        <f>EXP(-LN(2)/25)*FG86+(1-EXP(-LN(2)/25))/(LN(2)/25)*Calculateur!FB87*Calculateur!FD87*VLOOKUP('Données projet'!$B$9,Paramètres!$A$1:$I$88,3,0)*0.475*44/12</f>
        <v>0</v>
      </c>
      <c r="FH87" s="45">
        <f>EXP(-LN(2)/2)*FH86+(1-EXP(-LN(2)/2))/(LN(2)/2)*FB87*FE87*VLOOKUP('Données projet'!$B$9,Paramètres!$A$1:$I$88,3,0)*0.475*44/12</f>
        <v>0</v>
      </c>
      <c r="FI87" s="46">
        <f t="shared" si="61"/>
        <v>0</v>
      </c>
    </row>
    <row r="88" spans="1:165" x14ac:dyDescent="0.25">
      <c r="A88" s="24">
        <f t="shared" si="62"/>
        <v>85</v>
      </c>
      <c r="B88" s="25">
        <f>IF('Scénario référence'!$N$1=1,5,0)</f>
        <v>0</v>
      </c>
      <c r="C88" s="40">
        <f>IF(OR('Scénario référence'!$N$1=2,'Scénario référence'!$N$1=4),C87+1*VLOOKUP('Scénario référence'!$G$14,Paramètres!$A$1:$I$88,3,0)*VLOOKUP('Scénario référence'!$G$14,Paramètres!$A$1:$I$88,5,0),IF(OR('Scénario référence'!$N$1=3,'Scénario référence'!$N$1=5),C87+0.5*VLOOKUP('Scénario référence'!$G$14,Paramètres!$A$1:$I$88,3,0)*VLOOKUP('Scénario référence'!$G$14,Paramètres!$A$1:$I$88,5,0),0))</f>
        <v>46.409999999999961</v>
      </c>
      <c r="D88" s="26">
        <f t="shared" si="63"/>
        <v>13.68264460643392</v>
      </c>
      <c r="E88" s="27">
        <f>IF('Scénario référence'!$N$1=1,B88*44/12,(C88+D88)*0.475*44/12)</f>
        <v>104.66135602287233</v>
      </c>
      <c r="F88" s="28">
        <f>VLOOKUP(A88,'Données projet'!$A$35:$I$55,2,0)</f>
        <v>290</v>
      </c>
      <c r="G88" s="28">
        <f>VLOOKUP(A88,'Données projet'!$A$35:$I$55,9,0)</f>
        <v>5.9</v>
      </c>
      <c r="H88" s="33">
        <f t="array" ref="H88">INDEX(G:G,MIN(IF(ISNUMBER(G88:G284),ROW(G88:G284),"")))</f>
        <v>5.9</v>
      </c>
      <c r="I88" s="28">
        <f t="shared" si="64"/>
        <v>289.99999999999977</v>
      </c>
      <c r="J88" s="41">
        <f>I88*VLOOKUP('Données projet'!$B$9,Paramètres!$A$1:$I$88,3,0)*VLOOKUP('Données projet'!$B$9,Paramètres!$A$1:$I$88,5,0)</f>
        <v>294.05999999999977</v>
      </c>
      <c r="K88" s="41">
        <f t="shared" si="65"/>
        <v>69.929765653573313</v>
      </c>
      <c r="L88" s="42">
        <f t="shared" si="42"/>
        <v>633.94884184663977</v>
      </c>
      <c r="M88" s="30">
        <f>IF(ISNA(VLOOKUP(A88,'Données projet'!$A$35:$I$55,3,0)),0,VLOOKUP(A88,'Données projet'!$A$35:$I$55,3,0))</f>
        <v>7</v>
      </c>
      <c r="N88" s="30">
        <f>IF(ISNA(VLOOKUP(A88,'Données projet'!$A$35:$I$55,4,0)),0,VLOOKUP(A88,'Données projet'!$A$35:$I$55,4,0))</f>
        <v>42</v>
      </c>
      <c r="O88" s="31">
        <f>IF(ISNA(VLOOKUP(A88,'Données projet'!$A$35:$I$55,5,0)),0%,VLOOKUP(A88,'Données projet'!$A$35:$I$55,5,0)*VLOOKUP('Données projet'!$B$9,Paramètres!$A$1:$I$88,7,0))</f>
        <v>0</v>
      </c>
      <c r="P88" s="31">
        <f>IF(ISNA(VLOOKUP(A88,'Données projet'!$A$35:$I$55,6,0)),0%,VLOOKUP(A88,'Données projet'!$A$35:$I$55,6,0)*VLOOKUP('Données projet'!$B$9,Paramètres!$A$1:$I$88,7,0))</f>
        <v>0</v>
      </c>
      <c r="Q88" s="31">
        <f>IF(ISNA(VLOOKUP(A88,'Données projet'!$A$35:$I$55,7,0)),0%,VLOOKUP(A88,'Données projet'!$A$35:$I$55,7,0))</f>
        <v>0</v>
      </c>
      <c r="R88" s="43">
        <f>EXP(-LN(2)/35)*R87+(1-EXP(-LN(2)/35))/(LN(2)/35)*N88*O88*VLOOKUP('Données projet'!$B$9,Paramètres!$A$1:$I$88,3,0)*0.475*44/12</f>
        <v>0</v>
      </c>
      <c r="S88" s="43">
        <f>EXP(-LN(2)/25)*S87+(1-EXP(-LN(2)/25))/(LN(2)/25)*Calculateur!N88*Calculateur!P88*VLOOKUP('Données projet'!$B$9,Paramètres!$A$1:$I$88,3,0)*0.475*44/12</f>
        <v>0</v>
      </c>
      <c r="T88" s="43">
        <f>EXP(-LN(2)/2)*T87+(1-EXP(-LN(2)/2))/(LN(2)/2)*N88*Q88*VLOOKUP('Données projet'!$B$9,Paramètres!$A$1:$I$88,3,0)*0.475*44/12</f>
        <v>0</v>
      </c>
      <c r="U88" s="43">
        <f t="shared" si="43"/>
        <v>0</v>
      </c>
      <c r="V88" s="32" t="e">
        <f>VLOOKUP(A88,'Données projet'!$A$61:$I$81,2,0)</f>
        <v>#N/A</v>
      </c>
      <c r="W88" s="33" t="e">
        <f>VLOOKUP(A88,'Données projet'!$A$61:$I$81,9,0)</f>
        <v>#N/A</v>
      </c>
      <c r="X88" s="33">
        <f t="array" ref="X88">INDEX(W:W,MIN(IF(ISNUMBER(W88:W284),ROW(W88:W284),"")))</f>
        <v>0</v>
      </c>
      <c r="Y88" s="33">
        <f t="shared" si="66"/>
        <v>0</v>
      </c>
      <c r="Z88" s="34" t="e">
        <f>Y88*VLOOKUP('Données projet'!$B$10,Paramètres!$A$1:$I$88,3,0)*VLOOKUP('Données projet'!$B$10,Paramètres!$A$1:$I$88,5,0)</f>
        <v>#N/A</v>
      </c>
      <c r="AA88" s="34" t="e">
        <f t="shared" si="67"/>
        <v>#N/A</v>
      </c>
      <c r="AB88" s="44" t="e">
        <f t="shared" si="44"/>
        <v>#N/A</v>
      </c>
      <c r="AC88" s="36">
        <f>IF(ISNA(VLOOKUP(A88,'Données projet'!$A$61:$I$81,3,0)),0,VLOOKUP(A88,'Données projet'!$A$61:$I$81,3,0))</f>
        <v>0</v>
      </c>
      <c r="AD88" s="36">
        <f>IF(ISNA(VLOOKUP(A88,'Données projet'!$A$61:$I$81,4,0)),0,VLOOKUP(A88,'Données projet'!$A$61:$I$81,4,0))</f>
        <v>0</v>
      </c>
      <c r="AE88" s="37">
        <f>IF(ISNA(VLOOKUP(A88,'Données projet'!$A$61:$I$81,5,0)),0%,VLOOKUP(A88,'Données projet'!$A$61:$I$81,5,0)*VLOOKUP('Données projet'!$B$10,Paramètres!$A$1:$I$88,7,0))</f>
        <v>0</v>
      </c>
      <c r="AF88" s="37">
        <f>IF(ISNA(VLOOKUP(A88,'Données projet'!$A$61:$I$81,6,0)),0%,VLOOKUP(A88,'Données projet'!$A$61:$I$81,6,0)*VLOOKUP('Données projet'!$B$10,Paramètres!$A$1:$I$88,7,0))</f>
        <v>0</v>
      </c>
      <c r="AG88" s="37">
        <f>IF(ISNA(VLOOKUP(A88,'Données projet'!$A$61:$I$81,7,0)),0%,VLOOKUP(A88,'Données projet'!$A$61:$I$81,7,0))</f>
        <v>0</v>
      </c>
      <c r="AH88" s="45">
        <f>EXP(-LN(2)/35)*AH87+(1-EXP(-LN(2)/35))/(LN(2)/35)*AD88*AE88*VLOOKUP('Données projet'!$B$9,Paramètres!$A$1:$I$88,3,0)*0.475*44/12</f>
        <v>0</v>
      </c>
      <c r="AI88" s="45">
        <f>EXP(-LN(2)/25)*AI87+(1-EXP(-LN(2)/25))/(LN(2)/25)*Calculateur!AD88*Calculateur!AF88*VLOOKUP('Données projet'!$B$9,Paramètres!$A$1:$I$88,3,0)*0.475*44/12</f>
        <v>0</v>
      </c>
      <c r="AJ88" s="45">
        <f>EXP(-LN(2)/2)*AJ87+(1-EXP(-LN(2)/2))/(LN(2)/2)*AD88*AG88*VLOOKUP('Données projet'!$B$9,Paramètres!$A$1:$I$88,3,0)*0.475*44/12</f>
        <v>0</v>
      </c>
      <c r="AK88" s="45">
        <f t="shared" si="45"/>
        <v>0</v>
      </c>
      <c r="AL88" s="32" t="e">
        <f>VLOOKUP(A88,'Données projet'!$A$87:$I$107,2,0)</f>
        <v>#N/A</v>
      </c>
      <c r="AM88" s="33" t="e">
        <f>VLOOKUP(A88,'Données projet'!$A$87:$I$107,9,0)</f>
        <v>#N/A</v>
      </c>
      <c r="AN88" s="33">
        <f t="array" ref="AN88">INDEX(AM:AM,MIN(IF(ISNUMBER(AM88:AM284),ROW(AM88:AM284),"")))</f>
        <v>0</v>
      </c>
      <c r="AO88" s="33">
        <f t="shared" si="68"/>
        <v>0</v>
      </c>
      <c r="AP88" s="34" t="e">
        <f>AO88*VLOOKUP('Données projet'!$B$11,Paramètres!$A$1:$I$88,3,0)*VLOOKUP('Données projet'!$B$11,Paramètres!$A$1:$I$88,5,0)</f>
        <v>#N/A</v>
      </c>
      <c r="AQ88" s="34" t="e">
        <f t="shared" si="69"/>
        <v>#N/A</v>
      </c>
      <c r="AR88" s="44" t="e">
        <f t="shared" si="46"/>
        <v>#N/A</v>
      </c>
      <c r="AS88" s="36">
        <f>IF(ISNA(VLOOKUP(A88,'Données projet'!$A$87:$I$107,3,0)),0,VLOOKUP(A88,'Données projet'!$A$87:$I$107,3,0))</f>
        <v>0</v>
      </c>
      <c r="AT88" s="36">
        <f>IF(ISNA(VLOOKUP(A88,'Données projet'!$A$87:$I$107,4,0)),0,VLOOKUP(A88,'Données projet'!$A$87:$I$107,4,0))</f>
        <v>0</v>
      </c>
      <c r="AU88" s="37">
        <f>IF(ISNA(VLOOKUP(A88,'Données projet'!$A$87:$I$107,5,0)),0%,VLOOKUP(A88,'Données projet'!$A$87:$I$107,5,0)*VLOOKUP('Données projet'!$B$11,Paramètres!$A$1:$I$88,7,0))</f>
        <v>0</v>
      </c>
      <c r="AV88" s="37">
        <f>IF(ISNA(VLOOKUP(A88,'Données projet'!$A$87:$I$107,6,0)),0%,VLOOKUP(A88,'Données projet'!$A$87:$I$107,6,0)*VLOOKUP('Données projet'!$B$11,Paramètres!$A$1:$I$88,7,0))</f>
        <v>0</v>
      </c>
      <c r="AW88" s="37">
        <f>IF(ISNA(VLOOKUP(A88,'Données projet'!$A$87:$I$107,7,0)),0%,VLOOKUP(A88,'Données projet'!$A$87:$I$107,7,0))</f>
        <v>0</v>
      </c>
      <c r="AX88" s="45">
        <f>EXP(-LN(2)/35)*AX87+(1-EXP(-LN(2)/35))/(LN(2)/35)*AT88*AU88*VLOOKUP('Données projet'!$B$9,Paramètres!$A$1:$I$88,3,0)*0.475*44/12</f>
        <v>0</v>
      </c>
      <c r="AY88" s="45">
        <f>EXP(-LN(2)/25)*AY87+(1-EXP(-LN(2)/25))/(LN(2)/25)*Calculateur!AT88*Calculateur!AV88*VLOOKUP('Données projet'!$B$9,Paramètres!$A$1:$I$88,3,0)*0.475*44/12</f>
        <v>0</v>
      </c>
      <c r="AZ88" s="45">
        <f>EXP(-LN(2)/2)*AZ87+(1-EXP(-LN(2)/2))/(LN(2)/2)*AT88*AW88*VLOOKUP('Données projet'!$B$9,Paramètres!$A$1:$I$88,3,0)*0.475*44/12</f>
        <v>0</v>
      </c>
      <c r="BA88" s="46">
        <f t="shared" si="47"/>
        <v>0</v>
      </c>
      <c r="BB88" s="32" t="e">
        <f>VLOOKUP(A88,'Données projet'!$A$113:$I$133,2,0)</f>
        <v>#N/A</v>
      </c>
      <c r="BC88" s="33" t="e">
        <f>VLOOKUP(A88,'Données projet'!$A$113:$I$133,9,0)</f>
        <v>#N/A</v>
      </c>
      <c r="BD88" s="33">
        <f t="array" ref="BD88">INDEX(BC:BC,MIN(IF(ISNUMBER(BC88:BC284),ROW(BC88:BC284),"")))</f>
        <v>0</v>
      </c>
      <c r="BE88" s="33">
        <f t="shared" si="70"/>
        <v>0</v>
      </c>
      <c r="BF88" s="34" t="e">
        <f>BE88*VLOOKUP('Données projet'!$B$12,Paramètres!$A$1:$I$88,3,0)*VLOOKUP('Données projet'!$B$12,Paramètres!$A$1:$I$88,5,0)</f>
        <v>#N/A</v>
      </c>
      <c r="BG88" s="34" t="e">
        <f t="shared" si="71"/>
        <v>#N/A</v>
      </c>
      <c r="BH88" s="44" t="e">
        <f t="shared" si="48"/>
        <v>#N/A</v>
      </c>
      <c r="BI88" s="36">
        <f>IF(ISNA(VLOOKUP(A88,'Données projet'!$A$113:$I$133,3,0)),0,VLOOKUP(A88,'Données projet'!$A$113:$I$133,3,0))</f>
        <v>0</v>
      </c>
      <c r="BJ88" s="36">
        <f>IF(ISNA(VLOOKUP(A88,'Données projet'!$A$113:$I$133,4,0)),0,VLOOKUP(A88,'Données projet'!$A$113:$I$133,4,0))</f>
        <v>0</v>
      </c>
      <c r="BK88" s="37">
        <f>IF(ISNA(VLOOKUP(A88,'Données projet'!$A$113:$I$133,5,0)),0%,VLOOKUP(A88,'Données projet'!$A$113:$I$133,5,0)*VLOOKUP('Données projet'!$B$12,Paramètres!$A$1:$I$88,7,0))</f>
        <v>0</v>
      </c>
      <c r="BL88" s="37">
        <f>IF(ISNA(VLOOKUP(A88,'Données projet'!$A$113:$I$133,6,0)),0%,VLOOKUP(A88,'Données projet'!$A$113:$I$133,6,0)*VLOOKUP('Données projet'!$B$12,Paramètres!$A$1:$I$88,7,0))</f>
        <v>0</v>
      </c>
      <c r="BM88" s="37">
        <f>IF(ISNA(VLOOKUP(A88,'Données projet'!$A$113:$I$133,7,0)),0%,VLOOKUP(A88,'Données projet'!$A$113:$I$133,7,0))</f>
        <v>0</v>
      </c>
      <c r="BN88" s="45">
        <f>EXP(-LN(2)/35)*BN87+(1-EXP(-LN(2)/35))/(LN(2)/35)*BJ88*BK88*VLOOKUP('Données projet'!$B$9,Paramètres!$A$1:$I$88,3,0)*0.475*44/12</f>
        <v>0</v>
      </c>
      <c r="BO88" s="45">
        <f>EXP(-LN(2)/25)*BO87+(1-EXP(-LN(2)/25))/(LN(2)/25)*Calculateur!BJ88*Calculateur!BL88*VLOOKUP('Données projet'!$B$9,Paramètres!$A$1:$I$88,3,0)*0.475*44/12</f>
        <v>0</v>
      </c>
      <c r="BP88" s="45">
        <f>EXP(-LN(2)/2)*BP87+(1-EXP(-LN(2)/2))/(LN(2)/2)*BJ88*BM88*VLOOKUP('Données projet'!$B$9,Paramètres!$A$1:$I$88,3,0)*0.475*44/12</f>
        <v>0</v>
      </c>
      <c r="BQ88" s="46">
        <f t="shared" si="49"/>
        <v>0</v>
      </c>
      <c r="BR88" s="32" t="e">
        <f>VLOOKUP(A88,'Données projet'!$A$139:$I$159,2,0)</f>
        <v>#N/A</v>
      </c>
      <c r="BS88" s="33" t="e">
        <f>VLOOKUP(A88,'Données projet'!$A$139:$I$159,9,0)</f>
        <v>#N/A</v>
      </c>
      <c r="BT88" s="33">
        <f t="array" ref="BT88">INDEX(BS:BS,MIN(IF(ISNUMBER(BS88:BS284),ROW(BS88:BS284),"")))</f>
        <v>0</v>
      </c>
      <c r="BU88" s="33">
        <f t="shared" si="72"/>
        <v>0</v>
      </c>
      <c r="BV88" s="38" t="e">
        <f>BU88*VLOOKUP('Données projet'!$B$13,Paramètres!$A$1:$I$88,3,0)*VLOOKUP('Données projet'!$B$13,Paramètres!$A$1:$I$88,5,0)</f>
        <v>#N/A</v>
      </c>
      <c r="BW88" s="34" t="e">
        <f t="shared" si="73"/>
        <v>#N/A</v>
      </c>
      <c r="BX88" s="44" t="e">
        <f t="shared" si="50"/>
        <v>#N/A</v>
      </c>
      <c r="BY88" s="36">
        <f>IF(ISNA(VLOOKUP(A88,'Données projet'!$A$139:$I$159,3,0)),0,VLOOKUP(A88,'Données projet'!$A$139:$I$159,3,0))</f>
        <v>0</v>
      </c>
      <c r="BZ88" s="36">
        <f>IF(ISNA(VLOOKUP(A88,'Données projet'!$A$139:$I$159,4,0)),0,VLOOKUP(A88,'Données projet'!$A$139:$I$159,4,0))</f>
        <v>0</v>
      </c>
      <c r="CA88" s="37">
        <f>IF(ISNA(VLOOKUP(A88,'Données projet'!$A$139:$I$159,5,0)),0%,VLOOKUP(A88,'Données projet'!$A$139:$I$159,5,0)*VLOOKUP('Données projet'!$B$13,Paramètres!$A$1:$I$88,7,0))</f>
        <v>0</v>
      </c>
      <c r="CB88" s="37">
        <f>IF(ISNA(VLOOKUP(A88,'Données projet'!$A$139:$I$159,6,0)),0%,VLOOKUP(A88,'Données projet'!$A$139:$I$159,6,0)*VLOOKUP('Données projet'!$B$13,Paramètres!$A$1:$I$88,7,0))</f>
        <v>0</v>
      </c>
      <c r="CC88" s="37">
        <f>IF(ISNA(VLOOKUP(A88,'Données projet'!$A$139:$I$159,7,0)),0%,VLOOKUP(A88,'Données projet'!$A$139:$I$159,7,0))</f>
        <v>0</v>
      </c>
      <c r="CD88" s="45">
        <f>EXP(-LN(2)/35)*CD87+(1-EXP(-LN(2)/35))/(LN(2)/35)*BZ88*CA88*VLOOKUP('Données projet'!$B$9,Paramètres!$A$1:$I$88,3,0)*0.475*44/12</f>
        <v>0</v>
      </c>
      <c r="CE88" s="45">
        <f>EXP(-LN(2)/25)*CE87+(1-EXP(-LN(2)/25))/(LN(2)/25)*Calculateur!BZ88*Calculateur!CB88*VLOOKUP('Données projet'!$B$9,Paramètres!$A$1:$I$88,3,0)*0.475*44/12</f>
        <v>0</v>
      </c>
      <c r="CF88" s="45">
        <f>EXP(-LN(2)/2)*CF87+(1-EXP(-LN(2)/2))/(LN(2)/2)*BZ88*CC88*VLOOKUP('Données projet'!$B$9,Paramètres!$A$1:$I$88,3,0)*0.475*44/12</f>
        <v>0</v>
      </c>
      <c r="CG88" s="46">
        <f t="shared" si="51"/>
        <v>0</v>
      </c>
      <c r="CH88" s="32" t="e">
        <f>VLOOKUP(A88,'Données projet'!$A$165:$I$185,2,0)</f>
        <v>#N/A</v>
      </c>
      <c r="CI88" s="33" t="e">
        <f>VLOOKUP(A88,'Données projet'!$A$165:$I$185,9,0)</f>
        <v>#N/A</v>
      </c>
      <c r="CJ88" s="33">
        <f t="array" ref="CJ88">INDEX(CI:CI,MIN(IF(ISNUMBER(CI88:CI284),ROW(CI88:CI284),"")))</f>
        <v>0</v>
      </c>
      <c r="CK88" s="33">
        <f t="shared" si="74"/>
        <v>0</v>
      </c>
      <c r="CL88" s="38" t="e">
        <f>CK88*VLOOKUP('Données projet'!$B$14,Paramètres!$A$1:$I$88,3,0)*VLOOKUP('Données projet'!$B$14,Paramètres!$A$1:$I$88,5,0)</f>
        <v>#N/A</v>
      </c>
      <c r="CM88" s="34" t="e">
        <f t="shared" si="75"/>
        <v>#N/A</v>
      </c>
      <c r="CN88" s="44" t="e">
        <f t="shared" si="52"/>
        <v>#N/A</v>
      </c>
      <c r="CO88" s="36">
        <f>IF(ISNA(VLOOKUP(A88,'Données projet'!$A$165:$I$185,3,0)),0,VLOOKUP(A88,'Données projet'!$A$165:$I$185,3,0))</f>
        <v>0</v>
      </c>
      <c r="CP88" s="36">
        <f>IF(ISNA(VLOOKUP(A88,'Données projet'!$A$165:$I$185,4,0)),0,VLOOKUP(A88,'Données projet'!$A$165:$I$185,4,0))</f>
        <v>0</v>
      </c>
      <c r="CQ88" s="37">
        <f>IF(ISNA(VLOOKUP(A88,'Données projet'!$A$165:$I$185,5,0)),0%,VLOOKUP(A88,'Données projet'!$A$165:$I$185,5,0)*VLOOKUP('Données projet'!$B$14,Paramètres!$A$1:$I$88,7,0))</f>
        <v>0</v>
      </c>
      <c r="CR88" s="37">
        <f>IF(ISNA(VLOOKUP(A88,'Données projet'!$A$165:$I$185,6,0)),0%,VLOOKUP(A88,'Données projet'!$A$165:$I$185,6,0)*VLOOKUP('Données projet'!$B$14,Paramètres!$A$1:$I$88,7,0))</f>
        <v>0</v>
      </c>
      <c r="CS88" s="37">
        <f>IF(ISNA(VLOOKUP(A88,'Données projet'!$A$165:$I$185,7,0)),0%,VLOOKUP(A88,'Données projet'!$A$165:$I$185,7,0))</f>
        <v>0</v>
      </c>
      <c r="CT88" s="45">
        <f>EXP(-LN(2)/35)*CT87+(1-EXP(-LN(2)/35))/(LN(2)/35)*CP88*CQ88*VLOOKUP('Données projet'!$B$9,Paramètres!$A$1:$I$88,3,0)*0.475*44/12</f>
        <v>0</v>
      </c>
      <c r="CU88" s="45">
        <f>EXP(-LN(2)/25)*CU87+(1-EXP(-LN(2)/25))/(LN(2)/25)*Calculateur!CP88*Calculateur!CR88*VLOOKUP('Données projet'!$B$9,Paramètres!$A$1:$I$88,3,0)*0.475*44/12</f>
        <v>0</v>
      </c>
      <c r="CV88" s="45">
        <f>EXP(-LN(2)/2)*CV87+(1-EXP(-LN(2)/2))/(LN(2)/2)*CP88*CS88*VLOOKUP('Données projet'!$B$9,Paramètres!$A$1:$I$88,3,0)*0.475*44/12</f>
        <v>0</v>
      </c>
      <c r="CW88" s="46">
        <f t="shared" si="53"/>
        <v>0</v>
      </c>
      <c r="CX88" s="32" t="e">
        <f>VLOOKUP(A88,'Données projet'!$A$191:$I$211,2,0)</f>
        <v>#N/A</v>
      </c>
      <c r="CY88" s="33" t="e">
        <f>VLOOKUP(A88,'Données projet'!$A$191:$I$211,9,0)</f>
        <v>#N/A</v>
      </c>
      <c r="CZ88" s="33">
        <f t="array" ref="CZ88">INDEX(CY:CY,MIN(IF(ISNUMBER(CY88:CY284),ROW(CY88:CY284),"")))</f>
        <v>0</v>
      </c>
      <c r="DA88" s="33">
        <f t="shared" si="76"/>
        <v>0</v>
      </c>
      <c r="DB88" s="38" t="e">
        <f>DA88*VLOOKUP('Données projet'!$B$15,Paramètres!$A$1:$I$88,3,0)*VLOOKUP('Données projet'!$B$15,Paramètres!$A$1:$I$88,5,0)</f>
        <v>#N/A</v>
      </c>
      <c r="DC88" s="34" t="e">
        <f t="shared" si="77"/>
        <v>#N/A</v>
      </c>
      <c r="DD88" s="44" t="e">
        <f t="shared" si="54"/>
        <v>#N/A</v>
      </c>
      <c r="DE88" s="36">
        <f>IF(ISNA(VLOOKUP(A88,'Données projet'!$A$191:$I$211,3,0)),0,VLOOKUP(A88,'Données projet'!$A$191:$I$211,3,0))</f>
        <v>0</v>
      </c>
      <c r="DF88" s="36">
        <f>IF(ISNA(VLOOKUP(A88,'Données projet'!$A$191:$I$211,4,0)),0,VLOOKUP(A88,'Données projet'!$A$191:$I$211,4,0))</f>
        <v>0</v>
      </c>
      <c r="DG88" s="37">
        <f>IF(ISNA(VLOOKUP(A88,'Données projet'!$A$191:$I$211,5,0)),0%,VLOOKUP(A88,'Données projet'!$A$191:$I$211,5,0)*VLOOKUP('Données projet'!$B$15,Paramètres!$A$1:$I$88,7,0))</f>
        <v>0</v>
      </c>
      <c r="DH88" s="37">
        <f>IF(ISNA(VLOOKUP(A88,'Données projet'!$A$191:$I$211,6,0)),0%,VLOOKUP(A88,'Données projet'!$A$191:$I$211,6,0)*VLOOKUP('Données projet'!$B$15,Paramètres!$A$1:$I$88,7,0))</f>
        <v>0</v>
      </c>
      <c r="DI88" s="37">
        <f>IF(ISNA(VLOOKUP(A88,'Données projet'!$A$191:$I$211,7,0)),0%,VLOOKUP(A88,'Données projet'!$A$191:$I$211,7,0))</f>
        <v>0</v>
      </c>
      <c r="DJ88" s="45">
        <f>EXP(-LN(2)/35)*DJ87+(1-EXP(-LN(2)/35))/(LN(2)/35)*DF88*DG88*VLOOKUP('Données projet'!$B$9,Paramètres!$A$1:$I$88,3,0)*0.475*44/12</f>
        <v>0</v>
      </c>
      <c r="DK88" s="45">
        <f>EXP(-LN(2)/25)*DK87+(1-EXP(-LN(2)/25))/(LN(2)/25)*Calculateur!DF88*Calculateur!DH88*VLOOKUP('Données projet'!$B$9,Paramètres!$A$1:$I$88,3,0)*0.475*44/12</f>
        <v>0</v>
      </c>
      <c r="DL88" s="45">
        <f>EXP(-LN(2)/2)*DL87+(1-EXP(-LN(2)/2))/(LN(2)/2)*DF88*DI88*VLOOKUP('Données projet'!$B$9,Paramètres!$A$1:$I$88,3,0)*0.475*44/12</f>
        <v>0</v>
      </c>
      <c r="DM88" s="46">
        <f t="shared" si="55"/>
        <v>0</v>
      </c>
      <c r="DN88" s="32" t="e">
        <f>VLOOKUP(A88,'Données projet'!$A$217:$I$237,2,0)</f>
        <v>#N/A</v>
      </c>
      <c r="DO88" s="33" t="e">
        <f>VLOOKUP(A88,'Données projet'!$A$217:$I$237,9,0)</f>
        <v>#N/A</v>
      </c>
      <c r="DP88" s="33">
        <f t="array" ref="DP88">INDEX(DO:DO,MIN(IF(ISNUMBER(DO88:DO284),ROW(DO88:DO284),"")))</f>
        <v>0</v>
      </c>
      <c r="DQ88" s="33">
        <f t="shared" si="78"/>
        <v>0</v>
      </c>
      <c r="DR88" s="38" t="e">
        <f>DQ88*VLOOKUP('Données projet'!$B$16,Paramètres!$A$1:$I$88,3,0)*VLOOKUP('Données projet'!$B$16,Paramètres!$A$1:$I$88,5,0)</f>
        <v>#N/A</v>
      </c>
      <c r="DS88" s="34" t="e">
        <f t="shared" si="79"/>
        <v>#N/A</v>
      </c>
      <c r="DT88" s="44" t="e">
        <f t="shared" si="56"/>
        <v>#N/A</v>
      </c>
      <c r="DU88" s="36">
        <f>IF(ISNA(VLOOKUP(A88,'Données projet'!$A$217:$I$237,3,0)),0,VLOOKUP(A88,'Données projet'!$A$217:$I$237,3,0))</f>
        <v>0</v>
      </c>
      <c r="DV88" s="36">
        <f>IF(ISNA(VLOOKUP(A88,'Données projet'!$A$217:$I$237,4,0)),0,VLOOKUP(A88,'Données projet'!$A$217:$I$237,4,0))</f>
        <v>0</v>
      </c>
      <c r="DW88" s="37">
        <f>IF(ISNA(VLOOKUP(A88,'Données projet'!$A$217:$I$237,5,0)),0%,VLOOKUP(A88,'Données projet'!$A$217:$I$237,5,0)*VLOOKUP('Données projet'!$B$16,Paramètres!$A$1:$I$88,7,0))</f>
        <v>0</v>
      </c>
      <c r="DX88" s="37">
        <f>IF(ISNA(VLOOKUP(A88,'Données projet'!$A$217:$I$237,6,0)),0%,VLOOKUP(A88,'Données projet'!$A$217:$I$237,6,0)*VLOOKUP('Données projet'!$B$16,Paramètres!$A$1:$I$88,7,0))</f>
        <v>0</v>
      </c>
      <c r="DY88" s="37">
        <f>IF(ISNA(VLOOKUP(A88,'Données projet'!$A$217:$I$237,7,0)),0%,VLOOKUP(A88,'Données projet'!$A$217:$I$237,7,0))</f>
        <v>0</v>
      </c>
      <c r="DZ88" s="45">
        <f>EXP(-LN(2)/35)*DZ87+(1-EXP(-LN(2)/35))/(LN(2)/35)*DV88*DW88*VLOOKUP('Données projet'!$B$9,Paramètres!$A$1:$I$88,3,0)*0.475*44/12</f>
        <v>0</v>
      </c>
      <c r="EA88" s="45">
        <f>EXP(-LN(2)/25)*EA87+(1-EXP(-LN(2)/25))/(LN(2)/25)*Calculateur!DV88*Calculateur!DX88*VLOOKUP('Données projet'!$B$9,Paramètres!$A$1:$I$88,3,0)*0.475*44/12</f>
        <v>0</v>
      </c>
      <c r="EB88" s="45">
        <f>EXP(-LN(2)/2)*EB87+(1-EXP(-LN(2)/2))/(LN(2)/2)*DV88*DY88*VLOOKUP('Données projet'!$B$9,Paramètres!$A$1:$I$88,3,0)*0.475*44/12</f>
        <v>0</v>
      </c>
      <c r="EC88" s="46">
        <f t="shared" si="57"/>
        <v>0</v>
      </c>
      <c r="ED88" s="32" t="e">
        <f>VLOOKUP(A88,'Données projet'!$A$243:$I$263,2,0)</f>
        <v>#N/A</v>
      </c>
      <c r="EE88" s="33" t="e">
        <f>VLOOKUP(A88,'Données projet'!$A$243:$I$263,9,0)</f>
        <v>#N/A</v>
      </c>
      <c r="EF88" s="33">
        <f t="array" ref="EF88">INDEX(EE:EE,MIN(IF(ISNUMBER(EE88:EE284),ROW(EE88:EE284),"")))</f>
        <v>0</v>
      </c>
      <c r="EG88" s="33">
        <f t="shared" si="80"/>
        <v>0</v>
      </c>
      <c r="EH88" s="38" t="e">
        <f>EG88*VLOOKUP('Données projet'!$B$17,Paramètres!$A$1:$I$88,3,0)*VLOOKUP('Données projet'!$B$17,Paramètres!$A$1:$I$88,5,0)</f>
        <v>#N/A</v>
      </c>
      <c r="EI88" s="34" t="e">
        <f t="shared" si="81"/>
        <v>#N/A</v>
      </c>
      <c r="EJ88" s="44" t="e">
        <f t="shared" si="58"/>
        <v>#N/A</v>
      </c>
      <c r="EK88" s="36">
        <f>IF(ISNA(VLOOKUP(A88,'Données projet'!$A$243:$I$263,3,0)),0,VLOOKUP(A88,'Données projet'!$A$243:$I$263,3,0))</f>
        <v>0</v>
      </c>
      <c r="EL88" s="36">
        <f>IF(ISNA(VLOOKUP(A88,'Données projet'!$A$243:$I$263,4,0)),0,VLOOKUP(A88,'Données projet'!$A$243:$I$263,4,0))</f>
        <v>0</v>
      </c>
      <c r="EM88" s="37">
        <f>IF(ISNA(VLOOKUP(A88,'Données projet'!$A$243:$I$263,5,0)),0%,VLOOKUP(A88,'Données projet'!$A$243:$I$263,5,0)*VLOOKUP('Données projet'!$B$17,Paramètres!$A$1:$I$88,7,0))</f>
        <v>0</v>
      </c>
      <c r="EN88" s="37">
        <f>IF(ISNA(VLOOKUP(A88,'Données projet'!$A$243:$I$263,6,0)),0%,VLOOKUP(A88,'Données projet'!$A$243:$I$263,6,0)*VLOOKUP('Données projet'!$B$17,Paramètres!$A$1:$I$88,7,0))</f>
        <v>0</v>
      </c>
      <c r="EO88" s="37">
        <f>IF(ISNA(VLOOKUP(A88,'Données projet'!$A$243:$I$263,7,0)),0%,VLOOKUP(A88,'Données projet'!$A$243:$I$263,7,0))</f>
        <v>0</v>
      </c>
      <c r="EP88" s="45">
        <f>EXP(-LN(2)/35)*EP87+(1-EXP(-LN(2)/35))/(LN(2)/35)*EL88*EM88*VLOOKUP('Données projet'!$B$9,Paramètres!$A$1:$I$88,3,0)*0.475*44/12</f>
        <v>0</v>
      </c>
      <c r="EQ88" s="45">
        <f>EXP(-LN(2)/25)*EQ87+(1-EXP(-LN(2)/25))/(LN(2)/25)*Calculateur!EL88*Calculateur!EN88*VLOOKUP('Données projet'!$B$9,Paramètres!$A$1:$I$88,3,0)*0.475*44/12</f>
        <v>0</v>
      </c>
      <c r="ER88" s="45">
        <f>EXP(-LN(2)/2)*ER87+(1-EXP(-LN(2)/2))/(LN(2)/2)*EL88*EO88*VLOOKUP('Données projet'!$B$9,Paramètres!$A$1:$I$88,3,0)*0.475*44/12</f>
        <v>0</v>
      </c>
      <c r="ES88" s="46">
        <f t="shared" si="59"/>
        <v>0</v>
      </c>
      <c r="ET88" s="32" t="e">
        <f>VLOOKUP(A88,'Données projet'!$A$269:$I$289,2,0)</f>
        <v>#N/A</v>
      </c>
      <c r="EU88" s="33" t="e">
        <f>VLOOKUP(A88,'Données projet'!$A$269:$I$289,9,0)</f>
        <v>#N/A</v>
      </c>
      <c r="EV88" s="33">
        <f t="array" ref="EV88">INDEX(EU:EU,MIN(IF(ISNUMBER(EU88:EU284),ROW(EU88:EU284),"")))</f>
        <v>0</v>
      </c>
      <c r="EW88" s="33">
        <f t="shared" si="82"/>
        <v>0</v>
      </c>
      <c r="EX88" s="38" t="e">
        <f>EW88*VLOOKUP('Données projet'!$B$18,Paramètres!$A$1:$I$88,3,0)*VLOOKUP('Données projet'!$B$18,Paramètres!$A$1:$I$88,5,0)</f>
        <v>#N/A</v>
      </c>
      <c r="EY88" s="34" t="e">
        <f t="shared" si="83"/>
        <v>#N/A</v>
      </c>
      <c r="EZ88" s="44" t="e">
        <f t="shared" si="60"/>
        <v>#N/A</v>
      </c>
      <c r="FA88" s="36">
        <f>IF(ISNA(VLOOKUP(A88,'Données projet'!$A$269:$I$289,3,0)),0,VLOOKUP(A88,'Données projet'!$A$269:$I$289,3,0))</f>
        <v>0</v>
      </c>
      <c r="FB88" s="36">
        <f>IF(ISNA(VLOOKUP(A88,'Données projet'!$A$269:$I$289,4,0)),0,VLOOKUP(A88,'Données projet'!$A$269:$I$289,4,0))</f>
        <v>0</v>
      </c>
      <c r="FC88" s="37">
        <f>IF(ISNA(VLOOKUP(A88,'Données projet'!$A$269:$I$289,5,0)),0%,VLOOKUP(A88,'Données projet'!$A$269:$I$289,5,0)*VLOOKUP('Données projet'!$B$18,Paramètres!$A$1:$I$88,7,0))</f>
        <v>0</v>
      </c>
      <c r="FD88" s="37">
        <f>IF(ISNA(VLOOKUP(A88,'Données projet'!$A$269:$I$289,6,0)),0%,VLOOKUP(A88,'Données projet'!$A$269:$I$289,6,0)*VLOOKUP('Données projet'!$B$18,Paramètres!$A$1:$I$88,7,0))</f>
        <v>0</v>
      </c>
      <c r="FE88" s="37">
        <f>IF(ISNA(VLOOKUP(A88,'Données projet'!$A$269:$I$289,7,0)),0%,VLOOKUP(A88,'Données projet'!$A$269:$I$289,7,0))</f>
        <v>0</v>
      </c>
      <c r="FF88" s="45">
        <f>EXP(-LN(2)/35)*FF87+(1-EXP(-LN(2)/35))/(LN(2)/35)*FB88*FC88*VLOOKUP('Données projet'!$B$9,Paramètres!$A$1:$I$88,3,0)*0.475*44/12</f>
        <v>0</v>
      </c>
      <c r="FG88" s="45">
        <f>EXP(-LN(2)/25)*FG87+(1-EXP(-LN(2)/25))/(LN(2)/25)*Calculateur!FB88*Calculateur!FD88*VLOOKUP('Données projet'!$B$9,Paramètres!$A$1:$I$88,3,0)*0.475*44/12</f>
        <v>0</v>
      </c>
      <c r="FH88" s="45">
        <f>EXP(-LN(2)/2)*FH87+(1-EXP(-LN(2)/2))/(LN(2)/2)*FB88*FE88*VLOOKUP('Données projet'!$B$9,Paramètres!$A$1:$I$88,3,0)*0.475*44/12</f>
        <v>0</v>
      </c>
      <c r="FI88" s="46">
        <f t="shared" si="61"/>
        <v>0</v>
      </c>
    </row>
    <row r="89" spans="1:165" x14ac:dyDescent="0.25">
      <c r="A89" s="24">
        <f t="shared" si="62"/>
        <v>86</v>
      </c>
      <c r="B89" s="25">
        <f>IF('Scénario référence'!$N$1=1,5,0)</f>
        <v>0</v>
      </c>
      <c r="C89" s="40">
        <f>IF(OR('Scénario référence'!$N$1=2,'Scénario référence'!$N$1=4),C88+1*VLOOKUP('Scénario référence'!$G$14,Paramètres!$A$1:$I$88,3,0)*VLOOKUP('Scénario référence'!$G$14,Paramètres!$A$1:$I$88,5,0),IF(OR('Scénario référence'!$N$1=3,'Scénario référence'!$N$1=5),C88+0.5*VLOOKUP('Scénario référence'!$G$14,Paramètres!$A$1:$I$88,3,0)*VLOOKUP('Scénario référence'!$G$14,Paramètres!$A$1:$I$88,5,0),0))</f>
        <v>46.95599999999996</v>
      </c>
      <c r="D89" s="26">
        <f t="shared" si="63"/>
        <v>13.824782755944199</v>
      </c>
      <c r="E89" s="27">
        <f>IF('Scénario référence'!$N$1=1,B89*44/12,(C89+D89)*0.475*44/12)</f>
        <v>105.85986329993608</v>
      </c>
      <c r="F89" s="28" t="e">
        <f>VLOOKUP(A89,'Données projet'!$A$35:$I$55,2,0)</f>
        <v>#N/A</v>
      </c>
      <c r="G89" s="28" t="e">
        <f>VLOOKUP(A89,'Données projet'!$A$35:$I$55,9,0)</f>
        <v>#N/A</v>
      </c>
      <c r="H89" s="33">
        <f t="array" ref="H89">INDEX(G:G,MIN(IF(ISNUMBER(G89:G285),ROW(G89:G285),"")))</f>
        <v>5.2</v>
      </c>
      <c r="I89" s="28">
        <f t="shared" si="64"/>
        <v>253.19999999999976</v>
      </c>
      <c r="J89" s="41">
        <f>I89*VLOOKUP('Données projet'!$B$9,Paramètres!$A$1:$I$88,3,0)*VLOOKUP('Données projet'!$B$9,Paramètres!$A$1:$I$88,5,0)</f>
        <v>256.74479999999977</v>
      </c>
      <c r="K89" s="41">
        <f t="shared" si="65"/>
        <v>62.027992887126103</v>
      </c>
      <c r="L89" s="42">
        <f t="shared" si="42"/>
        <v>555.19594761174415</v>
      </c>
      <c r="M89" s="30">
        <f>IF(ISNA(VLOOKUP(A89,'Données projet'!$A$35:$I$55,3,0)),0,VLOOKUP(A89,'Données projet'!$A$35:$I$55,3,0))</f>
        <v>0</v>
      </c>
      <c r="N89" s="30">
        <f>IF(ISNA(VLOOKUP(A89,'Données projet'!$A$35:$I$55,4,0)),0,VLOOKUP(A89,'Données projet'!$A$35:$I$55,4,0))</f>
        <v>0</v>
      </c>
      <c r="O89" s="31">
        <f>IF(ISNA(VLOOKUP(A89,'Données projet'!$A$35:$I$55,5,0)),0%,VLOOKUP(A89,'Données projet'!$A$35:$I$55,5,0)*VLOOKUP('Données projet'!$B$9,Paramètres!$A$1:$I$88,7,0))</f>
        <v>0</v>
      </c>
      <c r="P89" s="31">
        <f>IF(ISNA(VLOOKUP(A89,'Données projet'!$A$35:$I$55,6,0)),0%,VLOOKUP(A89,'Données projet'!$A$35:$I$55,6,0)*VLOOKUP('Données projet'!$B$9,Paramètres!$A$1:$I$88,7,0))</f>
        <v>0</v>
      </c>
      <c r="Q89" s="31">
        <f>IF(ISNA(VLOOKUP(A89,'Données projet'!$A$35:$I$55,7,0)),0%,VLOOKUP(A89,'Données projet'!$A$35:$I$55,7,0))</f>
        <v>0</v>
      </c>
      <c r="R89" s="43">
        <f>EXP(-LN(2)/35)*R88+(1-EXP(-LN(2)/35))/(LN(2)/35)*N89*O89*VLOOKUP('Données projet'!$B$9,Paramètres!$A$1:$I$88,3,0)*0.475*44/12</f>
        <v>0</v>
      </c>
      <c r="S89" s="43">
        <f>EXP(-LN(2)/25)*S88+(1-EXP(-LN(2)/25))/(LN(2)/25)*Calculateur!N89*Calculateur!P89*VLOOKUP('Données projet'!$B$9,Paramètres!$A$1:$I$88,3,0)*0.475*44/12</f>
        <v>0</v>
      </c>
      <c r="T89" s="43">
        <f>EXP(-LN(2)/2)*T88+(1-EXP(-LN(2)/2))/(LN(2)/2)*N89*Q89*VLOOKUP('Données projet'!$B$9,Paramètres!$A$1:$I$88,3,0)*0.475*44/12</f>
        <v>0</v>
      </c>
      <c r="U89" s="43">
        <f t="shared" si="43"/>
        <v>0</v>
      </c>
      <c r="V89" s="32" t="e">
        <f>VLOOKUP(A89,'Données projet'!$A$61:$I$81,2,0)</f>
        <v>#N/A</v>
      </c>
      <c r="W89" s="33" t="e">
        <f>VLOOKUP(A89,'Données projet'!$A$61:$I$81,9,0)</f>
        <v>#N/A</v>
      </c>
      <c r="X89" s="33">
        <f t="array" ref="X89">INDEX(W:W,MIN(IF(ISNUMBER(W89:W285),ROW(W89:W285),"")))</f>
        <v>0</v>
      </c>
      <c r="Y89" s="33">
        <f t="shared" si="66"/>
        <v>0</v>
      </c>
      <c r="Z89" s="34" t="e">
        <f>Y89*VLOOKUP('Données projet'!$B$10,Paramètres!$A$1:$I$88,3,0)*VLOOKUP('Données projet'!$B$10,Paramètres!$A$1:$I$88,5,0)</f>
        <v>#N/A</v>
      </c>
      <c r="AA89" s="34" t="e">
        <f t="shared" si="67"/>
        <v>#N/A</v>
      </c>
      <c r="AB89" s="44" t="e">
        <f t="shared" si="44"/>
        <v>#N/A</v>
      </c>
      <c r="AC89" s="36">
        <f>IF(ISNA(VLOOKUP(A89,'Données projet'!$A$61:$I$81,3,0)),0,VLOOKUP(A89,'Données projet'!$A$61:$I$81,3,0))</f>
        <v>0</v>
      </c>
      <c r="AD89" s="36">
        <f>IF(ISNA(VLOOKUP(A89,'Données projet'!$A$61:$I$81,4,0)),0,VLOOKUP(A89,'Données projet'!$A$61:$I$81,4,0))</f>
        <v>0</v>
      </c>
      <c r="AE89" s="37">
        <f>IF(ISNA(VLOOKUP(A89,'Données projet'!$A$61:$I$81,5,0)),0%,VLOOKUP(A89,'Données projet'!$A$61:$I$81,5,0)*VLOOKUP('Données projet'!$B$10,Paramètres!$A$1:$I$88,7,0))</f>
        <v>0</v>
      </c>
      <c r="AF89" s="37">
        <f>IF(ISNA(VLOOKUP(A89,'Données projet'!$A$61:$I$81,6,0)),0%,VLOOKUP(A89,'Données projet'!$A$61:$I$81,6,0)*VLOOKUP('Données projet'!$B$10,Paramètres!$A$1:$I$88,7,0))</f>
        <v>0</v>
      </c>
      <c r="AG89" s="37">
        <f>IF(ISNA(VLOOKUP(A89,'Données projet'!$A$61:$I$81,7,0)),0%,VLOOKUP(A89,'Données projet'!$A$61:$I$81,7,0))</f>
        <v>0</v>
      </c>
      <c r="AH89" s="45">
        <f>EXP(-LN(2)/35)*AH88+(1-EXP(-LN(2)/35))/(LN(2)/35)*AD89*AE89*VLOOKUP('Données projet'!$B$9,Paramètres!$A$1:$I$88,3,0)*0.475*44/12</f>
        <v>0</v>
      </c>
      <c r="AI89" s="45">
        <f>EXP(-LN(2)/25)*AI88+(1-EXP(-LN(2)/25))/(LN(2)/25)*Calculateur!AD89*Calculateur!AF89*VLOOKUP('Données projet'!$B$9,Paramètres!$A$1:$I$88,3,0)*0.475*44/12</f>
        <v>0</v>
      </c>
      <c r="AJ89" s="45">
        <f>EXP(-LN(2)/2)*AJ88+(1-EXP(-LN(2)/2))/(LN(2)/2)*AD89*AG89*VLOOKUP('Données projet'!$B$9,Paramètres!$A$1:$I$88,3,0)*0.475*44/12</f>
        <v>0</v>
      </c>
      <c r="AK89" s="45">
        <f t="shared" si="45"/>
        <v>0</v>
      </c>
      <c r="AL89" s="32" t="e">
        <f>VLOOKUP(A89,'Données projet'!$A$87:$I$107,2,0)</f>
        <v>#N/A</v>
      </c>
      <c r="AM89" s="33" t="e">
        <f>VLOOKUP(A89,'Données projet'!$A$87:$I$107,9,0)</f>
        <v>#N/A</v>
      </c>
      <c r="AN89" s="33">
        <f t="array" ref="AN89">INDEX(AM:AM,MIN(IF(ISNUMBER(AM89:AM285),ROW(AM89:AM285),"")))</f>
        <v>0</v>
      </c>
      <c r="AO89" s="33">
        <f t="shared" si="68"/>
        <v>0</v>
      </c>
      <c r="AP89" s="34" t="e">
        <f>AO89*VLOOKUP('Données projet'!$B$11,Paramètres!$A$1:$I$88,3,0)*VLOOKUP('Données projet'!$B$11,Paramètres!$A$1:$I$88,5,0)</f>
        <v>#N/A</v>
      </c>
      <c r="AQ89" s="34" t="e">
        <f t="shared" si="69"/>
        <v>#N/A</v>
      </c>
      <c r="AR89" s="44" t="e">
        <f t="shared" si="46"/>
        <v>#N/A</v>
      </c>
      <c r="AS89" s="36">
        <f>IF(ISNA(VLOOKUP(A89,'Données projet'!$A$87:$I$107,3,0)),0,VLOOKUP(A89,'Données projet'!$A$87:$I$107,3,0))</f>
        <v>0</v>
      </c>
      <c r="AT89" s="36">
        <f>IF(ISNA(VLOOKUP(A89,'Données projet'!$A$87:$I$107,4,0)),0,VLOOKUP(A89,'Données projet'!$A$87:$I$107,4,0))</f>
        <v>0</v>
      </c>
      <c r="AU89" s="37">
        <f>IF(ISNA(VLOOKUP(A89,'Données projet'!$A$87:$I$107,5,0)),0%,VLOOKUP(A89,'Données projet'!$A$87:$I$107,5,0)*VLOOKUP('Données projet'!$B$11,Paramètres!$A$1:$I$88,7,0))</f>
        <v>0</v>
      </c>
      <c r="AV89" s="37">
        <f>IF(ISNA(VLOOKUP(A89,'Données projet'!$A$87:$I$107,6,0)),0%,VLOOKUP(A89,'Données projet'!$A$87:$I$107,6,0)*VLOOKUP('Données projet'!$B$11,Paramètres!$A$1:$I$88,7,0))</f>
        <v>0</v>
      </c>
      <c r="AW89" s="37">
        <f>IF(ISNA(VLOOKUP(A89,'Données projet'!$A$87:$I$107,7,0)),0%,VLOOKUP(A89,'Données projet'!$A$87:$I$107,7,0))</f>
        <v>0</v>
      </c>
      <c r="AX89" s="45">
        <f>EXP(-LN(2)/35)*AX88+(1-EXP(-LN(2)/35))/(LN(2)/35)*AT89*AU89*VLOOKUP('Données projet'!$B$9,Paramètres!$A$1:$I$88,3,0)*0.475*44/12</f>
        <v>0</v>
      </c>
      <c r="AY89" s="45">
        <f>EXP(-LN(2)/25)*AY88+(1-EXP(-LN(2)/25))/(LN(2)/25)*Calculateur!AT89*Calculateur!AV89*VLOOKUP('Données projet'!$B$9,Paramètres!$A$1:$I$88,3,0)*0.475*44/12</f>
        <v>0</v>
      </c>
      <c r="AZ89" s="45">
        <f>EXP(-LN(2)/2)*AZ88+(1-EXP(-LN(2)/2))/(LN(2)/2)*AT89*AW89*VLOOKUP('Données projet'!$B$9,Paramètres!$A$1:$I$88,3,0)*0.475*44/12</f>
        <v>0</v>
      </c>
      <c r="BA89" s="46">
        <f t="shared" si="47"/>
        <v>0</v>
      </c>
      <c r="BB89" s="32" t="e">
        <f>VLOOKUP(A89,'Données projet'!$A$113:$I$133,2,0)</f>
        <v>#N/A</v>
      </c>
      <c r="BC89" s="33" t="e">
        <f>VLOOKUP(A89,'Données projet'!$A$113:$I$133,9,0)</f>
        <v>#N/A</v>
      </c>
      <c r="BD89" s="33">
        <f t="array" ref="BD89">INDEX(BC:BC,MIN(IF(ISNUMBER(BC89:BC285),ROW(BC89:BC285),"")))</f>
        <v>0</v>
      </c>
      <c r="BE89" s="33">
        <f t="shared" si="70"/>
        <v>0</v>
      </c>
      <c r="BF89" s="34" t="e">
        <f>BE89*VLOOKUP('Données projet'!$B$12,Paramètres!$A$1:$I$88,3,0)*VLOOKUP('Données projet'!$B$12,Paramètres!$A$1:$I$88,5,0)</f>
        <v>#N/A</v>
      </c>
      <c r="BG89" s="34" t="e">
        <f t="shared" si="71"/>
        <v>#N/A</v>
      </c>
      <c r="BH89" s="44" t="e">
        <f t="shared" si="48"/>
        <v>#N/A</v>
      </c>
      <c r="BI89" s="36">
        <f>IF(ISNA(VLOOKUP(A89,'Données projet'!$A$113:$I$133,3,0)),0,VLOOKUP(A89,'Données projet'!$A$113:$I$133,3,0))</f>
        <v>0</v>
      </c>
      <c r="BJ89" s="36">
        <f>IF(ISNA(VLOOKUP(A89,'Données projet'!$A$113:$I$133,4,0)),0,VLOOKUP(A89,'Données projet'!$A$113:$I$133,4,0))</f>
        <v>0</v>
      </c>
      <c r="BK89" s="37">
        <f>IF(ISNA(VLOOKUP(A89,'Données projet'!$A$113:$I$133,5,0)),0%,VLOOKUP(A89,'Données projet'!$A$113:$I$133,5,0)*VLOOKUP('Données projet'!$B$12,Paramètres!$A$1:$I$88,7,0))</f>
        <v>0</v>
      </c>
      <c r="BL89" s="37">
        <f>IF(ISNA(VLOOKUP(A89,'Données projet'!$A$113:$I$133,6,0)),0%,VLOOKUP(A89,'Données projet'!$A$113:$I$133,6,0)*VLOOKUP('Données projet'!$B$12,Paramètres!$A$1:$I$88,7,0))</f>
        <v>0</v>
      </c>
      <c r="BM89" s="37">
        <f>IF(ISNA(VLOOKUP(A89,'Données projet'!$A$113:$I$133,7,0)),0%,VLOOKUP(A89,'Données projet'!$A$113:$I$133,7,0))</f>
        <v>0</v>
      </c>
      <c r="BN89" s="45">
        <f>EXP(-LN(2)/35)*BN88+(1-EXP(-LN(2)/35))/(LN(2)/35)*BJ89*BK89*VLOOKUP('Données projet'!$B$9,Paramètres!$A$1:$I$88,3,0)*0.475*44/12</f>
        <v>0</v>
      </c>
      <c r="BO89" s="45">
        <f>EXP(-LN(2)/25)*BO88+(1-EXP(-LN(2)/25))/(LN(2)/25)*Calculateur!BJ89*Calculateur!BL89*VLOOKUP('Données projet'!$B$9,Paramètres!$A$1:$I$88,3,0)*0.475*44/12</f>
        <v>0</v>
      </c>
      <c r="BP89" s="45">
        <f>EXP(-LN(2)/2)*BP88+(1-EXP(-LN(2)/2))/(LN(2)/2)*BJ89*BM89*VLOOKUP('Données projet'!$B$9,Paramètres!$A$1:$I$88,3,0)*0.475*44/12</f>
        <v>0</v>
      </c>
      <c r="BQ89" s="46">
        <f t="shared" si="49"/>
        <v>0</v>
      </c>
      <c r="BR89" s="32" t="e">
        <f>VLOOKUP(A89,'Données projet'!$A$139:$I$159,2,0)</f>
        <v>#N/A</v>
      </c>
      <c r="BS89" s="33" t="e">
        <f>VLOOKUP(A89,'Données projet'!$A$139:$I$159,9,0)</f>
        <v>#N/A</v>
      </c>
      <c r="BT89" s="33">
        <f t="array" ref="BT89">INDEX(BS:BS,MIN(IF(ISNUMBER(BS89:BS285),ROW(BS89:BS285),"")))</f>
        <v>0</v>
      </c>
      <c r="BU89" s="33">
        <f t="shared" si="72"/>
        <v>0</v>
      </c>
      <c r="BV89" s="38" t="e">
        <f>BU89*VLOOKUP('Données projet'!$B$13,Paramètres!$A$1:$I$88,3,0)*VLOOKUP('Données projet'!$B$13,Paramètres!$A$1:$I$88,5,0)</f>
        <v>#N/A</v>
      </c>
      <c r="BW89" s="34" t="e">
        <f t="shared" si="73"/>
        <v>#N/A</v>
      </c>
      <c r="BX89" s="44" t="e">
        <f t="shared" si="50"/>
        <v>#N/A</v>
      </c>
      <c r="BY89" s="36">
        <f>IF(ISNA(VLOOKUP(A89,'Données projet'!$A$139:$I$159,3,0)),0,VLOOKUP(A89,'Données projet'!$A$139:$I$159,3,0))</f>
        <v>0</v>
      </c>
      <c r="BZ89" s="36">
        <f>IF(ISNA(VLOOKUP(A89,'Données projet'!$A$139:$I$159,4,0)),0,VLOOKUP(A89,'Données projet'!$A$139:$I$159,4,0))</f>
        <v>0</v>
      </c>
      <c r="CA89" s="37">
        <f>IF(ISNA(VLOOKUP(A89,'Données projet'!$A$139:$I$159,5,0)),0%,VLOOKUP(A89,'Données projet'!$A$139:$I$159,5,0)*VLOOKUP('Données projet'!$B$13,Paramètres!$A$1:$I$88,7,0))</f>
        <v>0</v>
      </c>
      <c r="CB89" s="37">
        <f>IF(ISNA(VLOOKUP(A89,'Données projet'!$A$139:$I$159,6,0)),0%,VLOOKUP(A89,'Données projet'!$A$139:$I$159,6,0)*VLOOKUP('Données projet'!$B$13,Paramètres!$A$1:$I$88,7,0))</f>
        <v>0</v>
      </c>
      <c r="CC89" s="37">
        <f>IF(ISNA(VLOOKUP(A89,'Données projet'!$A$139:$I$159,7,0)),0%,VLOOKUP(A89,'Données projet'!$A$139:$I$159,7,0))</f>
        <v>0</v>
      </c>
      <c r="CD89" s="45">
        <f>EXP(-LN(2)/35)*CD88+(1-EXP(-LN(2)/35))/(LN(2)/35)*BZ89*CA89*VLOOKUP('Données projet'!$B$9,Paramètres!$A$1:$I$88,3,0)*0.475*44/12</f>
        <v>0</v>
      </c>
      <c r="CE89" s="45">
        <f>EXP(-LN(2)/25)*CE88+(1-EXP(-LN(2)/25))/(LN(2)/25)*Calculateur!BZ89*Calculateur!CB89*VLOOKUP('Données projet'!$B$9,Paramètres!$A$1:$I$88,3,0)*0.475*44/12</f>
        <v>0</v>
      </c>
      <c r="CF89" s="45">
        <f>EXP(-LN(2)/2)*CF88+(1-EXP(-LN(2)/2))/(LN(2)/2)*BZ89*CC89*VLOOKUP('Données projet'!$B$9,Paramètres!$A$1:$I$88,3,0)*0.475*44/12</f>
        <v>0</v>
      </c>
      <c r="CG89" s="46">
        <f t="shared" si="51"/>
        <v>0</v>
      </c>
      <c r="CH89" s="32" t="e">
        <f>VLOOKUP(A89,'Données projet'!$A$165:$I$185,2,0)</f>
        <v>#N/A</v>
      </c>
      <c r="CI89" s="33" t="e">
        <f>VLOOKUP(A89,'Données projet'!$A$165:$I$185,9,0)</f>
        <v>#N/A</v>
      </c>
      <c r="CJ89" s="33">
        <f t="array" ref="CJ89">INDEX(CI:CI,MIN(IF(ISNUMBER(CI89:CI285),ROW(CI89:CI285),"")))</f>
        <v>0</v>
      </c>
      <c r="CK89" s="33">
        <f t="shared" si="74"/>
        <v>0</v>
      </c>
      <c r="CL89" s="38" t="e">
        <f>CK89*VLOOKUP('Données projet'!$B$14,Paramètres!$A$1:$I$88,3,0)*VLOOKUP('Données projet'!$B$14,Paramètres!$A$1:$I$88,5,0)</f>
        <v>#N/A</v>
      </c>
      <c r="CM89" s="34" t="e">
        <f t="shared" si="75"/>
        <v>#N/A</v>
      </c>
      <c r="CN89" s="44" t="e">
        <f t="shared" si="52"/>
        <v>#N/A</v>
      </c>
      <c r="CO89" s="36">
        <f>IF(ISNA(VLOOKUP(A89,'Données projet'!$A$165:$I$185,3,0)),0,VLOOKUP(A89,'Données projet'!$A$165:$I$185,3,0))</f>
        <v>0</v>
      </c>
      <c r="CP89" s="36">
        <f>IF(ISNA(VLOOKUP(A89,'Données projet'!$A$165:$I$185,4,0)),0,VLOOKUP(A89,'Données projet'!$A$165:$I$185,4,0))</f>
        <v>0</v>
      </c>
      <c r="CQ89" s="37">
        <f>IF(ISNA(VLOOKUP(A89,'Données projet'!$A$165:$I$185,5,0)),0%,VLOOKUP(A89,'Données projet'!$A$165:$I$185,5,0)*VLOOKUP('Données projet'!$B$14,Paramètres!$A$1:$I$88,7,0))</f>
        <v>0</v>
      </c>
      <c r="CR89" s="37">
        <f>IF(ISNA(VLOOKUP(A89,'Données projet'!$A$165:$I$185,6,0)),0%,VLOOKUP(A89,'Données projet'!$A$165:$I$185,6,0)*VLOOKUP('Données projet'!$B$14,Paramètres!$A$1:$I$88,7,0))</f>
        <v>0</v>
      </c>
      <c r="CS89" s="37">
        <f>IF(ISNA(VLOOKUP(A89,'Données projet'!$A$165:$I$185,7,0)),0%,VLOOKUP(A89,'Données projet'!$A$165:$I$185,7,0))</f>
        <v>0</v>
      </c>
      <c r="CT89" s="45">
        <f>EXP(-LN(2)/35)*CT88+(1-EXP(-LN(2)/35))/(LN(2)/35)*CP89*CQ89*VLOOKUP('Données projet'!$B$9,Paramètres!$A$1:$I$88,3,0)*0.475*44/12</f>
        <v>0</v>
      </c>
      <c r="CU89" s="45">
        <f>EXP(-LN(2)/25)*CU88+(1-EXP(-LN(2)/25))/(LN(2)/25)*Calculateur!CP89*Calculateur!CR89*VLOOKUP('Données projet'!$B$9,Paramètres!$A$1:$I$88,3,0)*0.475*44/12</f>
        <v>0</v>
      </c>
      <c r="CV89" s="45">
        <f>EXP(-LN(2)/2)*CV88+(1-EXP(-LN(2)/2))/(LN(2)/2)*CP89*CS89*VLOOKUP('Données projet'!$B$9,Paramètres!$A$1:$I$88,3,0)*0.475*44/12</f>
        <v>0</v>
      </c>
      <c r="CW89" s="46">
        <f t="shared" si="53"/>
        <v>0</v>
      </c>
      <c r="CX89" s="32" t="e">
        <f>VLOOKUP(A89,'Données projet'!$A$191:$I$211,2,0)</f>
        <v>#N/A</v>
      </c>
      <c r="CY89" s="33" t="e">
        <f>VLOOKUP(A89,'Données projet'!$A$191:$I$211,9,0)</f>
        <v>#N/A</v>
      </c>
      <c r="CZ89" s="33">
        <f t="array" ref="CZ89">INDEX(CY:CY,MIN(IF(ISNUMBER(CY89:CY285),ROW(CY89:CY285),"")))</f>
        <v>0</v>
      </c>
      <c r="DA89" s="33">
        <f t="shared" si="76"/>
        <v>0</v>
      </c>
      <c r="DB89" s="38" t="e">
        <f>DA89*VLOOKUP('Données projet'!$B$15,Paramètres!$A$1:$I$88,3,0)*VLOOKUP('Données projet'!$B$15,Paramètres!$A$1:$I$88,5,0)</f>
        <v>#N/A</v>
      </c>
      <c r="DC89" s="34" t="e">
        <f t="shared" si="77"/>
        <v>#N/A</v>
      </c>
      <c r="DD89" s="44" t="e">
        <f t="shared" si="54"/>
        <v>#N/A</v>
      </c>
      <c r="DE89" s="36">
        <f>IF(ISNA(VLOOKUP(A89,'Données projet'!$A$191:$I$211,3,0)),0,VLOOKUP(A89,'Données projet'!$A$191:$I$211,3,0))</f>
        <v>0</v>
      </c>
      <c r="DF89" s="36">
        <f>IF(ISNA(VLOOKUP(A89,'Données projet'!$A$191:$I$211,4,0)),0,VLOOKUP(A89,'Données projet'!$A$191:$I$211,4,0))</f>
        <v>0</v>
      </c>
      <c r="DG89" s="37">
        <f>IF(ISNA(VLOOKUP(A89,'Données projet'!$A$191:$I$211,5,0)),0%,VLOOKUP(A89,'Données projet'!$A$191:$I$211,5,0)*VLOOKUP('Données projet'!$B$15,Paramètres!$A$1:$I$88,7,0))</f>
        <v>0</v>
      </c>
      <c r="DH89" s="37">
        <f>IF(ISNA(VLOOKUP(A89,'Données projet'!$A$191:$I$211,6,0)),0%,VLOOKUP(A89,'Données projet'!$A$191:$I$211,6,0)*VLOOKUP('Données projet'!$B$15,Paramètres!$A$1:$I$88,7,0))</f>
        <v>0</v>
      </c>
      <c r="DI89" s="37">
        <f>IF(ISNA(VLOOKUP(A89,'Données projet'!$A$191:$I$211,7,0)),0%,VLOOKUP(A89,'Données projet'!$A$191:$I$211,7,0))</f>
        <v>0</v>
      </c>
      <c r="DJ89" s="45">
        <f>EXP(-LN(2)/35)*DJ88+(1-EXP(-LN(2)/35))/(LN(2)/35)*DF89*DG89*VLOOKUP('Données projet'!$B$9,Paramètres!$A$1:$I$88,3,0)*0.475*44/12</f>
        <v>0</v>
      </c>
      <c r="DK89" s="45">
        <f>EXP(-LN(2)/25)*DK88+(1-EXP(-LN(2)/25))/(LN(2)/25)*Calculateur!DF89*Calculateur!DH89*VLOOKUP('Données projet'!$B$9,Paramètres!$A$1:$I$88,3,0)*0.475*44/12</f>
        <v>0</v>
      </c>
      <c r="DL89" s="45">
        <f>EXP(-LN(2)/2)*DL88+(1-EXP(-LN(2)/2))/(LN(2)/2)*DF89*DI89*VLOOKUP('Données projet'!$B$9,Paramètres!$A$1:$I$88,3,0)*0.475*44/12</f>
        <v>0</v>
      </c>
      <c r="DM89" s="46">
        <f t="shared" si="55"/>
        <v>0</v>
      </c>
      <c r="DN89" s="32" t="e">
        <f>VLOOKUP(A89,'Données projet'!$A$217:$I$237,2,0)</f>
        <v>#N/A</v>
      </c>
      <c r="DO89" s="33" t="e">
        <f>VLOOKUP(A89,'Données projet'!$A$217:$I$237,9,0)</f>
        <v>#N/A</v>
      </c>
      <c r="DP89" s="33">
        <f t="array" ref="DP89">INDEX(DO:DO,MIN(IF(ISNUMBER(DO89:DO285),ROW(DO89:DO285),"")))</f>
        <v>0</v>
      </c>
      <c r="DQ89" s="33">
        <f t="shared" si="78"/>
        <v>0</v>
      </c>
      <c r="DR89" s="38" t="e">
        <f>DQ89*VLOOKUP('Données projet'!$B$16,Paramètres!$A$1:$I$88,3,0)*VLOOKUP('Données projet'!$B$16,Paramètres!$A$1:$I$88,5,0)</f>
        <v>#N/A</v>
      </c>
      <c r="DS89" s="34" t="e">
        <f t="shared" si="79"/>
        <v>#N/A</v>
      </c>
      <c r="DT89" s="44" t="e">
        <f t="shared" si="56"/>
        <v>#N/A</v>
      </c>
      <c r="DU89" s="36">
        <f>IF(ISNA(VLOOKUP(A89,'Données projet'!$A$217:$I$237,3,0)),0,VLOOKUP(A89,'Données projet'!$A$217:$I$237,3,0))</f>
        <v>0</v>
      </c>
      <c r="DV89" s="36">
        <f>IF(ISNA(VLOOKUP(A89,'Données projet'!$A$217:$I$237,4,0)),0,VLOOKUP(A89,'Données projet'!$A$217:$I$237,4,0))</f>
        <v>0</v>
      </c>
      <c r="DW89" s="37">
        <f>IF(ISNA(VLOOKUP(A89,'Données projet'!$A$217:$I$237,5,0)),0%,VLOOKUP(A89,'Données projet'!$A$217:$I$237,5,0)*VLOOKUP('Données projet'!$B$16,Paramètres!$A$1:$I$88,7,0))</f>
        <v>0</v>
      </c>
      <c r="DX89" s="37">
        <f>IF(ISNA(VLOOKUP(A89,'Données projet'!$A$217:$I$237,6,0)),0%,VLOOKUP(A89,'Données projet'!$A$217:$I$237,6,0)*VLOOKUP('Données projet'!$B$16,Paramètres!$A$1:$I$88,7,0))</f>
        <v>0</v>
      </c>
      <c r="DY89" s="37">
        <f>IF(ISNA(VLOOKUP(A89,'Données projet'!$A$217:$I$237,7,0)),0%,VLOOKUP(A89,'Données projet'!$A$217:$I$237,7,0))</f>
        <v>0</v>
      </c>
      <c r="DZ89" s="45">
        <f>EXP(-LN(2)/35)*DZ88+(1-EXP(-LN(2)/35))/(LN(2)/35)*DV89*DW89*VLOOKUP('Données projet'!$B$9,Paramètres!$A$1:$I$88,3,0)*0.475*44/12</f>
        <v>0</v>
      </c>
      <c r="EA89" s="45">
        <f>EXP(-LN(2)/25)*EA88+(1-EXP(-LN(2)/25))/(LN(2)/25)*Calculateur!DV89*Calculateur!DX89*VLOOKUP('Données projet'!$B$9,Paramètres!$A$1:$I$88,3,0)*0.475*44/12</f>
        <v>0</v>
      </c>
      <c r="EB89" s="45">
        <f>EXP(-LN(2)/2)*EB88+(1-EXP(-LN(2)/2))/(LN(2)/2)*DV89*DY89*VLOOKUP('Données projet'!$B$9,Paramètres!$A$1:$I$88,3,0)*0.475*44/12</f>
        <v>0</v>
      </c>
      <c r="EC89" s="46">
        <f t="shared" si="57"/>
        <v>0</v>
      </c>
      <c r="ED89" s="32" t="e">
        <f>VLOOKUP(A89,'Données projet'!$A$243:$I$263,2,0)</f>
        <v>#N/A</v>
      </c>
      <c r="EE89" s="33" t="e">
        <f>VLOOKUP(A89,'Données projet'!$A$243:$I$263,9,0)</f>
        <v>#N/A</v>
      </c>
      <c r="EF89" s="33">
        <f t="array" ref="EF89">INDEX(EE:EE,MIN(IF(ISNUMBER(EE89:EE285),ROW(EE89:EE285),"")))</f>
        <v>0</v>
      </c>
      <c r="EG89" s="33">
        <f t="shared" si="80"/>
        <v>0</v>
      </c>
      <c r="EH89" s="38" t="e">
        <f>EG89*VLOOKUP('Données projet'!$B$17,Paramètres!$A$1:$I$88,3,0)*VLOOKUP('Données projet'!$B$17,Paramètres!$A$1:$I$88,5,0)</f>
        <v>#N/A</v>
      </c>
      <c r="EI89" s="34" t="e">
        <f t="shared" si="81"/>
        <v>#N/A</v>
      </c>
      <c r="EJ89" s="44" t="e">
        <f t="shared" si="58"/>
        <v>#N/A</v>
      </c>
      <c r="EK89" s="36">
        <f>IF(ISNA(VLOOKUP(A89,'Données projet'!$A$243:$I$263,3,0)),0,VLOOKUP(A89,'Données projet'!$A$243:$I$263,3,0))</f>
        <v>0</v>
      </c>
      <c r="EL89" s="36">
        <f>IF(ISNA(VLOOKUP(A89,'Données projet'!$A$243:$I$263,4,0)),0,VLOOKUP(A89,'Données projet'!$A$243:$I$263,4,0))</f>
        <v>0</v>
      </c>
      <c r="EM89" s="37">
        <f>IF(ISNA(VLOOKUP(A89,'Données projet'!$A$243:$I$263,5,0)),0%,VLOOKUP(A89,'Données projet'!$A$243:$I$263,5,0)*VLOOKUP('Données projet'!$B$17,Paramètres!$A$1:$I$88,7,0))</f>
        <v>0</v>
      </c>
      <c r="EN89" s="37">
        <f>IF(ISNA(VLOOKUP(A89,'Données projet'!$A$243:$I$263,6,0)),0%,VLOOKUP(A89,'Données projet'!$A$243:$I$263,6,0)*VLOOKUP('Données projet'!$B$17,Paramètres!$A$1:$I$88,7,0))</f>
        <v>0</v>
      </c>
      <c r="EO89" s="37">
        <f>IF(ISNA(VLOOKUP(A89,'Données projet'!$A$243:$I$263,7,0)),0%,VLOOKUP(A89,'Données projet'!$A$243:$I$263,7,0))</f>
        <v>0</v>
      </c>
      <c r="EP89" s="45">
        <f>EXP(-LN(2)/35)*EP88+(1-EXP(-LN(2)/35))/(LN(2)/35)*EL89*EM89*VLOOKUP('Données projet'!$B$9,Paramètres!$A$1:$I$88,3,0)*0.475*44/12</f>
        <v>0</v>
      </c>
      <c r="EQ89" s="45">
        <f>EXP(-LN(2)/25)*EQ88+(1-EXP(-LN(2)/25))/(LN(2)/25)*Calculateur!EL89*Calculateur!EN89*VLOOKUP('Données projet'!$B$9,Paramètres!$A$1:$I$88,3,0)*0.475*44/12</f>
        <v>0</v>
      </c>
      <c r="ER89" s="45">
        <f>EXP(-LN(2)/2)*ER88+(1-EXP(-LN(2)/2))/(LN(2)/2)*EL89*EO89*VLOOKUP('Données projet'!$B$9,Paramètres!$A$1:$I$88,3,0)*0.475*44/12</f>
        <v>0</v>
      </c>
      <c r="ES89" s="46">
        <f t="shared" si="59"/>
        <v>0</v>
      </c>
      <c r="ET89" s="32" t="e">
        <f>VLOOKUP(A89,'Données projet'!$A$269:$I$289,2,0)</f>
        <v>#N/A</v>
      </c>
      <c r="EU89" s="33" t="e">
        <f>VLOOKUP(A89,'Données projet'!$A$269:$I$289,9,0)</f>
        <v>#N/A</v>
      </c>
      <c r="EV89" s="33">
        <f t="array" ref="EV89">INDEX(EU:EU,MIN(IF(ISNUMBER(EU89:EU285),ROW(EU89:EU285),"")))</f>
        <v>0</v>
      </c>
      <c r="EW89" s="33">
        <f t="shared" si="82"/>
        <v>0</v>
      </c>
      <c r="EX89" s="38" t="e">
        <f>EW89*VLOOKUP('Données projet'!$B$18,Paramètres!$A$1:$I$88,3,0)*VLOOKUP('Données projet'!$B$18,Paramètres!$A$1:$I$88,5,0)</f>
        <v>#N/A</v>
      </c>
      <c r="EY89" s="34" t="e">
        <f t="shared" si="83"/>
        <v>#N/A</v>
      </c>
      <c r="EZ89" s="44" t="e">
        <f t="shared" si="60"/>
        <v>#N/A</v>
      </c>
      <c r="FA89" s="36">
        <f>IF(ISNA(VLOOKUP(A89,'Données projet'!$A$269:$I$289,3,0)),0,VLOOKUP(A89,'Données projet'!$A$269:$I$289,3,0))</f>
        <v>0</v>
      </c>
      <c r="FB89" s="36">
        <f>IF(ISNA(VLOOKUP(A89,'Données projet'!$A$269:$I$289,4,0)),0,VLOOKUP(A89,'Données projet'!$A$269:$I$289,4,0))</f>
        <v>0</v>
      </c>
      <c r="FC89" s="37">
        <f>IF(ISNA(VLOOKUP(A89,'Données projet'!$A$269:$I$289,5,0)),0%,VLOOKUP(A89,'Données projet'!$A$269:$I$289,5,0)*VLOOKUP('Données projet'!$B$18,Paramètres!$A$1:$I$88,7,0))</f>
        <v>0</v>
      </c>
      <c r="FD89" s="37">
        <f>IF(ISNA(VLOOKUP(A89,'Données projet'!$A$269:$I$289,6,0)),0%,VLOOKUP(A89,'Données projet'!$A$269:$I$289,6,0)*VLOOKUP('Données projet'!$B$18,Paramètres!$A$1:$I$88,7,0))</f>
        <v>0</v>
      </c>
      <c r="FE89" s="37">
        <f>IF(ISNA(VLOOKUP(A89,'Données projet'!$A$269:$I$289,7,0)),0%,VLOOKUP(A89,'Données projet'!$A$269:$I$289,7,0))</f>
        <v>0</v>
      </c>
      <c r="FF89" s="45">
        <f>EXP(-LN(2)/35)*FF88+(1-EXP(-LN(2)/35))/(LN(2)/35)*FB89*FC89*VLOOKUP('Données projet'!$B$9,Paramètres!$A$1:$I$88,3,0)*0.475*44/12</f>
        <v>0</v>
      </c>
      <c r="FG89" s="45">
        <f>EXP(-LN(2)/25)*FG88+(1-EXP(-LN(2)/25))/(LN(2)/25)*Calculateur!FB89*Calculateur!FD89*VLOOKUP('Données projet'!$B$9,Paramètres!$A$1:$I$88,3,0)*0.475*44/12</f>
        <v>0</v>
      </c>
      <c r="FH89" s="45">
        <f>EXP(-LN(2)/2)*FH88+(1-EXP(-LN(2)/2))/(LN(2)/2)*FB89*FE89*VLOOKUP('Données projet'!$B$9,Paramètres!$A$1:$I$88,3,0)*0.475*44/12</f>
        <v>0</v>
      </c>
      <c r="FI89" s="46">
        <f t="shared" si="61"/>
        <v>0</v>
      </c>
    </row>
    <row r="90" spans="1:165" x14ac:dyDescent="0.25">
      <c r="A90" s="24">
        <f t="shared" si="62"/>
        <v>87</v>
      </c>
      <c r="B90" s="25">
        <f>IF('Scénario référence'!$N$1=1,5,0)</f>
        <v>0</v>
      </c>
      <c r="C90" s="40">
        <f>IF(OR('Scénario référence'!$N$1=2,'Scénario référence'!$N$1=4),C89+1*VLOOKUP('Scénario référence'!$G$14,Paramètres!$A$1:$I$88,3,0)*VLOOKUP('Scénario référence'!$G$14,Paramètres!$A$1:$I$88,5,0),IF(OR('Scénario référence'!$N$1=3,'Scénario référence'!$N$1=5),C89+0.5*VLOOKUP('Scénario référence'!$G$14,Paramètres!$A$1:$I$88,3,0)*VLOOKUP('Scénario référence'!$G$14,Paramètres!$A$1:$I$88,5,0),0))</f>
        <v>47.50199999999996</v>
      </c>
      <c r="D90" s="26">
        <f t="shared" si="63"/>
        <v>13.966728648675151</v>
      </c>
      <c r="E90" s="27">
        <f>IF('Scénario référence'!$N$1=1,B90*44/12,(C90+D90)*0.475*44/12)</f>
        <v>107.05803572977582</v>
      </c>
      <c r="F90" s="28" t="e">
        <f>VLOOKUP(A90,'Données projet'!$A$35:$I$55,2,0)</f>
        <v>#N/A</v>
      </c>
      <c r="G90" s="28" t="e">
        <f>VLOOKUP(A90,'Données projet'!$A$35:$I$55,9,0)</f>
        <v>#N/A</v>
      </c>
      <c r="H90" s="33">
        <f t="array" ref="H90">INDEX(G:G,MIN(IF(ISNUMBER(G90:G286),ROW(G90:G286),"")))</f>
        <v>5.2</v>
      </c>
      <c r="I90" s="28">
        <f t="shared" si="64"/>
        <v>258.39999999999975</v>
      </c>
      <c r="J90" s="41">
        <f>I90*VLOOKUP('Données projet'!$B$9,Paramètres!$A$1:$I$88,3,0)*VLOOKUP('Données projet'!$B$9,Paramètres!$A$1:$I$88,5,0)</f>
        <v>262.01759999999973</v>
      </c>
      <c r="K90" s="41">
        <f t="shared" si="65"/>
        <v>63.152255067978103</v>
      </c>
      <c r="L90" s="42">
        <f t="shared" si="42"/>
        <v>566.33749757672797</v>
      </c>
      <c r="M90" s="30">
        <f>IF(ISNA(VLOOKUP(A90,'Données projet'!$A$35:$I$55,3,0)),0,VLOOKUP(A90,'Données projet'!$A$35:$I$55,3,0))</f>
        <v>0</v>
      </c>
      <c r="N90" s="30">
        <f>IF(ISNA(VLOOKUP(A90,'Données projet'!$A$35:$I$55,4,0)),0,VLOOKUP(A90,'Données projet'!$A$35:$I$55,4,0))</f>
        <v>0</v>
      </c>
      <c r="O90" s="31">
        <f>IF(ISNA(VLOOKUP(A90,'Données projet'!$A$35:$I$55,5,0)),0%,VLOOKUP(A90,'Données projet'!$A$35:$I$55,5,0)*VLOOKUP('Données projet'!$B$9,Paramètres!$A$1:$I$88,7,0))</f>
        <v>0</v>
      </c>
      <c r="P90" s="31">
        <f>IF(ISNA(VLOOKUP(A90,'Données projet'!$A$35:$I$55,6,0)),0%,VLOOKUP(A90,'Données projet'!$A$35:$I$55,6,0)*VLOOKUP('Données projet'!$B$9,Paramètres!$A$1:$I$88,7,0))</f>
        <v>0</v>
      </c>
      <c r="Q90" s="31">
        <f>IF(ISNA(VLOOKUP(A90,'Données projet'!$A$35:$I$55,7,0)),0%,VLOOKUP(A90,'Données projet'!$A$35:$I$55,7,0))</f>
        <v>0</v>
      </c>
      <c r="R90" s="43">
        <f>EXP(-LN(2)/35)*R89+(1-EXP(-LN(2)/35))/(LN(2)/35)*N90*O90*VLOOKUP('Données projet'!$B$9,Paramètres!$A$1:$I$88,3,0)*0.475*44/12</f>
        <v>0</v>
      </c>
      <c r="S90" s="43">
        <f>EXP(-LN(2)/25)*S89+(1-EXP(-LN(2)/25))/(LN(2)/25)*Calculateur!N90*Calculateur!P90*VLOOKUP('Données projet'!$B$9,Paramètres!$A$1:$I$88,3,0)*0.475*44/12</f>
        <v>0</v>
      </c>
      <c r="T90" s="43">
        <f>EXP(-LN(2)/2)*T89+(1-EXP(-LN(2)/2))/(LN(2)/2)*N90*Q90*VLOOKUP('Données projet'!$B$9,Paramètres!$A$1:$I$88,3,0)*0.475*44/12</f>
        <v>0</v>
      </c>
      <c r="U90" s="43">
        <f t="shared" si="43"/>
        <v>0</v>
      </c>
      <c r="V90" s="32" t="e">
        <f>VLOOKUP(A90,'Données projet'!$A$61:$I$81,2,0)</f>
        <v>#N/A</v>
      </c>
      <c r="W90" s="33" t="e">
        <f>VLOOKUP(A90,'Données projet'!$A$61:$I$81,9,0)</f>
        <v>#N/A</v>
      </c>
      <c r="X90" s="33">
        <f t="array" ref="X90">INDEX(W:W,MIN(IF(ISNUMBER(W90:W286),ROW(W90:W286),"")))</f>
        <v>0</v>
      </c>
      <c r="Y90" s="33">
        <f t="shared" si="66"/>
        <v>0</v>
      </c>
      <c r="Z90" s="34" t="e">
        <f>Y90*VLOOKUP('Données projet'!$B$10,Paramètres!$A$1:$I$88,3,0)*VLOOKUP('Données projet'!$B$10,Paramètres!$A$1:$I$88,5,0)</f>
        <v>#N/A</v>
      </c>
      <c r="AA90" s="34" t="e">
        <f t="shared" si="67"/>
        <v>#N/A</v>
      </c>
      <c r="AB90" s="44" t="e">
        <f t="shared" si="44"/>
        <v>#N/A</v>
      </c>
      <c r="AC90" s="36">
        <f>IF(ISNA(VLOOKUP(A90,'Données projet'!$A$61:$I$81,3,0)),0,VLOOKUP(A90,'Données projet'!$A$61:$I$81,3,0))</f>
        <v>0</v>
      </c>
      <c r="AD90" s="36">
        <f>IF(ISNA(VLOOKUP(A90,'Données projet'!$A$61:$I$81,4,0)),0,VLOOKUP(A90,'Données projet'!$A$61:$I$81,4,0))</f>
        <v>0</v>
      </c>
      <c r="AE90" s="37">
        <f>IF(ISNA(VLOOKUP(A90,'Données projet'!$A$61:$I$81,5,0)),0%,VLOOKUP(A90,'Données projet'!$A$61:$I$81,5,0)*VLOOKUP('Données projet'!$B$10,Paramètres!$A$1:$I$88,7,0))</f>
        <v>0</v>
      </c>
      <c r="AF90" s="37">
        <f>IF(ISNA(VLOOKUP(A90,'Données projet'!$A$61:$I$81,6,0)),0%,VLOOKUP(A90,'Données projet'!$A$61:$I$81,6,0)*VLOOKUP('Données projet'!$B$10,Paramètres!$A$1:$I$88,7,0))</f>
        <v>0</v>
      </c>
      <c r="AG90" s="37">
        <f>IF(ISNA(VLOOKUP(A90,'Données projet'!$A$61:$I$81,7,0)),0%,VLOOKUP(A90,'Données projet'!$A$61:$I$81,7,0))</f>
        <v>0</v>
      </c>
      <c r="AH90" s="45">
        <f>EXP(-LN(2)/35)*AH89+(1-EXP(-LN(2)/35))/(LN(2)/35)*AD90*AE90*VLOOKUP('Données projet'!$B$9,Paramètres!$A$1:$I$88,3,0)*0.475*44/12</f>
        <v>0</v>
      </c>
      <c r="AI90" s="45">
        <f>EXP(-LN(2)/25)*AI89+(1-EXP(-LN(2)/25))/(LN(2)/25)*Calculateur!AD90*Calculateur!AF90*VLOOKUP('Données projet'!$B$9,Paramètres!$A$1:$I$88,3,0)*0.475*44/12</f>
        <v>0</v>
      </c>
      <c r="AJ90" s="45">
        <f>EXP(-LN(2)/2)*AJ89+(1-EXP(-LN(2)/2))/(LN(2)/2)*AD90*AG90*VLOOKUP('Données projet'!$B$9,Paramètres!$A$1:$I$88,3,0)*0.475*44/12</f>
        <v>0</v>
      </c>
      <c r="AK90" s="45">
        <f t="shared" si="45"/>
        <v>0</v>
      </c>
      <c r="AL90" s="32" t="e">
        <f>VLOOKUP(A90,'Données projet'!$A$87:$I$107,2,0)</f>
        <v>#N/A</v>
      </c>
      <c r="AM90" s="33" t="e">
        <f>VLOOKUP(A90,'Données projet'!$A$87:$I$107,9,0)</f>
        <v>#N/A</v>
      </c>
      <c r="AN90" s="33">
        <f t="array" ref="AN90">INDEX(AM:AM,MIN(IF(ISNUMBER(AM90:AM286),ROW(AM90:AM286),"")))</f>
        <v>0</v>
      </c>
      <c r="AO90" s="33">
        <f t="shared" si="68"/>
        <v>0</v>
      </c>
      <c r="AP90" s="34" t="e">
        <f>AO90*VLOOKUP('Données projet'!$B$11,Paramètres!$A$1:$I$88,3,0)*VLOOKUP('Données projet'!$B$11,Paramètres!$A$1:$I$88,5,0)</f>
        <v>#N/A</v>
      </c>
      <c r="AQ90" s="34" t="e">
        <f t="shared" si="69"/>
        <v>#N/A</v>
      </c>
      <c r="AR90" s="44" t="e">
        <f t="shared" si="46"/>
        <v>#N/A</v>
      </c>
      <c r="AS90" s="36">
        <f>IF(ISNA(VLOOKUP(A90,'Données projet'!$A$87:$I$107,3,0)),0,VLOOKUP(A90,'Données projet'!$A$87:$I$107,3,0))</f>
        <v>0</v>
      </c>
      <c r="AT90" s="36">
        <f>IF(ISNA(VLOOKUP(A90,'Données projet'!$A$87:$I$107,4,0)),0,VLOOKUP(A90,'Données projet'!$A$87:$I$107,4,0))</f>
        <v>0</v>
      </c>
      <c r="AU90" s="37">
        <f>IF(ISNA(VLOOKUP(A90,'Données projet'!$A$87:$I$107,5,0)),0%,VLOOKUP(A90,'Données projet'!$A$87:$I$107,5,0)*VLOOKUP('Données projet'!$B$11,Paramètres!$A$1:$I$88,7,0))</f>
        <v>0</v>
      </c>
      <c r="AV90" s="37">
        <f>IF(ISNA(VLOOKUP(A90,'Données projet'!$A$87:$I$107,6,0)),0%,VLOOKUP(A90,'Données projet'!$A$87:$I$107,6,0)*VLOOKUP('Données projet'!$B$11,Paramètres!$A$1:$I$88,7,0))</f>
        <v>0</v>
      </c>
      <c r="AW90" s="37">
        <f>IF(ISNA(VLOOKUP(A90,'Données projet'!$A$87:$I$107,7,0)),0%,VLOOKUP(A90,'Données projet'!$A$87:$I$107,7,0))</f>
        <v>0</v>
      </c>
      <c r="AX90" s="45">
        <f>EXP(-LN(2)/35)*AX89+(1-EXP(-LN(2)/35))/(LN(2)/35)*AT90*AU90*VLOOKUP('Données projet'!$B$9,Paramètres!$A$1:$I$88,3,0)*0.475*44/12</f>
        <v>0</v>
      </c>
      <c r="AY90" s="45">
        <f>EXP(-LN(2)/25)*AY89+(1-EXP(-LN(2)/25))/(LN(2)/25)*Calculateur!AT90*Calculateur!AV90*VLOOKUP('Données projet'!$B$9,Paramètres!$A$1:$I$88,3,0)*0.475*44/12</f>
        <v>0</v>
      </c>
      <c r="AZ90" s="45">
        <f>EXP(-LN(2)/2)*AZ89+(1-EXP(-LN(2)/2))/(LN(2)/2)*AT90*AW90*VLOOKUP('Données projet'!$B$9,Paramètres!$A$1:$I$88,3,0)*0.475*44/12</f>
        <v>0</v>
      </c>
      <c r="BA90" s="46">
        <f t="shared" si="47"/>
        <v>0</v>
      </c>
      <c r="BB90" s="32" t="e">
        <f>VLOOKUP(A90,'Données projet'!$A$113:$I$133,2,0)</f>
        <v>#N/A</v>
      </c>
      <c r="BC90" s="33" t="e">
        <f>VLOOKUP(A90,'Données projet'!$A$113:$I$133,9,0)</f>
        <v>#N/A</v>
      </c>
      <c r="BD90" s="33">
        <f t="array" ref="BD90">INDEX(BC:BC,MIN(IF(ISNUMBER(BC90:BC286),ROW(BC90:BC286),"")))</f>
        <v>0</v>
      </c>
      <c r="BE90" s="33">
        <f t="shared" si="70"/>
        <v>0</v>
      </c>
      <c r="BF90" s="34" t="e">
        <f>BE90*VLOOKUP('Données projet'!$B$12,Paramètres!$A$1:$I$88,3,0)*VLOOKUP('Données projet'!$B$12,Paramètres!$A$1:$I$88,5,0)</f>
        <v>#N/A</v>
      </c>
      <c r="BG90" s="34" t="e">
        <f t="shared" si="71"/>
        <v>#N/A</v>
      </c>
      <c r="BH90" s="44" t="e">
        <f t="shared" si="48"/>
        <v>#N/A</v>
      </c>
      <c r="BI90" s="36">
        <f>IF(ISNA(VLOOKUP(A90,'Données projet'!$A$113:$I$133,3,0)),0,VLOOKUP(A90,'Données projet'!$A$113:$I$133,3,0))</f>
        <v>0</v>
      </c>
      <c r="BJ90" s="36">
        <f>IF(ISNA(VLOOKUP(A90,'Données projet'!$A$113:$I$133,4,0)),0,VLOOKUP(A90,'Données projet'!$A$113:$I$133,4,0))</f>
        <v>0</v>
      </c>
      <c r="BK90" s="37">
        <f>IF(ISNA(VLOOKUP(A90,'Données projet'!$A$113:$I$133,5,0)),0%,VLOOKUP(A90,'Données projet'!$A$113:$I$133,5,0)*VLOOKUP('Données projet'!$B$12,Paramètres!$A$1:$I$88,7,0))</f>
        <v>0</v>
      </c>
      <c r="BL90" s="37">
        <f>IF(ISNA(VLOOKUP(A90,'Données projet'!$A$113:$I$133,6,0)),0%,VLOOKUP(A90,'Données projet'!$A$113:$I$133,6,0)*VLOOKUP('Données projet'!$B$12,Paramètres!$A$1:$I$88,7,0))</f>
        <v>0</v>
      </c>
      <c r="BM90" s="37">
        <f>IF(ISNA(VLOOKUP(A90,'Données projet'!$A$113:$I$133,7,0)),0%,VLOOKUP(A90,'Données projet'!$A$113:$I$133,7,0))</f>
        <v>0</v>
      </c>
      <c r="BN90" s="45">
        <f>EXP(-LN(2)/35)*BN89+(1-EXP(-LN(2)/35))/(LN(2)/35)*BJ90*BK90*VLOOKUP('Données projet'!$B$9,Paramètres!$A$1:$I$88,3,0)*0.475*44/12</f>
        <v>0</v>
      </c>
      <c r="BO90" s="45">
        <f>EXP(-LN(2)/25)*BO89+(1-EXP(-LN(2)/25))/(LN(2)/25)*Calculateur!BJ90*Calculateur!BL90*VLOOKUP('Données projet'!$B$9,Paramètres!$A$1:$I$88,3,0)*0.475*44/12</f>
        <v>0</v>
      </c>
      <c r="BP90" s="45">
        <f>EXP(-LN(2)/2)*BP89+(1-EXP(-LN(2)/2))/(LN(2)/2)*BJ90*BM90*VLOOKUP('Données projet'!$B$9,Paramètres!$A$1:$I$88,3,0)*0.475*44/12</f>
        <v>0</v>
      </c>
      <c r="BQ90" s="46">
        <f t="shared" si="49"/>
        <v>0</v>
      </c>
      <c r="BR90" s="32" t="e">
        <f>VLOOKUP(A90,'Données projet'!$A$139:$I$159,2,0)</f>
        <v>#N/A</v>
      </c>
      <c r="BS90" s="33" t="e">
        <f>VLOOKUP(A90,'Données projet'!$A$139:$I$159,9,0)</f>
        <v>#N/A</v>
      </c>
      <c r="BT90" s="33">
        <f t="array" ref="BT90">INDEX(BS:BS,MIN(IF(ISNUMBER(BS90:BS286),ROW(BS90:BS286),"")))</f>
        <v>0</v>
      </c>
      <c r="BU90" s="33">
        <f t="shared" si="72"/>
        <v>0</v>
      </c>
      <c r="BV90" s="38" t="e">
        <f>BU90*VLOOKUP('Données projet'!$B$13,Paramètres!$A$1:$I$88,3,0)*VLOOKUP('Données projet'!$B$13,Paramètres!$A$1:$I$88,5,0)</f>
        <v>#N/A</v>
      </c>
      <c r="BW90" s="34" t="e">
        <f t="shared" si="73"/>
        <v>#N/A</v>
      </c>
      <c r="BX90" s="44" t="e">
        <f t="shared" si="50"/>
        <v>#N/A</v>
      </c>
      <c r="BY90" s="36">
        <f>IF(ISNA(VLOOKUP(A90,'Données projet'!$A$139:$I$159,3,0)),0,VLOOKUP(A90,'Données projet'!$A$139:$I$159,3,0))</f>
        <v>0</v>
      </c>
      <c r="BZ90" s="36">
        <f>IF(ISNA(VLOOKUP(A90,'Données projet'!$A$139:$I$159,4,0)),0,VLOOKUP(A90,'Données projet'!$A$139:$I$159,4,0))</f>
        <v>0</v>
      </c>
      <c r="CA90" s="37">
        <f>IF(ISNA(VLOOKUP(A90,'Données projet'!$A$139:$I$159,5,0)),0%,VLOOKUP(A90,'Données projet'!$A$139:$I$159,5,0)*VLOOKUP('Données projet'!$B$13,Paramètres!$A$1:$I$88,7,0))</f>
        <v>0</v>
      </c>
      <c r="CB90" s="37">
        <f>IF(ISNA(VLOOKUP(A90,'Données projet'!$A$139:$I$159,6,0)),0%,VLOOKUP(A90,'Données projet'!$A$139:$I$159,6,0)*VLOOKUP('Données projet'!$B$13,Paramètres!$A$1:$I$88,7,0))</f>
        <v>0</v>
      </c>
      <c r="CC90" s="37">
        <f>IF(ISNA(VLOOKUP(A90,'Données projet'!$A$139:$I$159,7,0)),0%,VLOOKUP(A90,'Données projet'!$A$139:$I$159,7,0))</f>
        <v>0</v>
      </c>
      <c r="CD90" s="45">
        <f>EXP(-LN(2)/35)*CD89+(1-EXP(-LN(2)/35))/(LN(2)/35)*BZ90*CA90*VLOOKUP('Données projet'!$B$9,Paramètres!$A$1:$I$88,3,0)*0.475*44/12</f>
        <v>0</v>
      </c>
      <c r="CE90" s="45">
        <f>EXP(-LN(2)/25)*CE89+(1-EXP(-LN(2)/25))/(LN(2)/25)*Calculateur!BZ90*Calculateur!CB90*VLOOKUP('Données projet'!$B$9,Paramètres!$A$1:$I$88,3,0)*0.475*44/12</f>
        <v>0</v>
      </c>
      <c r="CF90" s="45">
        <f>EXP(-LN(2)/2)*CF89+(1-EXP(-LN(2)/2))/(LN(2)/2)*BZ90*CC90*VLOOKUP('Données projet'!$B$9,Paramètres!$A$1:$I$88,3,0)*0.475*44/12</f>
        <v>0</v>
      </c>
      <c r="CG90" s="46">
        <f t="shared" si="51"/>
        <v>0</v>
      </c>
      <c r="CH90" s="32" t="e">
        <f>VLOOKUP(A90,'Données projet'!$A$165:$I$185,2,0)</f>
        <v>#N/A</v>
      </c>
      <c r="CI90" s="33" t="e">
        <f>VLOOKUP(A90,'Données projet'!$A$165:$I$185,9,0)</f>
        <v>#N/A</v>
      </c>
      <c r="CJ90" s="33">
        <f t="array" ref="CJ90">INDEX(CI:CI,MIN(IF(ISNUMBER(CI90:CI286),ROW(CI90:CI286),"")))</f>
        <v>0</v>
      </c>
      <c r="CK90" s="33">
        <f t="shared" si="74"/>
        <v>0</v>
      </c>
      <c r="CL90" s="38" t="e">
        <f>CK90*VLOOKUP('Données projet'!$B$14,Paramètres!$A$1:$I$88,3,0)*VLOOKUP('Données projet'!$B$14,Paramètres!$A$1:$I$88,5,0)</f>
        <v>#N/A</v>
      </c>
      <c r="CM90" s="34" t="e">
        <f t="shared" si="75"/>
        <v>#N/A</v>
      </c>
      <c r="CN90" s="44" t="e">
        <f t="shared" si="52"/>
        <v>#N/A</v>
      </c>
      <c r="CO90" s="36">
        <f>IF(ISNA(VLOOKUP(A90,'Données projet'!$A$165:$I$185,3,0)),0,VLOOKUP(A90,'Données projet'!$A$165:$I$185,3,0))</f>
        <v>0</v>
      </c>
      <c r="CP90" s="36">
        <f>IF(ISNA(VLOOKUP(A90,'Données projet'!$A$165:$I$185,4,0)),0,VLOOKUP(A90,'Données projet'!$A$165:$I$185,4,0))</f>
        <v>0</v>
      </c>
      <c r="CQ90" s="37">
        <f>IF(ISNA(VLOOKUP(A90,'Données projet'!$A$165:$I$185,5,0)),0%,VLOOKUP(A90,'Données projet'!$A$165:$I$185,5,0)*VLOOKUP('Données projet'!$B$14,Paramètres!$A$1:$I$88,7,0))</f>
        <v>0</v>
      </c>
      <c r="CR90" s="37">
        <f>IF(ISNA(VLOOKUP(A90,'Données projet'!$A$165:$I$185,6,0)),0%,VLOOKUP(A90,'Données projet'!$A$165:$I$185,6,0)*VLOOKUP('Données projet'!$B$14,Paramètres!$A$1:$I$88,7,0))</f>
        <v>0</v>
      </c>
      <c r="CS90" s="37">
        <f>IF(ISNA(VLOOKUP(A90,'Données projet'!$A$165:$I$185,7,0)),0%,VLOOKUP(A90,'Données projet'!$A$165:$I$185,7,0))</f>
        <v>0</v>
      </c>
      <c r="CT90" s="45">
        <f>EXP(-LN(2)/35)*CT89+(1-EXP(-LN(2)/35))/(LN(2)/35)*CP90*CQ90*VLOOKUP('Données projet'!$B$9,Paramètres!$A$1:$I$88,3,0)*0.475*44/12</f>
        <v>0</v>
      </c>
      <c r="CU90" s="45">
        <f>EXP(-LN(2)/25)*CU89+(1-EXP(-LN(2)/25))/(LN(2)/25)*Calculateur!CP90*Calculateur!CR90*VLOOKUP('Données projet'!$B$9,Paramètres!$A$1:$I$88,3,0)*0.475*44/12</f>
        <v>0</v>
      </c>
      <c r="CV90" s="45">
        <f>EXP(-LN(2)/2)*CV89+(1-EXP(-LN(2)/2))/(LN(2)/2)*CP90*CS90*VLOOKUP('Données projet'!$B$9,Paramètres!$A$1:$I$88,3,0)*0.475*44/12</f>
        <v>0</v>
      </c>
      <c r="CW90" s="46">
        <f t="shared" si="53"/>
        <v>0</v>
      </c>
      <c r="CX90" s="32" t="e">
        <f>VLOOKUP(A90,'Données projet'!$A$191:$I$211,2,0)</f>
        <v>#N/A</v>
      </c>
      <c r="CY90" s="33" t="e">
        <f>VLOOKUP(A90,'Données projet'!$A$191:$I$211,9,0)</f>
        <v>#N/A</v>
      </c>
      <c r="CZ90" s="33">
        <f t="array" ref="CZ90">INDEX(CY:CY,MIN(IF(ISNUMBER(CY90:CY286),ROW(CY90:CY286),"")))</f>
        <v>0</v>
      </c>
      <c r="DA90" s="33">
        <f t="shared" si="76"/>
        <v>0</v>
      </c>
      <c r="DB90" s="38" t="e">
        <f>DA90*VLOOKUP('Données projet'!$B$15,Paramètres!$A$1:$I$88,3,0)*VLOOKUP('Données projet'!$B$15,Paramètres!$A$1:$I$88,5,0)</f>
        <v>#N/A</v>
      </c>
      <c r="DC90" s="34" t="e">
        <f t="shared" si="77"/>
        <v>#N/A</v>
      </c>
      <c r="DD90" s="44" t="e">
        <f t="shared" si="54"/>
        <v>#N/A</v>
      </c>
      <c r="DE90" s="36">
        <f>IF(ISNA(VLOOKUP(A90,'Données projet'!$A$191:$I$211,3,0)),0,VLOOKUP(A90,'Données projet'!$A$191:$I$211,3,0))</f>
        <v>0</v>
      </c>
      <c r="DF90" s="36">
        <f>IF(ISNA(VLOOKUP(A90,'Données projet'!$A$191:$I$211,4,0)),0,VLOOKUP(A90,'Données projet'!$A$191:$I$211,4,0))</f>
        <v>0</v>
      </c>
      <c r="DG90" s="37">
        <f>IF(ISNA(VLOOKUP(A90,'Données projet'!$A$191:$I$211,5,0)),0%,VLOOKUP(A90,'Données projet'!$A$191:$I$211,5,0)*VLOOKUP('Données projet'!$B$15,Paramètres!$A$1:$I$88,7,0))</f>
        <v>0</v>
      </c>
      <c r="DH90" s="37">
        <f>IF(ISNA(VLOOKUP(A90,'Données projet'!$A$191:$I$211,6,0)),0%,VLOOKUP(A90,'Données projet'!$A$191:$I$211,6,0)*VLOOKUP('Données projet'!$B$15,Paramètres!$A$1:$I$88,7,0))</f>
        <v>0</v>
      </c>
      <c r="DI90" s="37">
        <f>IF(ISNA(VLOOKUP(A90,'Données projet'!$A$191:$I$211,7,0)),0%,VLOOKUP(A90,'Données projet'!$A$191:$I$211,7,0))</f>
        <v>0</v>
      </c>
      <c r="DJ90" s="45">
        <f>EXP(-LN(2)/35)*DJ89+(1-EXP(-LN(2)/35))/(LN(2)/35)*DF90*DG90*VLOOKUP('Données projet'!$B$9,Paramètres!$A$1:$I$88,3,0)*0.475*44/12</f>
        <v>0</v>
      </c>
      <c r="DK90" s="45">
        <f>EXP(-LN(2)/25)*DK89+(1-EXP(-LN(2)/25))/(LN(2)/25)*Calculateur!DF90*Calculateur!DH90*VLOOKUP('Données projet'!$B$9,Paramètres!$A$1:$I$88,3,0)*0.475*44/12</f>
        <v>0</v>
      </c>
      <c r="DL90" s="45">
        <f>EXP(-LN(2)/2)*DL89+(1-EXP(-LN(2)/2))/(LN(2)/2)*DF90*DI90*VLOOKUP('Données projet'!$B$9,Paramètres!$A$1:$I$88,3,0)*0.475*44/12</f>
        <v>0</v>
      </c>
      <c r="DM90" s="46">
        <f t="shared" si="55"/>
        <v>0</v>
      </c>
      <c r="DN90" s="32" t="e">
        <f>VLOOKUP(A90,'Données projet'!$A$217:$I$237,2,0)</f>
        <v>#N/A</v>
      </c>
      <c r="DO90" s="33" t="e">
        <f>VLOOKUP(A90,'Données projet'!$A$217:$I$237,9,0)</f>
        <v>#N/A</v>
      </c>
      <c r="DP90" s="33">
        <f t="array" ref="DP90">INDEX(DO:DO,MIN(IF(ISNUMBER(DO90:DO286),ROW(DO90:DO286),"")))</f>
        <v>0</v>
      </c>
      <c r="DQ90" s="33">
        <f t="shared" si="78"/>
        <v>0</v>
      </c>
      <c r="DR90" s="38" t="e">
        <f>DQ90*VLOOKUP('Données projet'!$B$16,Paramètres!$A$1:$I$88,3,0)*VLOOKUP('Données projet'!$B$16,Paramètres!$A$1:$I$88,5,0)</f>
        <v>#N/A</v>
      </c>
      <c r="DS90" s="34" t="e">
        <f t="shared" si="79"/>
        <v>#N/A</v>
      </c>
      <c r="DT90" s="44" t="e">
        <f t="shared" si="56"/>
        <v>#N/A</v>
      </c>
      <c r="DU90" s="36">
        <f>IF(ISNA(VLOOKUP(A90,'Données projet'!$A$217:$I$237,3,0)),0,VLOOKUP(A90,'Données projet'!$A$217:$I$237,3,0))</f>
        <v>0</v>
      </c>
      <c r="DV90" s="36">
        <f>IF(ISNA(VLOOKUP(A90,'Données projet'!$A$217:$I$237,4,0)),0,VLOOKUP(A90,'Données projet'!$A$217:$I$237,4,0))</f>
        <v>0</v>
      </c>
      <c r="DW90" s="37">
        <f>IF(ISNA(VLOOKUP(A90,'Données projet'!$A$217:$I$237,5,0)),0%,VLOOKUP(A90,'Données projet'!$A$217:$I$237,5,0)*VLOOKUP('Données projet'!$B$16,Paramètres!$A$1:$I$88,7,0))</f>
        <v>0</v>
      </c>
      <c r="DX90" s="37">
        <f>IF(ISNA(VLOOKUP(A90,'Données projet'!$A$217:$I$237,6,0)),0%,VLOOKUP(A90,'Données projet'!$A$217:$I$237,6,0)*VLOOKUP('Données projet'!$B$16,Paramètres!$A$1:$I$88,7,0))</f>
        <v>0</v>
      </c>
      <c r="DY90" s="37">
        <f>IF(ISNA(VLOOKUP(A90,'Données projet'!$A$217:$I$237,7,0)),0%,VLOOKUP(A90,'Données projet'!$A$217:$I$237,7,0))</f>
        <v>0</v>
      </c>
      <c r="DZ90" s="45">
        <f>EXP(-LN(2)/35)*DZ89+(1-EXP(-LN(2)/35))/(LN(2)/35)*DV90*DW90*VLOOKUP('Données projet'!$B$9,Paramètres!$A$1:$I$88,3,0)*0.475*44/12</f>
        <v>0</v>
      </c>
      <c r="EA90" s="45">
        <f>EXP(-LN(2)/25)*EA89+(1-EXP(-LN(2)/25))/(LN(2)/25)*Calculateur!DV90*Calculateur!DX90*VLOOKUP('Données projet'!$B$9,Paramètres!$A$1:$I$88,3,0)*0.475*44/12</f>
        <v>0</v>
      </c>
      <c r="EB90" s="45">
        <f>EXP(-LN(2)/2)*EB89+(1-EXP(-LN(2)/2))/(LN(2)/2)*DV90*DY90*VLOOKUP('Données projet'!$B$9,Paramètres!$A$1:$I$88,3,0)*0.475*44/12</f>
        <v>0</v>
      </c>
      <c r="EC90" s="46">
        <f t="shared" si="57"/>
        <v>0</v>
      </c>
      <c r="ED90" s="32" t="e">
        <f>VLOOKUP(A90,'Données projet'!$A$243:$I$263,2,0)</f>
        <v>#N/A</v>
      </c>
      <c r="EE90" s="33" t="e">
        <f>VLOOKUP(A90,'Données projet'!$A$243:$I$263,9,0)</f>
        <v>#N/A</v>
      </c>
      <c r="EF90" s="33">
        <f t="array" ref="EF90">INDEX(EE:EE,MIN(IF(ISNUMBER(EE90:EE286),ROW(EE90:EE286),"")))</f>
        <v>0</v>
      </c>
      <c r="EG90" s="33">
        <f t="shared" si="80"/>
        <v>0</v>
      </c>
      <c r="EH90" s="38" t="e">
        <f>EG90*VLOOKUP('Données projet'!$B$17,Paramètres!$A$1:$I$88,3,0)*VLOOKUP('Données projet'!$B$17,Paramètres!$A$1:$I$88,5,0)</f>
        <v>#N/A</v>
      </c>
      <c r="EI90" s="34" t="e">
        <f t="shared" si="81"/>
        <v>#N/A</v>
      </c>
      <c r="EJ90" s="44" t="e">
        <f t="shared" si="58"/>
        <v>#N/A</v>
      </c>
      <c r="EK90" s="36">
        <f>IF(ISNA(VLOOKUP(A90,'Données projet'!$A$243:$I$263,3,0)),0,VLOOKUP(A90,'Données projet'!$A$243:$I$263,3,0))</f>
        <v>0</v>
      </c>
      <c r="EL90" s="36">
        <f>IF(ISNA(VLOOKUP(A90,'Données projet'!$A$243:$I$263,4,0)),0,VLOOKUP(A90,'Données projet'!$A$243:$I$263,4,0))</f>
        <v>0</v>
      </c>
      <c r="EM90" s="37">
        <f>IF(ISNA(VLOOKUP(A90,'Données projet'!$A$243:$I$263,5,0)),0%,VLOOKUP(A90,'Données projet'!$A$243:$I$263,5,0)*VLOOKUP('Données projet'!$B$17,Paramètres!$A$1:$I$88,7,0))</f>
        <v>0</v>
      </c>
      <c r="EN90" s="37">
        <f>IF(ISNA(VLOOKUP(A90,'Données projet'!$A$243:$I$263,6,0)),0%,VLOOKUP(A90,'Données projet'!$A$243:$I$263,6,0)*VLOOKUP('Données projet'!$B$17,Paramètres!$A$1:$I$88,7,0))</f>
        <v>0</v>
      </c>
      <c r="EO90" s="37">
        <f>IF(ISNA(VLOOKUP(A90,'Données projet'!$A$243:$I$263,7,0)),0%,VLOOKUP(A90,'Données projet'!$A$243:$I$263,7,0))</f>
        <v>0</v>
      </c>
      <c r="EP90" s="45">
        <f>EXP(-LN(2)/35)*EP89+(1-EXP(-LN(2)/35))/(LN(2)/35)*EL90*EM90*VLOOKUP('Données projet'!$B$9,Paramètres!$A$1:$I$88,3,0)*0.475*44/12</f>
        <v>0</v>
      </c>
      <c r="EQ90" s="45">
        <f>EXP(-LN(2)/25)*EQ89+(1-EXP(-LN(2)/25))/(LN(2)/25)*Calculateur!EL90*Calculateur!EN90*VLOOKUP('Données projet'!$B$9,Paramètres!$A$1:$I$88,3,0)*0.475*44/12</f>
        <v>0</v>
      </c>
      <c r="ER90" s="45">
        <f>EXP(-LN(2)/2)*ER89+(1-EXP(-LN(2)/2))/(LN(2)/2)*EL90*EO90*VLOOKUP('Données projet'!$B$9,Paramètres!$A$1:$I$88,3,0)*0.475*44/12</f>
        <v>0</v>
      </c>
      <c r="ES90" s="46">
        <f t="shared" si="59"/>
        <v>0</v>
      </c>
      <c r="ET90" s="32" t="e">
        <f>VLOOKUP(A90,'Données projet'!$A$269:$I$289,2,0)</f>
        <v>#N/A</v>
      </c>
      <c r="EU90" s="33" t="e">
        <f>VLOOKUP(A90,'Données projet'!$A$269:$I$289,9,0)</f>
        <v>#N/A</v>
      </c>
      <c r="EV90" s="33">
        <f t="array" ref="EV90">INDEX(EU:EU,MIN(IF(ISNUMBER(EU90:EU286),ROW(EU90:EU286),"")))</f>
        <v>0</v>
      </c>
      <c r="EW90" s="33">
        <f t="shared" si="82"/>
        <v>0</v>
      </c>
      <c r="EX90" s="38" t="e">
        <f>EW90*VLOOKUP('Données projet'!$B$18,Paramètres!$A$1:$I$88,3,0)*VLOOKUP('Données projet'!$B$18,Paramètres!$A$1:$I$88,5,0)</f>
        <v>#N/A</v>
      </c>
      <c r="EY90" s="34" t="e">
        <f t="shared" si="83"/>
        <v>#N/A</v>
      </c>
      <c r="EZ90" s="44" t="e">
        <f t="shared" si="60"/>
        <v>#N/A</v>
      </c>
      <c r="FA90" s="36">
        <f>IF(ISNA(VLOOKUP(A90,'Données projet'!$A$269:$I$289,3,0)),0,VLOOKUP(A90,'Données projet'!$A$269:$I$289,3,0))</f>
        <v>0</v>
      </c>
      <c r="FB90" s="36">
        <f>IF(ISNA(VLOOKUP(A90,'Données projet'!$A$269:$I$289,4,0)),0,VLOOKUP(A90,'Données projet'!$A$269:$I$289,4,0))</f>
        <v>0</v>
      </c>
      <c r="FC90" s="37">
        <f>IF(ISNA(VLOOKUP(A90,'Données projet'!$A$269:$I$289,5,0)),0%,VLOOKUP(A90,'Données projet'!$A$269:$I$289,5,0)*VLOOKUP('Données projet'!$B$18,Paramètres!$A$1:$I$88,7,0))</f>
        <v>0</v>
      </c>
      <c r="FD90" s="37">
        <f>IF(ISNA(VLOOKUP(A90,'Données projet'!$A$269:$I$289,6,0)),0%,VLOOKUP(A90,'Données projet'!$A$269:$I$289,6,0)*VLOOKUP('Données projet'!$B$18,Paramètres!$A$1:$I$88,7,0))</f>
        <v>0</v>
      </c>
      <c r="FE90" s="37">
        <f>IF(ISNA(VLOOKUP(A90,'Données projet'!$A$269:$I$289,7,0)),0%,VLOOKUP(A90,'Données projet'!$A$269:$I$289,7,0))</f>
        <v>0</v>
      </c>
      <c r="FF90" s="45">
        <f>EXP(-LN(2)/35)*FF89+(1-EXP(-LN(2)/35))/(LN(2)/35)*FB90*FC90*VLOOKUP('Données projet'!$B$9,Paramètres!$A$1:$I$88,3,0)*0.475*44/12</f>
        <v>0</v>
      </c>
      <c r="FG90" s="45">
        <f>EXP(-LN(2)/25)*FG89+(1-EXP(-LN(2)/25))/(LN(2)/25)*Calculateur!FB90*Calculateur!FD90*VLOOKUP('Données projet'!$B$9,Paramètres!$A$1:$I$88,3,0)*0.475*44/12</f>
        <v>0</v>
      </c>
      <c r="FH90" s="45">
        <f>EXP(-LN(2)/2)*FH89+(1-EXP(-LN(2)/2))/(LN(2)/2)*FB90*FE90*VLOOKUP('Données projet'!$B$9,Paramètres!$A$1:$I$88,3,0)*0.475*44/12</f>
        <v>0</v>
      </c>
      <c r="FI90" s="46">
        <f t="shared" si="61"/>
        <v>0</v>
      </c>
    </row>
    <row r="91" spans="1:165" x14ac:dyDescent="0.25">
      <c r="A91" s="24">
        <f t="shared" si="62"/>
        <v>88</v>
      </c>
      <c r="B91" s="25">
        <f>IF('Scénario référence'!$N$1=1,5,0)</f>
        <v>0</v>
      </c>
      <c r="C91" s="40">
        <f>IF(OR('Scénario référence'!$N$1=2,'Scénario référence'!$N$1=4),C90+1*VLOOKUP('Scénario référence'!$G$14,Paramètres!$A$1:$I$88,3,0)*VLOOKUP('Scénario référence'!$G$14,Paramètres!$A$1:$I$88,5,0),IF(OR('Scénario référence'!$N$1=3,'Scénario référence'!$N$1=5),C90+0.5*VLOOKUP('Scénario référence'!$G$14,Paramètres!$A$1:$I$88,3,0)*VLOOKUP('Scénario référence'!$G$14,Paramètres!$A$1:$I$88,5,0),0))</f>
        <v>48.047999999999959</v>
      </c>
      <c r="D91" s="26">
        <f t="shared" si="63"/>
        <v>14.10848475016061</v>
      </c>
      <c r="E91" s="27">
        <f>IF('Scénario référence'!$N$1=1,B91*44/12,(C91+D91)*0.475*44/12)</f>
        <v>108.25587760652967</v>
      </c>
      <c r="F91" s="28" t="e">
        <f>VLOOKUP(A91,'Données projet'!$A$35:$I$55,2,0)</f>
        <v>#N/A</v>
      </c>
      <c r="G91" s="28" t="e">
        <f>VLOOKUP(A91,'Données projet'!$A$35:$I$55,9,0)</f>
        <v>#N/A</v>
      </c>
      <c r="H91" s="33">
        <f t="array" ref="H91">INDEX(G:G,MIN(IF(ISNUMBER(G91:G287),ROW(G91:G287),"")))</f>
        <v>5.2</v>
      </c>
      <c r="I91" s="28">
        <f t="shared" si="64"/>
        <v>263.59999999999974</v>
      </c>
      <c r="J91" s="41">
        <f>I91*VLOOKUP('Données projet'!$B$9,Paramètres!$A$1:$I$88,3,0)*VLOOKUP('Données projet'!$B$9,Paramètres!$A$1:$I$88,5,0)</f>
        <v>267.29039999999975</v>
      </c>
      <c r="K91" s="41">
        <f t="shared" si="65"/>
        <v>64.273886654661325</v>
      </c>
      <c r="L91" s="42">
        <f t="shared" si="42"/>
        <v>577.47446592353469</v>
      </c>
      <c r="M91" s="30">
        <f>IF(ISNA(VLOOKUP(A91,'Données projet'!$A$35:$I$55,3,0)),0,VLOOKUP(A91,'Données projet'!$A$35:$I$55,3,0))</f>
        <v>0</v>
      </c>
      <c r="N91" s="30">
        <f>IF(ISNA(VLOOKUP(A91,'Données projet'!$A$35:$I$55,4,0)),0,VLOOKUP(A91,'Données projet'!$A$35:$I$55,4,0))</f>
        <v>0</v>
      </c>
      <c r="O91" s="31">
        <f>IF(ISNA(VLOOKUP(A91,'Données projet'!$A$35:$I$55,5,0)),0%,VLOOKUP(A91,'Données projet'!$A$35:$I$55,5,0)*VLOOKUP('Données projet'!$B$9,Paramètres!$A$1:$I$88,7,0))</f>
        <v>0</v>
      </c>
      <c r="P91" s="31">
        <f>IF(ISNA(VLOOKUP(A91,'Données projet'!$A$35:$I$55,6,0)),0%,VLOOKUP(A91,'Données projet'!$A$35:$I$55,6,0)*VLOOKUP('Données projet'!$B$9,Paramètres!$A$1:$I$88,7,0))</f>
        <v>0</v>
      </c>
      <c r="Q91" s="31">
        <f>IF(ISNA(VLOOKUP(A91,'Données projet'!$A$35:$I$55,7,0)),0%,VLOOKUP(A91,'Données projet'!$A$35:$I$55,7,0))</f>
        <v>0</v>
      </c>
      <c r="R91" s="43">
        <f>EXP(-LN(2)/35)*R90+(1-EXP(-LN(2)/35))/(LN(2)/35)*N91*O91*VLOOKUP('Données projet'!$B$9,Paramètres!$A$1:$I$88,3,0)*0.475*44/12</f>
        <v>0</v>
      </c>
      <c r="S91" s="43">
        <f>EXP(-LN(2)/25)*S90+(1-EXP(-LN(2)/25))/(LN(2)/25)*Calculateur!N91*Calculateur!P91*VLOOKUP('Données projet'!$B$9,Paramètres!$A$1:$I$88,3,0)*0.475*44/12</f>
        <v>0</v>
      </c>
      <c r="T91" s="43">
        <f>EXP(-LN(2)/2)*T90+(1-EXP(-LN(2)/2))/(LN(2)/2)*N91*Q91*VLOOKUP('Données projet'!$B$9,Paramètres!$A$1:$I$88,3,0)*0.475*44/12</f>
        <v>0</v>
      </c>
      <c r="U91" s="43">
        <f t="shared" si="43"/>
        <v>0</v>
      </c>
      <c r="V91" s="32" t="e">
        <f>VLOOKUP(A91,'Données projet'!$A$61:$I$81,2,0)</f>
        <v>#N/A</v>
      </c>
      <c r="W91" s="33" t="e">
        <f>VLOOKUP(A91,'Données projet'!$A$61:$I$81,9,0)</f>
        <v>#N/A</v>
      </c>
      <c r="X91" s="33">
        <f t="array" ref="X91">INDEX(W:W,MIN(IF(ISNUMBER(W91:W287),ROW(W91:W287),"")))</f>
        <v>0</v>
      </c>
      <c r="Y91" s="33">
        <f t="shared" si="66"/>
        <v>0</v>
      </c>
      <c r="Z91" s="34" t="e">
        <f>Y91*VLOOKUP('Données projet'!$B$10,Paramètres!$A$1:$I$88,3,0)*VLOOKUP('Données projet'!$B$10,Paramètres!$A$1:$I$88,5,0)</f>
        <v>#N/A</v>
      </c>
      <c r="AA91" s="34" t="e">
        <f t="shared" si="67"/>
        <v>#N/A</v>
      </c>
      <c r="AB91" s="44" t="e">
        <f t="shared" si="44"/>
        <v>#N/A</v>
      </c>
      <c r="AC91" s="36">
        <f>IF(ISNA(VLOOKUP(A91,'Données projet'!$A$61:$I$81,3,0)),0,VLOOKUP(A91,'Données projet'!$A$61:$I$81,3,0))</f>
        <v>0</v>
      </c>
      <c r="AD91" s="36">
        <f>IF(ISNA(VLOOKUP(A91,'Données projet'!$A$61:$I$81,4,0)),0,VLOOKUP(A91,'Données projet'!$A$61:$I$81,4,0))</f>
        <v>0</v>
      </c>
      <c r="AE91" s="37">
        <f>IF(ISNA(VLOOKUP(A91,'Données projet'!$A$61:$I$81,5,0)),0%,VLOOKUP(A91,'Données projet'!$A$61:$I$81,5,0)*VLOOKUP('Données projet'!$B$10,Paramètres!$A$1:$I$88,7,0))</f>
        <v>0</v>
      </c>
      <c r="AF91" s="37">
        <f>IF(ISNA(VLOOKUP(A91,'Données projet'!$A$61:$I$81,6,0)),0%,VLOOKUP(A91,'Données projet'!$A$61:$I$81,6,0)*VLOOKUP('Données projet'!$B$10,Paramètres!$A$1:$I$88,7,0))</f>
        <v>0</v>
      </c>
      <c r="AG91" s="37">
        <f>IF(ISNA(VLOOKUP(A91,'Données projet'!$A$61:$I$81,7,0)),0%,VLOOKUP(A91,'Données projet'!$A$61:$I$81,7,0))</f>
        <v>0</v>
      </c>
      <c r="AH91" s="45">
        <f>EXP(-LN(2)/35)*AH90+(1-EXP(-LN(2)/35))/(LN(2)/35)*AD91*AE91*VLOOKUP('Données projet'!$B$9,Paramètres!$A$1:$I$88,3,0)*0.475*44/12</f>
        <v>0</v>
      </c>
      <c r="AI91" s="45">
        <f>EXP(-LN(2)/25)*AI90+(1-EXP(-LN(2)/25))/(LN(2)/25)*Calculateur!AD91*Calculateur!AF91*VLOOKUP('Données projet'!$B$9,Paramètres!$A$1:$I$88,3,0)*0.475*44/12</f>
        <v>0</v>
      </c>
      <c r="AJ91" s="45">
        <f>EXP(-LN(2)/2)*AJ90+(1-EXP(-LN(2)/2))/(LN(2)/2)*AD91*AG91*VLOOKUP('Données projet'!$B$9,Paramètres!$A$1:$I$88,3,0)*0.475*44/12</f>
        <v>0</v>
      </c>
      <c r="AK91" s="45">
        <f t="shared" si="45"/>
        <v>0</v>
      </c>
      <c r="AL91" s="32" t="e">
        <f>VLOOKUP(A91,'Données projet'!$A$87:$I$107,2,0)</f>
        <v>#N/A</v>
      </c>
      <c r="AM91" s="33" t="e">
        <f>VLOOKUP(A91,'Données projet'!$A$87:$I$107,9,0)</f>
        <v>#N/A</v>
      </c>
      <c r="AN91" s="33">
        <f t="array" ref="AN91">INDEX(AM:AM,MIN(IF(ISNUMBER(AM91:AM287),ROW(AM91:AM287),"")))</f>
        <v>0</v>
      </c>
      <c r="AO91" s="33">
        <f t="shared" si="68"/>
        <v>0</v>
      </c>
      <c r="AP91" s="34" t="e">
        <f>AO91*VLOOKUP('Données projet'!$B$11,Paramètres!$A$1:$I$88,3,0)*VLOOKUP('Données projet'!$B$11,Paramètres!$A$1:$I$88,5,0)</f>
        <v>#N/A</v>
      </c>
      <c r="AQ91" s="34" t="e">
        <f t="shared" si="69"/>
        <v>#N/A</v>
      </c>
      <c r="AR91" s="44" t="e">
        <f t="shared" si="46"/>
        <v>#N/A</v>
      </c>
      <c r="AS91" s="36">
        <f>IF(ISNA(VLOOKUP(A91,'Données projet'!$A$87:$I$107,3,0)),0,VLOOKUP(A91,'Données projet'!$A$87:$I$107,3,0))</f>
        <v>0</v>
      </c>
      <c r="AT91" s="36">
        <f>IF(ISNA(VLOOKUP(A91,'Données projet'!$A$87:$I$107,4,0)),0,VLOOKUP(A91,'Données projet'!$A$87:$I$107,4,0))</f>
        <v>0</v>
      </c>
      <c r="AU91" s="37">
        <f>IF(ISNA(VLOOKUP(A91,'Données projet'!$A$87:$I$107,5,0)),0%,VLOOKUP(A91,'Données projet'!$A$87:$I$107,5,0)*VLOOKUP('Données projet'!$B$11,Paramètres!$A$1:$I$88,7,0))</f>
        <v>0</v>
      </c>
      <c r="AV91" s="37">
        <f>IF(ISNA(VLOOKUP(A91,'Données projet'!$A$87:$I$107,6,0)),0%,VLOOKUP(A91,'Données projet'!$A$87:$I$107,6,0)*VLOOKUP('Données projet'!$B$11,Paramètres!$A$1:$I$88,7,0))</f>
        <v>0</v>
      </c>
      <c r="AW91" s="37">
        <f>IF(ISNA(VLOOKUP(A91,'Données projet'!$A$87:$I$107,7,0)),0%,VLOOKUP(A91,'Données projet'!$A$87:$I$107,7,0))</f>
        <v>0</v>
      </c>
      <c r="AX91" s="45">
        <f>EXP(-LN(2)/35)*AX90+(1-EXP(-LN(2)/35))/(LN(2)/35)*AT91*AU91*VLOOKUP('Données projet'!$B$9,Paramètres!$A$1:$I$88,3,0)*0.475*44/12</f>
        <v>0</v>
      </c>
      <c r="AY91" s="45">
        <f>EXP(-LN(2)/25)*AY90+(1-EXP(-LN(2)/25))/(LN(2)/25)*Calculateur!AT91*Calculateur!AV91*VLOOKUP('Données projet'!$B$9,Paramètres!$A$1:$I$88,3,0)*0.475*44/12</f>
        <v>0</v>
      </c>
      <c r="AZ91" s="45">
        <f>EXP(-LN(2)/2)*AZ90+(1-EXP(-LN(2)/2))/(LN(2)/2)*AT91*AW91*VLOOKUP('Données projet'!$B$9,Paramètres!$A$1:$I$88,3,0)*0.475*44/12</f>
        <v>0</v>
      </c>
      <c r="BA91" s="46">
        <f t="shared" si="47"/>
        <v>0</v>
      </c>
      <c r="BB91" s="32" t="e">
        <f>VLOOKUP(A91,'Données projet'!$A$113:$I$133,2,0)</f>
        <v>#N/A</v>
      </c>
      <c r="BC91" s="33" t="e">
        <f>VLOOKUP(A91,'Données projet'!$A$113:$I$133,9,0)</f>
        <v>#N/A</v>
      </c>
      <c r="BD91" s="33">
        <f t="array" ref="BD91">INDEX(BC:BC,MIN(IF(ISNUMBER(BC91:BC287),ROW(BC91:BC287),"")))</f>
        <v>0</v>
      </c>
      <c r="BE91" s="33">
        <f t="shared" si="70"/>
        <v>0</v>
      </c>
      <c r="BF91" s="34" t="e">
        <f>BE91*VLOOKUP('Données projet'!$B$12,Paramètres!$A$1:$I$88,3,0)*VLOOKUP('Données projet'!$B$12,Paramètres!$A$1:$I$88,5,0)</f>
        <v>#N/A</v>
      </c>
      <c r="BG91" s="34" t="e">
        <f t="shared" si="71"/>
        <v>#N/A</v>
      </c>
      <c r="BH91" s="44" t="e">
        <f t="shared" si="48"/>
        <v>#N/A</v>
      </c>
      <c r="BI91" s="36">
        <f>IF(ISNA(VLOOKUP(A91,'Données projet'!$A$113:$I$133,3,0)),0,VLOOKUP(A91,'Données projet'!$A$113:$I$133,3,0))</f>
        <v>0</v>
      </c>
      <c r="BJ91" s="36">
        <f>IF(ISNA(VLOOKUP(A91,'Données projet'!$A$113:$I$133,4,0)),0,VLOOKUP(A91,'Données projet'!$A$113:$I$133,4,0))</f>
        <v>0</v>
      </c>
      <c r="BK91" s="37">
        <f>IF(ISNA(VLOOKUP(A91,'Données projet'!$A$113:$I$133,5,0)),0%,VLOOKUP(A91,'Données projet'!$A$113:$I$133,5,0)*VLOOKUP('Données projet'!$B$12,Paramètres!$A$1:$I$88,7,0))</f>
        <v>0</v>
      </c>
      <c r="BL91" s="37">
        <f>IF(ISNA(VLOOKUP(A91,'Données projet'!$A$113:$I$133,6,0)),0%,VLOOKUP(A91,'Données projet'!$A$113:$I$133,6,0)*VLOOKUP('Données projet'!$B$12,Paramètres!$A$1:$I$88,7,0))</f>
        <v>0</v>
      </c>
      <c r="BM91" s="37">
        <f>IF(ISNA(VLOOKUP(A91,'Données projet'!$A$113:$I$133,7,0)),0%,VLOOKUP(A91,'Données projet'!$A$113:$I$133,7,0))</f>
        <v>0</v>
      </c>
      <c r="BN91" s="45">
        <f>EXP(-LN(2)/35)*BN90+(1-EXP(-LN(2)/35))/(LN(2)/35)*BJ91*BK91*VLOOKUP('Données projet'!$B$9,Paramètres!$A$1:$I$88,3,0)*0.475*44/12</f>
        <v>0</v>
      </c>
      <c r="BO91" s="45">
        <f>EXP(-LN(2)/25)*BO90+(1-EXP(-LN(2)/25))/(LN(2)/25)*Calculateur!BJ91*Calculateur!BL91*VLOOKUP('Données projet'!$B$9,Paramètres!$A$1:$I$88,3,0)*0.475*44/12</f>
        <v>0</v>
      </c>
      <c r="BP91" s="45">
        <f>EXP(-LN(2)/2)*BP90+(1-EXP(-LN(2)/2))/(LN(2)/2)*BJ91*BM91*VLOOKUP('Données projet'!$B$9,Paramètres!$A$1:$I$88,3,0)*0.475*44/12</f>
        <v>0</v>
      </c>
      <c r="BQ91" s="46">
        <f t="shared" si="49"/>
        <v>0</v>
      </c>
      <c r="BR91" s="32" t="e">
        <f>VLOOKUP(A91,'Données projet'!$A$139:$I$159,2,0)</f>
        <v>#N/A</v>
      </c>
      <c r="BS91" s="33" t="e">
        <f>VLOOKUP(A91,'Données projet'!$A$139:$I$159,9,0)</f>
        <v>#N/A</v>
      </c>
      <c r="BT91" s="33">
        <f t="array" ref="BT91">INDEX(BS:BS,MIN(IF(ISNUMBER(BS91:BS287),ROW(BS91:BS287),"")))</f>
        <v>0</v>
      </c>
      <c r="BU91" s="33">
        <f t="shared" si="72"/>
        <v>0</v>
      </c>
      <c r="BV91" s="38" t="e">
        <f>BU91*VLOOKUP('Données projet'!$B$13,Paramètres!$A$1:$I$88,3,0)*VLOOKUP('Données projet'!$B$13,Paramètres!$A$1:$I$88,5,0)</f>
        <v>#N/A</v>
      </c>
      <c r="BW91" s="34" t="e">
        <f t="shared" si="73"/>
        <v>#N/A</v>
      </c>
      <c r="BX91" s="44" t="e">
        <f t="shared" si="50"/>
        <v>#N/A</v>
      </c>
      <c r="BY91" s="36">
        <f>IF(ISNA(VLOOKUP(A91,'Données projet'!$A$139:$I$159,3,0)),0,VLOOKUP(A91,'Données projet'!$A$139:$I$159,3,0))</f>
        <v>0</v>
      </c>
      <c r="BZ91" s="36">
        <f>IF(ISNA(VLOOKUP(A91,'Données projet'!$A$139:$I$159,4,0)),0,VLOOKUP(A91,'Données projet'!$A$139:$I$159,4,0))</f>
        <v>0</v>
      </c>
      <c r="CA91" s="37">
        <f>IF(ISNA(VLOOKUP(A91,'Données projet'!$A$139:$I$159,5,0)),0%,VLOOKUP(A91,'Données projet'!$A$139:$I$159,5,0)*VLOOKUP('Données projet'!$B$13,Paramètres!$A$1:$I$88,7,0))</f>
        <v>0</v>
      </c>
      <c r="CB91" s="37">
        <f>IF(ISNA(VLOOKUP(A91,'Données projet'!$A$139:$I$159,6,0)),0%,VLOOKUP(A91,'Données projet'!$A$139:$I$159,6,0)*VLOOKUP('Données projet'!$B$13,Paramètres!$A$1:$I$88,7,0))</f>
        <v>0</v>
      </c>
      <c r="CC91" s="37">
        <f>IF(ISNA(VLOOKUP(A91,'Données projet'!$A$139:$I$159,7,0)),0%,VLOOKUP(A91,'Données projet'!$A$139:$I$159,7,0))</f>
        <v>0</v>
      </c>
      <c r="CD91" s="45">
        <f>EXP(-LN(2)/35)*CD90+(1-EXP(-LN(2)/35))/(LN(2)/35)*BZ91*CA91*VLOOKUP('Données projet'!$B$9,Paramètres!$A$1:$I$88,3,0)*0.475*44/12</f>
        <v>0</v>
      </c>
      <c r="CE91" s="45">
        <f>EXP(-LN(2)/25)*CE90+(1-EXP(-LN(2)/25))/(LN(2)/25)*Calculateur!BZ91*Calculateur!CB91*VLOOKUP('Données projet'!$B$9,Paramètres!$A$1:$I$88,3,0)*0.475*44/12</f>
        <v>0</v>
      </c>
      <c r="CF91" s="45">
        <f>EXP(-LN(2)/2)*CF90+(1-EXP(-LN(2)/2))/(LN(2)/2)*BZ91*CC91*VLOOKUP('Données projet'!$B$9,Paramètres!$A$1:$I$88,3,0)*0.475*44/12</f>
        <v>0</v>
      </c>
      <c r="CG91" s="46">
        <f t="shared" si="51"/>
        <v>0</v>
      </c>
      <c r="CH91" s="32" t="e">
        <f>VLOOKUP(A91,'Données projet'!$A$165:$I$185,2,0)</f>
        <v>#N/A</v>
      </c>
      <c r="CI91" s="33" t="e">
        <f>VLOOKUP(A91,'Données projet'!$A$165:$I$185,9,0)</f>
        <v>#N/A</v>
      </c>
      <c r="CJ91" s="33">
        <f t="array" ref="CJ91">INDEX(CI:CI,MIN(IF(ISNUMBER(CI91:CI287),ROW(CI91:CI287),"")))</f>
        <v>0</v>
      </c>
      <c r="CK91" s="33">
        <f t="shared" si="74"/>
        <v>0</v>
      </c>
      <c r="CL91" s="38" t="e">
        <f>CK91*VLOOKUP('Données projet'!$B$14,Paramètres!$A$1:$I$88,3,0)*VLOOKUP('Données projet'!$B$14,Paramètres!$A$1:$I$88,5,0)</f>
        <v>#N/A</v>
      </c>
      <c r="CM91" s="34" t="e">
        <f t="shared" si="75"/>
        <v>#N/A</v>
      </c>
      <c r="CN91" s="44" t="e">
        <f t="shared" si="52"/>
        <v>#N/A</v>
      </c>
      <c r="CO91" s="36">
        <f>IF(ISNA(VLOOKUP(A91,'Données projet'!$A$165:$I$185,3,0)),0,VLOOKUP(A91,'Données projet'!$A$165:$I$185,3,0))</f>
        <v>0</v>
      </c>
      <c r="CP91" s="36">
        <f>IF(ISNA(VLOOKUP(A91,'Données projet'!$A$165:$I$185,4,0)),0,VLOOKUP(A91,'Données projet'!$A$165:$I$185,4,0))</f>
        <v>0</v>
      </c>
      <c r="CQ91" s="37">
        <f>IF(ISNA(VLOOKUP(A91,'Données projet'!$A$165:$I$185,5,0)),0%,VLOOKUP(A91,'Données projet'!$A$165:$I$185,5,0)*VLOOKUP('Données projet'!$B$14,Paramètres!$A$1:$I$88,7,0))</f>
        <v>0</v>
      </c>
      <c r="CR91" s="37">
        <f>IF(ISNA(VLOOKUP(A91,'Données projet'!$A$165:$I$185,6,0)),0%,VLOOKUP(A91,'Données projet'!$A$165:$I$185,6,0)*VLOOKUP('Données projet'!$B$14,Paramètres!$A$1:$I$88,7,0))</f>
        <v>0</v>
      </c>
      <c r="CS91" s="37">
        <f>IF(ISNA(VLOOKUP(A91,'Données projet'!$A$165:$I$185,7,0)),0%,VLOOKUP(A91,'Données projet'!$A$165:$I$185,7,0))</f>
        <v>0</v>
      </c>
      <c r="CT91" s="45">
        <f>EXP(-LN(2)/35)*CT90+(1-EXP(-LN(2)/35))/(LN(2)/35)*CP91*CQ91*VLOOKUP('Données projet'!$B$9,Paramètres!$A$1:$I$88,3,0)*0.475*44/12</f>
        <v>0</v>
      </c>
      <c r="CU91" s="45">
        <f>EXP(-LN(2)/25)*CU90+(1-EXP(-LN(2)/25))/(LN(2)/25)*Calculateur!CP91*Calculateur!CR91*VLOOKUP('Données projet'!$B$9,Paramètres!$A$1:$I$88,3,0)*0.475*44/12</f>
        <v>0</v>
      </c>
      <c r="CV91" s="45">
        <f>EXP(-LN(2)/2)*CV90+(1-EXP(-LN(2)/2))/(LN(2)/2)*CP91*CS91*VLOOKUP('Données projet'!$B$9,Paramètres!$A$1:$I$88,3,0)*0.475*44/12</f>
        <v>0</v>
      </c>
      <c r="CW91" s="46">
        <f t="shared" si="53"/>
        <v>0</v>
      </c>
      <c r="CX91" s="32" t="e">
        <f>VLOOKUP(A91,'Données projet'!$A$191:$I$211,2,0)</f>
        <v>#N/A</v>
      </c>
      <c r="CY91" s="33" t="e">
        <f>VLOOKUP(A91,'Données projet'!$A$191:$I$211,9,0)</f>
        <v>#N/A</v>
      </c>
      <c r="CZ91" s="33">
        <f t="array" ref="CZ91">INDEX(CY:CY,MIN(IF(ISNUMBER(CY91:CY287),ROW(CY91:CY287),"")))</f>
        <v>0</v>
      </c>
      <c r="DA91" s="33">
        <f t="shared" si="76"/>
        <v>0</v>
      </c>
      <c r="DB91" s="38" t="e">
        <f>DA91*VLOOKUP('Données projet'!$B$15,Paramètres!$A$1:$I$88,3,0)*VLOOKUP('Données projet'!$B$15,Paramètres!$A$1:$I$88,5,0)</f>
        <v>#N/A</v>
      </c>
      <c r="DC91" s="34" t="e">
        <f t="shared" si="77"/>
        <v>#N/A</v>
      </c>
      <c r="DD91" s="44" t="e">
        <f t="shared" si="54"/>
        <v>#N/A</v>
      </c>
      <c r="DE91" s="36">
        <f>IF(ISNA(VLOOKUP(A91,'Données projet'!$A$191:$I$211,3,0)),0,VLOOKUP(A91,'Données projet'!$A$191:$I$211,3,0))</f>
        <v>0</v>
      </c>
      <c r="DF91" s="36">
        <f>IF(ISNA(VLOOKUP(A91,'Données projet'!$A$191:$I$211,4,0)),0,VLOOKUP(A91,'Données projet'!$A$191:$I$211,4,0))</f>
        <v>0</v>
      </c>
      <c r="DG91" s="37">
        <f>IF(ISNA(VLOOKUP(A91,'Données projet'!$A$191:$I$211,5,0)),0%,VLOOKUP(A91,'Données projet'!$A$191:$I$211,5,0)*VLOOKUP('Données projet'!$B$15,Paramètres!$A$1:$I$88,7,0))</f>
        <v>0</v>
      </c>
      <c r="DH91" s="37">
        <f>IF(ISNA(VLOOKUP(A91,'Données projet'!$A$191:$I$211,6,0)),0%,VLOOKUP(A91,'Données projet'!$A$191:$I$211,6,0)*VLOOKUP('Données projet'!$B$15,Paramètres!$A$1:$I$88,7,0))</f>
        <v>0</v>
      </c>
      <c r="DI91" s="37">
        <f>IF(ISNA(VLOOKUP(A91,'Données projet'!$A$191:$I$211,7,0)),0%,VLOOKUP(A91,'Données projet'!$A$191:$I$211,7,0))</f>
        <v>0</v>
      </c>
      <c r="DJ91" s="45">
        <f>EXP(-LN(2)/35)*DJ90+(1-EXP(-LN(2)/35))/(LN(2)/35)*DF91*DG91*VLOOKUP('Données projet'!$B$9,Paramètres!$A$1:$I$88,3,0)*0.475*44/12</f>
        <v>0</v>
      </c>
      <c r="DK91" s="45">
        <f>EXP(-LN(2)/25)*DK90+(1-EXP(-LN(2)/25))/(LN(2)/25)*Calculateur!DF91*Calculateur!DH91*VLOOKUP('Données projet'!$B$9,Paramètres!$A$1:$I$88,3,0)*0.475*44/12</f>
        <v>0</v>
      </c>
      <c r="DL91" s="45">
        <f>EXP(-LN(2)/2)*DL90+(1-EXP(-LN(2)/2))/(LN(2)/2)*DF91*DI91*VLOOKUP('Données projet'!$B$9,Paramètres!$A$1:$I$88,3,0)*0.475*44/12</f>
        <v>0</v>
      </c>
      <c r="DM91" s="46">
        <f t="shared" si="55"/>
        <v>0</v>
      </c>
      <c r="DN91" s="32" t="e">
        <f>VLOOKUP(A91,'Données projet'!$A$217:$I$237,2,0)</f>
        <v>#N/A</v>
      </c>
      <c r="DO91" s="33" t="e">
        <f>VLOOKUP(A91,'Données projet'!$A$217:$I$237,9,0)</f>
        <v>#N/A</v>
      </c>
      <c r="DP91" s="33">
        <f t="array" ref="DP91">INDEX(DO:DO,MIN(IF(ISNUMBER(DO91:DO287),ROW(DO91:DO287),"")))</f>
        <v>0</v>
      </c>
      <c r="DQ91" s="33">
        <f t="shared" si="78"/>
        <v>0</v>
      </c>
      <c r="DR91" s="38" t="e">
        <f>DQ91*VLOOKUP('Données projet'!$B$16,Paramètres!$A$1:$I$88,3,0)*VLOOKUP('Données projet'!$B$16,Paramètres!$A$1:$I$88,5,0)</f>
        <v>#N/A</v>
      </c>
      <c r="DS91" s="34" t="e">
        <f t="shared" si="79"/>
        <v>#N/A</v>
      </c>
      <c r="DT91" s="44" t="e">
        <f t="shared" si="56"/>
        <v>#N/A</v>
      </c>
      <c r="DU91" s="36">
        <f>IF(ISNA(VLOOKUP(A91,'Données projet'!$A$217:$I$237,3,0)),0,VLOOKUP(A91,'Données projet'!$A$217:$I$237,3,0))</f>
        <v>0</v>
      </c>
      <c r="DV91" s="36">
        <f>IF(ISNA(VLOOKUP(A91,'Données projet'!$A$217:$I$237,4,0)),0,VLOOKUP(A91,'Données projet'!$A$217:$I$237,4,0))</f>
        <v>0</v>
      </c>
      <c r="DW91" s="37">
        <f>IF(ISNA(VLOOKUP(A91,'Données projet'!$A$217:$I$237,5,0)),0%,VLOOKUP(A91,'Données projet'!$A$217:$I$237,5,0)*VLOOKUP('Données projet'!$B$16,Paramètres!$A$1:$I$88,7,0))</f>
        <v>0</v>
      </c>
      <c r="DX91" s="37">
        <f>IF(ISNA(VLOOKUP(A91,'Données projet'!$A$217:$I$237,6,0)),0%,VLOOKUP(A91,'Données projet'!$A$217:$I$237,6,0)*VLOOKUP('Données projet'!$B$16,Paramètres!$A$1:$I$88,7,0))</f>
        <v>0</v>
      </c>
      <c r="DY91" s="37">
        <f>IF(ISNA(VLOOKUP(A91,'Données projet'!$A$217:$I$237,7,0)),0%,VLOOKUP(A91,'Données projet'!$A$217:$I$237,7,0))</f>
        <v>0</v>
      </c>
      <c r="DZ91" s="45">
        <f>EXP(-LN(2)/35)*DZ90+(1-EXP(-LN(2)/35))/(LN(2)/35)*DV91*DW91*VLOOKUP('Données projet'!$B$9,Paramètres!$A$1:$I$88,3,0)*0.475*44/12</f>
        <v>0</v>
      </c>
      <c r="EA91" s="45">
        <f>EXP(-LN(2)/25)*EA90+(1-EXP(-LN(2)/25))/(LN(2)/25)*Calculateur!DV91*Calculateur!DX91*VLOOKUP('Données projet'!$B$9,Paramètres!$A$1:$I$88,3,0)*0.475*44/12</f>
        <v>0</v>
      </c>
      <c r="EB91" s="45">
        <f>EXP(-LN(2)/2)*EB90+(1-EXP(-LN(2)/2))/(LN(2)/2)*DV91*DY91*VLOOKUP('Données projet'!$B$9,Paramètres!$A$1:$I$88,3,0)*0.475*44/12</f>
        <v>0</v>
      </c>
      <c r="EC91" s="46">
        <f t="shared" si="57"/>
        <v>0</v>
      </c>
      <c r="ED91" s="32" t="e">
        <f>VLOOKUP(A91,'Données projet'!$A$243:$I$263,2,0)</f>
        <v>#N/A</v>
      </c>
      <c r="EE91" s="33" t="e">
        <f>VLOOKUP(A91,'Données projet'!$A$243:$I$263,9,0)</f>
        <v>#N/A</v>
      </c>
      <c r="EF91" s="33">
        <f t="array" ref="EF91">INDEX(EE:EE,MIN(IF(ISNUMBER(EE91:EE287),ROW(EE91:EE287),"")))</f>
        <v>0</v>
      </c>
      <c r="EG91" s="33">
        <f t="shared" si="80"/>
        <v>0</v>
      </c>
      <c r="EH91" s="38" t="e">
        <f>EG91*VLOOKUP('Données projet'!$B$17,Paramètres!$A$1:$I$88,3,0)*VLOOKUP('Données projet'!$B$17,Paramètres!$A$1:$I$88,5,0)</f>
        <v>#N/A</v>
      </c>
      <c r="EI91" s="34" t="e">
        <f t="shared" si="81"/>
        <v>#N/A</v>
      </c>
      <c r="EJ91" s="44" t="e">
        <f t="shared" si="58"/>
        <v>#N/A</v>
      </c>
      <c r="EK91" s="36">
        <f>IF(ISNA(VLOOKUP(A91,'Données projet'!$A$243:$I$263,3,0)),0,VLOOKUP(A91,'Données projet'!$A$243:$I$263,3,0))</f>
        <v>0</v>
      </c>
      <c r="EL91" s="36">
        <f>IF(ISNA(VLOOKUP(A91,'Données projet'!$A$243:$I$263,4,0)),0,VLOOKUP(A91,'Données projet'!$A$243:$I$263,4,0))</f>
        <v>0</v>
      </c>
      <c r="EM91" s="37">
        <f>IF(ISNA(VLOOKUP(A91,'Données projet'!$A$243:$I$263,5,0)),0%,VLOOKUP(A91,'Données projet'!$A$243:$I$263,5,0)*VLOOKUP('Données projet'!$B$17,Paramètres!$A$1:$I$88,7,0))</f>
        <v>0</v>
      </c>
      <c r="EN91" s="37">
        <f>IF(ISNA(VLOOKUP(A91,'Données projet'!$A$243:$I$263,6,0)),0%,VLOOKUP(A91,'Données projet'!$A$243:$I$263,6,0)*VLOOKUP('Données projet'!$B$17,Paramètres!$A$1:$I$88,7,0))</f>
        <v>0</v>
      </c>
      <c r="EO91" s="37">
        <f>IF(ISNA(VLOOKUP(A91,'Données projet'!$A$243:$I$263,7,0)),0%,VLOOKUP(A91,'Données projet'!$A$243:$I$263,7,0))</f>
        <v>0</v>
      </c>
      <c r="EP91" s="45">
        <f>EXP(-LN(2)/35)*EP90+(1-EXP(-LN(2)/35))/(LN(2)/35)*EL91*EM91*VLOOKUP('Données projet'!$B$9,Paramètres!$A$1:$I$88,3,0)*0.475*44/12</f>
        <v>0</v>
      </c>
      <c r="EQ91" s="45">
        <f>EXP(-LN(2)/25)*EQ90+(1-EXP(-LN(2)/25))/(LN(2)/25)*Calculateur!EL91*Calculateur!EN91*VLOOKUP('Données projet'!$B$9,Paramètres!$A$1:$I$88,3,0)*0.475*44/12</f>
        <v>0</v>
      </c>
      <c r="ER91" s="45">
        <f>EXP(-LN(2)/2)*ER90+(1-EXP(-LN(2)/2))/(LN(2)/2)*EL91*EO91*VLOOKUP('Données projet'!$B$9,Paramètres!$A$1:$I$88,3,0)*0.475*44/12</f>
        <v>0</v>
      </c>
      <c r="ES91" s="46">
        <f t="shared" si="59"/>
        <v>0</v>
      </c>
      <c r="ET91" s="32" t="e">
        <f>VLOOKUP(A91,'Données projet'!$A$269:$I$289,2,0)</f>
        <v>#N/A</v>
      </c>
      <c r="EU91" s="33" t="e">
        <f>VLOOKUP(A91,'Données projet'!$A$269:$I$289,9,0)</f>
        <v>#N/A</v>
      </c>
      <c r="EV91" s="33">
        <f t="array" ref="EV91">INDEX(EU:EU,MIN(IF(ISNUMBER(EU91:EU287),ROW(EU91:EU287),"")))</f>
        <v>0</v>
      </c>
      <c r="EW91" s="33">
        <f t="shared" si="82"/>
        <v>0</v>
      </c>
      <c r="EX91" s="38" t="e">
        <f>EW91*VLOOKUP('Données projet'!$B$18,Paramètres!$A$1:$I$88,3,0)*VLOOKUP('Données projet'!$B$18,Paramètres!$A$1:$I$88,5,0)</f>
        <v>#N/A</v>
      </c>
      <c r="EY91" s="34" t="e">
        <f t="shared" si="83"/>
        <v>#N/A</v>
      </c>
      <c r="EZ91" s="44" t="e">
        <f t="shared" si="60"/>
        <v>#N/A</v>
      </c>
      <c r="FA91" s="36">
        <f>IF(ISNA(VLOOKUP(A91,'Données projet'!$A$269:$I$289,3,0)),0,VLOOKUP(A91,'Données projet'!$A$269:$I$289,3,0))</f>
        <v>0</v>
      </c>
      <c r="FB91" s="36">
        <f>IF(ISNA(VLOOKUP(A91,'Données projet'!$A$269:$I$289,4,0)),0,VLOOKUP(A91,'Données projet'!$A$269:$I$289,4,0))</f>
        <v>0</v>
      </c>
      <c r="FC91" s="37">
        <f>IF(ISNA(VLOOKUP(A91,'Données projet'!$A$269:$I$289,5,0)),0%,VLOOKUP(A91,'Données projet'!$A$269:$I$289,5,0)*VLOOKUP('Données projet'!$B$18,Paramètres!$A$1:$I$88,7,0))</f>
        <v>0</v>
      </c>
      <c r="FD91" s="37">
        <f>IF(ISNA(VLOOKUP(A91,'Données projet'!$A$269:$I$289,6,0)),0%,VLOOKUP(A91,'Données projet'!$A$269:$I$289,6,0)*VLOOKUP('Données projet'!$B$18,Paramètres!$A$1:$I$88,7,0))</f>
        <v>0</v>
      </c>
      <c r="FE91" s="37">
        <f>IF(ISNA(VLOOKUP(A91,'Données projet'!$A$269:$I$289,7,0)),0%,VLOOKUP(A91,'Données projet'!$A$269:$I$289,7,0))</f>
        <v>0</v>
      </c>
      <c r="FF91" s="45">
        <f>EXP(-LN(2)/35)*FF90+(1-EXP(-LN(2)/35))/(LN(2)/35)*FB91*FC91*VLOOKUP('Données projet'!$B$9,Paramètres!$A$1:$I$88,3,0)*0.475*44/12</f>
        <v>0</v>
      </c>
      <c r="FG91" s="45">
        <f>EXP(-LN(2)/25)*FG90+(1-EXP(-LN(2)/25))/(LN(2)/25)*Calculateur!FB91*Calculateur!FD91*VLOOKUP('Données projet'!$B$9,Paramètres!$A$1:$I$88,3,0)*0.475*44/12</f>
        <v>0</v>
      </c>
      <c r="FH91" s="45">
        <f>EXP(-LN(2)/2)*FH90+(1-EXP(-LN(2)/2))/(LN(2)/2)*FB91*FE91*VLOOKUP('Données projet'!$B$9,Paramètres!$A$1:$I$88,3,0)*0.475*44/12</f>
        <v>0</v>
      </c>
      <c r="FI91" s="46">
        <f t="shared" si="61"/>
        <v>0</v>
      </c>
    </row>
    <row r="92" spans="1:165" x14ac:dyDescent="0.25">
      <c r="A92" s="24">
        <f t="shared" si="62"/>
        <v>89</v>
      </c>
      <c r="B92" s="25">
        <f>IF('Scénario référence'!$N$1=1,5,0)</f>
        <v>0</v>
      </c>
      <c r="C92" s="40">
        <f>IF(OR('Scénario référence'!$N$1=2,'Scénario référence'!$N$1=4),C91+1*VLOOKUP('Scénario référence'!$G$14,Paramètres!$A$1:$I$88,3,0)*VLOOKUP('Scénario référence'!$G$14,Paramètres!$A$1:$I$88,5,0),IF(OR('Scénario référence'!$N$1=3,'Scénario référence'!$N$1=5),C91+0.5*VLOOKUP('Scénario référence'!$G$14,Paramètres!$A$1:$I$88,3,0)*VLOOKUP('Scénario référence'!$G$14,Paramètres!$A$1:$I$88,5,0),0))</f>
        <v>48.593999999999959</v>
      </c>
      <c r="D92" s="26">
        <f t="shared" si="63"/>
        <v>14.250053466673728</v>
      </c>
      <c r="E92" s="27">
        <f>IF('Scénario référence'!$N$1=1,B92*44/12,(C92+D92)*0.475*44/12)</f>
        <v>109.45339312112333</v>
      </c>
      <c r="F92" s="28" t="e">
        <f>VLOOKUP(A92,'Données projet'!$A$35:$I$55,2,0)</f>
        <v>#N/A</v>
      </c>
      <c r="G92" s="28" t="e">
        <f>VLOOKUP(A92,'Données projet'!$A$35:$I$55,9,0)</f>
        <v>#N/A</v>
      </c>
      <c r="H92" s="33">
        <f t="array" ref="H92">INDEX(G:G,MIN(IF(ISNUMBER(G92:G288),ROW(G92:G288),"")))</f>
        <v>5.2</v>
      </c>
      <c r="I92" s="28">
        <f t="shared" si="64"/>
        <v>268.79999999999973</v>
      </c>
      <c r="J92" s="41">
        <f>I92*VLOOKUP('Données projet'!$B$9,Paramètres!$A$1:$I$88,3,0)*VLOOKUP('Données projet'!$B$9,Paramètres!$A$1:$I$88,5,0)</f>
        <v>272.56319999999977</v>
      </c>
      <c r="K92" s="41">
        <f t="shared" si="65"/>
        <v>65.392945522034552</v>
      </c>
      <c r="L92" s="42">
        <f t="shared" si="42"/>
        <v>588.6069534508764</v>
      </c>
      <c r="M92" s="30">
        <f>IF(ISNA(VLOOKUP(A92,'Données projet'!$A$35:$I$55,3,0)),0,VLOOKUP(A92,'Données projet'!$A$35:$I$55,3,0))</f>
        <v>0</v>
      </c>
      <c r="N92" s="30">
        <f>IF(ISNA(VLOOKUP(A92,'Données projet'!$A$35:$I$55,4,0)),0,VLOOKUP(A92,'Données projet'!$A$35:$I$55,4,0))</f>
        <v>0</v>
      </c>
      <c r="O92" s="31">
        <f>IF(ISNA(VLOOKUP(A92,'Données projet'!$A$35:$I$55,5,0)),0%,VLOOKUP(A92,'Données projet'!$A$35:$I$55,5,0)*VLOOKUP('Données projet'!$B$9,Paramètres!$A$1:$I$88,7,0))</f>
        <v>0</v>
      </c>
      <c r="P92" s="31">
        <f>IF(ISNA(VLOOKUP(A92,'Données projet'!$A$35:$I$55,6,0)),0%,VLOOKUP(A92,'Données projet'!$A$35:$I$55,6,0)*VLOOKUP('Données projet'!$B$9,Paramètres!$A$1:$I$88,7,0))</f>
        <v>0</v>
      </c>
      <c r="Q92" s="31">
        <f>IF(ISNA(VLOOKUP(A92,'Données projet'!$A$35:$I$55,7,0)),0%,VLOOKUP(A92,'Données projet'!$A$35:$I$55,7,0))</f>
        <v>0</v>
      </c>
      <c r="R92" s="43">
        <f>EXP(-LN(2)/35)*R91+(1-EXP(-LN(2)/35))/(LN(2)/35)*N92*O92*VLOOKUP('Données projet'!$B$9,Paramètres!$A$1:$I$88,3,0)*0.475*44/12</f>
        <v>0</v>
      </c>
      <c r="S92" s="43">
        <f>EXP(-LN(2)/25)*S91+(1-EXP(-LN(2)/25))/(LN(2)/25)*Calculateur!N92*Calculateur!P92*VLOOKUP('Données projet'!$B$9,Paramètres!$A$1:$I$88,3,0)*0.475*44/12</f>
        <v>0</v>
      </c>
      <c r="T92" s="43">
        <f>EXP(-LN(2)/2)*T91+(1-EXP(-LN(2)/2))/(LN(2)/2)*N92*Q92*VLOOKUP('Données projet'!$B$9,Paramètres!$A$1:$I$88,3,0)*0.475*44/12</f>
        <v>0</v>
      </c>
      <c r="U92" s="43">
        <f t="shared" si="43"/>
        <v>0</v>
      </c>
      <c r="V92" s="32" t="e">
        <f>VLOOKUP(A92,'Données projet'!$A$61:$I$81,2,0)</f>
        <v>#N/A</v>
      </c>
      <c r="W92" s="33" t="e">
        <f>VLOOKUP(A92,'Données projet'!$A$61:$I$81,9,0)</f>
        <v>#N/A</v>
      </c>
      <c r="X92" s="33">
        <f t="array" ref="X92">INDEX(W:W,MIN(IF(ISNUMBER(W92:W288),ROW(W92:W288),"")))</f>
        <v>0</v>
      </c>
      <c r="Y92" s="33">
        <f t="shared" si="66"/>
        <v>0</v>
      </c>
      <c r="Z92" s="34" t="e">
        <f>Y92*VLOOKUP('Données projet'!$B$10,Paramètres!$A$1:$I$88,3,0)*VLOOKUP('Données projet'!$B$10,Paramètres!$A$1:$I$88,5,0)</f>
        <v>#N/A</v>
      </c>
      <c r="AA92" s="34" t="e">
        <f t="shared" si="67"/>
        <v>#N/A</v>
      </c>
      <c r="AB92" s="44" t="e">
        <f t="shared" si="44"/>
        <v>#N/A</v>
      </c>
      <c r="AC92" s="36">
        <f>IF(ISNA(VLOOKUP(A92,'Données projet'!$A$61:$I$81,3,0)),0,VLOOKUP(A92,'Données projet'!$A$61:$I$81,3,0))</f>
        <v>0</v>
      </c>
      <c r="AD92" s="36">
        <f>IF(ISNA(VLOOKUP(A92,'Données projet'!$A$61:$I$81,4,0)),0,VLOOKUP(A92,'Données projet'!$A$61:$I$81,4,0))</f>
        <v>0</v>
      </c>
      <c r="AE92" s="37">
        <f>IF(ISNA(VLOOKUP(A92,'Données projet'!$A$61:$I$81,5,0)),0%,VLOOKUP(A92,'Données projet'!$A$61:$I$81,5,0)*VLOOKUP('Données projet'!$B$10,Paramètres!$A$1:$I$88,7,0))</f>
        <v>0</v>
      </c>
      <c r="AF92" s="37">
        <f>IF(ISNA(VLOOKUP(A92,'Données projet'!$A$61:$I$81,6,0)),0%,VLOOKUP(A92,'Données projet'!$A$61:$I$81,6,0)*VLOOKUP('Données projet'!$B$10,Paramètres!$A$1:$I$88,7,0))</f>
        <v>0</v>
      </c>
      <c r="AG92" s="37">
        <f>IF(ISNA(VLOOKUP(A92,'Données projet'!$A$61:$I$81,7,0)),0%,VLOOKUP(A92,'Données projet'!$A$61:$I$81,7,0))</f>
        <v>0</v>
      </c>
      <c r="AH92" s="45">
        <f>EXP(-LN(2)/35)*AH91+(1-EXP(-LN(2)/35))/(LN(2)/35)*AD92*AE92*VLOOKUP('Données projet'!$B$9,Paramètres!$A$1:$I$88,3,0)*0.475*44/12</f>
        <v>0</v>
      </c>
      <c r="AI92" s="45">
        <f>EXP(-LN(2)/25)*AI91+(1-EXP(-LN(2)/25))/(LN(2)/25)*Calculateur!AD92*Calculateur!AF92*VLOOKUP('Données projet'!$B$9,Paramètres!$A$1:$I$88,3,0)*0.475*44/12</f>
        <v>0</v>
      </c>
      <c r="AJ92" s="45">
        <f>EXP(-LN(2)/2)*AJ91+(1-EXP(-LN(2)/2))/(LN(2)/2)*AD92*AG92*VLOOKUP('Données projet'!$B$9,Paramètres!$A$1:$I$88,3,0)*0.475*44/12</f>
        <v>0</v>
      </c>
      <c r="AK92" s="45">
        <f t="shared" si="45"/>
        <v>0</v>
      </c>
      <c r="AL92" s="32" t="e">
        <f>VLOOKUP(A92,'Données projet'!$A$87:$I$107,2,0)</f>
        <v>#N/A</v>
      </c>
      <c r="AM92" s="33" t="e">
        <f>VLOOKUP(A92,'Données projet'!$A$87:$I$107,9,0)</f>
        <v>#N/A</v>
      </c>
      <c r="AN92" s="33">
        <f t="array" ref="AN92">INDEX(AM:AM,MIN(IF(ISNUMBER(AM92:AM288),ROW(AM92:AM288),"")))</f>
        <v>0</v>
      </c>
      <c r="AO92" s="33">
        <f t="shared" si="68"/>
        <v>0</v>
      </c>
      <c r="AP92" s="34" t="e">
        <f>AO92*VLOOKUP('Données projet'!$B$11,Paramètres!$A$1:$I$88,3,0)*VLOOKUP('Données projet'!$B$11,Paramètres!$A$1:$I$88,5,0)</f>
        <v>#N/A</v>
      </c>
      <c r="AQ92" s="34" t="e">
        <f t="shared" si="69"/>
        <v>#N/A</v>
      </c>
      <c r="AR92" s="44" t="e">
        <f t="shared" si="46"/>
        <v>#N/A</v>
      </c>
      <c r="AS92" s="36">
        <f>IF(ISNA(VLOOKUP(A92,'Données projet'!$A$87:$I$107,3,0)),0,VLOOKUP(A92,'Données projet'!$A$87:$I$107,3,0))</f>
        <v>0</v>
      </c>
      <c r="AT92" s="36">
        <f>IF(ISNA(VLOOKUP(A92,'Données projet'!$A$87:$I$107,4,0)),0,VLOOKUP(A92,'Données projet'!$A$87:$I$107,4,0))</f>
        <v>0</v>
      </c>
      <c r="AU92" s="37">
        <f>IF(ISNA(VLOOKUP(A92,'Données projet'!$A$87:$I$107,5,0)),0%,VLOOKUP(A92,'Données projet'!$A$87:$I$107,5,0)*VLOOKUP('Données projet'!$B$11,Paramètres!$A$1:$I$88,7,0))</f>
        <v>0</v>
      </c>
      <c r="AV92" s="37">
        <f>IF(ISNA(VLOOKUP(A92,'Données projet'!$A$87:$I$107,6,0)),0%,VLOOKUP(A92,'Données projet'!$A$87:$I$107,6,0)*VLOOKUP('Données projet'!$B$11,Paramètres!$A$1:$I$88,7,0))</f>
        <v>0</v>
      </c>
      <c r="AW92" s="37">
        <f>IF(ISNA(VLOOKUP(A92,'Données projet'!$A$87:$I$107,7,0)),0%,VLOOKUP(A92,'Données projet'!$A$87:$I$107,7,0))</f>
        <v>0</v>
      </c>
      <c r="AX92" s="45">
        <f>EXP(-LN(2)/35)*AX91+(1-EXP(-LN(2)/35))/(LN(2)/35)*AT92*AU92*VLOOKUP('Données projet'!$B$9,Paramètres!$A$1:$I$88,3,0)*0.475*44/12</f>
        <v>0</v>
      </c>
      <c r="AY92" s="45">
        <f>EXP(-LN(2)/25)*AY91+(1-EXP(-LN(2)/25))/(LN(2)/25)*Calculateur!AT92*Calculateur!AV92*VLOOKUP('Données projet'!$B$9,Paramètres!$A$1:$I$88,3,0)*0.475*44/12</f>
        <v>0</v>
      </c>
      <c r="AZ92" s="45">
        <f>EXP(-LN(2)/2)*AZ91+(1-EXP(-LN(2)/2))/(LN(2)/2)*AT92*AW92*VLOOKUP('Données projet'!$B$9,Paramètres!$A$1:$I$88,3,0)*0.475*44/12</f>
        <v>0</v>
      </c>
      <c r="BA92" s="46">
        <f t="shared" si="47"/>
        <v>0</v>
      </c>
      <c r="BB92" s="32" t="e">
        <f>VLOOKUP(A92,'Données projet'!$A$113:$I$133,2,0)</f>
        <v>#N/A</v>
      </c>
      <c r="BC92" s="33" t="e">
        <f>VLOOKUP(A92,'Données projet'!$A$113:$I$133,9,0)</f>
        <v>#N/A</v>
      </c>
      <c r="BD92" s="33">
        <f t="array" ref="BD92">INDEX(BC:BC,MIN(IF(ISNUMBER(BC92:BC288),ROW(BC92:BC288),"")))</f>
        <v>0</v>
      </c>
      <c r="BE92" s="33">
        <f t="shared" si="70"/>
        <v>0</v>
      </c>
      <c r="BF92" s="34" t="e">
        <f>BE92*VLOOKUP('Données projet'!$B$12,Paramètres!$A$1:$I$88,3,0)*VLOOKUP('Données projet'!$B$12,Paramètres!$A$1:$I$88,5,0)</f>
        <v>#N/A</v>
      </c>
      <c r="BG92" s="34" t="e">
        <f t="shared" si="71"/>
        <v>#N/A</v>
      </c>
      <c r="BH92" s="44" t="e">
        <f t="shared" si="48"/>
        <v>#N/A</v>
      </c>
      <c r="BI92" s="36">
        <f>IF(ISNA(VLOOKUP(A92,'Données projet'!$A$113:$I$133,3,0)),0,VLOOKUP(A92,'Données projet'!$A$113:$I$133,3,0))</f>
        <v>0</v>
      </c>
      <c r="BJ92" s="36">
        <f>IF(ISNA(VLOOKUP(A92,'Données projet'!$A$113:$I$133,4,0)),0,VLOOKUP(A92,'Données projet'!$A$113:$I$133,4,0))</f>
        <v>0</v>
      </c>
      <c r="BK92" s="37">
        <f>IF(ISNA(VLOOKUP(A92,'Données projet'!$A$113:$I$133,5,0)),0%,VLOOKUP(A92,'Données projet'!$A$113:$I$133,5,0)*VLOOKUP('Données projet'!$B$12,Paramètres!$A$1:$I$88,7,0))</f>
        <v>0</v>
      </c>
      <c r="BL92" s="37">
        <f>IF(ISNA(VLOOKUP(A92,'Données projet'!$A$113:$I$133,6,0)),0%,VLOOKUP(A92,'Données projet'!$A$113:$I$133,6,0)*VLOOKUP('Données projet'!$B$12,Paramètres!$A$1:$I$88,7,0))</f>
        <v>0</v>
      </c>
      <c r="BM92" s="37">
        <f>IF(ISNA(VLOOKUP(A92,'Données projet'!$A$113:$I$133,7,0)),0%,VLOOKUP(A92,'Données projet'!$A$113:$I$133,7,0))</f>
        <v>0</v>
      </c>
      <c r="BN92" s="45">
        <f>EXP(-LN(2)/35)*BN91+(1-EXP(-LN(2)/35))/(LN(2)/35)*BJ92*BK92*VLOOKUP('Données projet'!$B$9,Paramètres!$A$1:$I$88,3,0)*0.475*44/12</f>
        <v>0</v>
      </c>
      <c r="BO92" s="45">
        <f>EXP(-LN(2)/25)*BO91+(1-EXP(-LN(2)/25))/(LN(2)/25)*Calculateur!BJ92*Calculateur!BL92*VLOOKUP('Données projet'!$B$9,Paramètres!$A$1:$I$88,3,0)*0.475*44/12</f>
        <v>0</v>
      </c>
      <c r="BP92" s="45">
        <f>EXP(-LN(2)/2)*BP91+(1-EXP(-LN(2)/2))/(LN(2)/2)*BJ92*BM92*VLOOKUP('Données projet'!$B$9,Paramètres!$A$1:$I$88,3,0)*0.475*44/12</f>
        <v>0</v>
      </c>
      <c r="BQ92" s="46">
        <f t="shared" si="49"/>
        <v>0</v>
      </c>
      <c r="BR92" s="32" t="e">
        <f>VLOOKUP(A92,'Données projet'!$A$139:$I$159,2,0)</f>
        <v>#N/A</v>
      </c>
      <c r="BS92" s="33" t="e">
        <f>VLOOKUP(A92,'Données projet'!$A$139:$I$159,9,0)</f>
        <v>#N/A</v>
      </c>
      <c r="BT92" s="33">
        <f t="array" ref="BT92">INDEX(BS:BS,MIN(IF(ISNUMBER(BS92:BS288),ROW(BS92:BS288),"")))</f>
        <v>0</v>
      </c>
      <c r="BU92" s="33">
        <f t="shared" si="72"/>
        <v>0</v>
      </c>
      <c r="BV92" s="38" t="e">
        <f>BU92*VLOOKUP('Données projet'!$B$13,Paramètres!$A$1:$I$88,3,0)*VLOOKUP('Données projet'!$B$13,Paramètres!$A$1:$I$88,5,0)</f>
        <v>#N/A</v>
      </c>
      <c r="BW92" s="34" t="e">
        <f t="shared" si="73"/>
        <v>#N/A</v>
      </c>
      <c r="BX92" s="44" t="e">
        <f t="shared" si="50"/>
        <v>#N/A</v>
      </c>
      <c r="BY92" s="36">
        <f>IF(ISNA(VLOOKUP(A92,'Données projet'!$A$139:$I$159,3,0)),0,VLOOKUP(A92,'Données projet'!$A$139:$I$159,3,0))</f>
        <v>0</v>
      </c>
      <c r="BZ92" s="36">
        <f>IF(ISNA(VLOOKUP(A92,'Données projet'!$A$139:$I$159,4,0)),0,VLOOKUP(A92,'Données projet'!$A$139:$I$159,4,0))</f>
        <v>0</v>
      </c>
      <c r="CA92" s="37">
        <f>IF(ISNA(VLOOKUP(A92,'Données projet'!$A$139:$I$159,5,0)),0%,VLOOKUP(A92,'Données projet'!$A$139:$I$159,5,0)*VLOOKUP('Données projet'!$B$13,Paramètres!$A$1:$I$88,7,0))</f>
        <v>0</v>
      </c>
      <c r="CB92" s="37">
        <f>IF(ISNA(VLOOKUP(A92,'Données projet'!$A$139:$I$159,6,0)),0%,VLOOKUP(A92,'Données projet'!$A$139:$I$159,6,0)*VLOOKUP('Données projet'!$B$13,Paramètres!$A$1:$I$88,7,0))</f>
        <v>0</v>
      </c>
      <c r="CC92" s="37">
        <f>IF(ISNA(VLOOKUP(A92,'Données projet'!$A$139:$I$159,7,0)),0%,VLOOKUP(A92,'Données projet'!$A$139:$I$159,7,0))</f>
        <v>0</v>
      </c>
      <c r="CD92" s="45">
        <f>EXP(-LN(2)/35)*CD91+(1-EXP(-LN(2)/35))/(LN(2)/35)*BZ92*CA92*VLOOKUP('Données projet'!$B$9,Paramètres!$A$1:$I$88,3,0)*0.475*44/12</f>
        <v>0</v>
      </c>
      <c r="CE92" s="45">
        <f>EXP(-LN(2)/25)*CE91+(1-EXP(-LN(2)/25))/(LN(2)/25)*Calculateur!BZ92*Calculateur!CB92*VLOOKUP('Données projet'!$B$9,Paramètres!$A$1:$I$88,3,0)*0.475*44/12</f>
        <v>0</v>
      </c>
      <c r="CF92" s="45">
        <f>EXP(-LN(2)/2)*CF91+(1-EXP(-LN(2)/2))/(LN(2)/2)*BZ92*CC92*VLOOKUP('Données projet'!$B$9,Paramètres!$A$1:$I$88,3,0)*0.475*44/12</f>
        <v>0</v>
      </c>
      <c r="CG92" s="46">
        <f t="shared" si="51"/>
        <v>0</v>
      </c>
      <c r="CH92" s="32" t="e">
        <f>VLOOKUP(A92,'Données projet'!$A$165:$I$185,2,0)</f>
        <v>#N/A</v>
      </c>
      <c r="CI92" s="33" t="e">
        <f>VLOOKUP(A92,'Données projet'!$A$165:$I$185,9,0)</f>
        <v>#N/A</v>
      </c>
      <c r="CJ92" s="33">
        <f t="array" ref="CJ92">INDEX(CI:CI,MIN(IF(ISNUMBER(CI92:CI288),ROW(CI92:CI288),"")))</f>
        <v>0</v>
      </c>
      <c r="CK92" s="33">
        <f t="shared" si="74"/>
        <v>0</v>
      </c>
      <c r="CL92" s="38" t="e">
        <f>CK92*VLOOKUP('Données projet'!$B$14,Paramètres!$A$1:$I$88,3,0)*VLOOKUP('Données projet'!$B$14,Paramètres!$A$1:$I$88,5,0)</f>
        <v>#N/A</v>
      </c>
      <c r="CM92" s="34" t="e">
        <f t="shared" si="75"/>
        <v>#N/A</v>
      </c>
      <c r="CN92" s="44" t="e">
        <f t="shared" si="52"/>
        <v>#N/A</v>
      </c>
      <c r="CO92" s="36">
        <f>IF(ISNA(VLOOKUP(A92,'Données projet'!$A$165:$I$185,3,0)),0,VLOOKUP(A92,'Données projet'!$A$165:$I$185,3,0))</f>
        <v>0</v>
      </c>
      <c r="CP92" s="36">
        <f>IF(ISNA(VLOOKUP(A92,'Données projet'!$A$165:$I$185,4,0)),0,VLOOKUP(A92,'Données projet'!$A$165:$I$185,4,0))</f>
        <v>0</v>
      </c>
      <c r="CQ92" s="37">
        <f>IF(ISNA(VLOOKUP(A92,'Données projet'!$A$165:$I$185,5,0)),0%,VLOOKUP(A92,'Données projet'!$A$165:$I$185,5,0)*VLOOKUP('Données projet'!$B$14,Paramètres!$A$1:$I$88,7,0))</f>
        <v>0</v>
      </c>
      <c r="CR92" s="37">
        <f>IF(ISNA(VLOOKUP(A92,'Données projet'!$A$165:$I$185,6,0)),0%,VLOOKUP(A92,'Données projet'!$A$165:$I$185,6,0)*VLOOKUP('Données projet'!$B$14,Paramètres!$A$1:$I$88,7,0))</f>
        <v>0</v>
      </c>
      <c r="CS92" s="37">
        <f>IF(ISNA(VLOOKUP(A92,'Données projet'!$A$165:$I$185,7,0)),0%,VLOOKUP(A92,'Données projet'!$A$165:$I$185,7,0))</f>
        <v>0</v>
      </c>
      <c r="CT92" s="45">
        <f>EXP(-LN(2)/35)*CT91+(1-EXP(-LN(2)/35))/(LN(2)/35)*CP92*CQ92*VLOOKUP('Données projet'!$B$9,Paramètres!$A$1:$I$88,3,0)*0.475*44/12</f>
        <v>0</v>
      </c>
      <c r="CU92" s="45">
        <f>EXP(-LN(2)/25)*CU91+(1-EXP(-LN(2)/25))/(LN(2)/25)*Calculateur!CP92*Calculateur!CR92*VLOOKUP('Données projet'!$B$9,Paramètres!$A$1:$I$88,3,0)*0.475*44/12</f>
        <v>0</v>
      </c>
      <c r="CV92" s="45">
        <f>EXP(-LN(2)/2)*CV91+(1-EXP(-LN(2)/2))/(LN(2)/2)*CP92*CS92*VLOOKUP('Données projet'!$B$9,Paramètres!$A$1:$I$88,3,0)*0.475*44/12</f>
        <v>0</v>
      </c>
      <c r="CW92" s="46">
        <f t="shared" si="53"/>
        <v>0</v>
      </c>
      <c r="CX92" s="32" t="e">
        <f>VLOOKUP(A92,'Données projet'!$A$191:$I$211,2,0)</f>
        <v>#N/A</v>
      </c>
      <c r="CY92" s="33" t="e">
        <f>VLOOKUP(A92,'Données projet'!$A$191:$I$211,9,0)</f>
        <v>#N/A</v>
      </c>
      <c r="CZ92" s="33">
        <f t="array" ref="CZ92">INDEX(CY:CY,MIN(IF(ISNUMBER(CY92:CY288),ROW(CY92:CY288),"")))</f>
        <v>0</v>
      </c>
      <c r="DA92" s="33">
        <f t="shared" si="76"/>
        <v>0</v>
      </c>
      <c r="DB92" s="38" t="e">
        <f>DA92*VLOOKUP('Données projet'!$B$15,Paramètres!$A$1:$I$88,3,0)*VLOOKUP('Données projet'!$B$15,Paramètres!$A$1:$I$88,5,0)</f>
        <v>#N/A</v>
      </c>
      <c r="DC92" s="34" t="e">
        <f t="shared" si="77"/>
        <v>#N/A</v>
      </c>
      <c r="DD92" s="44" t="e">
        <f t="shared" si="54"/>
        <v>#N/A</v>
      </c>
      <c r="DE92" s="36">
        <f>IF(ISNA(VLOOKUP(A92,'Données projet'!$A$191:$I$211,3,0)),0,VLOOKUP(A92,'Données projet'!$A$191:$I$211,3,0))</f>
        <v>0</v>
      </c>
      <c r="DF92" s="36">
        <f>IF(ISNA(VLOOKUP(A92,'Données projet'!$A$191:$I$211,4,0)),0,VLOOKUP(A92,'Données projet'!$A$191:$I$211,4,0))</f>
        <v>0</v>
      </c>
      <c r="DG92" s="37">
        <f>IF(ISNA(VLOOKUP(A92,'Données projet'!$A$191:$I$211,5,0)),0%,VLOOKUP(A92,'Données projet'!$A$191:$I$211,5,0)*VLOOKUP('Données projet'!$B$15,Paramètres!$A$1:$I$88,7,0))</f>
        <v>0</v>
      </c>
      <c r="DH92" s="37">
        <f>IF(ISNA(VLOOKUP(A92,'Données projet'!$A$191:$I$211,6,0)),0%,VLOOKUP(A92,'Données projet'!$A$191:$I$211,6,0)*VLOOKUP('Données projet'!$B$15,Paramètres!$A$1:$I$88,7,0))</f>
        <v>0</v>
      </c>
      <c r="DI92" s="37">
        <f>IF(ISNA(VLOOKUP(A92,'Données projet'!$A$191:$I$211,7,0)),0%,VLOOKUP(A92,'Données projet'!$A$191:$I$211,7,0))</f>
        <v>0</v>
      </c>
      <c r="DJ92" s="45">
        <f>EXP(-LN(2)/35)*DJ91+(1-EXP(-LN(2)/35))/(LN(2)/35)*DF92*DG92*VLOOKUP('Données projet'!$B$9,Paramètres!$A$1:$I$88,3,0)*0.475*44/12</f>
        <v>0</v>
      </c>
      <c r="DK92" s="45">
        <f>EXP(-LN(2)/25)*DK91+(1-EXP(-LN(2)/25))/(LN(2)/25)*Calculateur!DF92*Calculateur!DH92*VLOOKUP('Données projet'!$B$9,Paramètres!$A$1:$I$88,3,0)*0.475*44/12</f>
        <v>0</v>
      </c>
      <c r="DL92" s="45">
        <f>EXP(-LN(2)/2)*DL91+(1-EXP(-LN(2)/2))/(LN(2)/2)*DF92*DI92*VLOOKUP('Données projet'!$B$9,Paramètres!$A$1:$I$88,3,0)*0.475*44/12</f>
        <v>0</v>
      </c>
      <c r="DM92" s="46">
        <f t="shared" si="55"/>
        <v>0</v>
      </c>
      <c r="DN92" s="32" t="e">
        <f>VLOOKUP(A92,'Données projet'!$A$217:$I$237,2,0)</f>
        <v>#N/A</v>
      </c>
      <c r="DO92" s="33" t="e">
        <f>VLOOKUP(A92,'Données projet'!$A$217:$I$237,9,0)</f>
        <v>#N/A</v>
      </c>
      <c r="DP92" s="33">
        <f t="array" ref="DP92">INDEX(DO:DO,MIN(IF(ISNUMBER(DO92:DO288),ROW(DO92:DO288),"")))</f>
        <v>0</v>
      </c>
      <c r="DQ92" s="33">
        <f t="shared" si="78"/>
        <v>0</v>
      </c>
      <c r="DR92" s="38" t="e">
        <f>DQ92*VLOOKUP('Données projet'!$B$16,Paramètres!$A$1:$I$88,3,0)*VLOOKUP('Données projet'!$B$16,Paramètres!$A$1:$I$88,5,0)</f>
        <v>#N/A</v>
      </c>
      <c r="DS92" s="34" t="e">
        <f t="shared" si="79"/>
        <v>#N/A</v>
      </c>
      <c r="DT92" s="44" t="e">
        <f t="shared" si="56"/>
        <v>#N/A</v>
      </c>
      <c r="DU92" s="36">
        <f>IF(ISNA(VLOOKUP(A92,'Données projet'!$A$217:$I$237,3,0)),0,VLOOKUP(A92,'Données projet'!$A$217:$I$237,3,0))</f>
        <v>0</v>
      </c>
      <c r="DV92" s="36">
        <f>IF(ISNA(VLOOKUP(A92,'Données projet'!$A$217:$I$237,4,0)),0,VLOOKUP(A92,'Données projet'!$A$217:$I$237,4,0))</f>
        <v>0</v>
      </c>
      <c r="DW92" s="37">
        <f>IF(ISNA(VLOOKUP(A92,'Données projet'!$A$217:$I$237,5,0)),0%,VLOOKUP(A92,'Données projet'!$A$217:$I$237,5,0)*VLOOKUP('Données projet'!$B$16,Paramètres!$A$1:$I$88,7,0))</f>
        <v>0</v>
      </c>
      <c r="DX92" s="37">
        <f>IF(ISNA(VLOOKUP(A92,'Données projet'!$A$217:$I$237,6,0)),0%,VLOOKUP(A92,'Données projet'!$A$217:$I$237,6,0)*VLOOKUP('Données projet'!$B$16,Paramètres!$A$1:$I$88,7,0))</f>
        <v>0</v>
      </c>
      <c r="DY92" s="37">
        <f>IF(ISNA(VLOOKUP(A92,'Données projet'!$A$217:$I$237,7,0)),0%,VLOOKUP(A92,'Données projet'!$A$217:$I$237,7,0))</f>
        <v>0</v>
      </c>
      <c r="DZ92" s="45">
        <f>EXP(-LN(2)/35)*DZ91+(1-EXP(-LN(2)/35))/(LN(2)/35)*DV92*DW92*VLOOKUP('Données projet'!$B$9,Paramètres!$A$1:$I$88,3,0)*0.475*44/12</f>
        <v>0</v>
      </c>
      <c r="EA92" s="45">
        <f>EXP(-LN(2)/25)*EA91+(1-EXP(-LN(2)/25))/(LN(2)/25)*Calculateur!DV92*Calculateur!DX92*VLOOKUP('Données projet'!$B$9,Paramètres!$A$1:$I$88,3,0)*0.475*44/12</f>
        <v>0</v>
      </c>
      <c r="EB92" s="45">
        <f>EXP(-LN(2)/2)*EB91+(1-EXP(-LN(2)/2))/(LN(2)/2)*DV92*DY92*VLOOKUP('Données projet'!$B$9,Paramètres!$A$1:$I$88,3,0)*0.475*44/12</f>
        <v>0</v>
      </c>
      <c r="EC92" s="46">
        <f t="shared" si="57"/>
        <v>0</v>
      </c>
      <c r="ED92" s="32" t="e">
        <f>VLOOKUP(A92,'Données projet'!$A$243:$I$263,2,0)</f>
        <v>#N/A</v>
      </c>
      <c r="EE92" s="33" t="e">
        <f>VLOOKUP(A92,'Données projet'!$A$243:$I$263,9,0)</f>
        <v>#N/A</v>
      </c>
      <c r="EF92" s="33">
        <f t="array" ref="EF92">INDEX(EE:EE,MIN(IF(ISNUMBER(EE92:EE288),ROW(EE92:EE288),"")))</f>
        <v>0</v>
      </c>
      <c r="EG92" s="33">
        <f t="shared" si="80"/>
        <v>0</v>
      </c>
      <c r="EH92" s="38" t="e">
        <f>EG92*VLOOKUP('Données projet'!$B$17,Paramètres!$A$1:$I$88,3,0)*VLOOKUP('Données projet'!$B$17,Paramètres!$A$1:$I$88,5,0)</f>
        <v>#N/A</v>
      </c>
      <c r="EI92" s="34" t="e">
        <f t="shared" si="81"/>
        <v>#N/A</v>
      </c>
      <c r="EJ92" s="44" t="e">
        <f t="shared" si="58"/>
        <v>#N/A</v>
      </c>
      <c r="EK92" s="36">
        <f>IF(ISNA(VLOOKUP(A92,'Données projet'!$A$243:$I$263,3,0)),0,VLOOKUP(A92,'Données projet'!$A$243:$I$263,3,0))</f>
        <v>0</v>
      </c>
      <c r="EL92" s="36">
        <f>IF(ISNA(VLOOKUP(A92,'Données projet'!$A$243:$I$263,4,0)),0,VLOOKUP(A92,'Données projet'!$A$243:$I$263,4,0))</f>
        <v>0</v>
      </c>
      <c r="EM92" s="37">
        <f>IF(ISNA(VLOOKUP(A92,'Données projet'!$A$243:$I$263,5,0)),0%,VLOOKUP(A92,'Données projet'!$A$243:$I$263,5,0)*VLOOKUP('Données projet'!$B$17,Paramètres!$A$1:$I$88,7,0))</f>
        <v>0</v>
      </c>
      <c r="EN92" s="37">
        <f>IF(ISNA(VLOOKUP(A92,'Données projet'!$A$243:$I$263,6,0)),0%,VLOOKUP(A92,'Données projet'!$A$243:$I$263,6,0)*VLOOKUP('Données projet'!$B$17,Paramètres!$A$1:$I$88,7,0))</f>
        <v>0</v>
      </c>
      <c r="EO92" s="37">
        <f>IF(ISNA(VLOOKUP(A92,'Données projet'!$A$243:$I$263,7,0)),0%,VLOOKUP(A92,'Données projet'!$A$243:$I$263,7,0))</f>
        <v>0</v>
      </c>
      <c r="EP92" s="45">
        <f>EXP(-LN(2)/35)*EP91+(1-EXP(-LN(2)/35))/(LN(2)/35)*EL92*EM92*VLOOKUP('Données projet'!$B$9,Paramètres!$A$1:$I$88,3,0)*0.475*44/12</f>
        <v>0</v>
      </c>
      <c r="EQ92" s="45">
        <f>EXP(-LN(2)/25)*EQ91+(1-EXP(-LN(2)/25))/(LN(2)/25)*Calculateur!EL92*Calculateur!EN92*VLOOKUP('Données projet'!$B$9,Paramètres!$A$1:$I$88,3,0)*0.475*44/12</f>
        <v>0</v>
      </c>
      <c r="ER92" s="45">
        <f>EXP(-LN(2)/2)*ER91+(1-EXP(-LN(2)/2))/(LN(2)/2)*EL92*EO92*VLOOKUP('Données projet'!$B$9,Paramètres!$A$1:$I$88,3,0)*0.475*44/12</f>
        <v>0</v>
      </c>
      <c r="ES92" s="46">
        <f t="shared" si="59"/>
        <v>0</v>
      </c>
      <c r="ET92" s="32" t="e">
        <f>VLOOKUP(A92,'Données projet'!$A$269:$I$289,2,0)</f>
        <v>#N/A</v>
      </c>
      <c r="EU92" s="33" t="e">
        <f>VLOOKUP(A92,'Données projet'!$A$269:$I$289,9,0)</f>
        <v>#N/A</v>
      </c>
      <c r="EV92" s="33">
        <f t="array" ref="EV92">INDEX(EU:EU,MIN(IF(ISNUMBER(EU92:EU288),ROW(EU92:EU288),"")))</f>
        <v>0</v>
      </c>
      <c r="EW92" s="33">
        <f t="shared" si="82"/>
        <v>0</v>
      </c>
      <c r="EX92" s="38" t="e">
        <f>EW92*VLOOKUP('Données projet'!$B$18,Paramètres!$A$1:$I$88,3,0)*VLOOKUP('Données projet'!$B$18,Paramètres!$A$1:$I$88,5,0)</f>
        <v>#N/A</v>
      </c>
      <c r="EY92" s="34" t="e">
        <f t="shared" si="83"/>
        <v>#N/A</v>
      </c>
      <c r="EZ92" s="44" t="e">
        <f t="shared" si="60"/>
        <v>#N/A</v>
      </c>
      <c r="FA92" s="36">
        <f>IF(ISNA(VLOOKUP(A92,'Données projet'!$A$269:$I$289,3,0)),0,VLOOKUP(A92,'Données projet'!$A$269:$I$289,3,0))</f>
        <v>0</v>
      </c>
      <c r="FB92" s="36">
        <f>IF(ISNA(VLOOKUP(A92,'Données projet'!$A$269:$I$289,4,0)),0,VLOOKUP(A92,'Données projet'!$A$269:$I$289,4,0))</f>
        <v>0</v>
      </c>
      <c r="FC92" s="37">
        <f>IF(ISNA(VLOOKUP(A92,'Données projet'!$A$269:$I$289,5,0)),0%,VLOOKUP(A92,'Données projet'!$A$269:$I$289,5,0)*VLOOKUP('Données projet'!$B$18,Paramètres!$A$1:$I$88,7,0))</f>
        <v>0</v>
      </c>
      <c r="FD92" s="37">
        <f>IF(ISNA(VLOOKUP(A92,'Données projet'!$A$269:$I$289,6,0)),0%,VLOOKUP(A92,'Données projet'!$A$269:$I$289,6,0)*VLOOKUP('Données projet'!$B$18,Paramètres!$A$1:$I$88,7,0))</f>
        <v>0</v>
      </c>
      <c r="FE92" s="37">
        <f>IF(ISNA(VLOOKUP(A92,'Données projet'!$A$269:$I$289,7,0)),0%,VLOOKUP(A92,'Données projet'!$A$269:$I$289,7,0))</f>
        <v>0</v>
      </c>
      <c r="FF92" s="45">
        <f>EXP(-LN(2)/35)*FF91+(1-EXP(-LN(2)/35))/(LN(2)/35)*FB92*FC92*VLOOKUP('Données projet'!$B$9,Paramètres!$A$1:$I$88,3,0)*0.475*44/12</f>
        <v>0</v>
      </c>
      <c r="FG92" s="45">
        <f>EXP(-LN(2)/25)*FG91+(1-EXP(-LN(2)/25))/(LN(2)/25)*Calculateur!FB92*Calculateur!FD92*VLOOKUP('Données projet'!$B$9,Paramètres!$A$1:$I$88,3,0)*0.475*44/12</f>
        <v>0</v>
      </c>
      <c r="FH92" s="45">
        <f>EXP(-LN(2)/2)*FH91+(1-EXP(-LN(2)/2))/(LN(2)/2)*FB92*FE92*VLOOKUP('Données projet'!$B$9,Paramètres!$A$1:$I$88,3,0)*0.475*44/12</f>
        <v>0</v>
      </c>
      <c r="FI92" s="46">
        <f t="shared" si="61"/>
        <v>0</v>
      </c>
    </row>
    <row r="93" spans="1:165" x14ac:dyDescent="0.25">
      <c r="A93" s="24">
        <f t="shared" si="62"/>
        <v>90</v>
      </c>
      <c r="B93" s="25">
        <f>IF('Scénario référence'!$N$1=1,5,0)</f>
        <v>0</v>
      </c>
      <c r="C93" s="40">
        <f>IF(OR('Scénario référence'!$N$1=2,'Scénario référence'!$N$1=4),C92+1*VLOOKUP('Scénario référence'!$G$14,Paramètres!$A$1:$I$88,3,0)*VLOOKUP('Scénario référence'!$G$14,Paramètres!$A$1:$I$88,5,0),IF(OR('Scénario référence'!$N$1=3,'Scénario référence'!$N$1=5),C92+0.5*VLOOKUP('Scénario référence'!$G$14,Paramètres!$A$1:$I$88,3,0)*VLOOKUP('Scénario référence'!$G$14,Paramètres!$A$1:$I$88,5,0),0))</f>
        <v>49.139999999999958</v>
      </c>
      <c r="D93" s="26">
        <f t="shared" si="63"/>
        <v>14.391437147300854</v>
      </c>
      <c r="E93" s="27">
        <f>IF('Scénario référence'!$N$1=1,B93*44/12,(C93+D93)*0.475*44/12)</f>
        <v>110.65058636488226</v>
      </c>
      <c r="F93" s="28" t="e">
        <f>VLOOKUP(A93,'Données projet'!$A$35:$I$55,2,0)</f>
        <v>#N/A</v>
      </c>
      <c r="G93" s="28" t="e">
        <f>VLOOKUP(A93,'Données projet'!$A$35:$I$55,9,0)</f>
        <v>#N/A</v>
      </c>
      <c r="H93" s="33">
        <f t="array" ref="H93">INDEX(G:G,MIN(IF(ISNUMBER(G93:G289),ROW(G93:G289),"")))</f>
        <v>5.2</v>
      </c>
      <c r="I93" s="28">
        <f t="shared" si="64"/>
        <v>273.99999999999972</v>
      </c>
      <c r="J93" s="41">
        <f>I93*VLOOKUP('Données projet'!$B$9,Paramètres!$A$1:$I$88,3,0)*VLOOKUP('Données projet'!$B$9,Paramètres!$A$1:$I$88,5,0)</f>
        <v>277.83599999999973</v>
      </c>
      <c r="K93" s="41">
        <f t="shared" si="65"/>
        <v>66.509487177652261</v>
      </c>
      <c r="L93" s="42">
        <f t="shared" si="42"/>
        <v>599.73505683441056</v>
      </c>
      <c r="M93" s="30">
        <f>IF(ISNA(VLOOKUP(A93,'Données projet'!$A$35:$I$55,3,0)),0,VLOOKUP(A93,'Données projet'!$A$35:$I$55,3,0))</f>
        <v>0</v>
      </c>
      <c r="N93" s="30">
        <f>IF(ISNA(VLOOKUP(A93,'Données projet'!$A$35:$I$55,4,0)),0,VLOOKUP(A93,'Données projet'!$A$35:$I$55,4,0))</f>
        <v>0</v>
      </c>
      <c r="O93" s="31">
        <f>IF(ISNA(VLOOKUP(A93,'Données projet'!$A$35:$I$55,5,0)),0%,VLOOKUP(A93,'Données projet'!$A$35:$I$55,5,0)*VLOOKUP('Données projet'!$B$9,Paramètres!$A$1:$I$88,7,0))</f>
        <v>0</v>
      </c>
      <c r="P93" s="31">
        <f>IF(ISNA(VLOOKUP(A93,'Données projet'!$A$35:$I$55,6,0)),0%,VLOOKUP(A93,'Données projet'!$A$35:$I$55,6,0)*VLOOKUP('Données projet'!$B$9,Paramètres!$A$1:$I$88,7,0))</f>
        <v>0</v>
      </c>
      <c r="Q93" s="31">
        <f>IF(ISNA(VLOOKUP(A93,'Données projet'!$A$35:$I$55,7,0)),0%,VLOOKUP(A93,'Données projet'!$A$35:$I$55,7,0))</f>
        <v>0</v>
      </c>
      <c r="R93" s="43">
        <f>EXP(-LN(2)/35)*R92+(1-EXP(-LN(2)/35))/(LN(2)/35)*N93*O93*VLOOKUP('Données projet'!$B$9,Paramètres!$A$1:$I$88,3,0)*0.475*44/12</f>
        <v>0</v>
      </c>
      <c r="S93" s="43">
        <f>EXP(-LN(2)/25)*S92+(1-EXP(-LN(2)/25))/(LN(2)/25)*Calculateur!N93*Calculateur!P93*VLOOKUP('Données projet'!$B$9,Paramètres!$A$1:$I$88,3,0)*0.475*44/12</f>
        <v>0</v>
      </c>
      <c r="T93" s="43">
        <f>EXP(-LN(2)/2)*T92+(1-EXP(-LN(2)/2))/(LN(2)/2)*N93*Q93*VLOOKUP('Données projet'!$B$9,Paramètres!$A$1:$I$88,3,0)*0.475*44/12</f>
        <v>0</v>
      </c>
      <c r="U93" s="43">
        <f t="shared" si="43"/>
        <v>0</v>
      </c>
      <c r="V93" s="32" t="e">
        <f>VLOOKUP(A93,'Données projet'!$A$61:$I$81,2,0)</f>
        <v>#N/A</v>
      </c>
      <c r="W93" s="33" t="e">
        <f>VLOOKUP(A93,'Données projet'!$A$61:$I$81,9,0)</f>
        <v>#N/A</v>
      </c>
      <c r="X93" s="33">
        <f t="array" ref="X93">INDEX(W:W,MIN(IF(ISNUMBER(W93:W289),ROW(W93:W289),"")))</f>
        <v>0</v>
      </c>
      <c r="Y93" s="33">
        <f t="shared" si="66"/>
        <v>0</v>
      </c>
      <c r="Z93" s="34" t="e">
        <f>Y93*VLOOKUP('Données projet'!$B$10,Paramètres!$A$1:$I$88,3,0)*VLOOKUP('Données projet'!$B$10,Paramètres!$A$1:$I$88,5,0)</f>
        <v>#N/A</v>
      </c>
      <c r="AA93" s="34" t="e">
        <f t="shared" si="67"/>
        <v>#N/A</v>
      </c>
      <c r="AB93" s="44" t="e">
        <f t="shared" si="44"/>
        <v>#N/A</v>
      </c>
      <c r="AC93" s="36">
        <f>IF(ISNA(VLOOKUP(A93,'Données projet'!$A$61:$I$81,3,0)),0,VLOOKUP(A93,'Données projet'!$A$61:$I$81,3,0))</f>
        <v>0</v>
      </c>
      <c r="AD93" s="36">
        <f>IF(ISNA(VLOOKUP(A93,'Données projet'!$A$61:$I$81,4,0)),0,VLOOKUP(A93,'Données projet'!$A$61:$I$81,4,0))</f>
        <v>0</v>
      </c>
      <c r="AE93" s="37">
        <f>IF(ISNA(VLOOKUP(A93,'Données projet'!$A$61:$I$81,5,0)),0%,VLOOKUP(A93,'Données projet'!$A$61:$I$81,5,0)*VLOOKUP('Données projet'!$B$10,Paramètres!$A$1:$I$88,7,0))</f>
        <v>0</v>
      </c>
      <c r="AF93" s="37">
        <f>IF(ISNA(VLOOKUP(A93,'Données projet'!$A$61:$I$81,6,0)),0%,VLOOKUP(A93,'Données projet'!$A$61:$I$81,6,0)*VLOOKUP('Données projet'!$B$10,Paramètres!$A$1:$I$88,7,0))</f>
        <v>0</v>
      </c>
      <c r="AG93" s="37">
        <f>IF(ISNA(VLOOKUP(A93,'Données projet'!$A$61:$I$81,7,0)),0%,VLOOKUP(A93,'Données projet'!$A$61:$I$81,7,0))</f>
        <v>0</v>
      </c>
      <c r="AH93" s="45">
        <f>EXP(-LN(2)/35)*AH92+(1-EXP(-LN(2)/35))/(LN(2)/35)*AD93*AE93*VLOOKUP('Données projet'!$B$9,Paramètres!$A$1:$I$88,3,0)*0.475*44/12</f>
        <v>0</v>
      </c>
      <c r="AI93" s="45">
        <f>EXP(-LN(2)/25)*AI92+(1-EXP(-LN(2)/25))/(LN(2)/25)*Calculateur!AD93*Calculateur!AF93*VLOOKUP('Données projet'!$B$9,Paramètres!$A$1:$I$88,3,0)*0.475*44/12</f>
        <v>0</v>
      </c>
      <c r="AJ93" s="45">
        <f>EXP(-LN(2)/2)*AJ92+(1-EXP(-LN(2)/2))/(LN(2)/2)*AD93*AG93*VLOOKUP('Données projet'!$B$9,Paramètres!$A$1:$I$88,3,0)*0.475*44/12</f>
        <v>0</v>
      </c>
      <c r="AK93" s="45">
        <f t="shared" si="45"/>
        <v>0</v>
      </c>
      <c r="AL93" s="32" t="e">
        <f>VLOOKUP(A93,'Données projet'!$A$87:$I$107,2,0)</f>
        <v>#N/A</v>
      </c>
      <c r="AM93" s="33" t="e">
        <f>VLOOKUP(A93,'Données projet'!$A$87:$I$107,9,0)</f>
        <v>#N/A</v>
      </c>
      <c r="AN93" s="33">
        <f t="array" ref="AN93">INDEX(AM:AM,MIN(IF(ISNUMBER(AM93:AM289),ROW(AM93:AM289),"")))</f>
        <v>0</v>
      </c>
      <c r="AO93" s="33">
        <f t="shared" si="68"/>
        <v>0</v>
      </c>
      <c r="AP93" s="34" t="e">
        <f>AO93*VLOOKUP('Données projet'!$B$11,Paramètres!$A$1:$I$88,3,0)*VLOOKUP('Données projet'!$B$11,Paramètres!$A$1:$I$88,5,0)</f>
        <v>#N/A</v>
      </c>
      <c r="AQ93" s="34" t="e">
        <f t="shared" si="69"/>
        <v>#N/A</v>
      </c>
      <c r="AR93" s="44" t="e">
        <f t="shared" si="46"/>
        <v>#N/A</v>
      </c>
      <c r="AS93" s="36">
        <f>IF(ISNA(VLOOKUP(A93,'Données projet'!$A$87:$I$107,3,0)),0,VLOOKUP(A93,'Données projet'!$A$87:$I$107,3,0))</f>
        <v>0</v>
      </c>
      <c r="AT93" s="36">
        <f>IF(ISNA(VLOOKUP(A93,'Données projet'!$A$87:$I$107,4,0)),0,VLOOKUP(A93,'Données projet'!$A$87:$I$107,4,0))</f>
        <v>0</v>
      </c>
      <c r="AU93" s="37">
        <f>IF(ISNA(VLOOKUP(A93,'Données projet'!$A$87:$I$107,5,0)),0%,VLOOKUP(A93,'Données projet'!$A$87:$I$107,5,0)*VLOOKUP('Données projet'!$B$11,Paramètres!$A$1:$I$88,7,0))</f>
        <v>0</v>
      </c>
      <c r="AV93" s="37">
        <f>IF(ISNA(VLOOKUP(A93,'Données projet'!$A$87:$I$107,6,0)),0%,VLOOKUP(A93,'Données projet'!$A$87:$I$107,6,0)*VLOOKUP('Données projet'!$B$11,Paramètres!$A$1:$I$88,7,0))</f>
        <v>0</v>
      </c>
      <c r="AW93" s="37">
        <f>IF(ISNA(VLOOKUP(A93,'Données projet'!$A$87:$I$107,7,0)),0%,VLOOKUP(A93,'Données projet'!$A$87:$I$107,7,0))</f>
        <v>0</v>
      </c>
      <c r="AX93" s="45">
        <f>EXP(-LN(2)/35)*AX92+(1-EXP(-LN(2)/35))/(LN(2)/35)*AT93*AU93*VLOOKUP('Données projet'!$B$9,Paramètres!$A$1:$I$88,3,0)*0.475*44/12</f>
        <v>0</v>
      </c>
      <c r="AY93" s="45">
        <f>EXP(-LN(2)/25)*AY92+(1-EXP(-LN(2)/25))/(LN(2)/25)*Calculateur!AT93*Calculateur!AV93*VLOOKUP('Données projet'!$B$9,Paramètres!$A$1:$I$88,3,0)*0.475*44/12</f>
        <v>0</v>
      </c>
      <c r="AZ93" s="45">
        <f>EXP(-LN(2)/2)*AZ92+(1-EXP(-LN(2)/2))/(LN(2)/2)*AT93*AW93*VLOOKUP('Données projet'!$B$9,Paramètres!$A$1:$I$88,3,0)*0.475*44/12</f>
        <v>0</v>
      </c>
      <c r="BA93" s="46">
        <f t="shared" si="47"/>
        <v>0</v>
      </c>
      <c r="BB93" s="32" t="e">
        <f>VLOOKUP(A93,'Données projet'!$A$113:$I$133,2,0)</f>
        <v>#N/A</v>
      </c>
      <c r="BC93" s="33" t="e">
        <f>VLOOKUP(A93,'Données projet'!$A$113:$I$133,9,0)</f>
        <v>#N/A</v>
      </c>
      <c r="BD93" s="33">
        <f t="array" ref="BD93">INDEX(BC:BC,MIN(IF(ISNUMBER(BC93:BC289),ROW(BC93:BC289),"")))</f>
        <v>0</v>
      </c>
      <c r="BE93" s="33">
        <f t="shared" si="70"/>
        <v>0</v>
      </c>
      <c r="BF93" s="34" t="e">
        <f>BE93*VLOOKUP('Données projet'!$B$12,Paramètres!$A$1:$I$88,3,0)*VLOOKUP('Données projet'!$B$12,Paramètres!$A$1:$I$88,5,0)</f>
        <v>#N/A</v>
      </c>
      <c r="BG93" s="34" t="e">
        <f t="shared" si="71"/>
        <v>#N/A</v>
      </c>
      <c r="BH93" s="44" t="e">
        <f t="shared" si="48"/>
        <v>#N/A</v>
      </c>
      <c r="BI93" s="36">
        <f>IF(ISNA(VLOOKUP(A93,'Données projet'!$A$113:$I$133,3,0)),0,VLOOKUP(A93,'Données projet'!$A$113:$I$133,3,0))</f>
        <v>0</v>
      </c>
      <c r="BJ93" s="36">
        <f>IF(ISNA(VLOOKUP(A93,'Données projet'!$A$113:$I$133,4,0)),0,VLOOKUP(A93,'Données projet'!$A$113:$I$133,4,0))</f>
        <v>0</v>
      </c>
      <c r="BK93" s="37">
        <f>IF(ISNA(VLOOKUP(A93,'Données projet'!$A$113:$I$133,5,0)),0%,VLOOKUP(A93,'Données projet'!$A$113:$I$133,5,0)*VLOOKUP('Données projet'!$B$12,Paramètres!$A$1:$I$88,7,0))</f>
        <v>0</v>
      </c>
      <c r="BL93" s="37">
        <f>IF(ISNA(VLOOKUP(A93,'Données projet'!$A$113:$I$133,6,0)),0%,VLOOKUP(A93,'Données projet'!$A$113:$I$133,6,0)*VLOOKUP('Données projet'!$B$12,Paramètres!$A$1:$I$88,7,0))</f>
        <v>0</v>
      </c>
      <c r="BM93" s="37">
        <f>IF(ISNA(VLOOKUP(A93,'Données projet'!$A$113:$I$133,7,0)),0%,VLOOKUP(A93,'Données projet'!$A$113:$I$133,7,0))</f>
        <v>0</v>
      </c>
      <c r="BN93" s="45">
        <f>EXP(-LN(2)/35)*BN92+(1-EXP(-LN(2)/35))/(LN(2)/35)*BJ93*BK93*VLOOKUP('Données projet'!$B$9,Paramètres!$A$1:$I$88,3,0)*0.475*44/12</f>
        <v>0</v>
      </c>
      <c r="BO93" s="45">
        <f>EXP(-LN(2)/25)*BO92+(1-EXP(-LN(2)/25))/(LN(2)/25)*Calculateur!BJ93*Calculateur!BL93*VLOOKUP('Données projet'!$B$9,Paramètres!$A$1:$I$88,3,0)*0.475*44/12</f>
        <v>0</v>
      </c>
      <c r="BP93" s="45">
        <f>EXP(-LN(2)/2)*BP92+(1-EXP(-LN(2)/2))/(LN(2)/2)*BJ93*BM93*VLOOKUP('Données projet'!$B$9,Paramètres!$A$1:$I$88,3,0)*0.475*44/12</f>
        <v>0</v>
      </c>
      <c r="BQ93" s="46">
        <f t="shared" si="49"/>
        <v>0</v>
      </c>
      <c r="BR93" s="32" t="e">
        <f>VLOOKUP(A93,'Données projet'!$A$139:$I$159,2,0)</f>
        <v>#N/A</v>
      </c>
      <c r="BS93" s="33" t="e">
        <f>VLOOKUP(A93,'Données projet'!$A$139:$I$159,9,0)</f>
        <v>#N/A</v>
      </c>
      <c r="BT93" s="33">
        <f t="array" ref="BT93">INDEX(BS:BS,MIN(IF(ISNUMBER(BS93:BS289),ROW(BS93:BS289),"")))</f>
        <v>0</v>
      </c>
      <c r="BU93" s="33">
        <f t="shared" si="72"/>
        <v>0</v>
      </c>
      <c r="BV93" s="38" t="e">
        <f>BU93*VLOOKUP('Données projet'!$B$13,Paramètres!$A$1:$I$88,3,0)*VLOOKUP('Données projet'!$B$13,Paramètres!$A$1:$I$88,5,0)</f>
        <v>#N/A</v>
      </c>
      <c r="BW93" s="34" t="e">
        <f t="shared" si="73"/>
        <v>#N/A</v>
      </c>
      <c r="BX93" s="44" t="e">
        <f t="shared" si="50"/>
        <v>#N/A</v>
      </c>
      <c r="BY93" s="36">
        <f>IF(ISNA(VLOOKUP(A93,'Données projet'!$A$139:$I$159,3,0)),0,VLOOKUP(A93,'Données projet'!$A$139:$I$159,3,0))</f>
        <v>0</v>
      </c>
      <c r="BZ93" s="36">
        <f>IF(ISNA(VLOOKUP(A93,'Données projet'!$A$139:$I$159,4,0)),0,VLOOKUP(A93,'Données projet'!$A$139:$I$159,4,0))</f>
        <v>0</v>
      </c>
      <c r="CA93" s="37">
        <f>IF(ISNA(VLOOKUP(A93,'Données projet'!$A$139:$I$159,5,0)),0%,VLOOKUP(A93,'Données projet'!$A$139:$I$159,5,0)*VLOOKUP('Données projet'!$B$13,Paramètres!$A$1:$I$88,7,0))</f>
        <v>0</v>
      </c>
      <c r="CB93" s="37">
        <f>IF(ISNA(VLOOKUP(A93,'Données projet'!$A$139:$I$159,6,0)),0%,VLOOKUP(A93,'Données projet'!$A$139:$I$159,6,0)*VLOOKUP('Données projet'!$B$13,Paramètres!$A$1:$I$88,7,0))</f>
        <v>0</v>
      </c>
      <c r="CC93" s="37">
        <f>IF(ISNA(VLOOKUP(A93,'Données projet'!$A$139:$I$159,7,0)),0%,VLOOKUP(A93,'Données projet'!$A$139:$I$159,7,0))</f>
        <v>0</v>
      </c>
      <c r="CD93" s="45">
        <f>EXP(-LN(2)/35)*CD92+(1-EXP(-LN(2)/35))/(LN(2)/35)*BZ93*CA93*VLOOKUP('Données projet'!$B$9,Paramètres!$A$1:$I$88,3,0)*0.475*44/12</f>
        <v>0</v>
      </c>
      <c r="CE93" s="45">
        <f>EXP(-LN(2)/25)*CE92+(1-EXP(-LN(2)/25))/(LN(2)/25)*Calculateur!BZ93*Calculateur!CB93*VLOOKUP('Données projet'!$B$9,Paramètres!$A$1:$I$88,3,0)*0.475*44/12</f>
        <v>0</v>
      </c>
      <c r="CF93" s="45">
        <f>EXP(-LN(2)/2)*CF92+(1-EXP(-LN(2)/2))/(LN(2)/2)*BZ93*CC93*VLOOKUP('Données projet'!$B$9,Paramètres!$A$1:$I$88,3,0)*0.475*44/12</f>
        <v>0</v>
      </c>
      <c r="CG93" s="46">
        <f t="shared" si="51"/>
        <v>0</v>
      </c>
      <c r="CH93" s="32" t="e">
        <f>VLOOKUP(A93,'Données projet'!$A$165:$I$185,2,0)</f>
        <v>#N/A</v>
      </c>
      <c r="CI93" s="33" t="e">
        <f>VLOOKUP(A93,'Données projet'!$A$165:$I$185,9,0)</f>
        <v>#N/A</v>
      </c>
      <c r="CJ93" s="33">
        <f t="array" ref="CJ93">INDEX(CI:CI,MIN(IF(ISNUMBER(CI93:CI289),ROW(CI93:CI289),"")))</f>
        <v>0</v>
      </c>
      <c r="CK93" s="33">
        <f t="shared" si="74"/>
        <v>0</v>
      </c>
      <c r="CL93" s="38" t="e">
        <f>CK93*VLOOKUP('Données projet'!$B$14,Paramètres!$A$1:$I$88,3,0)*VLOOKUP('Données projet'!$B$14,Paramètres!$A$1:$I$88,5,0)</f>
        <v>#N/A</v>
      </c>
      <c r="CM93" s="34" t="e">
        <f t="shared" si="75"/>
        <v>#N/A</v>
      </c>
      <c r="CN93" s="44" t="e">
        <f t="shared" si="52"/>
        <v>#N/A</v>
      </c>
      <c r="CO93" s="36">
        <f>IF(ISNA(VLOOKUP(A93,'Données projet'!$A$165:$I$185,3,0)),0,VLOOKUP(A93,'Données projet'!$A$165:$I$185,3,0))</f>
        <v>0</v>
      </c>
      <c r="CP93" s="36">
        <f>IF(ISNA(VLOOKUP(A93,'Données projet'!$A$165:$I$185,4,0)),0,VLOOKUP(A93,'Données projet'!$A$165:$I$185,4,0))</f>
        <v>0</v>
      </c>
      <c r="CQ93" s="37">
        <f>IF(ISNA(VLOOKUP(A93,'Données projet'!$A$165:$I$185,5,0)),0%,VLOOKUP(A93,'Données projet'!$A$165:$I$185,5,0)*VLOOKUP('Données projet'!$B$14,Paramètres!$A$1:$I$88,7,0))</f>
        <v>0</v>
      </c>
      <c r="CR93" s="37">
        <f>IF(ISNA(VLOOKUP(A93,'Données projet'!$A$165:$I$185,6,0)),0%,VLOOKUP(A93,'Données projet'!$A$165:$I$185,6,0)*VLOOKUP('Données projet'!$B$14,Paramètres!$A$1:$I$88,7,0))</f>
        <v>0</v>
      </c>
      <c r="CS93" s="37">
        <f>IF(ISNA(VLOOKUP(A93,'Données projet'!$A$165:$I$185,7,0)),0%,VLOOKUP(A93,'Données projet'!$A$165:$I$185,7,0))</f>
        <v>0</v>
      </c>
      <c r="CT93" s="45">
        <f>EXP(-LN(2)/35)*CT92+(1-EXP(-LN(2)/35))/(LN(2)/35)*CP93*CQ93*VLOOKUP('Données projet'!$B$9,Paramètres!$A$1:$I$88,3,0)*0.475*44/12</f>
        <v>0</v>
      </c>
      <c r="CU93" s="45">
        <f>EXP(-LN(2)/25)*CU92+(1-EXP(-LN(2)/25))/(LN(2)/25)*Calculateur!CP93*Calculateur!CR93*VLOOKUP('Données projet'!$B$9,Paramètres!$A$1:$I$88,3,0)*0.475*44/12</f>
        <v>0</v>
      </c>
      <c r="CV93" s="45">
        <f>EXP(-LN(2)/2)*CV92+(1-EXP(-LN(2)/2))/(LN(2)/2)*CP93*CS93*VLOOKUP('Données projet'!$B$9,Paramètres!$A$1:$I$88,3,0)*0.475*44/12</f>
        <v>0</v>
      </c>
      <c r="CW93" s="46">
        <f t="shared" si="53"/>
        <v>0</v>
      </c>
      <c r="CX93" s="32" t="e">
        <f>VLOOKUP(A93,'Données projet'!$A$191:$I$211,2,0)</f>
        <v>#N/A</v>
      </c>
      <c r="CY93" s="33" t="e">
        <f>VLOOKUP(A93,'Données projet'!$A$191:$I$211,9,0)</f>
        <v>#N/A</v>
      </c>
      <c r="CZ93" s="33">
        <f t="array" ref="CZ93">INDEX(CY:CY,MIN(IF(ISNUMBER(CY93:CY289),ROW(CY93:CY289),"")))</f>
        <v>0</v>
      </c>
      <c r="DA93" s="33">
        <f t="shared" si="76"/>
        <v>0</v>
      </c>
      <c r="DB93" s="38" t="e">
        <f>DA93*VLOOKUP('Données projet'!$B$15,Paramètres!$A$1:$I$88,3,0)*VLOOKUP('Données projet'!$B$15,Paramètres!$A$1:$I$88,5,0)</f>
        <v>#N/A</v>
      </c>
      <c r="DC93" s="34" t="e">
        <f t="shared" si="77"/>
        <v>#N/A</v>
      </c>
      <c r="DD93" s="44" t="e">
        <f t="shared" si="54"/>
        <v>#N/A</v>
      </c>
      <c r="DE93" s="36">
        <f>IF(ISNA(VLOOKUP(A93,'Données projet'!$A$191:$I$211,3,0)),0,VLOOKUP(A93,'Données projet'!$A$191:$I$211,3,0))</f>
        <v>0</v>
      </c>
      <c r="DF93" s="36">
        <f>IF(ISNA(VLOOKUP(A93,'Données projet'!$A$191:$I$211,4,0)),0,VLOOKUP(A93,'Données projet'!$A$191:$I$211,4,0))</f>
        <v>0</v>
      </c>
      <c r="DG93" s="37">
        <f>IF(ISNA(VLOOKUP(A93,'Données projet'!$A$191:$I$211,5,0)),0%,VLOOKUP(A93,'Données projet'!$A$191:$I$211,5,0)*VLOOKUP('Données projet'!$B$15,Paramètres!$A$1:$I$88,7,0))</f>
        <v>0</v>
      </c>
      <c r="DH93" s="37">
        <f>IF(ISNA(VLOOKUP(A93,'Données projet'!$A$191:$I$211,6,0)),0%,VLOOKUP(A93,'Données projet'!$A$191:$I$211,6,0)*VLOOKUP('Données projet'!$B$15,Paramètres!$A$1:$I$88,7,0))</f>
        <v>0</v>
      </c>
      <c r="DI93" s="37">
        <f>IF(ISNA(VLOOKUP(A93,'Données projet'!$A$191:$I$211,7,0)),0%,VLOOKUP(A93,'Données projet'!$A$191:$I$211,7,0))</f>
        <v>0</v>
      </c>
      <c r="DJ93" s="45">
        <f>EXP(-LN(2)/35)*DJ92+(1-EXP(-LN(2)/35))/(LN(2)/35)*DF93*DG93*VLOOKUP('Données projet'!$B$9,Paramètres!$A$1:$I$88,3,0)*0.475*44/12</f>
        <v>0</v>
      </c>
      <c r="DK93" s="45">
        <f>EXP(-LN(2)/25)*DK92+(1-EXP(-LN(2)/25))/(LN(2)/25)*Calculateur!DF93*Calculateur!DH93*VLOOKUP('Données projet'!$B$9,Paramètres!$A$1:$I$88,3,0)*0.475*44/12</f>
        <v>0</v>
      </c>
      <c r="DL93" s="45">
        <f>EXP(-LN(2)/2)*DL92+(1-EXP(-LN(2)/2))/(LN(2)/2)*DF93*DI93*VLOOKUP('Données projet'!$B$9,Paramètres!$A$1:$I$88,3,0)*0.475*44/12</f>
        <v>0</v>
      </c>
      <c r="DM93" s="46">
        <f t="shared" si="55"/>
        <v>0</v>
      </c>
      <c r="DN93" s="32" t="e">
        <f>VLOOKUP(A93,'Données projet'!$A$217:$I$237,2,0)</f>
        <v>#N/A</v>
      </c>
      <c r="DO93" s="33" t="e">
        <f>VLOOKUP(A93,'Données projet'!$A$217:$I$237,9,0)</f>
        <v>#N/A</v>
      </c>
      <c r="DP93" s="33">
        <f t="array" ref="DP93">INDEX(DO:DO,MIN(IF(ISNUMBER(DO93:DO289),ROW(DO93:DO289),"")))</f>
        <v>0</v>
      </c>
      <c r="DQ93" s="33">
        <f t="shared" si="78"/>
        <v>0</v>
      </c>
      <c r="DR93" s="38" t="e">
        <f>DQ93*VLOOKUP('Données projet'!$B$16,Paramètres!$A$1:$I$88,3,0)*VLOOKUP('Données projet'!$B$16,Paramètres!$A$1:$I$88,5,0)</f>
        <v>#N/A</v>
      </c>
      <c r="DS93" s="34" t="e">
        <f t="shared" si="79"/>
        <v>#N/A</v>
      </c>
      <c r="DT93" s="44" t="e">
        <f t="shared" si="56"/>
        <v>#N/A</v>
      </c>
      <c r="DU93" s="36">
        <f>IF(ISNA(VLOOKUP(A93,'Données projet'!$A$217:$I$237,3,0)),0,VLOOKUP(A93,'Données projet'!$A$217:$I$237,3,0))</f>
        <v>0</v>
      </c>
      <c r="DV93" s="36">
        <f>IF(ISNA(VLOOKUP(A93,'Données projet'!$A$217:$I$237,4,0)),0,VLOOKUP(A93,'Données projet'!$A$217:$I$237,4,0))</f>
        <v>0</v>
      </c>
      <c r="DW93" s="37">
        <f>IF(ISNA(VLOOKUP(A93,'Données projet'!$A$217:$I$237,5,0)),0%,VLOOKUP(A93,'Données projet'!$A$217:$I$237,5,0)*VLOOKUP('Données projet'!$B$16,Paramètres!$A$1:$I$88,7,0))</f>
        <v>0</v>
      </c>
      <c r="DX93" s="37">
        <f>IF(ISNA(VLOOKUP(A93,'Données projet'!$A$217:$I$237,6,0)),0%,VLOOKUP(A93,'Données projet'!$A$217:$I$237,6,0)*VLOOKUP('Données projet'!$B$16,Paramètres!$A$1:$I$88,7,0))</f>
        <v>0</v>
      </c>
      <c r="DY93" s="37">
        <f>IF(ISNA(VLOOKUP(A93,'Données projet'!$A$217:$I$237,7,0)),0%,VLOOKUP(A93,'Données projet'!$A$217:$I$237,7,0))</f>
        <v>0</v>
      </c>
      <c r="DZ93" s="45">
        <f>EXP(-LN(2)/35)*DZ92+(1-EXP(-LN(2)/35))/(LN(2)/35)*DV93*DW93*VLOOKUP('Données projet'!$B$9,Paramètres!$A$1:$I$88,3,0)*0.475*44/12</f>
        <v>0</v>
      </c>
      <c r="EA93" s="45">
        <f>EXP(-LN(2)/25)*EA92+(1-EXP(-LN(2)/25))/(LN(2)/25)*Calculateur!DV93*Calculateur!DX93*VLOOKUP('Données projet'!$B$9,Paramètres!$A$1:$I$88,3,0)*0.475*44/12</f>
        <v>0</v>
      </c>
      <c r="EB93" s="45">
        <f>EXP(-LN(2)/2)*EB92+(1-EXP(-LN(2)/2))/(LN(2)/2)*DV93*DY93*VLOOKUP('Données projet'!$B$9,Paramètres!$A$1:$I$88,3,0)*0.475*44/12</f>
        <v>0</v>
      </c>
      <c r="EC93" s="46">
        <f t="shared" si="57"/>
        <v>0</v>
      </c>
      <c r="ED93" s="32" t="e">
        <f>VLOOKUP(A93,'Données projet'!$A$243:$I$263,2,0)</f>
        <v>#N/A</v>
      </c>
      <c r="EE93" s="33" t="e">
        <f>VLOOKUP(A93,'Données projet'!$A$243:$I$263,9,0)</f>
        <v>#N/A</v>
      </c>
      <c r="EF93" s="33">
        <f t="array" ref="EF93">INDEX(EE:EE,MIN(IF(ISNUMBER(EE93:EE289),ROW(EE93:EE289),"")))</f>
        <v>0</v>
      </c>
      <c r="EG93" s="33">
        <f t="shared" si="80"/>
        <v>0</v>
      </c>
      <c r="EH93" s="38" t="e">
        <f>EG93*VLOOKUP('Données projet'!$B$17,Paramètres!$A$1:$I$88,3,0)*VLOOKUP('Données projet'!$B$17,Paramètres!$A$1:$I$88,5,0)</f>
        <v>#N/A</v>
      </c>
      <c r="EI93" s="34" t="e">
        <f t="shared" si="81"/>
        <v>#N/A</v>
      </c>
      <c r="EJ93" s="44" t="e">
        <f t="shared" si="58"/>
        <v>#N/A</v>
      </c>
      <c r="EK93" s="36">
        <f>IF(ISNA(VLOOKUP(A93,'Données projet'!$A$243:$I$263,3,0)),0,VLOOKUP(A93,'Données projet'!$A$243:$I$263,3,0))</f>
        <v>0</v>
      </c>
      <c r="EL93" s="36">
        <f>IF(ISNA(VLOOKUP(A93,'Données projet'!$A$243:$I$263,4,0)),0,VLOOKUP(A93,'Données projet'!$A$243:$I$263,4,0))</f>
        <v>0</v>
      </c>
      <c r="EM93" s="37">
        <f>IF(ISNA(VLOOKUP(A93,'Données projet'!$A$243:$I$263,5,0)),0%,VLOOKUP(A93,'Données projet'!$A$243:$I$263,5,0)*VLOOKUP('Données projet'!$B$17,Paramètres!$A$1:$I$88,7,0))</f>
        <v>0</v>
      </c>
      <c r="EN93" s="37">
        <f>IF(ISNA(VLOOKUP(A93,'Données projet'!$A$243:$I$263,6,0)),0%,VLOOKUP(A93,'Données projet'!$A$243:$I$263,6,0)*VLOOKUP('Données projet'!$B$17,Paramètres!$A$1:$I$88,7,0))</f>
        <v>0</v>
      </c>
      <c r="EO93" s="37">
        <f>IF(ISNA(VLOOKUP(A93,'Données projet'!$A$243:$I$263,7,0)),0%,VLOOKUP(A93,'Données projet'!$A$243:$I$263,7,0))</f>
        <v>0</v>
      </c>
      <c r="EP93" s="45">
        <f>EXP(-LN(2)/35)*EP92+(1-EXP(-LN(2)/35))/(LN(2)/35)*EL93*EM93*VLOOKUP('Données projet'!$B$9,Paramètres!$A$1:$I$88,3,0)*0.475*44/12</f>
        <v>0</v>
      </c>
      <c r="EQ93" s="45">
        <f>EXP(-LN(2)/25)*EQ92+(1-EXP(-LN(2)/25))/(LN(2)/25)*Calculateur!EL93*Calculateur!EN93*VLOOKUP('Données projet'!$B$9,Paramètres!$A$1:$I$88,3,0)*0.475*44/12</f>
        <v>0</v>
      </c>
      <c r="ER93" s="45">
        <f>EXP(-LN(2)/2)*ER92+(1-EXP(-LN(2)/2))/(LN(2)/2)*EL93*EO93*VLOOKUP('Données projet'!$B$9,Paramètres!$A$1:$I$88,3,0)*0.475*44/12</f>
        <v>0</v>
      </c>
      <c r="ES93" s="46">
        <f t="shared" si="59"/>
        <v>0</v>
      </c>
      <c r="ET93" s="32" t="e">
        <f>VLOOKUP(A93,'Données projet'!$A$269:$I$289,2,0)</f>
        <v>#N/A</v>
      </c>
      <c r="EU93" s="33" t="e">
        <f>VLOOKUP(A93,'Données projet'!$A$269:$I$289,9,0)</f>
        <v>#N/A</v>
      </c>
      <c r="EV93" s="33">
        <f t="array" ref="EV93">INDEX(EU:EU,MIN(IF(ISNUMBER(EU93:EU289),ROW(EU93:EU289),"")))</f>
        <v>0</v>
      </c>
      <c r="EW93" s="33">
        <f t="shared" si="82"/>
        <v>0</v>
      </c>
      <c r="EX93" s="38" t="e">
        <f>EW93*VLOOKUP('Données projet'!$B$18,Paramètres!$A$1:$I$88,3,0)*VLOOKUP('Données projet'!$B$18,Paramètres!$A$1:$I$88,5,0)</f>
        <v>#N/A</v>
      </c>
      <c r="EY93" s="34" t="e">
        <f t="shared" si="83"/>
        <v>#N/A</v>
      </c>
      <c r="EZ93" s="44" t="e">
        <f t="shared" si="60"/>
        <v>#N/A</v>
      </c>
      <c r="FA93" s="36">
        <f>IF(ISNA(VLOOKUP(A93,'Données projet'!$A$269:$I$289,3,0)),0,VLOOKUP(A93,'Données projet'!$A$269:$I$289,3,0))</f>
        <v>0</v>
      </c>
      <c r="FB93" s="36">
        <f>IF(ISNA(VLOOKUP(A93,'Données projet'!$A$269:$I$289,4,0)),0,VLOOKUP(A93,'Données projet'!$A$269:$I$289,4,0))</f>
        <v>0</v>
      </c>
      <c r="FC93" s="37">
        <f>IF(ISNA(VLOOKUP(A93,'Données projet'!$A$269:$I$289,5,0)),0%,VLOOKUP(A93,'Données projet'!$A$269:$I$289,5,0)*VLOOKUP('Données projet'!$B$18,Paramètres!$A$1:$I$88,7,0))</f>
        <v>0</v>
      </c>
      <c r="FD93" s="37">
        <f>IF(ISNA(VLOOKUP(A93,'Données projet'!$A$269:$I$289,6,0)),0%,VLOOKUP(A93,'Données projet'!$A$269:$I$289,6,0)*VLOOKUP('Données projet'!$B$18,Paramètres!$A$1:$I$88,7,0))</f>
        <v>0</v>
      </c>
      <c r="FE93" s="37">
        <f>IF(ISNA(VLOOKUP(A93,'Données projet'!$A$269:$I$289,7,0)),0%,VLOOKUP(A93,'Données projet'!$A$269:$I$289,7,0))</f>
        <v>0</v>
      </c>
      <c r="FF93" s="45">
        <f>EXP(-LN(2)/35)*FF92+(1-EXP(-LN(2)/35))/(LN(2)/35)*FB93*FC93*VLOOKUP('Données projet'!$B$9,Paramètres!$A$1:$I$88,3,0)*0.475*44/12</f>
        <v>0</v>
      </c>
      <c r="FG93" s="45">
        <f>EXP(-LN(2)/25)*FG92+(1-EXP(-LN(2)/25))/(LN(2)/25)*Calculateur!FB93*Calculateur!FD93*VLOOKUP('Données projet'!$B$9,Paramètres!$A$1:$I$88,3,0)*0.475*44/12</f>
        <v>0</v>
      </c>
      <c r="FH93" s="45">
        <f>EXP(-LN(2)/2)*FH92+(1-EXP(-LN(2)/2))/(LN(2)/2)*FB93*FE93*VLOOKUP('Données projet'!$B$9,Paramètres!$A$1:$I$88,3,0)*0.475*44/12</f>
        <v>0</v>
      </c>
      <c r="FI93" s="46">
        <f t="shared" si="61"/>
        <v>0</v>
      </c>
    </row>
    <row r="94" spans="1:165" x14ac:dyDescent="0.25">
      <c r="A94" s="24">
        <f t="shared" si="62"/>
        <v>91</v>
      </c>
      <c r="B94" s="25">
        <f>IF('Scénario référence'!$N$1=1,5,0)</f>
        <v>0</v>
      </c>
      <c r="C94" s="40">
        <f>IF(OR('Scénario référence'!$N$1=2,'Scénario référence'!$N$1=4),C93+1*VLOOKUP('Scénario référence'!$G$14,Paramètres!$A$1:$I$88,3,0)*VLOOKUP('Scénario référence'!$G$14,Paramètres!$A$1:$I$88,5,0),IF(OR('Scénario référence'!$N$1=3,'Scénario référence'!$N$1=5),C93+0.5*VLOOKUP('Scénario référence'!$G$14,Paramètres!$A$1:$I$88,3,0)*VLOOKUP('Scénario référence'!$G$14,Paramètres!$A$1:$I$88,5,0),0))</f>
        <v>49.685999999999957</v>
      </c>
      <c r="D94" s="26">
        <f t="shared" si="63"/>
        <v>14.532638085920599</v>
      </c>
      <c r="E94" s="27">
        <f>IF('Scénario référence'!$N$1=1,B94*44/12,(C94+D94)*0.475*44/12)</f>
        <v>111.8474613329783</v>
      </c>
      <c r="F94" s="28" t="e">
        <f>VLOOKUP(A94,'Données projet'!$A$35:$I$55,2,0)</f>
        <v>#N/A</v>
      </c>
      <c r="G94" s="28" t="e">
        <f>VLOOKUP(A94,'Données projet'!$A$35:$I$55,9,0)</f>
        <v>#N/A</v>
      </c>
      <c r="H94" s="33">
        <f t="array" ref="H94">INDEX(G:G,MIN(IF(ISNUMBER(G94:G290),ROW(G94:G290),"")))</f>
        <v>5.2</v>
      </c>
      <c r="I94" s="28">
        <f t="shared" si="64"/>
        <v>279.1999999999997</v>
      </c>
      <c r="J94" s="41">
        <f>I94*VLOOKUP('Données projet'!$B$9,Paramètres!$A$1:$I$88,3,0)*VLOOKUP('Données projet'!$B$9,Paramètres!$A$1:$I$88,5,0)</f>
        <v>283.10879999999975</v>
      </c>
      <c r="K94" s="41">
        <f t="shared" si="65"/>
        <v>67.623564901653808</v>
      </c>
      <c r="L94" s="42">
        <f t="shared" si="42"/>
        <v>610.85886887037998</v>
      </c>
      <c r="M94" s="30">
        <f>IF(ISNA(VLOOKUP(A94,'Données projet'!$A$35:$I$55,3,0)),0,VLOOKUP(A94,'Données projet'!$A$35:$I$55,3,0))</f>
        <v>0</v>
      </c>
      <c r="N94" s="30">
        <f>IF(ISNA(VLOOKUP(A94,'Données projet'!$A$35:$I$55,4,0)),0,VLOOKUP(A94,'Données projet'!$A$35:$I$55,4,0))</f>
        <v>0</v>
      </c>
      <c r="O94" s="31">
        <f>IF(ISNA(VLOOKUP(A94,'Données projet'!$A$35:$I$55,5,0)),0%,VLOOKUP(A94,'Données projet'!$A$35:$I$55,5,0)*VLOOKUP('Données projet'!$B$9,Paramètres!$A$1:$I$88,7,0))</f>
        <v>0</v>
      </c>
      <c r="P94" s="31">
        <f>IF(ISNA(VLOOKUP(A94,'Données projet'!$A$35:$I$55,6,0)),0%,VLOOKUP(A94,'Données projet'!$A$35:$I$55,6,0)*VLOOKUP('Données projet'!$B$9,Paramètres!$A$1:$I$88,7,0))</f>
        <v>0</v>
      </c>
      <c r="Q94" s="31">
        <f>IF(ISNA(VLOOKUP(A94,'Données projet'!$A$35:$I$55,7,0)),0%,VLOOKUP(A94,'Données projet'!$A$35:$I$55,7,0))</f>
        <v>0</v>
      </c>
      <c r="R94" s="43">
        <f>EXP(-LN(2)/35)*R93+(1-EXP(-LN(2)/35))/(LN(2)/35)*N94*O94*VLOOKUP('Données projet'!$B$9,Paramètres!$A$1:$I$88,3,0)*0.475*44/12</f>
        <v>0</v>
      </c>
      <c r="S94" s="43">
        <f>EXP(-LN(2)/25)*S93+(1-EXP(-LN(2)/25))/(LN(2)/25)*Calculateur!N94*Calculateur!P94*VLOOKUP('Données projet'!$B$9,Paramètres!$A$1:$I$88,3,0)*0.475*44/12</f>
        <v>0</v>
      </c>
      <c r="T94" s="43">
        <f>EXP(-LN(2)/2)*T93+(1-EXP(-LN(2)/2))/(LN(2)/2)*N94*Q94*VLOOKUP('Données projet'!$B$9,Paramètres!$A$1:$I$88,3,0)*0.475*44/12</f>
        <v>0</v>
      </c>
      <c r="U94" s="43">
        <f t="shared" si="43"/>
        <v>0</v>
      </c>
      <c r="V94" s="32" t="e">
        <f>VLOOKUP(A94,'Données projet'!$A$61:$I$81,2,0)</f>
        <v>#N/A</v>
      </c>
      <c r="W94" s="33" t="e">
        <f>VLOOKUP(A94,'Données projet'!$A$61:$I$81,9,0)</f>
        <v>#N/A</v>
      </c>
      <c r="X94" s="33">
        <f t="array" ref="X94">INDEX(W:W,MIN(IF(ISNUMBER(W94:W290),ROW(W94:W290),"")))</f>
        <v>0</v>
      </c>
      <c r="Y94" s="33">
        <f t="shared" si="66"/>
        <v>0</v>
      </c>
      <c r="Z94" s="34" t="e">
        <f>Y94*VLOOKUP('Données projet'!$B$10,Paramètres!$A$1:$I$88,3,0)*VLOOKUP('Données projet'!$B$10,Paramètres!$A$1:$I$88,5,0)</f>
        <v>#N/A</v>
      </c>
      <c r="AA94" s="34" t="e">
        <f t="shared" si="67"/>
        <v>#N/A</v>
      </c>
      <c r="AB94" s="44" t="e">
        <f t="shared" si="44"/>
        <v>#N/A</v>
      </c>
      <c r="AC94" s="36">
        <f>IF(ISNA(VLOOKUP(A94,'Données projet'!$A$61:$I$81,3,0)),0,VLOOKUP(A94,'Données projet'!$A$61:$I$81,3,0))</f>
        <v>0</v>
      </c>
      <c r="AD94" s="36">
        <f>IF(ISNA(VLOOKUP(A94,'Données projet'!$A$61:$I$81,4,0)),0,VLOOKUP(A94,'Données projet'!$A$61:$I$81,4,0))</f>
        <v>0</v>
      </c>
      <c r="AE94" s="37">
        <f>IF(ISNA(VLOOKUP(A94,'Données projet'!$A$61:$I$81,5,0)),0%,VLOOKUP(A94,'Données projet'!$A$61:$I$81,5,0)*VLOOKUP('Données projet'!$B$10,Paramètres!$A$1:$I$88,7,0))</f>
        <v>0</v>
      </c>
      <c r="AF94" s="37">
        <f>IF(ISNA(VLOOKUP(A94,'Données projet'!$A$61:$I$81,6,0)),0%,VLOOKUP(A94,'Données projet'!$A$61:$I$81,6,0)*VLOOKUP('Données projet'!$B$10,Paramètres!$A$1:$I$88,7,0))</f>
        <v>0</v>
      </c>
      <c r="AG94" s="37">
        <f>IF(ISNA(VLOOKUP(A94,'Données projet'!$A$61:$I$81,7,0)),0%,VLOOKUP(A94,'Données projet'!$A$61:$I$81,7,0))</f>
        <v>0</v>
      </c>
      <c r="AH94" s="45">
        <f>EXP(-LN(2)/35)*AH93+(1-EXP(-LN(2)/35))/(LN(2)/35)*AD94*AE94*VLOOKUP('Données projet'!$B$9,Paramètres!$A$1:$I$88,3,0)*0.475*44/12</f>
        <v>0</v>
      </c>
      <c r="AI94" s="45">
        <f>EXP(-LN(2)/25)*AI93+(1-EXP(-LN(2)/25))/(LN(2)/25)*Calculateur!AD94*Calculateur!AF94*VLOOKUP('Données projet'!$B$9,Paramètres!$A$1:$I$88,3,0)*0.475*44/12</f>
        <v>0</v>
      </c>
      <c r="AJ94" s="45">
        <f>EXP(-LN(2)/2)*AJ93+(1-EXP(-LN(2)/2))/(LN(2)/2)*AD94*AG94*VLOOKUP('Données projet'!$B$9,Paramètres!$A$1:$I$88,3,0)*0.475*44/12</f>
        <v>0</v>
      </c>
      <c r="AK94" s="45">
        <f t="shared" si="45"/>
        <v>0</v>
      </c>
      <c r="AL94" s="32" t="e">
        <f>VLOOKUP(A94,'Données projet'!$A$87:$I$107,2,0)</f>
        <v>#N/A</v>
      </c>
      <c r="AM94" s="33" t="e">
        <f>VLOOKUP(A94,'Données projet'!$A$87:$I$107,9,0)</f>
        <v>#N/A</v>
      </c>
      <c r="AN94" s="33">
        <f t="array" ref="AN94">INDEX(AM:AM,MIN(IF(ISNUMBER(AM94:AM290),ROW(AM94:AM290),"")))</f>
        <v>0</v>
      </c>
      <c r="AO94" s="33">
        <f t="shared" si="68"/>
        <v>0</v>
      </c>
      <c r="AP94" s="34" t="e">
        <f>AO94*VLOOKUP('Données projet'!$B$11,Paramètres!$A$1:$I$88,3,0)*VLOOKUP('Données projet'!$B$11,Paramètres!$A$1:$I$88,5,0)</f>
        <v>#N/A</v>
      </c>
      <c r="AQ94" s="34" t="e">
        <f t="shared" si="69"/>
        <v>#N/A</v>
      </c>
      <c r="AR94" s="44" t="e">
        <f t="shared" si="46"/>
        <v>#N/A</v>
      </c>
      <c r="AS94" s="36">
        <f>IF(ISNA(VLOOKUP(A94,'Données projet'!$A$87:$I$107,3,0)),0,VLOOKUP(A94,'Données projet'!$A$87:$I$107,3,0))</f>
        <v>0</v>
      </c>
      <c r="AT94" s="36">
        <f>IF(ISNA(VLOOKUP(A94,'Données projet'!$A$87:$I$107,4,0)),0,VLOOKUP(A94,'Données projet'!$A$87:$I$107,4,0))</f>
        <v>0</v>
      </c>
      <c r="AU94" s="37">
        <f>IF(ISNA(VLOOKUP(A94,'Données projet'!$A$87:$I$107,5,0)),0%,VLOOKUP(A94,'Données projet'!$A$87:$I$107,5,0)*VLOOKUP('Données projet'!$B$11,Paramètres!$A$1:$I$88,7,0))</f>
        <v>0</v>
      </c>
      <c r="AV94" s="37">
        <f>IF(ISNA(VLOOKUP(A94,'Données projet'!$A$87:$I$107,6,0)),0%,VLOOKUP(A94,'Données projet'!$A$87:$I$107,6,0)*VLOOKUP('Données projet'!$B$11,Paramètres!$A$1:$I$88,7,0))</f>
        <v>0</v>
      </c>
      <c r="AW94" s="37">
        <f>IF(ISNA(VLOOKUP(A94,'Données projet'!$A$87:$I$107,7,0)),0%,VLOOKUP(A94,'Données projet'!$A$87:$I$107,7,0))</f>
        <v>0</v>
      </c>
      <c r="AX94" s="45">
        <f>EXP(-LN(2)/35)*AX93+(1-EXP(-LN(2)/35))/(LN(2)/35)*AT94*AU94*VLOOKUP('Données projet'!$B$9,Paramètres!$A$1:$I$88,3,0)*0.475*44/12</f>
        <v>0</v>
      </c>
      <c r="AY94" s="45">
        <f>EXP(-LN(2)/25)*AY93+(1-EXP(-LN(2)/25))/(LN(2)/25)*Calculateur!AT94*Calculateur!AV94*VLOOKUP('Données projet'!$B$9,Paramètres!$A$1:$I$88,3,0)*0.475*44/12</f>
        <v>0</v>
      </c>
      <c r="AZ94" s="45">
        <f>EXP(-LN(2)/2)*AZ93+(1-EXP(-LN(2)/2))/(LN(2)/2)*AT94*AW94*VLOOKUP('Données projet'!$B$9,Paramètres!$A$1:$I$88,3,0)*0.475*44/12</f>
        <v>0</v>
      </c>
      <c r="BA94" s="46">
        <f t="shared" si="47"/>
        <v>0</v>
      </c>
      <c r="BB94" s="32" t="e">
        <f>VLOOKUP(A94,'Données projet'!$A$113:$I$133,2,0)</f>
        <v>#N/A</v>
      </c>
      <c r="BC94" s="33" t="e">
        <f>VLOOKUP(A94,'Données projet'!$A$113:$I$133,9,0)</f>
        <v>#N/A</v>
      </c>
      <c r="BD94" s="33">
        <f t="array" ref="BD94">INDEX(BC:BC,MIN(IF(ISNUMBER(BC94:BC290),ROW(BC94:BC290),"")))</f>
        <v>0</v>
      </c>
      <c r="BE94" s="33">
        <f t="shared" si="70"/>
        <v>0</v>
      </c>
      <c r="BF94" s="34" t="e">
        <f>BE94*VLOOKUP('Données projet'!$B$12,Paramètres!$A$1:$I$88,3,0)*VLOOKUP('Données projet'!$B$12,Paramètres!$A$1:$I$88,5,0)</f>
        <v>#N/A</v>
      </c>
      <c r="BG94" s="34" t="e">
        <f t="shared" si="71"/>
        <v>#N/A</v>
      </c>
      <c r="BH94" s="44" t="e">
        <f t="shared" si="48"/>
        <v>#N/A</v>
      </c>
      <c r="BI94" s="36">
        <f>IF(ISNA(VLOOKUP(A94,'Données projet'!$A$113:$I$133,3,0)),0,VLOOKUP(A94,'Données projet'!$A$113:$I$133,3,0))</f>
        <v>0</v>
      </c>
      <c r="BJ94" s="36">
        <f>IF(ISNA(VLOOKUP(A94,'Données projet'!$A$113:$I$133,4,0)),0,VLOOKUP(A94,'Données projet'!$A$113:$I$133,4,0))</f>
        <v>0</v>
      </c>
      <c r="BK94" s="37">
        <f>IF(ISNA(VLOOKUP(A94,'Données projet'!$A$113:$I$133,5,0)),0%,VLOOKUP(A94,'Données projet'!$A$113:$I$133,5,0)*VLOOKUP('Données projet'!$B$12,Paramètres!$A$1:$I$88,7,0))</f>
        <v>0</v>
      </c>
      <c r="BL94" s="37">
        <f>IF(ISNA(VLOOKUP(A94,'Données projet'!$A$113:$I$133,6,0)),0%,VLOOKUP(A94,'Données projet'!$A$113:$I$133,6,0)*VLOOKUP('Données projet'!$B$12,Paramètres!$A$1:$I$88,7,0))</f>
        <v>0</v>
      </c>
      <c r="BM94" s="37">
        <f>IF(ISNA(VLOOKUP(A94,'Données projet'!$A$113:$I$133,7,0)),0%,VLOOKUP(A94,'Données projet'!$A$113:$I$133,7,0))</f>
        <v>0</v>
      </c>
      <c r="BN94" s="45">
        <f>EXP(-LN(2)/35)*BN93+(1-EXP(-LN(2)/35))/(LN(2)/35)*BJ94*BK94*VLOOKUP('Données projet'!$B$9,Paramètres!$A$1:$I$88,3,0)*0.475*44/12</f>
        <v>0</v>
      </c>
      <c r="BO94" s="45">
        <f>EXP(-LN(2)/25)*BO93+(1-EXP(-LN(2)/25))/(LN(2)/25)*Calculateur!BJ94*Calculateur!BL94*VLOOKUP('Données projet'!$B$9,Paramètres!$A$1:$I$88,3,0)*0.475*44/12</f>
        <v>0</v>
      </c>
      <c r="BP94" s="45">
        <f>EXP(-LN(2)/2)*BP93+(1-EXP(-LN(2)/2))/(LN(2)/2)*BJ94*BM94*VLOOKUP('Données projet'!$B$9,Paramètres!$A$1:$I$88,3,0)*0.475*44/12</f>
        <v>0</v>
      </c>
      <c r="BQ94" s="46">
        <f t="shared" si="49"/>
        <v>0</v>
      </c>
      <c r="BR94" s="32" t="e">
        <f>VLOOKUP(A94,'Données projet'!$A$139:$I$159,2,0)</f>
        <v>#N/A</v>
      </c>
      <c r="BS94" s="33" t="e">
        <f>VLOOKUP(A94,'Données projet'!$A$139:$I$159,9,0)</f>
        <v>#N/A</v>
      </c>
      <c r="BT94" s="33">
        <f t="array" ref="BT94">INDEX(BS:BS,MIN(IF(ISNUMBER(BS94:BS290),ROW(BS94:BS290),"")))</f>
        <v>0</v>
      </c>
      <c r="BU94" s="33">
        <f t="shared" si="72"/>
        <v>0</v>
      </c>
      <c r="BV94" s="38" t="e">
        <f>BU94*VLOOKUP('Données projet'!$B$13,Paramètres!$A$1:$I$88,3,0)*VLOOKUP('Données projet'!$B$13,Paramètres!$A$1:$I$88,5,0)</f>
        <v>#N/A</v>
      </c>
      <c r="BW94" s="34" t="e">
        <f t="shared" si="73"/>
        <v>#N/A</v>
      </c>
      <c r="BX94" s="44" t="e">
        <f t="shared" si="50"/>
        <v>#N/A</v>
      </c>
      <c r="BY94" s="36">
        <f>IF(ISNA(VLOOKUP(A94,'Données projet'!$A$139:$I$159,3,0)),0,VLOOKUP(A94,'Données projet'!$A$139:$I$159,3,0))</f>
        <v>0</v>
      </c>
      <c r="BZ94" s="36">
        <f>IF(ISNA(VLOOKUP(A94,'Données projet'!$A$139:$I$159,4,0)),0,VLOOKUP(A94,'Données projet'!$A$139:$I$159,4,0))</f>
        <v>0</v>
      </c>
      <c r="CA94" s="37">
        <f>IF(ISNA(VLOOKUP(A94,'Données projet'!$A$139:$I$159,5,0)),0%,VLOOKUP(A94,'Données projet'!$A$139:$I$159,5,0)*VLOOKUP('Données projet'!$B$13,Paramètres!$A$1:$I$88,7,0))</f>
        <v>0</v>
      </c>
      <c r="CB94" s="37">
        <f>IF(ISNA(VLOOKUP(A94,'Données projet'!$A$139:$I$159,6,0)),0%,VLOOKUP(A94,'Données projet'!$A$139:$I$159,6,0)*VLOOKUP('Données projet'!$B$13,Paramètres!$A$1:$I$88,7,0))</f>
        <v>0</v>
      </c>
      <c r="CC94" s="37">
        <f>IF(ISNA(VLOOKUP(A94,'Données projet'!$A$139:$I$159,7,0)),0%,VLOOKUP(A94,'Données projet'!$A$139:$I$159,7,0))</f>
        <v>0</v>
      </c>
      <c r="CD94" s="45">
        <f>EXP(-LN(2)/35)*CD93+(1-EXP(-LN(2)/35))/(LN(2)/35)*BZ94*CA94*VLOOKUP('Données projet'!$B$9,Paramètres!$A$1:$I$88,3,0)*0.475*44/12</f>
        <v>0</v>
      </c>
      <c r="CE94" s="45">
        <f>EXP(-LN(2)/25)*CE93+(1-EXP(-LN(2)/25))/(LN(2)/25)*Calculateur!BZ94*Calculateur!CB94*VLOOKUP('Données projet'!$B$9,Paramètres!$A$1:$I$88,3,0)*0.475*44/12</f>
        <v>0</v>
      </c>
      <c r="CF94" s="45">
        <f>EXP(-LN(2)/2)*CF93+(1-EXP(-LN(2)/2))/(LN(2)/2)*BZ94*CC94*VLOOKUP('Données projet'!$B$9,Paramètres!$A$1:$I$88,3,0)*0.475*44/12</f>
        <v>0</v>
      </c>
      <c r="CG94" s="46">
        <f t="shared" si="51"/>
        <v>0</v>
      </c>
      <c r="CH94" s="32" t="e">
        <f>VLOOKUP(A94,'Données projet'!$A$165:$I$185,2,0)</f>
        <v>#N/A</v>
      </c>
      <c r="CI94" s="33" t="e">
        <f>VLOOKUP(A94,'Données projet'!$A$165:$I$185,9,0)</f>
        <v>#N/A</v>
      </c>
      <c r="CJ94" s="33">
        <f t="array" ref="CJ94">INDEX(CI:CI,MIN(IF(ISNUMBER(CI94:CI290),ROW(CI94:CI290),"")))</f>
        <v>0</v>
      </c>
      <c r="CK94" s="33">
        <f t="shared" si="74"/>
        <v>0</v>
      </c>
      <c r="CL94" s="38" t="e">
        <f>CK94*VLOOKUP('Données projet'!$B$14,Paramètres!$A$1:$I$88,3,0)*VLOOKUP('Données projet'!$B$14,Paramètres!$A$1:$I$88,5,0)</f>
        <v>#N/A</v>
      </c>
      <c r="CM94" s="34" t="e">
        <f t="shared" si="75"/>
        <v>#N/A</v>
      </c>
      <c r="CN94" s="44" t="e">
        <f t="shared" si="52"/>
        <v>#N/A</v>
      </c>
      <c r="CO94" s="36">
        <f>IF(ISNA(VLOOKUP(A94,'Données projet'!$A$165:$I$185,3,0)),0,VLOOKUP(A94,'Données projet'!$A$165:$I$185,3,0))</f>
        <v>0</v>
      </c>
      <c r="CP94" s="36">
        <f>IF(ISNA(VLOOKUP(A94,'Données projet'!$A$165:$I$185,4,0)),0,VLOOKUP(A94,'Données projet'!$A$165:$I$185,4,0))</f>
        <v>0</v>
      </c>
      <c r="CQ94" s="37">
        <f>IF(ISNA(VLOOKUP(A94,'Données projet'!$A$165:$I$185,5,0)),0%,VLOOKUP(A94,'Données projet'!$A$165:$I$185,5,0)*VLOOKUP('Données projet'!$B$14,Paramètres!$A$1:$I$88,7,0))</f>
        <v>0</v>
      </c>
      <c r="CR94" s="37">
        <f>IF(ISNA(VLOOKUP(A94,'Données projet'!$A$165:$I$185,6,0)),0%,VLOOKUP(A94,'Données projet'!$A$165:$I$185,6,0)*VLOOKUP('Données projet'!$B$14,Paramètres!$A$1:$I$88,7,0))</f>
        <v>0</v>
      </c>
      <c r="CS94" s="37">
        <f>IF(ISNA(VLOOKUP(A94,'Données projet'!$A$165:$I$185,7,0)),0%,VLOOKUP(A94,'Données projet'!$A$165:$I$185,7,0))</f>
        <v>0</v>
      </c>
      <c r="CT94" s="45">
        <f>EXP(-LN(2)/35)*CT93+(1-EXP(-LN(2)/35))/(LN(2)/35)*CP94*CQ94*VLOOKUP('Données projet'!$B$9,Paramètres!$A$1:$I$88,3,0)*0.475*44/12</f>
        <v>0</v>
      </c>
      <c r="CU94" s="45">
        <f>EXP(-LN(2)/25)*CU93+(1-EXP(-LN(2)/25))/(LN(2)/25)*Calculateur!CP94*Calculateur!CR94*VLOOKUP('Données projet'!$B$9,Paramètres!$A$1:$I$88,3,0)*0.475*44/12</f>
        <v>0</v>
      </c>
      <c r="CV94" s="45">
        <f>EXP(-LN(2)/2)*CV93+(1-EXP(-LN(2)/2))/(LN(2)/2)*CP94*CS94*VLOOKUP('Données projet'!$B$9,Paramètres!$A$1:$I$88,3,0)*0.475*44/12</f>
        <v>0</v>
      </c>
      <c r="CW94" s="46">
        <f t="shared" si="53"/>
        <v>0</v>
      </c>
      <c r="CX94" s="32" t="e">
        <f>VLOOKUP(A94,'Données projet'!$A$191:$I$211,2,0)</f>
        <v>#N/A</v>
      </c>
      <c r="CY94" s="33" t="e">
        <f>VLOOKUP(A94,'Données projet'!$A$191:$I$211,9,0)</f>
        <v>#N/A</v>
      </c>
      <c r="CZ94" s="33">
        <f t="array" ref="CZ94">INDEX(CY:CY,MIN(IF(ISNUMBER(CY94:CY290),ROW(CY94:CY290),"")))</f>
        <v>0</v>
      </c>
      <c r="DA94" s="33">
        <f t="shared" si="76"/>
        <v>0</v>
      </c>
      <c r="DB94" s="38" t="e">
        <f>DA94*VLOOKUP('Données projet'!$B$15,Paramètres!$A$1:$I$88,3,0)*VLOOKUP('Données projet'!$B$15,Paramètres!$A$1:$I$88,5,0)</f>
        <v>#N/A</v>
      </c>
      <c r="DC94" s="34" t="e">
        <f t="shared" si="77"/>
        <v>#N/A</v>
      </c>
      <c r="DD94" s="44" t="e">
        <f t="shared" si="54"/>
        <v>#N/A</v>
      </c>
      <c r="DE94" s="36">
        <f>IF(ISNA(VLOOKUP(A94,'Données projet'!$A$191:$I$211,3,0)),0,VLOOKUP(A94,'Données projet'!$A$191:$I$211,3,0))</f>
        <v>0</v>
      </c>
      <c r="DF94" s="36">
        <f>IF(ISNA(VLOOKUP(A94,'Données projet'!$A$191:$I$211,4,0)),0,VLOOKUP(A94,'Données projet'!$A$191:$I$211,4,0))</f>
        <v>0</v>
      </c>
      <c r="DG94" s="37">
        <f>IF(ISNA(VLOOKUP(A94,'Données projet'!$A$191:$I$211,5,0)),0%,VLOOKUP(A94,'Données projet'!$A$191:$I$211,5,0)*VLOOKUP('Données projet'!$B$15,Paramètres!$A$1:$I$88,7,0))</f>
        <v>0</v>
      </c>
      <c r="DH94" s="37">
        <f>IF(ISNA(VLOOKUP(A94,'Données projet'!$A$191:$I$211,6,0)),0%,VLOOKUP(A94,'Données projet'!$A$191:$I$211,6,0)*VLOOKUP('Données projet'!$B$15,Paramètres!$A$1:$I$88,7,0))</f>
        <v>0</v>
      </c>
      <c r="DI94" s="37">
        <f>IF(ISNA(VLOOKUP(A94,'Données projet'!$A$191:$I$211,7,0)),0%,VLOOKUP(A94,'Données projet'!$A$191:$I$211,7,0))</f>
        <v>0</v>
      </c>
      <c r="DJ94" s="45">
        <f>EXP(-LN(2)/35)*DJ93+(1-EXP(-LN(2)/35))/(LN(2)/35)*DF94*DG94*VLOOKUP('Données projet'!$B$9,Paramètres!$A$1:$I$88,3,0)*0.475*44/12</f>
        <v>0</v>
      </c>
      <c r="DK94" s="45">
        <f>EXP(-LN(2)/25)*DK93+(1-EXP(-LN(2)/25))/(LN(2)/25)*Calculateur!DF94*Calculateur!DH94*VLOOKUP('Données projet'!$B$9,Paramètres!$A$1:$I$88,3,0)*0.475*44/12</f>
        <v>0</v>
      </c>
      <c r="DL94" s="45">
        <f>EXP(-LN(2)/2)*DL93+(1-EXP(-LN(2)/2))/(LN(2)/2)*DF94*DI94*VLOOKUP('Données projet'!$B$9,Paramètres!$A$1:$I$88,3,0)*0.475*44/12</f>
        <v>0</v>
      </c>
      <c r="DM94" s="46">
        <f t="shared" si="55"/>
        <v>0</v>
      </c>
      <c r="DN94" s="32" t="e">
        <f>VLOOKUP(A94,'Données projet'!$A$217:$I$237,2,0)</f>
        <v>#N/A</v>
      </c>
      <c r="DO94" s="33" t="e">
        <f>VLOOKUP(A94,'Données projet'!$A$217:$I$237,9,0)</f>
        <v>#N/A</v>
      </c>
      <c r="DP94" s="33">
        <f t="array" ref="DP94">INDEX(DO:DO,MIN(IF(ISNUMBER(DO94:DO290),ROW(DO94:DO290),"")))</f>
        <v>0</v>
      </c>
      <c r="DQ94" s="33">
        <f t="shared" si="78"/>
        <v>0</v>
      </c>
      <c r="DR94" s="38" t="e">
        <f>DQ94*VLOOKUP('Données projet'!$B$16,Paramètres!$A$1:$I$88,3,0)*VLOOKUP('Données projet'!$B$16,Paramètres!$A$1:$I$88,5,0)</f>
        <v>#N/A</v>
      </c>
      <c r="DS94" s="34" t="e">
        <f t="shared" si="79"/>
        <v>#N/A</v>
      </c>
      <c r="DT94" s="44" t="e">
        <f t="shared" si="56"/>
        <v>#N/A</v>
      </c>
      <c r="DU94" s="36">
        <f>IF(ISNA(VLOOKUP(A94,'Données projet'!$A$217:$I$237,3,0)),0,VLOOKUP(A94,'Données projet'!$A$217:$I$237,3,0))</f>
        <v>0</v>
      </c>
      <c r="DV94" s="36">
        <f>IF(ISNA(VLOOKUP(A94,'Données projet'!$A$217:$I$237,4,0)),0,VLOOKUP(A94,'Données projet'!$A$217:$I$237,4,0))</f>
        <v>0</v>
      </c>
      <c r="DW94" s="37">
        <f>IF(ISNA(VLOOKUP(A94,'Données projet'!$A$217:$I$237,5,0)),0%,VLOOKUP(A94,'Données projet'!$A$217:$I$237,5,0)*VLOOKUP('Données projet'!$B$16,Paramètres!$A$1:$I$88,7,0))</f>
        <v>0</v>
      </c>
      <c r="DX94" s="37">
        <f>IF(ISNA(VLOOKUP(A94,'Données projet'!$A$217:$I$237,6,0)),0%,VLOOKUP(A94,'Données projet'!$A$217:$I$237,6,0)*VLOOKUP('Données projet'!$B$16,Paramètres!$A$1:$I$88,7,0))</f>
        <v>0</v>
      </c>
      <c r="DY94" s="37">
        <f>IF(ISNA(VLOOKUP(A94,'Données projet'!$A$217:$I$237,7,0)),0%,VLOOKUP(A94,'Données projet'!$A$217:$I$237,7,0))</f>
        <v>0</v>
      </c>
      <c r="DZ94" s="45">
        <f>EXP(-LN(2)/35)*DZ93+(1-EXP(-LN(2)/35))/(LN(2)/35)*DV94*DW94*VLOOKUP('Données projet'!$B$9,Paramètres!$A$1:$I$88,3,0)*0.475*44/12</f>
        <v>0</v>
      </c>
      <c r="EA94" s="45">
        <f>EXP(-LN(2)/25)*EA93+(1-EXP(-LN(2)/25))/(LN(2)/25)*Calculateur!DV94*Calculateur!DX94*VLOOKUP('Données projet'!$B$9,Paramètres!$A$1:$I$88,3,0)*0.475*44/12</f>
        <v>0</v>
      </c>
      <c r="EB94" s="45">
        <f>EXP(-LN(2)/2)*EB93+(1-EXP(-LN(2)/2))/(LN(2)/2)*DV94*DY94*VLOOKUP('Données projet'!$B$9,Paramètres!$A$1:$I$88,3,0)*0.475*44/12</f>
        <v>0</v>
      </c>
      <c r="EC94" s="46">
        <f t="shared" si="57"/>
        <v>0</v>
      </c>
      <c r="ED94" s="32" t="e">
        <f>VLOOKUP(A94,'Données projet'!$A$243:$I$263,2,0)</f>
        <v>#N/A</v>
      </c>
      <c r="EE94" s="33" t="e">
        <f>VLOOKUP(A94,'Données projet'!$A$243:$I$263,9,0)</f>
        <v>#N/A</v>
      </c>
      <c r="EF94" s="33">
        <f t="array" ref="EF94">INDEX(EE:EE,MIN(IF(ISNUMBER(EE94:EE290),ROW(EE94:EE290),"")))</f>
        <v>0</v>
      </c>
      <c r="EG94" s="33">
        <f t="shared" si="80"/>
        <v>0</v>
      </c>
      <c r="EH94" s="38" t="e">
        <f>EG94*VLOOKUP('Données projet'!$B$17,Paramètres!$A$1:$I$88,3,0)*VLOOKUP('Données projet'!$B$17,Paramètres!$A$1:$I$88,5,0)</f>
        <v>#N/A</v>
      </c>
      <c r="EI94" s="34" t="e">
        <f t="shared" si="81"/>
        <v>#N/A</v>
      </c>
      <c r="EJ94" s="44" t="e">
        <f t="shared" si="58"/>
        <v>#N/A</v>
      </c>
      <c r="EK94" s="36">
        <f>IF(ISNA(VLOOKUP(A94,'Données projet'!$A$243:$I$263,3,0)),0,VLOOKUP(A94,'Données projet'!$A$243:$I$263,3,0))</f>
        <v>0</v>
      </c>
      <c r="EL94" s="36">
        <f>IF(ISNA(VLOOKUP(A94,'Données projet'!$A$243:$I$263,4,0)),0,VLOOKUP(A94,'Données projet'!$A$243:$I$263,4,0))</f>
        <v>0</v>
      </c>
      <c r="EM94" s="37">
        <f>IF(ISNA(VLOOKUP(A94,'Données projet'!$A$243:$I$263,5,0)),0%,VLOOKUP(A94,'Données projet'!$A$243:$I$263,5,0)*VLOOKUP('Données projet'!$B$17,Paramètres!$A$1:$I$88,7,0))</f>
        <v>0</v>
      </c>
      <c r="EN94" s="37">
        <f>IF(ISNA(VLOOKUP(A94,'Données projet'!$A$243:$I$263,6,0)),0%,VLOOKUP(A94,'Données projet'!$A$243:$I$263,6,0)*VLOOKUP('Données projet'!$B$17,Paramètres!$A$1:$I$88,7,0))</f>
        <v>0</v>
      </c>
      <c r="EO94" s="37">
        <f>IF(ISNA(VLOOKUP(A94,'Données projet'!$A$243:$I$263,7,0)),0%,VLOOKUP(A94,'Données projet'!$A$243:$I$263,7,0))</f>
        <v>0</v>
      </c>
      <c r="EP94" s="45">
        <f>EXP(-LN(2)/35)*EP93+(1-EXP(-LN(2)/35))/(LN(2)/35)*EL94*EM94*VLOOKUP('Données projet'!$B$9,Paramètres!$A$1:$I$88,3,0)*0.475*44/12</f>
        <v>0</v>
      </c>
      <c r="EQ94" s="45">
        <f>EXP(-LN(2)/25)*EQ93+(1-EXP(-LN(2)/25))/(LN(2)/25)*Calculateur!EL94*Calculateur!EN94*VLOOKUP('Données projet'!$B$9,Paramètres!$A$1:$I$88,3,0)*0.475*44/12</f>
        <v>0</v>
      </c>
      <c r="ER94" s="45">
        <f>EXP(-LN(2)/2)*ER93+(1-EXP(-LN(2)/2))/(LN(2)/2)*EL94*EO94*VLOOKUP('Données projet'!$B$9,Paramètres!$A$1:$I$88,3,0)*0.475*44/12</f>
        <v>0</v>
      </c>
      <c r="ES94" s="46">
        <f t="shared" si="59"/>
        <v>0</v>
      </c>
      <c r="ET94" s="32" t="e">
        <f>VLOOKUP(A94,'Données projet'!$A$269:$I$289,2,0)</f>
        <v>#N/A</v>
      </c>
      <c r="EU94" s="33" t="e">
        <f>VLOOKUP(A94,'Données projet'!$A$269:$I$289,9,0)</f>
        <v>#N/A</v>
      </c>
      <c r="EV94" s="33">
        <f t="array" ref="EV94">INDEX(EU:EU,MIN(IF(ISNUMBER(EU94:EU290),ROW(EU94:EU290),"")))</f>
        <v>0</v>
      </c>
      <c r="EW94" s="33">
        <f t="shared" si="82"/>
        <v>0</v>
      </c>
      <c r="EX94" s="38" t="e">
        <f>EW94*VLOOKUP('Données projet'!$B$18,Paramètres!$A$1:$I$88,3,0)*VLOOKUP('Données projet'!$B$18,Paramètres!$A$1:$I$88,5,0)</f>
        <v>#N/A</v>
      </c>
      <c r="EY94" s="34" t="e">
        <f t="shared" si="83"/>
        <v>#N/A</v>
      </c>
      <c r="EZ94" s="44" t="e">
        <f t="shared" si="60"/>
        <v>#N/A</v>
      </c>
      <c r="FA94" s="36">
        <f>IF(ISNA(VLOOKUP(A94,'Données projet'!$A$269:$I$289,3,0)),0,VLOOKUP(A94,'Données projet'!$A$269:$I$289,3,0))</f>
        <v>0</v>
      </c>
      <c r="FB94" s="36">
        <f>IF(ISNA(VLOOKUP(A94,'Données projet'!$A$269:$I$289,4,0)),0,VLOOKUP(A94,'Données projet'!$A$269:$I$289,4,0))</f>
        <v>0</v>
      </c>
      <c r="FC94" s="37">
        <f>IF(ISNA(VLOOKUP(A94,'Données projet'!$A$269:$I$289,5,0)),0%,VLOOKUP(A94,'Données projet'!$A$269:$I$289,5,0)*VLOOKUP('Données projet'!$B$18,Paramètres!$A$1:$I$88,7,0))</f>
        <v>0</v>
      </c>
      <c r="FD94" s="37">
        <f>IF(ISNA(VLOOKUP(A94,'Données projet'!$A$269:$I$289,6,0)),0%,VLOOKUP(A94,'Données projet'!$A$269:$I$289,6,0)*VLOOKUP('Données projet'!$B$18,Paramètres!$A$1:$I$88,7,0))</f>
        <v>0</v>
      </c>
      <c r="FE94" s="37">
        <f>IF(ISNA(VLOOKUP(A94,'Données projet'!$A$269:$I$289,7,0)),0%,VLOOKUP(A94,'Données projet'!$A$269:$I$289,7,0))</f>
        <v>0</v>
      </c>
      <c r="FF94" s="45">
        <f>EXP(-LN(2)/35)*FF93+(1-EXP(-LN(2)/35))/(LN(2)/35)*FB94*FC94*VLOOKUP('Données projet'!$B$9,Paramètres!$A$1:$I$88,3,0)*0.475*44/12</f>
        <v>0</v>
      </c>
      <c r="FG94" s="45">
        <f>EXP(-LN(2)/25)*FG93+(1-EXP(-LN(2)/25))/(LN(2)/25)*Calculateur!FB94*Calculateur!FD94*VLOOKUP('Données projet'!$B$9,Paramètres!$A$1:$I$88,3,0)*0.475*44/12</f>
        <v>0</v>
      </c>
      <c r="FH94" s="45">
        <f>EXP(-LN(2)/2)*FH93+(1-EXP(-LN(2)/2))/(LN(2)/2)*FB94*FE94*VLOOKUP('Données projet'!$B$9,Paramètres!$A$1:$I$88,3,0)*0.475*44/12</f>
        <v>0</v>
      </c>
      <c r="FI94" s="46">
        <f t="shared" si="61"/>
        <v>0</v>
      </c>
    </row>
    <row r="95" spans="1:165" x14ac:dyDescent="0.25">
      <c r="A95" s="24">
        <f t="shared" si="62"/>
        <v>92</v>
      </c>
      <c r="B95" s="25">
        <f>IF('Scénario référence'!$N$1=1,5,0)</f>
        <v>0</v>
      </c>
      <c r="C95" s="40">
        <f>IF(OR('Scénario référence'!$N$1=2,'Scénario référence'!$N$1=4),C94+1*VLOOKUP('Scénario référence'!$G$14,Paramètres!$A$1:$I$88,3,0)*VLOOKUP('Scénario référence'!$G$14,Paramètres!$A$1:$I$88,5,0),IF(OR('Scénario référence'!$N$1=3,'Scénario référence'!$N$1=5),C94+0.5*VLOOKUP('Scénario référence'!$G$14,Paramètres!$A$1:$I$88,3,0)*VLOOKUP('Scénario référence'!$G$14,Paramètres!$A$1:$I$88,5,0),0))</f>
        <v>50.231999999999957</v>
      </c>
      <c r="D95" s="26">
        <f t="shared" si="63"/>
        <v>14.673658523093403</v>
      </c>
      <c r="E95" s="27">
        <f>IF('Scénario référence'!$N$1=1,B95*44/12,(C95+D95)*0.475*44/12)</f>
        <v>113.04402192772095</v>
      </c>
      <c r="F95" s="28" t="e">
        <f>VLOOKUP(A95,'Données projet'!$A$35:$I$55,2,0)</f>
        <v>#N/A</v>
      </c>
      <c r="G95" s="28" t="e">
        <f>VLOOKUP(A95,'Données projet'!$A$35:$I$55,9,0)</f>
        <v>#N/A</v>
      </c>
      <c r="H95" s="33">
        <f t="array" ref="H95">INDEX(G:G,MIN(IF(ISNUMBER(G95:G291),ROW(G95:G291),"")))</f>
        <v>5.2</v>
      </c>
      <c r="I95" s="28">
        <f t="shared" si="64"/>
        <v>284.39999999999969</v>
      </c>
      <c r="J95" s="41">
        <f>I95*VLOOKUP('Données projet'!$B$9,Paramètres!$A$1:$I$88,3,0)*VLOOKUP('Données projet'!$B$9,Paramètres!$A$1:$I$88,5,0)</f>
        <v>288.38159999999971</v>
      </c>
      <c r="K95" s="41">
        <f t="shared" si="65"/>
        <v>68.735229875936554</v>
      </c>
      <c r="L95" s="42">
        <f t="shared" si="42"/>
        <v>621.97847870058888</v>
      </c>
      <c r="M95" s="30">
        <f>IF(ISNA(VLOOKUP(A95,'Données projet'!$A$35:$I$55,3,0)),0,VLOOKUP(A95,'Données projet'!$A$35:$I$55,3,0))</f>
        <v>0</v>
      </c>
      <c r="N95" s="30">
        <f>IF(ISNA(VLOOKUP(A95,'Données projet'!$A$35:$I$55,4,0)),0,VLOOKUP(A95,'Données projet'!$A$35:$I$55,4,0))</f>
        <v>0</v>
      </c>
      <c r="O95" s="31">
        <f>IF(ISNA(VLOOKUP(A95,'Données projet'!$A$35:$I$55,5,0)),0%,VLOOKUP(A95,'Données projet'!$A$35:$I$55,5,0)*VLOOKUP('Données projet'!$B$9,Paramètres!$A$1:$I$88,7,0))</f>
        <v>0</v>
      </c>
      <c r="P95" s="31">
        <f>IF(ISNA(VLOOKUP(A95,'Données projet'!$A$35:$I$55,6,0)),0%,VLOOKUP(A95,'Données projet'!$A$35:$I$55,6,0)*VLOOKUP('Données projet'!$B$9,Paramètres!$A$1:$I$88,7,0))</f>
        <v>0</v>
      </c>
      <c r="Q95" s="31">
        <f>IF(ISNA(VLOOKUP(A95,'Données projet'!$A$35:$I$55,7,0)),0%,VLOOKUP(A95,'Données projet'!$A$35:$I$55,7,0))</f>
        <v>0</v>
      </c>
      <c r="R95" s="43">
        <f>EXP(-LN(2)/35)*R94+(1-EXP(-LN(2)/35))/(LN(2)/35)*N95*O95*VLOOKUP('Données projet'!$B$9,Paramètres!$A$1:$I$88,3,0)*0.475*44/12</f>
        <v>0</v>
      </c>
      <c r="S95" s="43">
        <f>EXP(-LN(2)/25)*S94+(1-EXP(-LN(2)/25))/(LN(2)/25)*Calculateur!N95*Calculateur!P95*VLOOKUP('Données projet'!$B$9,Paramètres!$A$1:$I$88,3,0)*0.475*44/12</f>
        <v>0</v>
      </c>
      <c r="T95" s="43">
        <f>EXP(-LN(2)/2)*T94+(1-EXP(-LN(2)/2))/(LN(2)/2)*N95*Q95*VLOOKUP('Données projet'!$B$9,Paramètres!$A$1:$I$88,3,0)*0.475*44/12</f>
        <v>0</v>
      </c>
      <c r="U95" s="43">
        <f t="shared" si="43"/>
        <v>0</v>
      </c>
      <c r="V95" s="32" t="e">
        <f>VLOOKUP(A95,'Données projet'!$A$61:$I$81,2,0)</f>
        <v>#N/A</v>
      </c>
      <c r="W95" s="33" t="e">
        <f>VLOOKUP(A95,'Données projet'!$A$61:$I$81,9,0)</f>
        <v>#N/A</v>
      </c>
      <c r="X95" s="33">
        <f t="array" ref="X95">INDEX(W:W,MIN(IF(ISNUMBER(W95:W291),ROW(W95:W291),"")))</f>
        <v>0</v>
      </c>
      <c r="Y95" s="33">
        <f t="shared" si="66"/>
        <v>0</v>
      </c>
      <c r="Z95" s="34" t="e">
        <f>Y95*VLOOKUP('Données projet'!$B$10,Paramètres!$A$1:$I$88,3,0)*VLOOKUP('Données projet'!$B$10,Paramètres!$A$1:$I$88,5,0)</f>
        <v>#N/A</v>
      </c>
      <c r="AA95" s="34" t="e">
        <f t="shared" si="67"/>
        <v>#N/A</v>
      </c>
      <c r="AB95" s="44" t="e">
        <f t="shared" si="44"/>
        <v>#N/A</v>
      </c>
      <c r="AC95" s="36">
        <f>IF(ISNA(VLOOKUP(A95,'Données projet'!$A$61:$I$81,3,0)),0,VLOOKUP(A95,'Données projet'!$A$61:$I$81,3,0))</f>
        <v>0</v>
      </c>
      <c r="AD95" s="36">
        <f>IF(ISNA(VLOOKUP(A95,'Données projet'!$A$61:$I$81,4,0)),0,VLOOKUP(A95,'Données projet'!$A$61:$I$81,4,0))</f>
        <v>0</v>
      </c>
      <c r="AE95" s="37">
        <f>IF(ISNA(VLOOKUP(A95,'Données projet'!$A$61:$I$81,5,0)),0%,VLOOKUP(A95,'Données projet'!$A$61:$I$81,5,0)*VLOOKUP('Données projet'!$B$10,Paramètres!$A$1:$I$88,7,0))</f>
        <v>0</v>
      </c>
      <c r="AF95" s="37">
        <f>IF(ISNA(VLOOKUP(A95,'Données projet'!$A$61:$I$81,6,0)),0%,VLOOKUP(A95,'Données projet'!$A$61:$I$81,6,0)*VLOOKUP('Données projet'!$B$10,Paramètres!$A$1:$I$88,7,0))</f>
        <v>0</v>
      </c>
      <c r="AG95" s="37">
        <f>IF(ISNA(VLOOKUP(A95,'Données projet'!$A$61:$I$81,7,0)),0%,VLOOKUP(A95,'Données projet'!$A$61:$I$81,7,0))</f>
        <v>0</v>
      </c>
      <c r="AH95" s="45">
        <f>EXP(-LN(2)/35)*AH94+(1-EXP(-LN(2)/35))/(LN(2)/35)*AD95*AE95*VLOOKUP('Données projet'!$B$9,Paramètres!$A$1:$I$88,3,0)*0.475*44/12</f>
        <v>0</v>
      </c>
      <c r="AI95" s="45">
        <f>EXP(-LN(2)/25)*AI94+(1-EXP(-LN(2)/25))/(LN(2)/25)*Calculateur!AD95*Calculateur!AF95*VLOOKUP('Données projet'!$B$9,Paramètres!$A$1:$I$88,3,0)*0.475*44/12</f>
        <v>0</v>
      </c>
      <c r="AJ95" s="45">
        <f>EXP(-LN(2)/2)*AJ94+(1-EXP(-LN(2)/2))/(LN(2)/2)*AD95*AG95*VLOOKUP('Données projet'!$B$9,Paramètres!$A$1:$I$88,3,0)*0.475*44/12</f>
        <v>0</v>
      </c>
      <c r="AK95" s="45">
        <f t="shared" si="45"/>
        <v>0</v>
      </c>
      <c r="AL95" s="32" t="e">
        <f>VLOOKUP(A95,'Données projet'!$A$87:$I$107,2,0)</f>
        <v>#N/A</v>
      </c>
      <c r="AM95" s="33" t="e">
        <f>VLOOKUP(A95,'Données projet'!$A$87:$I$107,9,0)</f>
        <v>#N/A</v>
      </c>
      <c r="AN95" s="33">
        <f t="array" ref="AN95">INDEX(AM:AM,MIN(IF(ISNUMBER(AM95:AM291),ROW(AM95:AM291),"")))</f>
        <v>0</v>
      </c>
      <c r="AO95" s="33">
        <f t="shared" si="68"/>
        <v>0</v>
      </c>
      <c r="AP95" s="34" t="e">
        <f>AO95*VLOOKUP('Données projet'!$B$11,Paramètres!$A$1:$I$88,3,0)*VLOOKUP('Données projet'!$B$11,Paramètres!$A$1:$I$88,5,0)</f>
        <v>#N/A</v>
      </c>
      <c r="AQ95" s="34" t="e">
        <f t="shared" si="69"/>
        <v>#N/A</v>
      </c>
      <c r="AR95" s="44" t="e">
        <f t="shared" si="46"/>
        <v>#N/A</v>
      </c>
      <c r="AS95" s="36">
        <f>IF(ISNA(VLOOKUP(A95,'Données projet'!$A$87:$I$107,3,0)),0,VLOOKUP(A95,'Données projet'!$A$87:$I$107,3,0))</f>
        <v>0</v>
      </c>
      <c r="AT95" s="36">
        <f>IF(ISNA(VLOOKUP(A95,'Données projet'!$A$87:$I$107,4,0)),0,VLOOKUP(A95,'Données projet'!$A$87:$I$107,4,0))</f>
        <v>0</v>
      </c>
      <c r="AU95" s="37">
        <f>IF(ISNA(VLOOKUP(A95,'Données projet'!$A$87:$I$107,5,0)),0%,VLOOKUP(A95,'Données projet'!$A$87:$I$107,5,0)*VLOOKUP('Données projet'!$B$11,Paramètres!$A$1:$I$88,7,0))</f>
        <v>0</v>
      </c>
      <c r="AV95" s="37">
        <f>IF(ISNA(VLOOKUP(A95,'Données projet'!$A$87:$I$107,6,0)),0%,VLOOKUP(A95,'Données projet'!$A$87:$I$107,6,0)*VLOOKUP('Données projet'!$B$11,Paramètres!$A$1:$I$88,7,0))</f>
        <v>0</v>
      </c>
      <c r="AW95" s="37">
        <f>IF(ISNA(VLOOKUP(A95,'Données projet'!$A$87:$I$107,7,0)),0%,VLOOKUP(A95,'Données projet'!$A$87:$I$107,7,0))</f>
        <v>0</v>
      </c>
      <c r="AX95" s="45">
        <f>EXP(-LN(2)/35)*AX94+(1-EXP(-LN(2)/35))/(LN(2)/35)*AT95*AU95*VLOOKUP('Données projet'!$B$9,Paramètres!$A$1:$I$88,3,0)*0.475*44/12</f>
        <v>0</v>
      </c>
      <c r="AY95" s="45">
        <f>EXP(-LN(2)/25)*AY94+(1-EXP(-LN(2)/25))/(LN(2)/25)*Calculateur!AT95*Calculateur!AV95*VLOOKUP('Données projet'!$B$9,Paramètres!$A$1:$I$88,3,0)*0.475*44/12</f>
        <v>0</v>
      </c>
      <c r="AZ95" s="45">
        <f>EXP(-LN(2)/2)*AZ94+(1-EXP(-LN(2)/2))/(LN(2)/2)*AT95*AW95*VLOOKUP('Données projet'!$B$9,Paramètres!$A$1:$I$88,3,0)*0.475*44/12</f>
        <v>0</v>
      </c>
      <c r="BA95" s="46">
        <f t="shared" si="47"/>
        <v>0</v>
      </c>
      <c r="BB95" s="32" t="e">
        <f>VLOOKUP(A95,'Données projet'!$A$113:$I$133,2,0)</f>
        <v>#N/A</v>
      </c>
      <c r="BC95" s="33" t="e">
        <f>VLOOKUP(A95,'Données projet'!$A$113:$I$133,9,0)</f>
        <v>#N/A</v>
      </c>
      <c r="BD95" s="33">
        <f t="array" ref="BD95">INDEX(BC:BC,MIN(IF(ISNUMBER(BC95:BC291),ROW(BC95:BC291),"")))</f>
        <v>0</v>
      </c>
      <c r="BE95" s="33">
        <f t="shared" si="70"/>
        <v>0</v>
      </c>
      <c r="BF95" s="34" t="e">
        <f>BE95*VLOOKUP('Données projet'!$B$12,Paramètres!$A$1:$I$88,3,0)*VLOOKUP('Données projet'!$B$12,Paramètres!$A$1:$I$88,5,0)</f>
        <v>#N/A</v>
      </c>
      <c r="BG95" s="34" t="e">
        <f t="shared" si="71"/>
        <v>#N/A</v>
      </c>
      <c r="BH95" s="44" t="e">
        <f t="shared" si="48"/>
        <v>#N/A</v>
      </c>
      <c r="BI95" s="36">
        <f>IF(ISNA(VLOOKUP(A95,'Données projet'!$A$113:$I$133,3,0)),0,VLOOKUP(A95,'Données projet'!$A$113:$I$133,3,0))</f>
        <v>0</v>
      </c>
      <c r="BJ95" s="36">
        <f>IF(ISNA(VLOOKUP(A95,'Données projet'!$A$113:$I$133,4,0)),0,VLOOKUP(A95,'Données projet'!$A$113:$I$133,4,0))</f>
        <v>0</v>
      </c>
      <c r="BK95" s="37">
        <f>IF(ISNA(VLOOKUP(A95,'Données projet'!$A$113:$I$133,5,0)),0%,VLOOKUP(A95,'Données projet'!$A$113:$I$133,5,0)*VLOOKUP('Données projet'!$B$12,Paramètres!$A$1:$I$88,7,0))</f>
        <v>0</v>
      </c>
      <c r="BL95" s="37">
        <f>IF(ISNA(VLOOKUP(A95,'Données projet'!$A$113:$I$133,6,0)),0%,VLOOKUP(A95,'Données projet'!$A$113:$I$133,6,0)*VLOOKUP('Données projet'!$B$12,Paramètres!$A$1:$I$88,7,0))</f>
        <v>0</v>
      </c>
      <c r="BM95" s="37">
        <f>IF(ISNA(VLOOKUP(A95,'Données projet'!$A$113:$I$133,7,0)),0%,VLOOKUP(A95,'Données projet'!$A$113:$I$133,7,0))</f>
        <v>0</v>
      </c>
      <c r="BN95" s="45">
        <f>EXP(-LN(2)/35)*BN94+(1-EXP(-LN(2)/35))/(LN(2)/35)*BJ95*BK95*VLOOKUP('Données projet'!$B$9,Paramètres!$A$1:$I$88,3,0)*0.475*44/12</f>
        <v>0</v>
      </c>
      <c r="BO95" s="45">
        <f>EXP(-LN(2)/25)*BO94+(1-EXP(-LN(2)/25))/(LN(2)/25)*Calculateur!BJ95*Calculateur!BL95*VLOOKUP('Données projet'!$B$9,Paramètres!$A$1:$I$88,3,0)*0.475*44/12</f>
        <v>0</v>
      </c>
      <c r="BP95" s="45">
        <f>EXP(-LN(2)/2)*BP94+(1-EXP(-LN(2)/2))/(LN(2)/2)*BJ95*BM95*VLOOKUP('Données projet'!$B$9,Paramètres!$A$1:$I$88,3,0)*0.475*44/12</f>
        <v>0</v>
      </c>
      <c r="BQ95" s="46">
        <f t="shared" si="49"/>
        <v>0</v>
      </c>
      <c r="BR95" s="32" t="e">
        <f>VLOOKUP(A95,'Données projet'!$A$139:$I$159,2,0)</f>
        <v>#N/A</v>
      </c>
      <c r="BS95" s="33" t="e">
        <f>VLOOKUP(A95,'Données projet'!$A$139:$I$159,9,0)</f>
        <v>#N/A</v>
      </c>
      <c r="BT95" s="33">
        <f t="array" ref="BT95">INDEX(BS:BS,MIN(IF(ISNUMBER(BS95:BS291),ROW(BS95:BS291),"")))</f>
        <v>0</v>
      </c>
      <c r="BU95" s="33">
        <f t="shared" si="72"/>
        <v>0</v>
      </c>
      <c r="BV95" s="38" t="e">
        <f>BU95*VLOOKUP('Données projet'!$B$13,Paramètres!$A$1:$I$88,3,0)*VLOOKUP('Données projet'!$B$13,Paramètres!$A$1:$I$88,5,0)</f>
        <v>#N/A</v>
      </c>
      <c r="BW95" s="34" t="e">
        <f t="shared" si="73"/>
        <v>#N/A</v>
      </c>
      <c r="BX95" s="44" t="e">
        <f t="shared" si="50"/>
        <v>#N/A</v>
      </c>
      <c r="BY95" s="36">
        <f>IF(ISNA(VLOOKUP(A95,'Données projet'!$A$139:$I$159,3,0)),0,VLOOKUP(A95,'Données projet'!$A$139:$I$159,3,0))</f>
        <v>0</v>
      </c>
      <c r="BZ95" s="36">
        <f>IF(ISNA(VLOOKUP(A95,'Données projet'!$A$139:$I$159,4,0)),0,VLOOKUP(A95,'Données projet'!$A$139:$I$159,4,0))</f>
        <v>0</v>
      </c>
      <c r="CA95" s="37">
        <f>IF(ISNA(VLOOKUP(A95,'Données projet'!$A$139:$I$159,5,0)),0%,VLOOKUP(A95,'Données projet'!$A$139:$I$159,5,0)*VLOOKUP('Données projet'!$B$13,Paramètres!$A$1:$I$88,7,0))</f>
        <v>0</v>
      </c>
      <c r="CB95" s="37">
        <f>IF(ISNA(VLOOKUP(A95,'Données projet'!$A$139:$I$159,6,0)),0%,VLOOKUP(A95,'Données projet'!$A$139:$I$159,6,0)*VLOOKUP('Données projet'!$B$13,Paramètres!$A$1:$I$88,7,0))</f>
        <v>0</v>
      </c>
      <c r="CC95" s="37">
        <f>IF(ISNA(VLOOKUP(A95,'Données projet'!$A$139:$I$159,7,0)),0%,VLOOKUP(A95,'Données projet'!$A$139:$I$159,7,0))</f>
        <v>0</v>
      </c>
      <c r="CD95" s="45">
        <f>EXP(-LN(2)/35)*CD94+(1-EXP(-LN(2)/35))/(LN(2)/35)*BZ95*CA95*VLOOKUP('Données projet'!$B$9,Paramètres!$A$1:$I$88,3,0)*0.475*44/12</f>
        <v>0</v>
      </c>
      <c r="CE95" s="45">
        <f>EXP(-LN(2)/25)*CE94+(1-EXP(-LN(2)/25))/(LN(2)/25)*Calculateur!BZ95*Calculateur!CB95*VLOOKUP('Données projet'!$B$9,Paramètres!$A$1:$I$88,3,0)*0.475*44/12</f>
        <v>0</v>
      </c>
      <c r="CF95" s="45">
        <f>EXP(-LN(2)/2)*CF94+(1-EXP(-LN(2)/2))/(LN(2)/2)*BZ95*CC95*VLOOKUP('Données projet'!$B$9,Paramètres!$A$1:$I$88,3,0)*0.475*44/12</f>
        <v>0</v>
      </c>
      <c r="CG95" s="46">
        <f t="shared" si="51"/>
        <v>0</v>
      </c>
      <c r="CH95" s="32" t="e">
        <f>VLOOKUP(A95,'Données projet'!$A$165:$I$185,2,0)</f>
        <v>#N/A</v>
      </c>
      <c r="CI95" s="33" t="e">
        <f>VLOOKUP(A95,'Données projet'!$A$165:$I$185,9,0)</f>
        <v>#N/A</v>
      </c>
      <c r="CJ95" s="33">
        <f t="array" ref="CJ95">INDEX(CI:CI,MIN(IF(ISNUMBER(CI95:CI291),ROW(CI95:CI291),"")))</f>
        <v>0</v>
      </c>
      <c r="CK95" s="33">
        <f t="shared" si="74"/>
        <v>0</v>
      </c>
      <c r="CL95" s="38" t="e">
        <f>CK95*VLOOKUP('Données projet'!$B$14,Paramètres!$A$1:$I$88,3,0)*VLOOKUP('Données projet'!$B$14,Paramètres!$A$1:$I$88,5,0)</f>
        <v>#N/A</v>
      </c>
      <c r="CM95" s="34" t="e">
        <f t="shared" si="75"/>
        <v>#N/A</v>
      </c>
      <c r="CN95" s="44" t="e">
        <f t="shared" si="52"/>
        <v>#N/A</v>
      </c>
      <c r="CO95" s="36">
        <f>IF(ISNA(VLOOKUP(A95,'Données projet'!$A$165:$I$185,3,0)),0,VLOOKUP(A95,'Données projet'!$A$165:$I$185,3,0))</f>
        <v>0</v>
      </c>
      <c r="CP95" s="36">
        <f>IF(ISNA(VLOOKUP(A95,'Données projet'!$A$165:$I$185,4,0)),0,VLOOKUP(A95,'Données projet'!$A$165:$I$185,4,0))</f>
        <v>0</v>
      </c>
      <c r="CQ95" s="37">
        <f>IF(ISNA(VLOOKUP(A95,'Données projet'!$A$165:$I$185,5,0)),0%,VLOOKUP(A95,'Données projet'!$A$165:$I$185,5,0)*VLOOKUP('Données projet'!$B$14,Paramètres!$A$1:$I$88,7,0))</f>
        <v>0</v>
      </c>
      <c r="CR95" s="37">
        <f>IF(ISNA(VLOOKUP(A95,'Données projet'!$A$165:$I$185,6,0)),0%,VLOOKUP(A95,'Données projet'!$A$165:$I$185,6,0)*VLOOKUP('Données projet'!$B$14,Paramètres!$A$1:$I$88,7,0))</f>
        <v>0</v>
      </c>
      <c r="CS95" s="37">
        <f>IF(ISNA(VLOOKUP(A95,'Données projet'!$A$165:$I$185,7,0)),0%,VLOOKUP(A95,'Données projet'!$A$165:$I$185,7,0))</f>
        <v>0</v>
      </c>
      <c r="CT95" s="45">
        <f>EXP(-LN(2)/35)*CT94+(1-EXP(-LN(2)/35))/(LN(2)/35)*CP95*CQ95*VLOOKUP('Données projet'!$B$9,Paramètres!$A$1:$I$88,3,0)*0.475*44/12</f>
        <v>0</v>
      </c>
      <c r="CU95" s="45">
        <f>EXP(-LN(2)/25)*CU94+(1-EXP(-LN(2)/25))/(LN(2)/25)*Calculateur!CP95*Calculateur!CR95*VLOOKUP('Données projet'!$B$9,Paramètres!$A$1:$I$88,3,0)*0.475*44/12</f>
        <v>0</v>
      </c>
      <c r="CV95" s="45">
        <f>EXP(-LN(2)/2)*CV94+(1-EXP(-LN(2)/2))/(LN(2)/2)*CP95*CS95*VLOOKUP('Données projet'!$B$9,Paramètres!$A$1:$I$88,3,0)*0.475*44/12</f>
        <v>0</v>
      </c>
      <c r="CW95" s="46">
        <f t="shared" si="53"/>
        <v>0</v>
      </c>
      <c r="CX95" s="32" t="e">
        <f>VLOOKUP(A95,'Données projet'!$A$191:$I$211,2,0)</f>
        <v>#N/A</v>
      </c>
      <c r="CY95" s="33" t="e">
        <f>VLOOKUP(A95,'Données projet'!$A$191:$I$211,9,0)</f>
        <v>#N/A</v>
      </c>
      <c r="CZ95" s="33">
        <f t="array" ref="CZ95">INDEX(CY:CY,MIN(IF(ISNUMBER(CY95:CY291),ROW(CY95:CY291),"")))</f>
        <v>0</v>
      </c>
      <c r="DA95" s="33">
        <f t="shared" si="76"/>
        <v>0</v>
      </c>
      <c r="DB95" s="38" t="e">
        <f>DA95*VLOOKUP('Données projet'!$B$15,Paramètres!$A$1:$I$88,3,0)*VLOOKUP('Données projet'!$B$15,Paramètres!$A$1:$I$88,5,0)</f>
        <v>#N/A</v>
      </c>
      <c r="DC95" s="34" t="e">
        <f t="shared" si="77"/>
        <v>#N/A</v>
      </c>
      <c r="DD95" s="44" t="e">
        <f t="shared" si="54"/>
        <v>#N/A</v>
      </c>
      <c r="DE95" s="36">
        <f>IF(ISNA(VLOOKUP(A95,'Données projet'!$A$191:$I$211,3,0)),0,VLOOKUP(A95,'Données projet'!$A$191:$I$211,3,0))</f>
        <v>0</v>
      </c>
      <c r="DF95" s="36">
        <f>IF(ISNA(VLOOKUP(A95,'Données projet'!$A$191:$I$211,4,0)),0,VLOOKUP(A95,'Données projet'!$A$191:$I$211,4,0))</f>
        <v>0</v>
      </c>
      <c r="DG95" s="37">
        <f>IF(ISNA(VLOOKUP(A95,'Données projet'!$A$191:$I$211,5,0)),0%,VLOOKUP(A95,'Données projet'!$A$191:$I$211,5,0)*VLOOKUP('Données projet'!$B$15,Paramètres!$A$1:$I$88,7,0))</f>
        <v>0</v>
      </c>
      <c r="DH95" s="37">
        <f>IF(ISNA(VLOOKUP(A95,'Données projet'!$A$191:$I$211,6,0)),0%,VLOOKUP(A95,'Données projet'!$A$191:$I$211,6,0)*VLOOKUP('Données projet'!$B$15,Paramètres!$A$1:$I$88,7,0))</f>
        <v>0</v>
      </c>
      <c r="DI95" s="37">
        <f>IF(ISNA(VLOOKUP(A95,'Données projet'!$A$191:$I$211,7,0)),0%,VLOOKUP(A95,'Données projet'!$A$191:$I$211,7,0))</f>
        <v>0</v>
      </c>
      <c r="DJ95" s="45">
        <f>EXP(-LN(2)/35)*DJ94+(1-EXP(-LN(2)/35))/(LN(2)/35)*DF95*DG95*VLOOKUP('Données projet'!$B$9,Paramètres!$A$1:$I$88,3,0)*0.475*44/12</f>
        <v>0</v>
      </c>
      <c r="DK95" s="45">
        <f>EXP(-LN(2)/25)*DK94+(1-EXP(-LN(2)/25))/(LN(2)/25)*Calculateur!DF95*Calculateur!DH95*VLOOKUP('Données projet'!$B$9,Paramètres!$A$1:$I$88,3,0)*0.475*44/12</f>
        <v>0</v>
      </c>
      <c r="DL95" s="45">
        <f>EXP(-LN(2)/2)*DL94+(1-EXP(-LN(2)/2))/(LN(2)/2)*DF95*DI95*VLOOKUP('Données projet'!$B$9,Paramètres!$A$1:$I$88,3,0)*0.475*44/12</f>
        <v>0</v>
      </c>
      <c r="DM95" s="46">
        <f t="shared" si="55"/>
        <v>0</v>
      </c>
      <c r="DN95" s="32" t="e">
        <f>VLOOKUP(A95,'Données projet'!$A$217:$I$237,2,0)</f>
        <v>#N/A</v>
      </c>
      <c r="DO95" s="33" t="e">
        <f>VLOOKUP(A95,'Données projet'!$A$217:$I$237,9,0)</f>
        <v>#N/A</v>
      </c>
      <c r="DP95" s="33">
        <f t="array" ref="DP95">INDEX(DO:DO,MIN(IF(ISNUMBER(DO95:DO291),ROW(DO95:DO291),"")))</f>
        <v>0</v>
      </c>
      <c r="DQ95" s="33">
        <f t="shared" si="78"/>
        <v>0</v>
      </c>
      <c r="DR95" s="38" t="e">
        <f>DQ95*VLOOKUP('Données projet'!$B$16,Paramètres!$A$1:$I$88,3,0)*VLOOKUP('Données projet'!$B$16,Paramètres!$A$1:$I$88,5,0)</f>
        <v>#N/A</v>
      </c>
      <c r="DS95" s="34" t="e">
        <f t="shared" si="79"/>
        <v>#N/A</v>
      </c>
      <c r="DT95" s="44" t="e">
        <f t="shared" si="56"/>
        <v>#N/A</v>
      </c>
      <c r="DU95" s="36">
        <f>IF(ISNA(VLOOKUP(A95,'Données projet'!$A$217:$I$237,3,0)),0,VLOOKUP(A95,'Données projet'!$A$217:$I$237,3,0))</f>
        <v>0</v>
      </c>
      <c r="DV95" s="36">
        <f>IF(ISNA(VLOOKUP(A95,'Données projet'!$A$217:$I$237,4,0)),0,VLOOKUP(A95,'Données projet'!$A$217:$I$237,4,0))</f>
        <v>0</v>
      </c>
      <c r="DW95" s="37">
        <f>IF(ISNA(VLOOKUP(A95,'Données projet'!$A$217:$I$237,5,0)),0%,VLOOKUP(A95,'Données projet'!$A$217:$I$237,5,0)*VLOOKUP('Données projet'!$B$16,Paramètres!$A$1:$I$88,7,0))</f>
        <v>0</v>
      </c>
      <c r="DX95" s="37">
        <f>IF(ISNA(VLOOKUP(A95,'Données projet'!$A$217:$I$237,6,0)),0%,VLOOKUP(A95,'Données projet'!$A$217:$I$237,6,0)*VLOOKUP('Données projet'!$B$16,Paramètres!$A$1:$I$88,7,0))</f>
        <v>0</v>
      </c>
      <c r="DY95" s="37">
        <f>IF(ISNA(VLOOKUP(A95,'Données projet'!$A$217:$I$237,7,0)),0%,VLOOKUP(A95,'Données projet'!$A$217:$I$237,7,0))</f>
        <v>0</v>
      </c>
      <c r="DZ95" s="45">
        <f>EXP(-LN(2)/35)*DZ94+(1-EXP(-LN(2)/35))/(LN(2)/35)*DV95*DW95*VLOOKUP('Données projet'!$B$9,Paramètres!$A$1:$I$88,3,0)*0.475*44/12</f>
        <v>0</v>
      </c>
      <c r="EA95" s="45">
        <f>EXP(-LN(2)/25)*EA94+(1-EXP(-LN(2)/25))/(LN(2)/25)*Calculateur!DV95*Calculateur!DX95*VLOOKUP('Données projet'!$B$9,Paramètres!$A$1:$I$88,3,0)*0.475*44/12</f>
        <v>0</v>
      </c>
      <c r="EB95" s="45">
        <f>EXP(-LN(2)/2)*EB94+(1-EXP(-LN(2)/2))/(LN(2)/2)*DV95*DY95*VLOOKUP('Données projet'!$B$9,Paramètres!$A$1:$I$88,3,0)*0.475*44/12</f>
        <v>0</v>
      </c>
      <c r="EC95" s="46">
        <f t="shared" si="57"/>
        <v>0</v>
      </c>
      <c r="ED95" s="32" t="e">
        <f>VLOOKUP(A95,'Données projet'!$A$243:$I$263,2,0)</f>
        <v>#N/A</v>
      </c>
      <c r="EE95" s="33" t="e">
        <f>VLOOKUP(A95,'Données projet'!$A$243:$I$263,9,0)</f>
        <v>#N/A</v>
      </c>
      <c r="EF95" s="33">
        <f t="array" ref="EF95">INDEX(EE:EE,MIN(IF(ISNUMBER(EE95:EE291),ROW(EE95:EE291),"")))</f>
        <v>0</v>
      </c>
      <c r="EG95" s="33">
        <f t="shared" si="80"/>
        <v>0</v>
      </c>
      <c r="EH95" s="38" t="e">
        <f>EG95*VLOOKUP('Données projet'!$B$17,Paramètres!$A$1:$I$88,3,0)*VLOOKUP('Données projet'!$B$17,Paramètres!$A$1:$I$88,5,0)</f>
        <v>#N/A</v>
      </c>
      <c r="EI95" s="34" t="e">
        <f t="shared" si="81"/>
        <v>#N/A</v>
      </c>
      <c r="EJ95" s="44" t="e">
        <f t="shared" si="58"/>
        <v>#N/A</v>
      </c>
      <c r="EK95" s="36">
        <f>IF(ISNA(VLOOKUP(A95,'Données projet'!$A$243:$I$263,3,0)),0,VLOOKUP(A95,'Données projet'!$A$243:$I$263,3,0))</f>
        <v>0</v>
      </c>
      <c r="EL95" s="36">
        <f>IF(ISNA(VLOOKUP(A95,'Données projet'!$A$243:$I$263,4,0)),0,VLOOKUP(A95,'Données projet'!$A$243:$I$263,4,0))</f>
        <v>0</v>
      </c>
      <c r="EM95" s="37">
        <f>IF(ISNA(VLOOKUP(A95,'Données projet'!$A$243:$I$263,5,0)),0%,VLOOKUP(A95,'Données projet'!$A$243:$I$263,5,0)*VLOOKUP('Données projet'!$B$17,Paramètres!$A$1:$I$88,7,0))</f>
        <v>0</v>
      </c>
      <c r="EN95" s="37">
        <f>IF(ISNA(VLOOKUP(A95,'Données projet'!$A$243:$I$263,6,0)),0%,VLOOKUP(A95,'Données projet'!$A$243:$I$263,6,0)*VLOOKUP('Données projet'!$B$17,Paramètres!$A$1:$I$88,7,0))</f>
        <v>0</v>
      </c>
      <c r="EO95" s="37">
        <f>IF(ISNA(VLOOKUP(A95,'Données projet'!$A$243:$I$263,7,0)),0%,VLOOKUP(A95,'Données projet'!$A$243:$I$263,7,0))</f>
        <v>0</v>
      </c>
      <c r="EP95" s="45">
        <f>EXP(-LN(2)/35)*EP94+(1-EXP(-LN(2)/35))/(LN(2)/35)*EL95*EM95*VLOOKUP('Données projet'!$B$9,Paramètres!$A$1:$I$88,3,0)*0.475*44/12</f>
        <v>0</v>
      </c>
      <c r="EQ95" s="45">
        <f>EXP(-LN(2)/25)*EQ94+(1-EXP(-LN(2)/25))/(LN(2)/25)*Calculateur!EL95*Calculateur!EN95*VLOOKUP('Données projet'!$B$9,Paramètres!$A$1:$I$88,3,0)*0.475*44/12</f>
        <v>0</v>
      </c>
      <c r="ER95" s="45">
        <f>EXP(-LN(2)/2)*ER94+(1-EXP(-LN(2)/2))/(LN(2)/2)*EL95*EO95*VLOOKUP('Données projet'!$B$9,Paramètres!$A$1:$I$88,3,0)*0.475*44/12</f>
        <v>0</v>
      </c>
      <c r="ES95" s="46">
        <f t="shared" si="59"/>
        <v>0</v>
      </c>
      <c r="ET95" s="32" t="e">
        <f>VLOOKUP(A95,'Données projet'!$A$269:$I$289,2,0)</f>
        <v>#N/A</v>
      </c>
      <c r="EU95" s="33" t="e">
        <f>VLOOKUP(A95,'Données projet'!$A$269:$I$289,9,0)</f>
        <v>#N/A</v>
      </c>
      <c r="EV95" s="33">
        <f t="array" ref="EV95">INDEX(EU:EU,MIN(IF(ISNUMBER(EU95:EU291),ROW(EU95:EU291),"")))</f>
        <v>0</v>
      </c>
      <c r="EW95" s="33">
        <f t="shared" si="82"/>
        <v>0</v>
      </c>
      <c r="EX95" s="38" t="e">
        <f>EW95*VLOOKUP('Données projet'!$B$18,Paramètres!$A$1:$I$88,3,0)*VLOOKUP('Données projet'!$B$18,Paramètres!$A$1:$I$88,5,0)</f>
        <v>#N/A</v>
      </c>
      <c r="EY95" s="34" t="e">
        <f t="shared" si="83"/>
        <v>#N/A</v>
      </c>
      <c r="EZ95" s="44" t="e">
        <f t="shared" si="60"/>
        <v>#N/A</v>
      </c>
      <c r="FA95" s="36">
        <f>IF(ISNA(VLOOKUP(A95,'Données projet'!$A$269:$I$289,3,0)),0,VLOOKUP(A95,'Données projet'!$A$269:$I$289,3,0))</f>
        <v>0</v>
      </c>
      <c r="FB95" s="36">
        <f>IF(ISNA(VLOOKUP(A95,'Données projet'!$A$269:$I$289,4,0)),0,VLOOKUP(A95,'Données projet'!$A$269:$I$289,4,0))</f>
        <v>0</v>
      </c>
      <c r="FC95" s="37">
        <f>IF(ISNA(VLOOKUP(A95,'Données projet'!$A$269:$I$289,5,0)),0%,VLOOKUP(A95,'Données projet'!$A$269:$I$289,5,0)*VLOOKUP('Données projet'!$B$18,Paramètres!$A$1:$I$88,7,0))</f>
        <v>0</v>
      </c>
      <c r="FD95" s="37">
        <f>IF(ISNA(VLOOKUP(A95,'Données projet'!$A$269:$I$289,6,0)),0%,VLOOKUP(A95,'Données projet'!$A$269:$I$289,6,0)*VLOOKUP('Données projet'!$B$18,Paramètres!$A$1:$I$88,7,0))</f>
        <v>0</v>
      </c>
      <c r="FE95" s="37">
        <f>IF(ISNA(VLOOKUP(A95,'Données projet'!$A$269:$I$289,7,0)),0%,VLOOKUP(A95,'Données projet'!$A$269:$I$289,7,0))</f>
        <v>0</v>
      </c>
      <c r="FF95" s="45">
        <f>EXP(-LN(2)/35)*FF94+(1-EXP(-LN(2)/35))/(LN(2)/35)*FB95*FC95*VLOOKUP('Données projet'!$B$9,Paramètres!$A$1:$I$88,3,0)*0.475*44/12</f>
        <v>0</v>
      </c>
      <c r="FG95" s="45">
        <f>EXP(-LN(2)/25)*FG94+(1-EXP(-LN(2)/25))/(LN(2)/25)*Calculateur!FB95*Calculateur!FD95*VLOOKUP('Données projet'!$B$9,Paramètres!$A$1:$I$88,3,0)*0.475*44/12</f>
        <v>0</v>
      </c>
      <c r="FH95" s="45">
        <f>EXP(-LN(2)/2)*FH94+(1-EXP(-LN(2)/2))/(LN(2)/2)*FB95*FE95*VLOOKUP('Données projet'!$B$9,Paramètres!$A$1:$I$88,3,0)*0.475*44/12</f>
        <v>0</v>
      </c>
      <c r="FI95" s="46">
        <f t="shared" si="61"/>
        <v>0</v>
      </c>
    </row>
    <row r="96" spans="1:165" x14ac:dyDescent="0.25">
      <c r="A96" s="24">
        <f t="shared" si="62"/>
        <v>93</v>
      </c>
      <c r="B96" s="25">
        <f>IF('Scénario référence'!$N$1=1,5,0)</f>
        <v>0</v>
      </c>
      <c r="C96" s="40">
        <f>IF(OR('Scénario référence'!$N$1=2,'Scénario référence'!$N$1=4),C95+1*VLOOKUP('Scénario référence'!$G$14,Paramètres!$A$1:$I$88,3,0)*VLOOKUP('Scénario référence'!$G$14,Paramètres!$A$1:$I$88,5,0),IF(OR('Scénario référence'!$N$1=3,'Scénario référence'!$N$1=5),C95+0.5*VLOOKUP('Scénario référence'!$G$14,Paramètres!$A$1:$I$88,3,0)*VLOOKUP('Scénario référence'!$G$14,Paramètres!$A$1:$I$88,5,0),0))</f>
        <v>50.777999999999956</v>
      </c>
      <c r="D96" s="26">
        <f t="shared" si="63"/>
        <v>14.814500647866689</v>
      </c>
      <c r="E96" s="27">
        <f>IF('Scénario référence'!$N$1=1,B96*44/12,(C96+D96)*0.475*44/12)</f>
        <v>114.24027196170107</v>
      </c>
      <c r="F96" s="28" t="e">
        <f>VLOOKUP(A96,'Données projet'!$A$35:$I$55,2,0)</f>
        <v>#N/A</v>
      </c>
      <c r="G96" s="28" t="e">
        <f>VLOOKUP(A96,'Données projet'!$A$35:$I$55,9,0)</f>
        <v>#N/A</v>
      </c>
      <c r="H96" s="33">
        <f t="array" ref="H96">INDEX(G:G,MIN(IF(ISNUMBER(G96:G292),ROW(G96:G292),"")))</f>
        <v>5.2</v>
      </c>
      <c r="I96" s="28">
        <f t="shared" si="64"/>
        <v>289.59999999999968</v>
      </c>
      <c r="J96" s="41">
        <f>I96*VLOOKUP('Données projet'!$B$9,Paramètres!$A$1:$I$88,3,0)*VLOOKUP('Données projet'!$B$9,Paramètres!$A$1:$I$88,5,0)</f>
        <v>293.65439999999973</v>
      </c>
      <c r="K96" s="41">
        <f t="shared" si="65"/>
        <v>69.844531303614474</v>
      </c>
      <c r="L96" s="42">
        <f t="shared" si="42"/>
        <v>633.09397202046136</v>
      </c>
      <c r="M96" s="30">
        <f>IF(ISNA(VLOOKUP(A96,'Données projet'!$A$35:$I$55,3,0)),0,VLOOKUP(A96,'Données projet'!$A$35:$I$55,3,0))</f>
        <v>0</v>
      </c>
      <c r="N96" s="30">
        <f>IF(ISNA(VLOOKUP(A96,'Données projet'!$A$35:$I$55,4,0)),0,VLOOKUP(A96,'Données projet'!$A$35:$I$55,4,0))</f>
        <v>0</v>
      </c>
      <c r="O96" s="31">
        <f>IF(ISNA(VLOOKUP(A96,'Données projet'!$A$35:$I$55,5,0)),0%,VLOOKUP(A96,'Données projet'!$A$35:$I$55,5,0)*VLOOKUP('Données projet'!$B$9,Paramètres!$A$1:$I$88,7,0))</f>
        <v>0</v>
      </c>
      <c r="P96" s="31">
        <f>IF(ISNA(VLOOKUP(A96,'Données projet'!$A$35:$I$55,6,0)),0%,VLOOKUP(A96,'Données projet'!$A$35:$I$55,6,0)*VLOOKUP('Données projet'!$B$9,Paramètres!$A$1:$I$88,7,0))</f>
        <v>0</v>
      </c>
      <c r="Q96" s="31">
        <f>IF(ISNA(VLOOKUP(A96,'Données projet'!$A$35:$I$55,7,0)),0%,VLOOKUP(A96,'Données projet'!$A$35:$I$55,7,0))</f>
        <v>0</v>
      </c>
      <c r="R96" s="43">
        <f>EXP(-LN(2)/35)*R95+(1-EXP(-LN(2)/35))/(LN(2)/35)*N96*O96*VLOOKUP('Données projet'!$B$9,Paramètres!$A$1:$I$88,3,0)*0.475*44/12</f>
        <v>0</v>
      </c>
      <c r="S96" s="43">
        <f>EXP(-LN(2)/25)*S95+(1-EXP(-LN(2)/25))/(LN(2)/25)*Calculateur!N96*Calculateur!P96*VLOOKUP('Données projet'!$B$9,Paramètres!$A$1:$I$88,3,0)*0.475*44/12</f>
        <v>0</v>
      </c>
      <c r="T96" s="43">
        <f>EXP(-LN(2)/2)*T95+(1-EXP(-LN(2)/2))/(LN(2)/2)*N96*Q96*VLOOKUP('Données projet'!$B$9,Paramètres!$A$1:$I$88,3,0)*0.475*44/12</f>
        <v>0</v>
      </c>
      <c r="U96" s="43">
        <f t="shared" si="43"/>
        <v>0</v>
      </c>
      <c r="V96" s="32" t="e">
        <f>VLOOKUP(A96,'Données projet'!$A$61:$I$81,2,0)</f>
        <v>#N/A</v>
      </c>
      <c r="W96" s="33" t="e">
        <f>VLOOKUP(A96,'Données projet'!$A$61:$I$81,9,0)</f>
        <v>#N/A</v>
      </c>
      <c r="X96" s="33">
        <f t="array" ref="X96">INDEX(W:W,MIN(IF(ISNUMBER(W96:W292),ROW(W96:W292),"")))</f>
        <v>0</v>
      </c>
      <c r="Y96" s="33">
        <f t="shared" si="66"/>
        <v>0</v>
      </c>
      <c r="Z96" s="34" t="e">
        <f>Y96*VLOOKUP('Données projet'!$B$10,Paramètres!$A$1:$I$88,3,0)*VLOOKUP('Données projet'!$B$10,Paramètres!$A$1:$I$88,5,0)</f>
        <v>#N/A</v>
      </c>
      <c r="AA96" s="34" t="e">
        <f t="shared" si="67"/>
        <v>#N/A</v>
      </c>
      <c r="AB96" s="44" t="e">
        <f t="shared" si="44"/>
        <v>#N/A</v>
      </c>
      <c r="AC96" s="36">
        <f>IF(ISNA(VLOOKUP(A96,'Données projet'!$A$61:$I$81,3,0)),0,VLOOKUP(A96,'Données projet'!$A$61:$I$81,3,0))</f>
        <v>0</v>
      </c>
      <c r="AD96" s="36">
        <f>IF(ISNA(VLOOKUP(A96,'Données projet'!$A$61:$I$81,4,0)),0,VLOOKUP(A96,'Données projet'!$A$61:$I$81,4,0))</f>
        <v>0</v>
      </c>
      <c r="AE96" s="37">
        <f>IF(ISNA(VLOOKUP(A96,'Données projet'!$A$61:$I$81,5,0)),0%,VLOOKUP(A96,'Données projet'!$A$61:$I$81,5,0)*VLOOKUP('Données projet'!$B$10,Paramètres!$A$1:$I$88,7,0))</f>
        <v>0</v>
      </c>
      <c r="AF96" s="37">
        <f>IF(ISNA(VLOOKUP(A96,'Données projet'!$A$61:$I$81,6,0)),0%,VLOOKUP(A96,'Données projet'!$A$61:$I$81,6,0)*VLOOKUP('Données projet'!$B$10,Paramètres!$A$1:$I$88,7,0))</f>
        <v>0</v>
      </c>
      <c r="AG96" s="37">
        <f>IF(ISNA(VLOOKUP(A96,'Données projet'!$A$61:$I$81,7,0)),0%,VLOOKUP(A96,'Données projet'!$A$61:$I$81,7,0))</f>
        <v>0</v>
      </c>
      <c r="AH96" s="45">
        <f>EXP(-LN(2)/35)*AH95+(1-EXP(-LN(2)/35))/(LN(2)/35)*AD96*AE96*VLOOKUP('Données projet'!$B$9,Paramètres!$A$1:$I$88,3,0)*0.475*44/12</f>
        <v>0</v>
      </c>
      <c r="AI96" s="45">
        <f>EXP(-LN(2)/25)*AI95+(1-EXP(-LN(2)/25))/(LN(2)/25)*Calculateur!AD96*Calculateur!AF96*VLOOKUP('Données projet'!$B$9,Paramètres!$A$1:$I$88,3,0)*0.475*44/12</f>
        <v>0</v>
      </c>
      <c r="AJ96" s="45">
        <f>EXP(-LN(2)/2)*AJ95+(1-EXP(-LN(2)/2))/(LN(2)/2)*AD96*AG96*VLOOKUP('Données projet'!$B$9,Paramètres!$A$1:$I$88,3,0)*0.475*44/12</f>
        <v>0</v>
      </c>
      <c r="AK96" s="45">
        <f t="shared" si="45"/>
        <v>0</v>
      </c>
      <c r="AL96" s="32" t="e">
        <f>VLOOKUP(A96,'Données projet'!$A$87:$I$107,2,0)</f>
        <v>#N/A</v>
      </c>
      <c r="AM96" s="33" t="e">
        <f>VLOOKUP(A96,'Données projet'!$A$87:$I$107,9,0)</f>
        <v>#N/A</v>
      </c>
      <c r="AN96" s="33">
        <f t="array" ref="AN96">INDEX(AM:AM,MIN(IF(ISNUMBER(AM96:AM292),ROW(AM96:AM292),"")))</f>
        <v>0</v>
      </c>
      <c r="AO96" s="33">
        <f t="shared" si="68"/>
        <v>0</v>
      </c>
      <c r="AP96" s="34" t="e">
        <f>AO96*VLOOKUP('Données projet'!$B$11,Paramètres!$A$1:$I$88,3,0)*VLOOKUP('Données projet'!$B$11,Paramètres!$A$1:$I$88,5,0)</f>
        <v>#N/A</v>
      </c>
      <c r="AQ96" s="34" t="e">
        <f t="shared" si="69"/>
        <v>#N/A</v>
      </c>
      <c r="AR96" s="44" t="e">
        <f t="shared" si="46"/>
        <v>#N/A</v>
      </c>
      <c r="AS96" s="36">
        <f>IF(ISNA(VLOOKUP(A96,'Données projet'!$A$87:$I$107,3,0)),0,VLOOKUP(A96,'Données projet'!$A$87:$I$107,3,0))</f>
        <v>0</v>
      </c>
      <c r="AT96" s="36">
        <f>IF(ISNA(VLOOKUP(A96,'Données projet'!$A$87:$I$107,4,0)),0,VLOOKUP(A96,'Données projet'!$A$87:$I$107,4,0))</f>
        <v>0</v>
      </c>
      <c r="AU96" s="37">
        <f>IF(ISNA(VLOOKUP(A96,'Données projet'!$A$87:$I$107,5,0)),0%,VLOOKUP(A96,'Données projet'!$A$87:$I$107,5,0)*VLOOKUP('Données projet'!$B$11,Paramètres!$A$1:$I$88,7,0))</f>
        <v>0</v>
      </c>
      <c r="AV96" s="37">
        <f>IF(ISNA(VLOOKUP(A96,'Données projet'!$A$87:$I$107,6,0)),0%,VLOOKUP(A96,'Données projet'!$A$87:$I$107,6,0)*VLOOKUP('Données projet'!$B$11,Paramètres!$A$1:$I$88,7,0))</f>
        <v>0</v>
      </c>
      <c r="AW96" s="37">
        <f>IF(ISNA(VLOOKUP(A96,'Données projet'!$A$87:$I$107,7,0)),0%,VLOOKUP(A96,'Données projet'!$A$87:$I$107,7,0))</f>
        <v>0</v>
      </c>
      <c r="AX96" s="45">
        <f>EXP(-LN(2)/35)*AX95+(1-EXP(-LN(2)/35))/(LN(2)/35)*AT96*AU96*VLOOKUP('Données projet'!$B$9,Paramètres!$A$1:$I$88,3,0)*0.475*44/12</f>
        <v>0</v>
      </c>
      <c r="AY96" s="45">
        <f>EXP(-LN(2)/25)*AY95+(1-EXP(-LN(2)/25))/(LN(2)/25)*Calculateur!AT96*Calculateur!AV96*VLOOKUP('Données projet'!$B$9,Paramètres!$A$1:$I$88,3,0)*0.475*44/12</f>
        <v>0</v>
      </c>
      <c r="AZ96" s="45">
        <f>EXP(-LN(2)/2)*AZ95+(1-EXP(-LN(2)/2))/(LN(2)/2)*AT96*AW96*VLOOKUP('Données projet'!$B$9,Paramètres!$A$1:$I$88,3,0)*0.475*44/12</f>
        <v>0</v>
      </c>
      <c r="BA96" s="46">
        <f t="shared" si="47"/>
        <v>0</v>
      </c>
      <c r="BB96" s="32" t="e">
        <f>VLOOKUP(A96,'Données projet'!$A$113:$I$133,2,0)</f>
        <v>#N/A</v>
      </c>
      <c r="BC96" s="33" t="e">
        <f>VLOOKUP(A96,'Données projet'!$A$113:$I$133,9,0)</f>
        <v>#N/A</v>
      </c>
      <c r="BD96" s="33">
        <f t="array" ref="BD96">INDEX(BC:BC,MIN(IF(ISNUMBER(BC96:BC292),ROW(BC96:BC292),"")))</f>
        <v>0</v>
      </c>
      <c r="BE96" s="33">
        <f t="shared" si="70"/>
        <v>0</v>
      </c>
      <c r="BF96" s="34" t="e">
        <f>BE96*VLOOKUP('Données projet'!$B$12,Paramètres!$A$1:$I$88,3,0)*VLOOKUP('Données projet'!$B$12,Paramètres!$A$1:$I$88,5,0)</f>
        <v>#N/A</v>
      </c>
      <c r="BG96" s="34" t="e">
        <f t="shared" si="71"/>
        <v>#N/A</v>
      </c>
      <c r="BH96" s="44" t="e">
        <f t="shared" si="48"/>
        <v>#N/A</v>
      </c>
      <c r="BI96" s="36">
        <f>IF(ISNA(VLOOKUP(A96,'Données projet'!$A$113:$I$133,3,0)),0,VLOOKUP(A96,'Données projet'!$A$113:$I$133,3,0))</f>
        <v>0</v>
      </c>
      <c r="BJ96" s="36">
        <f>IF(ISNA(VLOOKUP(A96,'Données projet'!$A$113:$I$133,4,0)),0,VLOOKUP(A96,'Données projet'!$A$113:$I$133,4,0))</f>
        <v>0</v>
      </c>
      <c r="BK96" s="37">
        <f>IF(ISNA(VLOOKUP(A96,'Données projet'!$A$113:$I$133,5,0)),0%,VLOOKUP(A96,'Données projet'!$A$113:$I$133,5,0)*VLOOKUP('Données projet'!$B$12,Paramètres!$A$1:$I$88,7,0))</f>
        <v>0</v>
      </c>
      <c r="BL96" s="37">
        <f>IF(ISNA(VLOOKUP(A96,'Données projet'!$A$113:$I$133,6,0)),0%,VLOOKUP(A96,'Données projet'!$A$113:$I$133,6,0)*VLOOKUP('Données projet'!$B$12,Paramètres!$A$1:$I$88,7,0))</f>
        <v>0</v>
      </c>
      <c r="BM96" s="37">
        <f>IF(ISNA(VLOOKUP(A96,'Données projet'!$A$113:$I$133,7,0)),0%,VLOOKUP(A96,'Données projet'!$A$113:$I$133,7,0))</f>
        <v>0</v>
      </c>
      <c r="BN96" s="45">
        <f>EXP(-LN(2)/35)*BN95+(1-EXP(-LN(2)/35))/(LN(2)/35)*BJ96*BK96*VLOOKUP('Données projet'!$B$9,Paramètres!$A$1:$I$88,3,0)*0.475*44/12</f>
        <v>0</v>
      </c>
      <c r="BO96" s="45">
        <f>EXP(-LN(2)/25)*BO95+(1-EXP(-LN(2)/25))/(LN(2)/25)*Calculateur!BJ96*Calculateur!BL96*VLOOKUP('Données projet'!$B$9,Paramètres!$A$1:$I$88,3,0)*0.475*44/12</f>
        <v>0</v>
      </c>
      <c r="BP96" s="45">
        <f>EXP(-LN(2)/2)*BP95+(1-EXP(-LN(2)/2))/(LN(2)/2)*BJ96*BM96*VLOOKUP('Données projet'!$B$9,Paramètres!$A$1:$I$88,3,0)*0.475*44/12</f>
        <v>0</v>
      </c>
      <c r="BQ96" s="46">
        <f t="shared" si="49"/>
        <v>0</v>
      </c>
      <c r="BR96" s="32" t="e">
        <f>VLOOKUP(A96,'Données projet'!$A$139:$I$159,2,0)</f>
        <v>#N/A</v>
      </c>
      <c r="BS96" s="33" t="e">
        <f>VLOOKUP(A96,'Données projet'!$A$139:$I$159,9,0)</f>
        <v>#N/A</v>
      </c>
      <c r="BT96" s="33">
        <f t="array" ref="BT96">INDEX(BS:BS,MIN(IF(ISNUMBER(BS96:BS292),ROW(BS96:BS292),"")))</f>
        <v>0</v>
      </c>
      <c r="BU96" s="33">
        <f t="shared" si="72"/>
        <v>0</v>
      </c>
      <c r="BV96" s="38" t="e">
        <f>BU96*VLOOKUP('Données projet'!$B$13,Paramètres!$A$1:$I$88,3,0)*VLOOKUP('Données projet'!$B$13,Paramètres!$A$1:$I$88,5,0)</f>
        <v>#N/A</v>
      </c>
      <c r="BW96" s="34" t="e">
        <f t="shared" si="73"/>
        <v>#N/A</v>
      </c>
      <c r="BX96" s="44" t="e">
        <f t="shared" si="50"/>
        <v>#N/A</v>
      </c>
      <c r="BY96" s="36">
        <f>IF(ISNA(VLOOKUP(A96,'Données projet'!$A$139:$I$159,3,0)),0,VLOOKUP(A96,'Données projet'!$A$139:$I$159,3,0))</f>
        <v>0</v>
      </c>
      <c r="BZ96" s="36">
        <f>IF(ISNA(VLOOKUP(A96,'Données projet'!$A$139:$I$159,4,0)),0,VLOOKUP(A96,'Données projet'!$A$139:$I$159,4,0))</f>
        <v>0</v>
      </c>
      <c r="CA96" s="37">
        <f>IF(ISNA(VLOOKUP(A96,'Données projet'!$A$139:$I$159,5,0)),0%,VLOOKUP(A96,'Données projet'!$A$139:$I$159,5,0)*VLOOKUP('Données projet'!$B$13,Paramètres!$A$1:$I$88,7,0))</f>
        <v>0</v>
      </c>
      <c r="CB96" s="37">
        <f>IF(ISNA(VLOOKUP(A96,'Données projet'!$A$139:$I$159,6,0)),0%,VLOOKUP(A96,'Données projet'!$A$139:$I$159,6,0)*VLOOKUP('Données projet'!$B$13,Paramètres!$A$1:$I$88,7,0))</f>
        <v>0</v>
      </c>
      <c r="CC96" s="37">
        <f>IF(ISNA(VLOOKUP(A96,'Données projet'!$A$139:$I$159,7,0)),0%,VLOOKUP(A96,'Données projet'!$A$139:$I$159,7,0))</f>
        <v>0</v>
      </c>
      <c r="CD96" s="45">
        <f>EXP(-LN(2)/35)*CD95+(1-EXP(-LN(2)/35))/(LN(2)/35)*BZ96*CA96*VLOOKUP('Données projet'!$B$9,Paramètres!$A$1:$I$88,3,0)*0.475*44/12</f>
        <v>0</v>
      </c>
      <c r="CE96" s="45">
        <f>EXP(-LN(2)/25)*CE95+(1-EXP(-LN(2)/25))/(LN(2)/25)*Calculateur!BZ96*Calculateur!CB96*VLOOKUP('Données projet'!$B$9,Paramètres!$A$1:$I$88,3,0)*0.475*44/12</f>
        <v>0</v>
      </c>
      <c r="CF96" s="45">
        <f>EXP(-LN(2)/2)*CF95+(1-EXP(-LN(2)/2))/(LN(2)/2)*BZ96*CC96*VLOOKUP('Données projet'!$B$9,Paramètres!$A$1:$I$88,3,0)*0.475*44/12</f>
        <v>0</v>
      </c>
      <c r="CG96" s="46">
        <f t="shared" si="51"/>
        <v>0</v>
      </c>
      <c r="CH96" s="32" t="e">
        <f>VLOOKUP(A96,'Données projet'!$A$165:$I$185,2,0)</f>
        <v>#N/A</v>
      </c>
      <c r="CI96" s="33" t="e">
        <f>VLOOKUP(A96,'Données projet'!$A$165:$I$185,9,0)</f>
        <v>#N/A</v>
      </c>
      <c r="CJ96" s="33">
        <f t="array" ref="CJ96">INDEX(CI:CI,MIN(IF(ISNUMBER(CI96:CI292),ROW(CI96:CI292),"")))</f>
        <v>0</v>
      </c>
      <c r="CK96" s="33">
        <f t="shared" si="74"/>
        <v>0</v>
      </c>
      <c r="CL96" s="38" t="e">
        <f>CK96*VLOOKUP('Données projet'!$B$14,Paramètres!$A$1:$I$88,3,0)*VLOOKUP('Données projet'!$B$14,Paramètres!$A$1:$I$88,5,0)</f>
        <v>#N/A</v>
      </c>
      <c r="CM96" s="34" t="e">
        <f t="shared" si="75"/>
        <v>#N/A</v>
      </c>
      <c r="CN96" s="44" t="e">
        <f t="shared" si="52"/>
        <v>#N/A</v>
      </c>
      <c r="CO96" s="36">
        <f>IF(ISNA(VLOOKUP(A96,'Données projet'!$A$165:$I$185,3,0)),0,VLOOKUP(A96,'Données projet'!$A$165:$I$185,3,0))</f>
        <v>0</v>
      </c>
      <c r="CP96" s="36">
        <f>IF(ISNA(VLOOKUP(A96,'Données projet'!$A$165:$I$185,4,0)),0,VLOOKUP(A96,'Données projet'!$A$165:$I$185,4,0))</f>
        <v>0</v>
      </c>
      <c r="CQ96" s="37">
        <f>IF(ISNA(VLOOKUP(A96,'Données projet'!$A$165:$I$185,5,0)),0%,VLOOKUP(A96,'Données projet'!$A$165:$I$185,5,0)*VLOOKUP('Données projet'!$B$14,Paramètres!$A$1:$I$88,7,0))</f>
        <v>0</v>
      </c>
      <c r="CR96" s="37">
        <f>IF(ISNA(VLOOKUP(A96,'Données projet'!$A$165:$I$185,6,0)),0%,VLOOKUP(A96,'Données projet'!$A$165:$I$185,6,0)*VLOOKUP('Données projet'!$B$14,Paramètres!$A$1:$I$88,7,0))</f>
        <v>0</v>
      </c>
      <c r="CS96" s="37">
        <f>IF(ISNA(VLOOKUP(A96,'Données projet'!$A$165:$I$185,7,0)),0%,VLOOKUP(A96,'Données projet'!$A$165:$I$185,7,0))</f>
        <v>0</v>
      </c>
      <c r="CT96" s="45">
        <f>EXP(-LN(2)/35)*CT95+(1-EXP(-LN(2)/35))/(LN(2)/35)*CP96*CQ96*VLOOKUP('Données projet'!$B$9,Paramètres!$A$1:$I$88,3,0)*0.475*44/12</f>
        <v>0</v>
      </c>
      <c r="CU96" s="45">
        <f>EXP(-LN(2)/25)*CU95+(1-EXP(-LN(2)/25))/(LN(2)/25)*Calculateur!CP96*Calculateur!CR96*VLOOKUP('Données projet'!$B$9,Paramètres!$A$1:$I$88,3,0)*0.475*44/12</f>
        <v>0</v>
      </c>
      <c r="CV96" s="45">
        <f>EXP(-LN(2)/2)*CV95+(1-EXP(-LN(2)/2))/(LN(2)/2)*CP96*CS96*VLOOKUP('Données projet'!$B$9,Paramètres!$A$1:$I$88,3,0)*0.475*44/12</f>
        <v>0</v>
      </c>
      <c r="CW96" s="46">
        <f t="shared" si="53"/>
        <v>0</v>
      </c>
      <c r="CX96" s="32" t="e">
        <f>VLOOKUP(A96,'Données projet'!$A$191:$I$211,2,0)</f>
        <v>#N/A</v>
      </c>
      <c r="CY96" s="33" t="e">
        <f>VLOOKUP(A96,'Données projet'!$A$191:$I$211,9,0)</f>
        <v>#N/A</v>
      </c>
      <c r="CZ96" s="33">
        <f t="array" ref="CZ96">INDEX(CY:CY,MIN(IF(ISNUMBER(CY96:CY292),ROW(CY96:CY292),"")))</f>
        <v>0</v>
      </c>
      <c r="DA96" s="33">
        <f t="shared" si="76"/>
        <v>0</v>
      </c>
      <c r="DB96" s="38" t="e">
        <f>DA96*VLOOKUP('Données projet'!$B$15,Paramètres!$A$1:$I$88,3,0)*VLOOKUP('Données projet'!$B$15,Paramètres!$A$1:$I$88,5,0)</f>
        <v>#N/A</v>
      </c>
      <c r="DC96" s="34" t="e">
        <f t="shared" si="77"/>
        <v>#N/A</v>
      </c>
      <c r="DD96" s="44" t="e">
        <f t="shared" si="54"/>
        <v>#N/A</v>
      </c>
      <c r="DE96" s="36">
        <f>IF(ISNA(VLOOKUP(A96,'Données projet'!$A$191:$I$211,3,0)),0,VLOOKUP(A96,'Données projet'!$A$191:$I$211,3,0))</f>
        <v>0</v>
      </c>
      <c r="DF96" s="36">
        <f>IF(ISNA(VLOOKUP(A96,'Données projet'!$A$191:$I$211,4,0)),0,VLOOKUP(A96,'Données projet'!$A$191:$I$211,4,0))</f>
        <v>0</v>
      </c>
      <c r="DG96" s="37">
        <f>IF(ISNA(VLOOKUP(A96,'Données projet'!$A$191:$I$211,5,0)),0%,VLOOKUP(A96,'Données projet'!$A$191:$I$211,5,0)*VLOOKUP('Données projet'!$B$15,Paramètres!$A$1:$I$88,7,0))</f>
        <v>0</v>
      </c>
      <c r="DH96" s="37">
        <f>IF(ISNA(VLOOKUP(A96,'Données projet'!$A$191:$I$211,6,0)),0%,VLOOKUP(A96,'Données projet'!$A$191:$I$211,6,0)*VLOOKUP('Données projet'!$B$15,Paramètres!$A$1:$I$88,7,0))</f>
        <v>0</v>
      </c>
      <c r="DI96" s="37">
        <f>IF(ISNA(VLOOKUP(A96,'Données projet'!$A$191:$I$211,7,0)),0%,VLOOKUP(A96,'Données projet'!$A$191:$I$211,7,0))</f>
        <v>0</v>
      </c>
      <c r="DJ96" s="45">
        <f>EXP(-LN(2)/35)*DJ95+(1-EXP(-LN(2)/35))/(LN(2)/35)*DF96*DG96*VLOOKUP('Données projet'!$B$9,Paramètres!$A$1:$I$88,3,0)*0.475*44/12</f>
        <v>0</v>
      </c>
      <c r="DK96" s="45">
        <f>EXP(-LN(2)/25)*DK95+(1-EXP(-LN(2)/25))/(LN(2)/25)*Calculateur!DF96*Calculateur!DH96*VLOOKUP('Données projet'!$B$9,Paramètres!$A$1:$I$88,3,0)*0.475*44/12</f>
        <v>0</v>
      </c>
      <c r="DL96" s="45">
        <f>EXP(-LN(2)/2)*DL95+(1-EXP(-LN(2)/2))/(LN(2)/2)*DF96*DI96*VLOOKUP('Données projet'!$B$9,Paramètres!$A$1:$I$88,3,0)*0.475*44/12</f>
        <v>0</v>
      </c>
      <c r="DM96" s="46">
        <f t="shared" si="55"/>
        <v>0</v>
      </c>
      <c r="DN96" s="32" t="e">
        <f>VLOOKUP(A96,'Données projet'!$A$217:$I$237,2,0)</f>
        <v>#N/A</v>
      </c>
      <c r="DO96" s="33" t="e">
        <f>VLOOKUP(A96,'Données projet'!$A$217:$I$237,9,0)</f>
        <v>#N/A</v>
      </c>
      <c r="DP96" s="33">
        <f t="array" ref="DP96">INDEX(DO:DO,MIN(IF(ISNUMBER(DO96:DO292),ROW(DO96:DO292),"")))</f>
        <v>0</v>
      </c>
      <c r="DQ96" s="33">
        <f t="shared" si="78"/>
        <v>0</v>
      </c>
      <c r="DR96" s="38" t="e">
        <f>DQ96*VLOOKUP('Données projet'!$B$16,Paramètres!$A$1:$I$88,3,0)*VLOOKUP('Données projet'!$B$16,Paramètres!$A$1:$I$88,5,0)</f>
        <v>#N/A</v>
      </c>
      <c r="DS96" s="34" t="e">
        <f t="shared" si="79"/>
        <v>#N/A</v>
      </c>
      <c r="DT96" s="44" t="e">
        <f t="shared" si="56"/>
        <v>#N/A</v>
      </c>
      <c r="DU96" s="36">
        <f>IF(ISNA(VLOOKUP(A96,'Données projet'!$A$217:$I$237,3,0)),0,VLOOKUP(A96,'Données projet'!$A$217:$I$237,3,0))</f>
        <v>0</v>
      </c>
      <c r="DV96" s="36">
        <f>IF(ISNA(VLOOKUP(A96,'Données projet'!$A$217:$I$237,4,0)),0,VLOOKUP(A96,'Données projet'!$A$217:$I$237,4,0))</f>
        <v>0</v>
      </c>
      <c r="DW96" s="37">
        <f>IF(ISNA(VLOOKUP(A96,'Données projet'!$A$217:$I$237,5,0)),0%,VLOOKUP(A96,'Données projet'!$A$217:$I$237,5,0)*VLOOKUP('Données projet'!$B$16,Paramètres!$A$1:$I$88,7,0))</f>
        <v>0</v>
      </c>
      <c r="DX96" s="37">
        <f>IF(ISNA(VLOOKUP(A96,'Données projet'!$A$217:$I$237,6,0)),0%,VLOOKUP(A96,'Données projet'!$A$217:$I$237,6,0)*VLOOKUP('Données projet'!$B$16,Paramètres!$A$1:$I$88,7,0))</f>
        <v>0</v>
      </c>
      <c r="DY96" s="37">
        <f>IF(ISNA(VLOOKUP(A96,'Données projet'!$A$217:$I$237,7,0)),0%,VLOOKUP(A96,'Données projet'!$A$217:$I$237,7,0))</f>
        <v>0</v>
      </c>
      <c r="DZ96" s="45">
        <f>EXP(-LN(2)/35)*DZ95+(1-EXP(-LN(2)/35))/(LN(2)/35)*DV96*DW96*VLOOKUP('Données projet'!$B$9,Paramètres!$A$1:$I$88,3,0)*0.475*44/12</f>
        <v>0</v>
      </c>
      <c r="EA96" s="45">
        <f>EXP(-LN(2)/25)*EA95+(1-EXP(-LN(2)/25))/(LN(2)/25)*Calculateur!DV96*Calculateur!DX96*VLOOKUP('Données projet'!$B$9,Paramètres!$A$1:$I$88,3,0)*0.475*44/12</f>
        <v>0</v>
      </c>
      <c r="EB96" s="45">
        <f>EXP(-LN(2)/2)*EB95+(1-EXP(-LN(2)/2))/(LN(2)/2)*DV96*DY96*VLOOKUP('Données projet'!$B$9,Paramètres!$A$1:$I$88,3,0)*0.475*44/12</f>
        <v>0</v>
      </c>
      <c r="EC96" s="46">
        <f t="shared" si="57"/>
        <v>0</v>
      </c>
      <c r="ED96" s="32" t="e">
        <f>VLOOKUP(A96,'Données projet'!$A$243:$I$263,2,0)</f>
        <v>#N/A</v>
      </c>
      <c r="EE96" s="33" t="e">
        <f>VLOOKUP(A96,'Données projet'!$A$243:$I$263,9,0)</f>
        <v>#N/A</v>
      </c>
      <c r="EF96" s="33">
        <f t="array" ref="EF96">INDEX(EE:EE,MIN(IF(ISNUMBER(EE96:EE292),ROW(EE96:EE292),"")))</f>
        <v>0</v>
      </c>
      <c r="EG96" s="33">
        <f t="shared" si="80"/>
        <v>0</v>
      </c>
      <c r="EH96" s="38" t="e">
        <f>EG96*VLOOKUP('Données projet'!$B$17,Paramètres!$A$1:$I$88,3,0)*VLOOKUP('Données projet'!$B$17,Paramètres!$A$1:$I$88,5,0)</f>
        <v>#N/A</v>
      </c>
      <c r="EI96" s="34" t="e">
        <f t="shared" si="81"/>
        <v>#N/A</v>
      </c>
      <c r="EJ96" s="44" t="e">
        <f t="shared" si="58"/>
        <v>#N/A</v>
      </c>
      <c r="EK96" s="36">
        <f>IF(ISNA(VLOOKUP(A96,'Données projet'!$A$243:$I$263,3,0)),0,VLOOKUP(A96,'Données projet'!$A$243:$I$263,3,0))</f>
        <v>0</v>
      </c>
      <c r="EL96" s="36">
        <f>IF(ISNA(VLOOKUP(A96,'Données projet'!$A$243:$I$263,4,0)),0,VLOOKUP(A96,'Données projet'!$A$243:$I$263,4,0))</f>
        <v>0</v>
      </c>
      <c r="EM96" s="37">
        <f>IF(ISNA(VLOOKUP(A96,'Données projet'!$A$243:$I$263,5,0)),0%,VLOOKUP(A96,'Données projet'!$A$243:$I$263,5,0)*VLOOKUP('Données projet'!$B$17,Paramètres!$A$1:$I$88,7,0))</f>
        <v>0</v>
      </c>
      <c r="EN96" s="37">
        <f>IF(ISNA(VLOOKUP(A96,'Données projet'!$A$243:$I$263,6,0)),0%,VLOOKUP(A96,'Données projet'!$A$243:$I$263,6,0)*VLOOKUP('Données projet'!$B$17,Paramètres!$A$1:$I$88,7,0))</f>
        <v>0</v>
      </c>
      <c r="EO96" s="37">
        <f>IF(ISNA(VLOOKUP(A96,'Données projet'!$A$243:$I$263,7,0)),0%,VLOOKUP(A96,'Données projet'!$A$243:$I$263,7,0))</f>
        <v>0</v>
      </c>
      <c r="EP96" s="45">
        <f>EXP(-LN(2)/35)*EP95+(1-EXP(-LN(2)/35))/(LN(2)/35)*EL96*EM96*VLOOKUP('Données projet'!$B$9,Paramètres!$A$1:$I$88,3,0)*0.475*44/12</f>
        <v>0</v>
      </c>
      <c r="EQ96" s="45">
        <f>EXP(-LN(2)/25)*EQ95+(1-EXP(-LN(2)/25))/(LN(2)/25)*Calculateur!EL96*Calculateur!EN96*VLOOKUP('Données projet'!$B$9,Paramètres!$A$1:$I$88,3,0)*0.475*44/12</f>
        <v>0</v>
      </c>
      <c r="ER96" s="45">
        <f>EXP(-LN(2)/2)*ER95+(1-EXP(-LN(2)/2))/(LN(2)/2)*EL96*EO96*VLOOKUP('Données projet'!$B$9,Paramètres!$A$1:$I$88,3,0)*0.475*44/12</f>
        <v>0</v>
      </c>
      <c r="ES96" s="46">
        <f t="shared" si="59"/>
        <v>0</v>
      </c>
      <c r="ET96" s="32" t="e">
        <f>VLOOKUP(A96,'Données projet'!$A$269:$I$289,2,0)</f>
        <v>#N/A</v>
      </c>
      <c r="EU96" s="33" t="e">
        <f>VLOOKUP(A96,'Données projet'!$A$269:$I$289,9,0)</f>
        <v>#N/A</v>
      </c>
      <c r="EV96" s="33">
        <f t="array" ref="EV96">INDEX(EU:EU,MIN(IF(ISNUMBER(EU96:EU292),ROW(EU96:EU292),"")))</f>
        <v>0</v>
      </c>
      <c r="EW96" s="33">
        <f t="shared" si="82"/>
        <v>0</v>
      </c>
      <c r="EX96" s="38" t="e">
        <f>EW96*VLOOKUP('Données projet'!$B$18,Paramètres!$A$1:$I$88,3,0)*VLOOKUP('Données projet'!$B$18,Paramètres!$A$1:$I$88,5,0)</f>
        <v>#N/A</v>
      </c>
      <c r="EY96" s="34" t="e">
        <f t="shared" si="83"/>
        <v>#N/A</v>
      </c>
      <c r="EZ96" s="44" t="e">
        <f t="shared" si="60"/>
        <v>#N/A</v>
      </c>
      <c r="FA96" s="36">
        <f>IF(ISNA(VLOOKUP(A96,'Données projet'!$A$269:$I$289,3,0)),0,VLOOKUP(A96,'Données projet'!$A$269:$I$289,3,0))</f>
        <v>0</v>
      </c>
      <c r="FB96" s="36">
        <f>IF(ISNA(VLOOKUP(A96,'Données projet'!$A$269:$I$289,4,0)),0,VLOOKUP(A96,'Données projet'!$A$269:$I$289,4,0))</f>
        <v>0</v>
      </c>
      <c r="FC96" s="37">
        <f>IF(ISNA(VLOOKUP(A96,'Données projet'!$A$269:$I$289,5,0)),0%,VLOOKUP(A96,'Données projet'!$A$269:$I$289,5,0)*VLOOKUP('Données projet'!$B$18,Paramètres!$A$1:$I$88,7,0))</f>
        <v>0</v>
      </c>
      <c r="FD96" s="37">
        <f>IF(ISNA(VLOOKUP(A96,'Données projet'!$A$269:$I$289,6,0)),0%,VLOOKUP(A96,'Données projet'!$A$269:$I$289,6,0)*VLOOKUP('Données projet'!$B$18,Paramètres!$A$1:$I$88,7,0))</f>
        <v>0</v>
      </c>
      <c r="FE96" s="37">
        <f>IF(ISNA(VLOOKUP(A96,'Données projet'!$A$269:$I$289,7,0)),0%,VLOOKUP(A96,'Données projet'!$A$269:$I$289,7,0))</f>
        <v>0</v>
      </c>
      <c r="FF96" s="45">
        <f>EXP(-LN(2)/35)*FF95+(1-EXP(-LN(2)/35))/(LN(2)/35)*FB96*FC96*VLOOKUP('Données projet'!$B$9,Paramètres!$A$1:$I$88,3,0)*0.475*44/12</f>
        <v>0</v>
      </c>
      <c r="FG96" s="45">
        <f>EXP(-LN(2)/25)*FG95+(1-EXP(-LN(2)/25))/(LN(2)/25)*Calculateur!FB96*Calculateur!FD96*VLOOKUP('Données projet'!$B$9,Paramètres!$A$1:$I$88,3,0)*0.475*44/12</f>
        <v>0</v>
      </c>
      <c r="FH96" s="45">
        <f>EXP(-LN(2)/2)*FH95+(1-EXP(-LN(2)/2))/(LN(2)/2)*FB96*FE96*VLOOKUP('Données projet'!$B$9,Paramètres!$A$1:$I$88,3,0)*0.475*44/12</f>
        <v>0</v>
      </c>
      <c r="FI96" s="46">
        <f t="shared" si="61"/>
        <v>0</v>
      </c>
    </row>
    <row r="97" spans="1:165" x14ac:dyDescent="0.25">
      <c r="A97" s="24">
        <f t="shared" si="62"/>
        <v>94</v>
      </c>
      <c r="B97" s="25">
        <f>IF('Scénario référence'!$N$1=1,5,0)</f>
        <v>0</v>
      </c>
      <c r="C97" s="40">
        <f>IF(OR('Scénario référence'!$N$1=2,'Scénario référence'!$N$1=4),C96+1*VLOOKUP('Scénario référence'!$G$14,Paramètres!$A$1:$I$88,3,0)*VLOOKUP('Scénario référence'!$G$14,Paramètres!$A$1:$I$88,5,0),IF(OR('Scénario référence'!$N$1=3,'Scénario référence'!$N$1=5),C96+0.5*VLOOKUP('Scénario référence'!$G$14,Paramètres!$A$1:$I$88,3,0)*VLOOKUP('Scénario référence'!$G$14,Paramètres!$A$1:$I$88,5,0),0))</f>
        <v>51.323999999999955</v>
      </c>
      <c r="D97" s="26">
        <f t="shared" si="63"/>
        <v>14.955166599500016</v>
      </c>
      <c r="E97" s="27">
        <f>IF('Scénario référence'!$N$1=1,B97*44/12,(C97+D97)*0.475*44/12)</f>
        <v>115.43621516079578</v>
      </c>
      <c r="F97" s="28" t="e">
        <f>VLOOKUP(A97,'Données projet'!$A$35:$I$55,2,0)</f>
        <v>#N/A</v>
      </c>
      <c r="G97" s="28" t="e">
        <f>VLOOKUP(A97,'Données projet'!$A$35:$I$55,9,0)</f>
        <v>#N/A</v>
      </c>
      <c r="H97" s="33">
        <f t="array" ref="H97">INDEX(G:G,MIN(IF(ISNUMBER(G97:G293),ROW(G97:G293),"")))</f>
        <v>5.2</v>
      </c>
      <c r="I97" s="28">
        <f t="shared" si="64"/>
        <v>294.79999999999967</v>
      </c>
      <c r="J97" s="41">
        <f>I97*VLOOKUP('Données projet'!$B$9,Paramètres!$A$1:$I$88,3,0)*VLOOKUP('Données projet'!$B$9,Paramètres!$A$1:$I$88,5,0)</f>
        <v>298.92719999999969</v>
      </c>
      <c r="K97" s="41">
        <f t="shared" si="65"/>
        <v>70.951516519653524</v>
      </c>
      <c r="L97" s="42">
        <f t="shared" si="42"/>
        <v>644.20543127172925</v>
      </c>
      <c r="M97" s="30">
        <f>IF(ISNA(VLOOKUP(A97,'Données projet'!$A$35:$I$55,3,0)),0,VLOOKUP(A97,'Données projet'!$A$35:$I$55,3,0))</f>
        <v>0</v>
      </c>
      <c r="N97" s="30">
        <f>IF(ISNA(VLOOKUP(A97,'Données projet'!$A$35:$I$55,4,0)),0,VLOOKUP(A97,'Données projet'!$A$35:$I$55,4,0))</f>
        <v>0</v>
      </c>
      <c r="O97" s="31">
        <f>IF(ISNA(VLOOKUP(A97,'Données projet'!$A$35:$I$55,5,0)),0%,VLOOKUP(A97,'Données projet'!$A$35:$I$55,5,0)*VLOOKUP('Données projet'!$B$9,Paramètres!$A$1:$I$88,7,0))</f>
        <v>0</v>
      </c>
      <c r="P97" s="31">
        <f>IF(ISNA(VLOOKUP(A97,'Données projet'!$A$35:$I$55,6,0)),0%,VLOOKUP(A97,'Données projet'!$A$35:$I$55,6,0)*VLOOKUP('Données projet'!$B$9,Paramètres!$A$1:$I$88,7,0))</f>
        <v>0</v>
      </c>
      <c r="Q97" s="31">
        <f>IF(ISNA(VLOOKUP(A97,'Données projet'!$A$35:$I$55,7,0)),0%,VLOOKUP(A97,'Données projet'!$A$35:$I$55,7,0))</f>
        <v>0</v>
      </c>
      <c r="R97" s="43">
        <f>EXP(-LN(2)/35)*R96+(1-EXP(-LN(2)/35))/(LN(2)/35)*N97*O97*VLOOKUP('Données projet'!$B$9,Paramètres!$A$1:$I$88,3,0)*0.475*44/12</f>
        <v>0</v>
      </c>
      <c r="S97" s="43">
        <f>EXP(-LN(2)/25)*S96+(1-EXP(-LN(2)/25))/(LN(2)/25)*Calculateur!N97*Calculateur!P97*VLOOKUP('Données projet'!$B$9,Paramètres!$A$1:$I$88,3,0)*0.475*44/12</f>
        <v>0</v>
      </c>
      <c r="T97" s="43">
        <f>EXP(-LN(2)/2)*T96+(1-EXP(-LN(2)/2))/(LN(2)/2)*N97*Q97*VLOOKUP('Données projet'!$B$9,Paramètres!$A$1:$I$88,3,0)*0.475*44/12</f>
        <v>0</v>
      </c>
      <c r="U97" s="43">
        <f t="shared" si="43"/>
        <v>0</v>
      </c>
      <c r="V97" s="32" t="e">
        <f>VLOOKUP(A97,'Données projet'!$A$61:$I$81,2,0)</f>
        <v>#N/A</v>
      </c>
      <c r="W97" s="33" t="e">
        <f>VLOOKUP(A97,'Données projet'!$A$61:$I$81,9,0)</f>
        <v>#N/A</v>
      </c>
      <c r="X97" s="33">
        <f t="array" ref="X97">INDEX(W:W,MIN(IF(ISNUMBER(W97:W293),ROW(W97:W293),"")))</f>
        <v>0</v>
      </c>
      <c r="Y97" s="33">
        <f t="shared" si="66"/>
        <v>0</v>
      </c>
      <c r="Z97" s="34" t="e">
        <f>Y97*VLOOKUP('Données projet'!$B$10,Paramètres!$A$1:$I$88,3,0)*VLOOKUP('Données projet'!$B$10,Paramètres!$A$1:$I$88,5,0)</f>
        <v>#N/A</v>
      </c>
      <c r="AA97" s="34" t="e">
        <f t="shared" si="67"/>
        <v>#N/A</v>
      </c>
      <c r="AB97" s="44" t="e">
        <f t="shared" si="44"/>
        <v>#N/A</v>
      </c>
      <c r="AC97" s="36">
        <f>IF(ISNA(VLOOKUP(A97,'Données projet'!$A$61:$I$81,3,0)),0,VLOOKUP(A97,'Données projet'!$A$61:$I$81,3,0))</f>
        <v>0</v>
      </c>
      <c r="AD97" s="36">
        <f>IF(ISNA(VLOOKUP(A97,'Données projet'!$A$61:$I$81,4,0)),0,VLOOKUP(A97,'Données projet'!$A$61:$I$81,4,0))</f>
        <v>0</v>
      </c>
      <c r="AE97" s="37">
        <f>IF(ISNA(VLOOKUP(A97,'Données projet'!$A$61:$I$81,5,0)),0%,VLOOKUP(A97,'Données projet'!$A$61:$I$81,5,0)*VLOOKUP('Données projet'!$B$10,Paramètres!$A$1:$I$88,7,0))</f>
        <v>0</v>
      </c>
      <c r="AF97" s="37">
        <f>IF(ISNA(VLOOKUP(A97,'Données projet'!$A$61:$I$81,6,0)),0%,VLOOKUP(A97,'Données projet'!$A$61:$I$81,6,0)*VLOOKUP('Données projet'!$B$10,Paramètres!$A$1:$I$88,7,0))</f>
        <v>0</v>
      </c>
      <c r="AG97" s="37">
        <f>IF(ISNA(VLOOKUP(A97,'Données projet'!$A$61:$I$81,7,0)),0%,VLOOKUP(A97,'Données projet'!$A$61:$I$81,7,0))</f>
        <v>0</v>
      </c>
      <c r="AH97" s="45">
        <f>EXP(-LN(2)/35)*AH96+(1-EXP(-LN(2)/35))/(LN(2)/35)*AD97*AE97*VLOOKUP('Données projet'!$B$9,Paramètres!$A$1:$I$88,3,0)*0.475*44/12</f>
        <v>0</v>
      </c>
      <c r="AI97" s="45">
        <f>EXP(-LN(2)/25)*AI96+(1-EXP(-LN(2)/25))/(LN(2)/25)*Calculateur!AD97*Calculateur!AF97*VLOOKUP('Données projet'!$B$9,Paramètres!$A$1:$I$88,3,0)*0.475*44/12</f>
        <v>0</v>
      </c>
      <c r="AJ97" s="45">
        <f>EXP(-LN(2)/2)*AJ96+(1-EXP(-LN(2)/2))/(LN(2)/2)*AD97*AG97*VLOOKUP('Données projet'!$B$9,Paramètres!$A$1:$I$88,3,0)*0.475*44/12</f>
        <v>0</v>
      </c>
      <c r="AK97" s="45">
        <f t="shared" si="45"/>
        <v>0</v>
      </c>
      <c r="AL97" s="32" t="e">
        <f>VLOOKUP(A97,'Données projet'!$A$87:$I$107,2,0)</f>
        <v>#N/A</v>
      </c>
      <c r="AM97" s="33" t="e">
        <f>VLOOKUP(A97,'Données projet'!$A$87:$I$107,9,0)</f>
        <v>#N/A</v>
      </c>
      <c r="AN97" s="33">
        <f t="array" ref="AN97">INDEX(AM:AM,MIN(IF(ISNUMBER(AM97:AM293),ROW(AM97:AM293),"")))</f>
        <v>0</v>
      </c>
      <c r="AO97" s="33">
        <f t="shared" si="68"/>
        <v>0</v>
      </c>
      <c r="AP97" s="34" t="e">
        <f>AO97*VLOOKUP('Données projet'!$B$11,Paramètres!$A$1:$I$88,3,0)*VLOOKUP('Données projet'!$B$11,Paramètres!$A$1:$I$88,5,0)</f>
        <v>#N/A</v>
      </c>
      <c r="AQ97" s="34" t="e">
        <f t="shared" si="69"/>
        <v>#N/A</v>
      </c>
      <c r="AR97" s="44" t="e">
        <f t="shared" si="46"/>
        <v>#N/A</v>
      </c>
      <c r="AS97" s="36">
        <f>IF(ISNA(VLOOKUP(A97,'Données projet'!$A$87:$I$107,3,0)),0,VLOOKUP(A97,'Données projet'!$A$87:$I$107,3,0))</f>
        <v>0</v>
      </c>
      <c r="AT97" s="36">
        <f>IF(ISNA(VLOOKUP(A97,'Données projet'!$A$87:$I$107,4,0)),0,VLOOKUP(A97,'Données projet'!$A$87:$I$107,4,0))</f>
        <v>0</v>
      </c>
      <c r="AU97" s="37">
        <f>IF(ISNA(VLOOKUP(A97,'Données projet'!$A$87:$I$107,5,0)),0%,VLOOKUP(A97,'Données projet'!$A$87:$I$107,5,0)*VLOOKUP('Données projet'!$B$11,Paramètres!$A$1:$I$88,7,0))</f>
        <v>0</v>
      </c>
      <c r="AV97" s="37">
        <f>IF(ISNA(VLOOKUP(A97,'Données projet'!$A$87:$I$107,6,0)),0%,VLOOKUP(A97,'Données projet'!$A$87:$I$107,6,0)*VLOOKUP('Données projet'!$B$11,Paramètres!$A$1:$I$88,7,0))</f>
        <v>0</v>
      </c>
      <c r="AW97" s="37">
        <f>IF(ISNA(VLOOKUP(A97,'Données projet'!$A$87:$I$107,7,0)),0%,VLOOKUP(A97,'Données projet'!$A$87:$I$107,7,0))</f>
        <v>0</v>
      </c>
      <c r="AX97" s="45">
        <f>EXP(-LN(2)/35)*AX96+(1-EXP(-LN(2)/35))/(LN(2)/35)*AT97*AU97*VLOOKUP('Données projet'!$B$9,Paramètres!$A$1:$I$88,3,0)*0.475*44/12</f>
        <v>0</v>
      </c>
      <c r="AY97" s="45">
        <f>EXP(-LN(2)/25)*AY96+(1-EXP(-LN(2)/25))/(LN(2)/25)*Calculateur!AT97*Calculateur!AV97*VLOOKUP('Données projet'!$B$9,Paramètres!$A$1:$I$88,3,0)*0.475*44/12</f>
        <v>0</v>
      </c>
      <c r="AZ97" s="45">
        <f>EXP(-LN(2)/2)*AZ96+(1-EXP(-LN(2)/2))/(LN(2)/2)*AT97*AW97*VLOOKUP('Données projet'!$B$9,Paramètres!$A$1:$I$88,3,0)*0.475*44/12</f>
        <v>0</v>
      </c>
      <c r="BA97" s="46">
        <f t="shared" si="47"/>
        <v>0</v>
      </c>
      <c r="BB97" s="32" t="e">
        <f>VLOOKUP(A97,'Données projet'!$A$113:$I$133,2,0)</f>
        <v>#N/A</v>
      </c>
      <c r="BC97" s="33" t="e">
        <f>VLOOKUP(A97,'Données projet'!$A$113:$I$133,9,0)</f>
        <v>#N/A</v>
      </c>
      <c r="BD97" s="33">
        <f t="array" ref="BD97">INDEX(BC:BC,MIN(IF(ISNUMBER(BC97:BC293),ROW(BC97:BC293),"")))</f>
        <v>0</v>
      </c>
      <c r="BE97" s="33">
        <f t="shared" si="70"/>
        <v>0</v>
      </c>
      <c r="BF97" s="34" t="e">
        <f>BE97*VLOOKUP('Données projet'!$B$12,Paramètres!$A$1:$I$88,3,0)*VLOOKUP('Données projet'!$B$12,Paramètres!$A$1:$I$88,5,0)</f>
        <v>#N/A</v>
      </c>
      <c r="BG97" s="34" t="e">
        <f t="shared" si="71"/>
        <v>#N/A</v>
      </c>
      <c r="BH97" s="44" t="e">
        <f t="shared" si="48"/>
        <v>#N/A</v>
      </c>
      <c r="BI97" s="36">
        <f>IF(ISNA(VLOOKUP(A97,'Données projet'!$A$113:$I$133,3,0)),0,VLOOKUP(A97,'Données projet'!$A$113:$I$133,3,0))</f>
        <v>0</v>
      </c>
      <c r="BJ97" s="36">
        <f>IF(ISNA(VLOOKUP(A97,'Données projet'!$A$113:$I$133,4,0)),0,VLOOKUP(A97,'Données projet'!$A$113:$I$133,4,0))</f>
        <v>0</v>
      </c>
      <c r="BK97" s="37">
        <f>IF(ISNA(VLOOKUP(A97,'Données projet'!$A$113:$I$133,5,0)),0%,VLOOKUP(A97,'Données projet'!$A$113:$I$133,5,0)*VLOOKUP('Données projet'!$B$12,Paramètres!$A$1:$I$88,7,0))</f>
        <v>0</v>
      </c>
      <c r="BL97" s="37">
        <f>IF(ISNA(VLOOKUP(A97,'Données projet'!$A$113:$I$133,6,0)),0%,VLOOKUP(A97,'Données projet'!$A$113:$I$133,6,0)*VLOOKUP('Données projet'!$B$12,Paramètres!$A$1:$I$88,7,0))</f>
        <v>0</v>
      </c>
      <c r="BM97" s="37">
        <f>IF(ISNA(VLOOKUP(A97,'Données projet'!$A$113:$I$133,7,0)),0%,VLOOKUP(A97,'Données projet'!$A$113:$I$133,7,0))</f>
        <v>0</v>
      </c>
      <c r="BN97" s="45">
        <f>EXP(-LN(2)/35)*BN96+(1-EXP(-LN(2)/35))/(LN(2)/35)*BJ97*BK97*VLOOKUP('Données projet'!$B$9,Paramètres!$A$1:$I$88,3,0)*0.475*44/12</f>
        <v>0</v>
      </c>
      <c r="BO97" s="45">
        <f>EXP(-LN(2)/25)*BO96+(1-EXP(-LN(2)/25))/(LN(2)/25)*Calculateur!BJ97*Calculateur!BL97*VLOOKUP('Données projet'!$B$9,Paramètres!$A$1:$I$88,3,0)*0.475*44/12</f>
        <v>0</v>
      </c>
      <c r="BP97" s="45">
        <f>EXP(-LN(2)/2)*BP96+(1-EXP(-LN(2)/2))/(LN(2)/2)*BJ97*BM97*VLOOKUP('Données projet'!$B$9,Paramètres!$A$1:$I$88,3,0)*0.475*44/12</f>
        <v>0</v>
      </c>
      <c r="BQ97" s="46">
        <f t="shared" si="49"/>
        <v>0</v>
      </c>
      <c r="BR97" s="32" t="e">
        <f>VLOOKUP(A97,'Données projet'!$A$139:$I$159,2,0)</f>
        <v>#N/A</v>
      </c>
      <c r="BS97" s="33" t="e">
        <f>VLOOKUP(A97,'Données projet'!$A$139:$I$159,9,0)</f>
        <v>#N/A</v>
      </c>
      <c r="BT97" s="33">
        <f t="array" ref="BT97">INDEX(BS:BS,MIN(IF(ISNUMBER(BS97:BS293),ROW(BS97:BS293),"")))</f>
        <v>0</v>
      </c>
      <c r="BU97" s="33">
        <f t="shared" si="72"/>
        <v>0</v>
      </c>
      <c r="BV97" s="38" t="e">
        <f>BU97*VLOOKUP('Données projet'!$B$13,Paramètres!$A$1:$I$88,3,0)*VLOOKUP('Données projet'!$B$13,Paramètres!$A$1:$I$88,5,0)</f>
        <v>#N/A</v>
      </c>
      <c r="BW97" s="34" t="e">
        <f t="shared" si="73"/>
        <v>#N/A</v>
      </c>
      <c r="BX97" s="44" t="e">
        <f t="shared" si="50"/>
        <v>#N/A</v>
      </c>
      <c r="BY97" s="36">
        <f>IF(ISNA(VLOOKUP(A97,'Données projet'!$A$139:$I$159,3,0)),0,VLOOKUP(A97,'Données projet'!$A$139:$I$159,3,0))</f>
        <v>0</v>
      </c>
      <c r="BZ97" s="36">
        <f>IF(ISNA(VLOOKUP(A97,'Données projet'!$A$139:$I$159,4,0)),0,VLOOKUP(A97,'Données projet'!$A$139:$I$159,4,0))</f>
        <v>0</v>
      </c>
      <c r="CA97" s="37">
        <f>IF(ISNA(VLOOKUP(A97,'Données projet'!$A$139:$I$159,5,0)),0%,VLOOKUP(A97,'Données projet'!$A$139:$I$159,5,0)*VLOOKUP('Données projet'!$B$13,Paramètres!$A$1:$I$88,7,0))</f>
        <v>0</v>
      </c>
      <c r="CB97" s="37">
        <f>IF(ISNA(VLOOKUP(A97,'Données projet'!$A$139:$I$159,6,0)),0%,VLOOKUP(A97,'Données projet'!$A$139:$I$159,6,0)*VLOOKUP('Données projet'!$B$13,Paramètres!$A$1:$I$88,7,0))</f>
        <v>0</v>
      </c>
      <c r="CC97" s="37">
        <f>IF(ISNA(VLOOKUP(A97,'Données projet'!$A$139:$I$159,7,0)),0%,VLOOKUP(A97,'Données projet'!$A$139:$I$159,7,0))</f>
        <v>0</v>
      </c>
      <c r="CD97" s="45">
        <f>EXP(-LN(2)/35)*CD96+(1-EXP(-LN(2)/35))/(LN(2)/35)*BZ97*CA97*VLOOKUP('Données projet'!$B$9,Paramètres!$A$1:$I$88,3,0)*0.475*44/12</f>
        <v>0</v>
      </c>
      <c r="CE97" s="45">
        <f>EXP(-LN(2)/25)*CE96+(1-EXP(-LN(2)/25))/(LN(2)/25)*Calculateur!BZ97*Calculateur!CB97*VLOOKUP('Données projet'!$B$9,Paramètres!$A$1:$I$88,3,0)*0.475*44/12</f>
        <v>0</v>
      </c>
      <c r="CF97" s="45">
        <f>EXP(-LN(2)/2)*CF96+(1-EXP(-LN(2)/2))/(LN(2)/2)*BZ97*CC97*VLOOKUP('Données projet'!$B$9,Paramètres!$A$1:$I$88,3,0)*0.475*44/12</f>
        <v>0</v>
      </c>
      <c r="CG97" s="46">
        <f t="shared" si="51"/>
        <v>0</v>
      </c>
      <c r="CH97" s="32" t="e">
        <f>VLOOKUP(A97,'Données projet'!$A$165:$I$185,2,0)</f>
        <v>#N/A</v>
      </c>
      <c r="CI97" s="33" t="e">
        <f>VLOOKUP(A97,'Données projet'!$A$165:$I$185,9,0)</f>
        <v>#N/A</v>
      </c>
      <c r="CJ97" s="33">
        <f t="array" ref="CJ97">INDEX(CI:CI,MIN(IF(ISNUMBER(CI97:CI293),ROW(CI97:CI293),"")))</f>
        <v>0</v>
      </c>
      <c r="CK97" s="33">
        <f t="shared" si="74"/>
        <v>0</v>
      </c>
      <c r="CL97" s="38" t="e">
        <f>CK97*VLOOKUP('Données projet'!$B$14,Paramètres!$A$1:$I$88,3,0)*VLOOKUP('Données projet'!$B$14,Paramètres!$A$1:$I$88,5,0)</f>
        <v>#N/A</v>
      </c>
      <c r="CM97" s="34" t="e">
        <f t="shared" si="75"/>
        <v>#N/A</v>
      </c>
      <c r="CN97" s="44" t="e">
        <f t="shared" si="52"/>
        <v>#N/A</v>
      </c>
      <c r="CO97" s="36">
        <f>IF(ISNA(VLOOKUP(A97,'Données projet'!$A$165:$I$185,3,0)),0,VLOOKUP(A97,'Données projet'!$A$165:$I$185,3,0))</f>
        <v>0</v>
      </c>
      <c r="CP97" s="36">
        <f>IF(ISNA(VLOOKUP(A97,'Données projet'!$A$165:$I$185,4,0)),0,VLOOKUP(A97,'Données projet'!$A$165:$I$185,4,0))</f>
        <v>0</v>
      </c>
      <c r="CQ97" s="37">
        <f>IF(ISNA(VLOOKUP(A97,'Données projet'!$A$165:$I$185,5,0)),0%,VLOOKUP(A97,'Données projet'!$A$165:$I$185,5,0)*VLOOKUP('Données projet'!$B$14,Paramètres!$A$1:$I$88,7,0))</f>
        <v>0</v>
      </c>
      <c r="CR97" s="37">
        <f>IF(ISNA(VLOOKUP(A97,'Données projet'!$A$165:$I$185,6,0)),0%,VLOOKUP(A97,'Données projet'!$A$165:$I$185,6,0)*VLOOKUP('Données projet'!$B$14,Paramètres!$A$1:$I$88,7,0))</f>
        <v>0</v>
      </c>
      <c r="CS97" s="37">
        <f>IF(ISNA(VLOOKUP(A97,'Données projet'!$A$165:$I$185,7,0)),0%,VLOOKUP(A97,'Données projet'!$A$165:$I$185,7,0))</f>
        <v>0</v>
      </c>
      <c r="CT97" s="45">
        <f>EXP(-LN(2)/35)*CT96+(1-EXP(-LN(2)/35))/(LN(2)/35)*CP97*CQ97*VLOOKUP('Données projet'!$B$9,Paramètres!$A$1:$I$88,3,0)*0.475*44/12</f>
        <v>0</v>
      </c>
      <c r="CU97" s="45">
        <f>EXP(-LN(2)/25)*CU96+(1-EXP(-LN(2)/25))/(LN(2)/25)*Calculateur!CP97*Calculateur!CR97*VLOOKUP('Données projet'!$B$9,Paramètres!$A$1:$I$88,3,0)*0.475*44/12</f>
        <v>0</v>
      </c>
      <c r="CV97" s="45">
        <f>EXP(-LN(2)/2)*CV96+(1-EXP(-LN(2)/2))/(LN(2)/2)*CP97*CS97*VLOOKUP('Données projet'!$B$9,Paramètres!$A$1:$I$88,3,0)*0.475*44/12</f>
        <v>0</v>
      </c>
      <c r="CW97" s="46">
        <f t="shared" si="53"/>
        <v>0</v>
      </c>
      <c r="CX97" s="32" t="e">
        <f>VLOOKUP(A97,'Données projet'!$A$191:$I$211,2,0)</f>
        <v>#N/A</v>
      </c>
      <c r="CY97" s="33" t="e">
        <f>VLOOKUP(A97,'Données projet'!$A$191:$I$211,9,0)</f>
        <v>#N/A</v>
      </c>
      <c r="CZ97" s="33">
        <f t="array" ref="CZ97">INDEX(CY:CY,MIN(IF(ISNUMBER(CY97:CY293),ROW(CY97:CY293),"")))</f>
        <v>0</v>
      </c>
      <c r="DA97" s="33">
        <f t="shared" si="76"/>
        <v>0</v>
      </c>
      <c r="DB97" s="38" t="e">
        <f>DA97*VLOOKUP('Données projet'!$B$15,Paramètres!$A$1:$I$88,3,0)*VLOOKUP('Données projet'!$B$15,Paramètres!$A$1:$I$88,5,0)</f>
        <v>#N/A</v>
      </c>
      <c r="DC97" s="34" t="e">
        <f t="shared" si="77"/>
        <v>#N/A</v>
      </c>
      <c r="DD97" s="44" t="e">
        <f t="shared" si="54"/>
        <v>#N/A</v>
      </c>
      <c r="DE97" s="36">
        <f>IF(ISNA(VLOOKUP(A97,'Données projet'!$A$191:$I$211,3,0)),0,VLOOKUP(A97,'Données projet'!$A$191:$I$211,3,0))</f>
        <v>0</v>
      </c>
      <c r="DF97" s="36">
        <f>IF(ISNA(VLOOKUP(A97,'Données projet'!$A$191:$I$211,4,0)),0,VLOOKUP(A97,'Données projet'!$A$191:$I$211,4,0))</f>
        <v>0</v>
      </c>
      <c r="DG97" s="37">
        <f>IF(ISNA(VLOOKUP(A97,'Données projet'!$A$191:$I$211,5,0)),0%,VLOOKUP(A97,'Données projet'!$A$191:$I$211,5,0)*VLOOKUP('Données projet'!$B$15,Paramètres!$A$1:$I$88,7,0))</f>
        <v>0</v>
      </c>
      <c r="DH97" s="37">
        <f>IF(ISNA(VLOOKUP(A97,'Données projet'!$A$191:$I$211,6,0)),0%,VLOOKUP(A97,'Données projet'!$A$191:$I$211,6,0)*VLOOKUP('Données projet'!$B$15,Paramètres!$A$1:$I$88,7,0))</f>
        <v>0</v>
      </c>
      <c r="DI97" s="37">
        <f>IF(ISNA(VLOOKUP(A97,'Données projet'!$A$191:$I$211,7,0)),0%,VLOOKUP(A97,'Données projet'!$A$191:$I$211,7,0))</f>
        <v>0</v>
      </c>
      <c r="DJ97" s="45">
        <f>EXP(-LN(2)/35)*DJ96+(1-EXP(-LN(2)/35))/(LN(2)/35)*DF97*DG97*VLOOKUP('Données projet'!$B$9,Paramètres!$A$1:$I$88,3,0)*0.475*44/12</f>
        <v>0</v>
      </c>
      <c r="DK97" s="45">
        <f>EXP(-LN(2)/25)*DK96+(1-EXP(-LN(2)/25))/(LN(2)/25)*Calculateur!DF97*Calculateur!DH97*VLOOKUP('Données projet'!$B$9,Paramètres!$A$1:$I$88,3,0)*0.475*44/12</f>
        <v>0</v>
      </c>
      <c r="DL97" s="45">
        <f>EXP(-LN(2)/2)*DL96+(1-EXP(-LN(2)/2))/(LN(2)/2)*DF97*DI97*VLOOKUP('Données projet'!$B$9,Paramètres!$A$1:$I$88,3,0)*0.475*44/12</f>
        <v>0</v>
      </c>
      <c r="DM97" s="46">
        <f t="shared" si="55"/>
        <v>0</v>
      </c>
      <c r="DN97" s="32" t="e">
        <f>VLOOKUP(A97,'Données projet'!$A$217:$I$237,2,0)</f>
        <v>#N/A</v>
      </c>
      <c r="DO97" s="33" t="e">
        <f>VLOOKUP(A97,'Données projet'!$A$217:$I$237,9,0)</f>
        <v>#N/A</v>
      </c>
      <c r="DP97" s="33">
        <f t="array" ref="DP97">INDEX(DO:DO,MIN(IF(ISNUMBER(DO97:DO293),ROW(DO97:DO293),"")))</f>
        <v>0</v>
      </c>
      <c r="DQ97" s="33">
        <f t="shared" si="78"/>
        <v>0</v>
      </c>
      <c r="DR97" s="38" t="e">
        <f>DQ97*VLOOKUP('Données projet'!$B$16,Paramètres!$A$1:$I$88,3,0)*VLOOKUP('Données projet'!$B$16,Paramètres!$A$1:$I$88,5,0)</f>
        <v>#N/A</v>
      </c>
      <c r="DS97" s="34" t="e">
        <f t="shared" si="79"/>
        <v>#N/A</v>
      </c>
      <c r="DT97" s="44" t="e">
        <f t="shared" si="56"/>
        <v>#N/A</v>
      </c>
      <c r="DU97" s="36">
        <f>IF(ISNA(VLOOKUP(A97,'Données projet'!$A$217:$I$237,3,0)),0,VLOOKUP(A97,'Données projet'!$A$217:$I$237,3,0))</f>
        <v>0</v>
      </c>
      <c r="DV97" s="36">
        <f>IF(ISNA(VLOOKUP(A97,'Données projet'!$A$217:$I$237,4,0)),0,VLOOKUP(A97,'Données projet'!$A$217:$I$237,4,0))</f>
        <v>0</v>
      </c>
      <c r="DW97" s="37">
        <f>IF(ISNA(VLOOKUP(A97,'Données projet'!$A$217:$I$237,5,0)),0%,VLOOKUP(A97,'Données projet'!$A$217:$I$237,5,0)*VLOOKUP('Données projet'!$B$16,Paramètres!$A$1:$I$88,7,0))</f>
        <v>0</v>
      </c>
      <c r="DX97" s="37">
        <f>IF(ISNA(VLOOKUP(A97,'Données projet'!$A$217:$I$237,6,0)),0%,VLOOKUP(A97,'Données projet'!$A$217:$I$237,6,0)*VLOOKUP('Données projet'!$B$16,Paramètres!$A$1:$I$88,7,0))</f>
        <v>0</v>
      </c>
      <c r="DY97" s="37">
        <f>IF(ISNA(VLOOKUP(A97,'Données projet'!$A$217:$I$237,7,0)),0%,VLOOKUP(A97,'Données projet'!$A$217:$I$237,7,0))</f>
        <v>0</v>
      </c>
      <c r="DZ97" s="45">
        <f>EXP(-LN(2)/35)*DZ96+(1-EXP(-LN(2)/35))/(LN(2)/35)*DV97*DW97*VLOOKUP('Données projet'!$B$9,Paramètres!$A$1:$I$88,3,0)*0.475*44/12</f>
        <v>0</v>
      </c>
      <c r="EA97" s="45">
        <f>EXP(-LN(2)/25)*EA96+(1-EXP(-LN(2)/25))/(LN(2)/25)*Calculateur!DV97*Calculateur!DX97*VLOOKUP('Données projet'!$B$9,Paramètres!$A$1:$I$88,3,0)*0.475*44/12</f>
        <v>0</v>
      </c>
      <c r="EB97" s="45">
        <f>EXP(-LN(2)/2)*EB96+(1-EXP(-LN(2)/2))/(LN(2)/2)*DV97*DY97*VLOOKUP('Données projet'!$B$9,Paramètres!$A$1:$I$88,3,0)*0.475*44/12</f>
        <v>0</v>
      </c>
      <c r="EC97" s="46">
        <f t="shared" si="57"/>
        <v>0</v>
      </c>
      <c r="ED97" s="32" t="e">
        <f>VLOOKUP(A97,'Données projet'!$A$243:$I$263,2,0)</f>
        <v>#N/A</v>
      </c>
      <c r="EE97" s="33" t="e">
        <f>VLOOKUP(A97,'Données projet'!$A$243:$I$263,9,0)</f>
        <v>#N/A</v>
      </c>
      <c r="EF97" s="33">
        <f t="array" ref="EF97">INDEX(EE:EE,MIN(IF(ISNUMBER(EE97:EE293),ROW(EE97:EE293),"")))</f>
        <v>0</v>
      </c>
      <c r="EG97" s="33">
        <f t="shared" si="80"/>
        <v>0</v>
      </c>
      <c r="EH97" s="38" t="e">
        <f>EG97*VLOOKUP('Données projet'!$B$17,Paramètres!$A$1:$I$88,3,0)*VLOOKUP('Données projet'!$B$17,Paramètres!$A$1:$I$88,5,0)</f>
        <v>#N/A</v>
      </c>
      <c r="EI97" s="34" t="e">
        <f t="shared" si="81"/>
        <v>#N/A</v>
      </c>
      <c r="EJ97" s="44" t="e">
        <f t="shared" si="58"/>
        <v>#N/A</v>
      </c>
      <c r="EK97" s="36">
        <f>IF(ISNA(VLOOKUP(A97,'Données projet'!$A$243:$I$263,3,0)),0,VLOOKUP(A97,'Données projet'!$A$243:$I$263,3,0))</f>
        <v>0</v>
      </c>
      <c r="EL97" s="36">
        <f>IF(ISNA(VLOOKUP(A97,'Données projet'!$A$243:$I$263,4,0)),0,VLOOKUP(A97,'Données projet'!$A$243:$I$263,4,0))</f>
        <v>0</v>
      </c>
      <c r="EM97" s="37">
        <f>IF(ISNA(VLOOKUP(A97,'Données projet'!$A$243:$I$263,5,0)),0%,VLOOKUP(A97,'Données projet'!$A$243:$I$263,5,0)*VLOOKUP('Données projet'!$B$17,Paramètres!$A$1:$I$88,7,0))</f>
        <v>0</v>
      </c>
      <c r="EN97" s="37">
        <f>IF(ISNA(VLOOKUP(A97,'Données projet'!$A$243:$I$263,6,0)),0%,VLOOKUP(A97,'Données projet'!$A$243:$I$263,6,0)*VLOOKUP('Données projet'!$B$17,Paramètres!$A$1:$I$88,7,0))</f>
        <v>0</v>
      </c>
      <c r="EO97" s="37">
        <f>IF(ISNA(VLOOKUP(A97,'Données projet'!$A$243:$I$263,7,0)),0%,VLOOKUP(A97,'Données projet'!$A$243:$I$263,7,0))</f>
        <v>0</v>
      </c>
      <c r="EP97" s="45">
        <f>EXP(-LN(2)/35)*EP96+(1-EXP(-LN(2)/35))/(LN(2)/35)*EL97*EM97*VLOOKUP('Données projet'!$B$9,Paramètres!$A$1:$I$88,3,0)*0.475*44/12</f>
        <v>0</v>
      </c>
      <c r="EQ97" s="45">
        <f>EXP(-LN(2)/25)*EQ96+(1-EXP(-LN(2)/25))/(LN(2)/25)*Calculateur!EL97*Calculateur!EN97*VLOOKUP('Données projet'!$B$9,Paramètres!$A$1:$I$88,3,0)*0.475*44/12</f>
        <v>0</v>
      </c>
      <c r="ER97" s="45">
        <f>EXP(-LN(2)/2)*ER96+(1-EXP(-LN(2)/2))/(LN(2)/2)*EL97*EO97*VLOOKUP('Données projet'!$B$9,Paramètres!$A$1:$I$88,3,0)*0.475*44/12</f>
        <v>0</v>
      </c>
      <c r="ES97" s="46">
        <f t="shared" si="59"/>
        <v>0</v>
      </c>
      <c r="ET97" s="32" t="e">
        <f>VLOOKUP(A97,'Données projet'!$A$269:$I$289,2,0)</f>
        <v>#N/A</v>
      </c>
      <c r="EU97" s="33" t="e">
        <f>VLOOKUP(A97,'Données projet'!$A$269:$I$289,9,0)</f>
        <v>#N/A</v>
      </c>
      <c r="EV97" s="33">
        <f t="array" ref="EV97">INDEX(EU:EU,MIN(IF(ISNUMBER(EU97:EU293),ROW(EU97:EU293),"")))</f>
        <v>0</v>
      </c>
      <c r="EW97" s="33">
        <f t="shared" si="82"/>
        <v>0</v>
      </c>
      <c r="EX97" s="38" t="e">
        <f>EW97*VLOOKUP('Données projet'!$B$18,Paramètres!$A$1:$I$88,3,0)*VLOOKUP('Données projet'!$B$18,Paramètres!$A$1:$I$88,5,0)</f>
        <v>#N/A</v>
      </c>
      <c r="EY97" s="34" t="e">
        <f t="shared" si="83"/>
        <v>#N/A</v>
      </c>
      <c r="EZ97" s="44" t="e">
        <f t="shared" si="60"/>
        <v>#N/A</v>
      </c>
      <c r="FA97" s="36">
        <f>IF(ISNA(VLOOKUP(A97,'Données projet'!$A$269:$I$289,3,0)),0,VLOOKUP(A97,'Données projet'!$A$269:$I$289,3,0))</f>
        <v>0</v>
      </c>
      <c r="FB97" s="36">
        <f>IF(ISNA(VLOOKUP(A97,'Données projet'!$A$269:$I$289,4,0)),0,VLOOKUP(A97,'Données projet'!$A$269:$I$289,4,0))</f>
        <v>0</v>
      </c>
      <c r="FC97" s="37">
        <f>IF(ISNA(VLOOKUP(A97,'Données projet'!$A$269:$I$289,5,0)),0%,VLOOKUP(A97,'Données projet'!$A$269:$I$289,5,0)*VLOOKUP('Données projet'!$B$18,Paramètres!$A$1:$I$88,7,0))</f>
        <v>0</v>
      </c>
      <c r="FD97" s="37">
        <f>IF(ISNA(VLOOKUP(A97,'Données projet'!$A$269:$I$289,6,0)),0%,VLOOKUP(A97,'Données projet'!$A$269:$I$289,6,0)*VLOOKUP('Données projet'!$B$18,Paramètres!$A$1:$I$88,7,0))</f>
        <v>0</v>
      </c>
      <c r="FE97" s="37">
        <f>IF(ISNA(VLOOKUP(A97,'Données projet'!$A$269:$I$289,7,0)),0%,VLOOKUP(A97,'Données projet'!$A$269:$I$289,7,0))</f>
        <v>0</v>
      </c>
      <c r="FF97" s="45">
        <f>EXP(-LN(2)/35)*FF96+(1-EXP(-LN(2)/35))/(LN(2)/35)*FB97*FC97*VLOOKUP('Données projet'!$B$9,Paramètres!$A$1:$I$88,3,0)*0.475*44/12</f>
        <v>0</v>
      </c>
      <c r="FG97" s="45">
        <f>EXP(-LN(2)/25)*FG96+(1-EXP(-LN(2)/25))/(LN(2)/25)*Calculateur!FB97*Calculateur!FD97*VLOOKUP('Données projet'!$B$9,Paramètres!$A$1:$I$88,3,0)*0.475*44/12</f>
        <v>0</v>
      </c>
      <c r="FH97" s="45">
        <f>EXP(-LN(2)/2)*FH96+(1-EXP(-LN(2)/2))/(LN(2)/2)*FB97*FE97*VLOOKUP('Données projet'!$B$9,Paramètres!$A$1:$I$88,3,0)*0.475*44/12</f>
        <v>0</v>
      </c>
      <c r="FI97" s="46">
        <f t="shared" si="61"/>
        <v>0</v>
      </c>
    </row>
    <row r="98" spans="1:165" x14ac:dyDescent="0.25">
      <c r="A98" s="24">
        <f t="shared" si="62"/>
        <v>95</v>
      </c>
      <c r="B98" s="25">
        <f>IF('Scénario référence'!$N$1=1,5,0)</f>
        <v>0</v>
      </c>
      <c r="C98" s="40">
        <f>IF(OR('Scénario référence'!$N$1=2,'Scénario référence'!$N$1=4),C97+1*VLOOKUP('Scénario référence'!$G$14,Paramètres!$A$1:$I$88,3,0)*VLOOKUP('Scénario référence'!$G$14,Paramètres!$A$1:$I$88,5,0),IF(OR('Scénario référence'!$N$1=3,'Scénario référence'!$N$1=5),C97+0.5*VLOOKUP('Scénario référence'!$G$14,Paramètres!$A$1:$I$88,3,0)*VLOOKUP('Scénario référence'!$G$14,Paramètres!$A$1:$I$88,5,0),0))</f>
        <v>51.869999999999955</v>
      </c>
      <c r="D98" s="26">
        <f t="shared" si="63"/>
        <v>15.0956584691149</v>
      </c>
      <c r="E98" s="27">
        <f>IF('Scénario référence'!$N$1=1,B98*44/12,(C98+D98)*0.475*44/12)</f>
        <v>116.63185516704169</v>
      </c>
      <c r="F98" s="28">
        <f>VLOOKUP(A98,'Données projet'!$A$35:$I$55,2,0)</f>
        <v>300</v>
      </c>
      <c r="G98" s="28">
        <f>VLOOKUP(A98,'Données projet'!$A$35:$I$55,9,0)</f>
        <v>5.2</v>
      </c>
      <c r="H98" s="33">
        <f t="array" ref="H98">INDEX(G:G,MIN(IF(ISNUMBER(G98:G294),ROW(G98:G294),"")))</f>
        <v>5.2</v>
      </c>
      <c r="I98" s="28">
        <f t="shared" si="64"/>
        <v>299.99999999999966</v>
      </c>
      <c r="J98" s="41">
        <f>I98*VLOOKUP('Données projet'!$B$9,Paramètres!$A$1:$I$88,3,0)*VLOOKUP('Données projet'!$B$9,Paramètres!$A$1:$I$88,5,0)</f>
        <v>304.19999999999965</v>
      </c>
      <c r="K98" s="41">
        <f t="shared" si="65"/>
        <v>72.056231093481003</v>
      </c>
      <c r="L98" s="42">
        <f t="shared" si="42"/>
        <v>655.31293582114552</v>
      </c>
      <c r="M98" s="30">
        <f>IF(ISNA(VLOOKUP(A98,'Données projet'!$A$35:$I$55,3,0)),0,VLOOKUP(A98,'Données projet'!$A$35:$I$55,3,0))</f>
        <v>8</v>
      </c>
      <c r="N98" s="30">
        <f>IF(ISNA(VLOOKUP(A98,'Données projet'!$A$35:$I$55,4,0)),0,VLOOKUP(A98,'Données projet'!$A$35:$I$55,4,0))</f>
        <v>42</v>
      </c>
      <c r="O98" s="31">
        <f>IF(ISNA(VLOOKUP(A98,'Données projet'!$A$35:$I$55,5,0)),0%,VLOOKUP(A98,'Données projet'!$A$35:$I$55,5,0)*VLOOKUP('Données projet'!$B$9,Paramètres!$A$1:$I$88,7,0))</f>
        <v>0</v>
      </c>
      <c r="P98" s="31">
        <f>IF(ISNA(VLOOKUP(A98,'Données projet'!$A$35:$I$55,6,0)),0%,VLOOKUP(A98,'Données projet'!$A$35:$I$55,6,0)*VLOOKUP('Données projet'!$B$9,Paramètres!$A$1:$I$88,7,0))</f>
        <v>0</v>
      </c>
      <c r="Q98" s="31">
        <f>IF(ISNA(VLOOKUP(A98,'Données projet'!$A$35:$I$55,7,0)),0%,VLOOKUP(A98,'Données projet'!$A$35:$I$55,7,0))</f>
        <v>0</v>
      </c>
      <c r="R98" s="43">
        <f>EXP(-LN(2)/35)*R97+(1-EXP(-LN(2)/35))/(LN(2)/35)*N98*O98*VLOOKUP('Données projet'!$B$9,Paramètres!$A$1:$I$88,3,0)*0.475*44/12</f>
        <v>0</v>
      </c>
      <c r="S98" s="43">
        <f>EXP(-LN(2)/25)*S97+(1-EXP(-LN(2)/25))/(LN(2)/25)*Calculateur!N98*Calculateur!P98*VLOOKUP('Données projet'!$B$9,Paramètres!$A$1:$I$88,3,0)*0.475*44/12</f>
        <v>0</v>
      </c>
      <c r="T98" s="43">
        <f>EXP(-LN(2)/2)*T97+(1-EXP(-LN(2)/2))/(LN(2)/2)*N98*Q98*VLOOKUP('Données projet'!$B$9,Paramètres!$A$1:$I$88,3,0)*0.475*44/12</f>
        <v>0</v>
      </c>
      <c r="U98" s="43">
        <f t="shared" si="43"/>
        <v>0</v>
      </c>
      <c r="V98" s="32" t="e">
        <f>VLOOKUP(A98,'Données projet'!$A$61:$I$81,2,0)</f>
        <v>#N/A</v>
      </c>
      <c r="W98" s="33" t="e">
        <f>VLOOKUP(A98,'Données projet'!$A$61:$I$81,9,0)</f>
        <v>#N/A</v>
      </c>
      <c r="X98" s="33">
        <f t="array" ref="X98">INDEX(W:W,MIN(IF(ISNUMBER(W98:W294),ROW(W98:W294),"")))</f>
        <v>0</v>
      </c>
      <c r="Y98" s="33">
        <f t="shared" si="66"/>
        <v>0</v>
      </c>
      <c r="Z98" s="34" t="e">
        <f>Y98*VLOOKUP('Données projet'!$B$10,Paramètres!$A$1:$I$88,3,0)*VLOOKUP('Données projet'!$B$10,Paramètres!$A$1:$I$88,5,0)</f>
        <v>#N/A</v>
      </c>
      <c r="AA98" s="34" t="e">
        <f t="shared" si="67"/>
        <v>#N/A</v>
      </c>
      <c r="AB98" s="44" t="e">
        <f t="shared" si="44"/>
        <v>#N/A</v>
      </c>
      <c r="AC98" s="36">
        <f>IF(ISNA(VLOOKUP(A98,'Données projet'!$A$61:$I$81,3,0)),0,VLOOKUP(A98,'Données projet'!$A$61:$I$81,3,0))</f>
        <v>0</v>
      </c>
      <c r="AD98" s="36">
        <f>IF(ISNA(VLOOKUP(A98,'Données projet'!$A$61:$I$81,4,0)),0,VLOOKUP(A98,'Données projet'!$A$61:$I$81,4,0))</f>
        <v>0</v>
      </c>
      <c r="AE98" s="37">
        <f>IF(ISNA(VLOOKUP(A98,'Données projet'!$A$61:$I$81,5,0)),0%,VLOOKUP(A98,'Données projet'!$A$61:$I$81,5,0)*VLOOKUP('Données projet'!$B$10,Paramètres!$A$1:$I$88,7,0))</f>
        <v>0</v>
      </c>
      <c r="AF98" s="37">
        <f>IF(ISNA(VLOOKUP(A98,'Données projet'!$A$61:$I$81,6,0)),0%,VLOOKUP(A98,'Données projet'!$A$61:$I$81,6,0)*VLOOKUP('Données projet'!$B$10,Paramètres!$A$1:$I$88,7,0))</f>
        <v>0</v>
      </c>
      <c r="AG98" s="37">
        <f>IF(ISNA(VLOOKUP(A98,'Données projet'!$A$61:$I$81,7,0)),0%,VLOOKUP(A98,'Données projet'!$A$61:$I$81,7,0))</f>
        <v>0</v>
      </c>
      <c r="AH98" s="45">
        <f>EXP(-LN(2)/35)*AH97+(1-EXP(-LN(2)/35))/(LN(2)/35)*AD98*AE98*VLOOKUP('Données projet'!$B$9,Paramètres!$A$1:$I$88,3,0)*0.475*44/12</f>
        <v>0</v>
      </c>
      <c r="AI98" s="45">
        <f>EXP(-LN(2)/25)*AI97+(1-EXP(-LN(2)/25))/(LN(2)/25)*Calculateur!AD98*Calculateur!AF98*VLOOKUP('Données projet'!$B$9,Paramètres!$A$1:$I$88,3,0)*0.475*44/12</f>
        <v>0</v>
      </c>
      <c r="AJ98" s="45">
        <f>EXP(-LN(2)/2)*AJ97+(1-EXP(-LN(2)/2))/(LN(2)/2)*AD98*AG98*VLOOKUP('Données projet'!$B$9,Paramètres!$A$1:$I$88,3,0)*0.475*44/12</f>
        <v>0</v>
      </c>
      <c r="AK98" s="45">
        <f t="shared" si="45"/>
        <v>0</v>
      </c>
      <c r="AL98" s="32" t="e">
        <f>VLOOKUP(A98,'Données projet'!$A$87:$I$107,2,0)</f>
        <v>#N/A</v>
      </c>
      <c r="AM98" s="33" t="e">
        <f>VLOOKUP(A98,'Données projet'!$A$87:$I$107,9,0)</f>
        <v>#N/A</v>
      </c>
      <c r="AN98" s="33">
        <f t="array" ref="AN98">INDEX(AM:AM,MIN(IF(ISNUMBER(AM98:AM294),ROW(AM98:AM294),"")))</f>
        <v>0</v>
      </c>
      <c r="AO98" s="33">
        <f t="shared" si="68"/>
        <v>0</v>
      </c>
      <c r="AP98" s="34" t="e">
        <f>AO98*VLOOKUP('Données projet'!$B$11,Paramètres!$A$1:$I$88,3,0)*VLOOKUP('Données projet'!$B$11,Paramètres!$A$1:$I$88,5,0)</f>
        <v>#N/A</v>
      </c>
      <c r="AQ98" s="34" t="e">
        <f t="shared" si="69"/>
        <v>#N/A</v>
      </c>
      <c r="AR98" s="44" t="e">
        <f t="shared" si="46"/>
        <v>#N/A</v>
      </c>
      <c r="AS98" s="36">
        <f>IF(ISNA(VLOOKUP(A98,'Données projet'!$A$87:$I$107,3,0)),0,VLOOKUP(A98,'Données projet'!$A$87:$I$107,3,0))</f>
        <v>0</v>
      </c>
      <c r="AT98" s="36">
        <f>IF(ISNA(VLOOKUP(A98,'Données projet'!$A$87:$I$107,4,0)),0,VLOOKUP(A98,'Données projet'!$A$87:$I$107,4,0))</f>
        <v>0</v>
      </c>
      <c r="AU98" s="37">
        <f>IF(ISNA(VLOOKUP(A98,'Données projet'!$A$87:$I$107,5,0)),0%,VLOOKUP(A98,'Données projet'!$A$87:$I$107,5,0)*VLOOKUP('Données projet'!$B$11,Paramètres!$A$1:$I$88,7,0))</f>
        <v>0</v>
      </c>
      <c r="AV98" s="37">
        <f>IF(ISNA(VLOOKUP(A98,'Données projet'!$A$87:$I$107,6,0)),0%,VLOOKUP(A98,'Données projet'!$A$87:$I$107,6,0)*VLOOKUP('Données projet'!$B$11,Paramètres!$A$1:$I$88,7,0))</f>
        <v>0</v>
      </c>
      <c r="AW98" s="37">
        <f>IF(ISNA(VLOOKUP(A98,'Données projet'!$A$87:$I$107,7,0)),0%,VLOOKUP(A98,'Données projet'!$A$87:$I$107,7,0))</f>
        <v>0</v>
      </c>
      <c r="AX98" s="45">
        <f>EXP(-LN(2)/35)*AX97+(1-EXP(-LN(2)/35))/(LN(2)/35)*AT98*AU98*VLOOKUP('Données projet'!$B$9,Paramètres!$A$1:$I$88,3,0)*0.475*44/12</f>
        <v>0</v>
      </c>
      <c r="AY98" s="45">
        <f>EXP(-LN(2)/25)*AY97+(1-EXP(-LN(2)/25))/(LN(2)/25)*Calculateur!AT98*Calculateur!AV98*VLOOKUP('Données projet'!$B$9,Paramètres!$A$1:$I$88,3,0)*0.475*44/12</f>
        <v>0</v>
      </c>
      <c r="AZ98" s="45">
        <f>EXP(-LN(2)/2)*AZ97+(1-EXP(-LN(2)/2))/(LN(2)/2)*AT98*AW98*VLOOKUP('Données projet'!$B$9,Paramètres!$A$1:$I$88,3,0)*0.475*44/12</f>
        <v>0</v>
      </c>
      <c r="BA98" s="46">
        <f t="shared" si="47"/>
        <v>0</v>
      </c>
      <c r="BB98" s="32" t="e">
        <f>VLOOKUP(A98,'Données projet'!$A$113:$I$133,2,0)</f>
        <v>#N/A</v>
      </c>
      <c r="BC98" s="33" t="e">
        <f>VLOOKUP(A98,'Données projet'!$A$113:$I$133,9,0)</f>
        <v>#N/A</v>
      </c>
      <c r="BD98" s="33">
        <f t="array" ref="BD98">INDEX(BC:BC,MIN(IF(ISNUMBER(BC98:BC294),ROW(BC98:BC294),"")))</f>
        <v>0</v>
      </c>
      <c r="BE98" s="33">
        <f t="shared" si="70"/>
        <v>0</v>
      </c>
      <c r="BF98" s="34" t="e">
        <f>BE98*VLOOKUP('Données projet'!$B$12,Paramètres!$A$1:$I$88,3,0)*VLOOKUP('Données projet'!$B$12,Paramètres!$A$1:$I$88,5,0)</f>
        <v>#N/A</v>
      </c>
      <c r="BG98" s="34" t="e">
        <f t="shared" si="71"/>
        <v>#N/A</v>
      </c>
      <c r="BH98" s="44" t="e">
        <f t="shared" si="48"/>
        <v>#N/A</v>
      </c>
      <c r="BI98" s="36">
        <f>IF(ISNA(VLOOKUP(A98,'Données projet'!$A$113:$I$133,3,0)),0,VLOOKUP(A98,'Données projet'!$A$113:$I$133,3,0))</f>
        <v>0</v>
      </c>
      <c r="BJ98" s="36">
        <f>IF(ISNA(VLOOKUP(A98,'Données projet'!$A$113:$I$133,4,0)),0,VLOOKUP(A98,'Données projet'!$A$113:$I$133,4,0))</f>
        <v>0</v>
      </c>
      <c r="BK98" s="37">
        <f>IF(ISNA(VLOOKUP(A98,'Données projet'!$A$113:$I$133,5,0)),0%,VLOOKUP(A98,'Données projet'!$A$113:$I$133,5,0)*VLOOKUP('Données projet'!$B$12,Paramètres!$A$1:$I$88,7,0))</f>
        <v>0</v>
      </c>
      <c r="BL98" s="37">
        <f>IF(ISNA(VLOOKUP(A98,'Données projet'!$A$113:$I$133,6,0)),0%,VLOOKUP(A98,'Données projet'!$A$113:$I$133,6,0)*VLOOKUP('Données projet'!$B$12,Paramètres!$A$1:$I$88,7,0))</f>
        <v>0</v>
      </c>
      <c r="BM98" s="37">
        <f>IF(ISNA(VLOOKUP(A98,'Données projet'!$A$113:$I$133,7,0)),0%,VLOOKUP(A98,'Données projet'!$A$113:$I$133,7,0))</f>
        <v>0</v>
      </c>
      <c r="BN98" s="45">
        <f>EXP(-LN(2)/35)*BN97+(1-EXP(-LN(2)/35))/(LN(2)/35)*BJ98*BK98*VLOOKUP('Données projet'!$B$9,Paramètres!$A$1:$I$88,3,0)*0.475*44/12</f>
        <v>0</v>
      </c>
      <c r="BO98" s="45">
        <f>EXP(-LN(2)/25)*BO97+(1-EXP(-LN(2)/25))/(LN(2)/25)*Calculateur!BJ98*Calculateur!BL98*VLOOKUP('Données projet'!$B$9,Paramètres!$A$1:$I$88,3,0)*0.475*44/12</f>
        <v>0</v>
      </c>
      <c r="BP98" s="45">
        <f>EXP(-LN(2)/2)*BP97+(1-EXP(-LN(2)/2))/(LN(2)/2)*BJ98*BM98*VLOOKUP('Données projet'!$B$9,Paramètres!$A$1:$I$88,3,0)*0.475*44/12</f>
        <v>0</v>
      </c>
      <c r="BQ98" s="46">
        <f t="shared" si="49"/>
        <v>0</v>
      </c>
      <c r="BR98" s="32" t="e">
        <f>VLOOKUP(A98,'Données projet'!$A$139:$I$159,2,0)</f>
        <v>#N/A</v>
      </c>
      <c r="BS98" s="33" t="e">
        <f>VLOOKUP(A98,'Données projet'!$A$139:$I$159,9,0)</f>
        <v>#N/A</v>
      </c>
      <c r="BT98" s="33">
        <f t="array" ref="BT98">INDEX(BS:BS,MIN(IF(ISNUMBER(BS98:BS294),ROW(BS98:BS294),"")))</f>
        <v>0</v>
      </c>
      <c r="BU98" s="33">
        <f t="shared" si="72"/>
        <v>0</v>
      </c>
      <c r="BV98" s="38" t="e">
        <f>BU98*VLOOKUP('Données projet'!$B$13,Paramètres!$A$1:$I$88,3,0)*VLOOKUP('Données projet'!$B$13,Paramètres!$A$1:$I$88,5,0)</f>
        <v>#N/A</v>
      </c>
      <c r="BW98" s="34" t="e">
        <f t="shared" si="73"/>
        <v>#N/A</v>
      </c>
      <c r="BX98" s="44" t="e">
        <f t="shared" si="50"/>
        <v>#N/A</v>
      </c>
      <c r="BY98" s="36">
        <f>IF(ISNA(VLOOKUP(A98,'Données projet'!$A$139:$I$159,3,0)),0,VLOOKUP(A98,'Données projet'!$A$139:$I$159,3,0))</f>
        <v>0</v>
      </c>
      <c r="BZ98" s="36">
        <f>IF(ISNA(VLOOKUP(A98,'Données projet'!$A$139:$I$159,4,0)),0,VLOOKUP(A98,'Données projet'!$A$139:$I$159,4,0))</f>
        <v>0</v>
      </c>
      <c r="CA98" s="37">
        <f>IF(ISNA(VLOOKUP(A98,'Données projet'!$A$139:$I$159,5,0)),0%,VLOOKUP(A98,'Données projet'!$A$139:$I$159,5,0)*VLOOKUP('Données projet'!$B$13,Paramètres!$A$1:$I$88,7,0))</f>
        <v>0</v>
      </c>
      <c r="CB98" s="37">
        <f>IF(ISNA(VLOOKUP(A98,'Données projet'!$A$139:$I$159,6,0)),0%,VLOOKUP(A98,'Données projet'!$A$139:$I$159,6,0)*VLOOKUP('Données projet'!$B$13,Paramètres!$A$1:$I$88,7,0))</f>
        <v>0</v>
      </c>
      <c r="CC98" s="37">
        <f>IF(ISNA(VLOOKUP(A98,'Données projet'!$A$139:$I$159,7,0)),0%,VLOOKUP(A98,'Données projet'!$A$139:$I$159,7,0))</f>
        <v>0</v>
      </c>
      <c r="CD98" s="45">
        <f>EXP(-LN(2)/35)*CD97+(1-EXP(-LN(2)/35))/(LN(2)/35)*BZ98*CA98*VLOOKUP('Données projet'!$B$9,Paramètres!$A$1:$I$88,3,0)*0.475*44/12</f>
        <v>0</v>
      </c>
      <c r="CE98" s="45">
        <f>EXP(-LN(2)/25)*CE97+(1-EXP(-LN(2)/25))/(LN(2)/25)*Calculateur!BZ98*Calculateur!CB98*VLOOKUP('Données projet'!$B$9,Paramètres!$A$1:$I$88,3,0)*0.475*44/12</f>
        <v>0</v>
      </c>
      <c r="CF98" s="45">
        <f>EXP(-LN(2)/2)*CF97+(1-EXP(-LN(2)/2))/(LN(2)/2)*BZ98*CC98*VLOOKUP('Données projet'!$B$9,Paramètres!$A$1:$I$88,3,0)*0.475*44/12</f>
        <v>0</v>
      </c>
      <c r="CG98" s="46">
        <f t="shared" si="51"/>
        <v>0</v>
      </c>
      <c r="CH98" s="32" t="e">
        <f>VLOOKUP(A98,'Données projet'!$A$165:$I$185,2,0)</f>
        <v>#N/A</v>
      </c>
      <c r="CI98" s="33" t="e">
        <f>VLOOKUP(A98,'Données projet'!$A$165:$I$185,9,0)</f>
        <v>#N/A</v>
      </c>
      <c r="CJ98" s="33">
        <f t="array" ref="CJ98">INDEX(CI:CI,MIN(IF(ISNUMBER(CI98:CI294),ROW(CI98:CI294),"")))</f>
        <v>0</v>
      </c>
      <c r="CK98" s="33">
        <f t="shared" si="74"/>
        <v>0</v>
      </c>
      <c r="CL98" s="38" t="e">
        <f>CK98*VLOOKUP('Données projet'!$B$14,Paramètres!$A$1:$I$88,3,0)*VLOOKUP('Données projet'!$B$14,Paramètres!$A$1:$I$88,5,0)</f>
        <v>#N/A</v>
      </c>
      <c r="CM98" s="34" t="e">
        <f t="shared" si="75"/>
        <v>#N/A</v>
      </c>
      <c r="CN98" s="44" t="e">
        <f t="shared" si="52"/>
        <v>#N/A</v>
      </c>
      <c r="CO98" s="36">
        <f>IF(ISNA(VLOOKUP(A98,'Données projet'!$A$165:$I$185,3,0)),0,VLOOKUP(A98,'Données projet'!$A$165:$I$185,3,0))</f>
        <v>0</v>
      </c>
      <c r="CP98" s="36">
        <f>IF(ISNA(VLOOKUP(A98,'Données projet'!$A$165:$I$185,4,0)),0,VLOOKUP(A98,'Données projet'!$A$165:$I$185,4,0))</f>
        <v>0</v>
      </c>
      <c r="CQ98" s="37">
        <f>IF(ISNA(VLOOKUP(A98,'Données projet'!$A$165:$I$185,5,0)),0%,VLOOKUP(A98,'Données projet'!$A$165:$I$185,5,0)*VLOOKUP('Données projet'!$B$14,Paramètres!$A$1:$I$88,7,0))</f>
        <v>0</v>
      </c>
      <c r="CR98" s="37">
        <f>IF(ISNA(VLOOKUP(A98,'Données projet'!$A$165:$I$185,6,0)),0%,VLOOKUP(A98,'Données projet'!$A$165:$I$185,6,0)*VLOOKUP('Données projet'!$B$14,Paramètres!$A$1:$I$88,7,0))</f>
        <v>0</v>
      </c>
      <c r="CS98" s="37">
        <f>IF(ISNA(VLOOKUP(A98,'Données projet'!$A$165:$I$185,7,0)),0%,VLOOKUP(A98,'Données projet'!$A$165:$I$185,7,0))</f>
        <v>0</v>
      </c>
      <c r="CT98" s="45">
        <f>EXP(-LN(2)/35)*CT97+(1-EXP(-LN(2)/35))/(LN(2)/35)*CP98*CQ98*VLOOKUP('Données projet'!$B$9,Paramètres!$A$1:$I$88,3,0)*0.475*44/12</f>
        <v>0</v>
      </c>
      <c r="CU98" s="45">
        <f>EXP(-LN(2)/25)*CU97+(1-EXP(-LN(2)/25))/(LN(2)/25)*Calculateur!CP98*Calculateur!CR98*VLOOKUP('Données projet'!$B$9,Paramètres!$A$1:$I$88,3,0)*0.475*44/12</f>
        <v>0</v>
      </c>
      <c r="CV98" s="45">
        <f>EXP(-LN(2)/2)*CV97+(1-EXP(-LN(2)/2))/(LN(2)/2)*CP98*CS98*VLOOKUP('Données projet'!$B$9,Paramètres!$A$1:$I$88,3,0)*0.475*44/12</f>
        <v>0</v>
      </c>
      <c r="CW98" s="46">
        <f t="shared" si="53"/>
        <v>0</v>
      </c>
      <c r="CX98" s="32" t="e">
        <f>VLOOKUP(A98,'Données projet'!$A$191:$I$211,2,0)</f>
        <v>#N/A</v>
      </c>
      <c r="CY98" s="33" t="e">
        <f>VLOOKUP(A98,'Données projet'!$A$191:$I$211,9,0)</f>
        <v>#N/A</v>
      </c>
      <c r="CZ98" s="33">
        <f t="array" ref="CZ98">INDEX(CY:CY,MIN(IF(ISNUMBER(CY98:CY294),ROW(CY98:CY294),"")))</f>
        <v>0</v>
      </c>
      <c r="DA98" s="33">
        <f t="shared" si="76"/>
        <v>0</v>
      </c>
      <c r="DB98" s="38" t="e">
        <f>DA98*VLOOKUP('Données projet'!$B$15,Paramètres!$A$1:$I$88,3,0)*VLOOKUP('Données projet'!$B$15,Paramètres!$A$1:$I$88,5,0)</f>
        <v>#N/A</v>
      </c>
      <c r="DC98" s="34" t="e">
        <f t="shared" si="77"/>
        <v>#N/A</v>
      </c>
      <c r="DD98" s="44" t="e">
        <f t="shared" si="54"/>
        <v>#N/A</v>
      </c>
      <c r="DE98" s="36">
        <f>IF(ISNA(VLOOKUP(A98,'Données projet'!$A$191:$I$211,3,0)),0,VLOOKUP(A98,'Données projet'!$A$191:$I$211,3,0))</f>
        <v>0</v>
      </c>
      <c r="DF98" s="36">
        <f>IF(ISNA(VLOOKUP(A98,'Données projet'!$A$191:$I$211,4,0)),0,VLOOKUP(A98,'Données projet'!$A$191:$I$211,4,0))</f>
        <v>0</v>
      </c>
      <c r="DG98" s="37">
        <f>IF(ISNA(VLOOKUP(A98,'Données projet'!$A$191:$I$211,5,0)),0%,VLOOKUP(A98,'Données projet'!$A$191:$I$211,5,0)*VLOOKUP('Données projet'!$B$15,Paramètres!$A$1:$I$88,7,0))</f>
        <v>0</v>
      </c>
      <c r="DH98" s="37">
        <f>IF(ISNA(VLOOKUP(A98,'Données projet'!$A$191:$I$211,6,0)),0%,VLOOKUP(A98,'Données projet'!$A$191:$I$211,6,0)*VLOOKUP('Données projet'!$B$15,Paramètres!$A$1:$I$88,7,0))</f>
        <v>0</v>
      </c>
      <c r="DI98" s="37">
        <f>IF(ISNA(VLOOKUP(A98,'Données projet'!$A$191:$I$211,7,0)),0%,VLOOKUP(A98,'Données projet'!$A$191:$I$211,7,0))</f>
        <v>0</v>
      </c>
      <c r="DJ98" s="45">
        <f>EXP(-LN(2)/35)*DJ97+(1-EXP(-LN(2)/35))/(LN(2)/35)*DF98*DG98*VLOOKUP('Données projet'!$B$9,Paramètres!$A$1:$I$88,3,0)*0.475*44/12</f>
        <v>0</v>
      </c>
      <c r="DK98" s="45">
        <f>EXP(-LN(2)/25)*DK97+(1-EXP(-LN(2)/25))/(LN(2)/25)*Calculateur!DF98*Calculateur!DH98*VLOOKUP('Données projet'!$B$9,Paramètres!$A$1:$I$88,3,0)*0.475*44/12</f>
        <v>0</v>
      </c>
      <c r="DL98" s="45">
        <f>EXP(-LN(2)/2)*DL97+(1-EXP(-LN(2)/2))/(LN(2)/2)*DF98*DI98*VLOOKUP('Données projet'!$B$9,Paramètres!$A$1:$I$88,3,0)*0.475*44/12</f>
        <v>0</v>
      </c>
      <c r="DM98" s="46">
        <f t="shared" si="55"/>
        <v>0</v>
      </c>
      <c r="DN98" s="32" t="e">
        <f>VLOOKUP(A98,'Données projet'!$A$217:$I$237,2,0)</f>
        <v>#N/A</v>
      </c>
      <c r="DO98" s="33" t="e">
        <f>VLOOKUP(A98,'Données projet'!$A$217:$I$237,9,0)</f>
        <v>#N/A</v>
      </c>
      <c r="DP98" s="33">
        <f t="array" ref="DP98">INDEX(DO:DO,MIN(IF(ISNUMBER(DO98:DO294),ROW(DO98:DO294),"")))</f>
        <v>0</v>
      </c>
      <c r="DQ98" s="33">
        <f t="shared" si="78"/>
        <v>0</v>
      </c>
      <c r="DR98" s="38" t="e">
        <f>DQ98*VLOOKUP('Données projet'!$B$16,Paramètres!$A$1:$I$88,3,0)*VLOOKUP('Données projet'!$B$16,Paramètres!$A$1:$I$88,5,0)</f>
        <v>#N/A</v>
      </c>
      <c r="DS98" s="34" t="e">
        <f t="shared" si="79"/>
        <v>#N/A</v>
      </c>
      <c r="DT98" s="44" t="e">
        <f t="shared" si="56"/>
        <v>#N/A</v>
      </c>
      <c r="DU98" s="36">
        <f>IF(ISNA(VLOOKUP(A98,'Données projet'!$A$217:$I$237,3,0)),0,VLOOKUP(A98,'Données projet'!$A$217:$I$237,3,0))</f>
        <v>0</v>
      </c>
      <c r="DV98" s="36">
        <f>IF(ISNA(VLOOKUP(A98,'Données projet'!$A$217:$I$237,4,0)),0,VLOOKUP(A98,'Données projet'!$A$217:$I$237,4,0))</f>
        <v>0</v>
      </c>
      <c r="DW98" s="37">
        <f>IF(ISNA(VLOOKUP(A98,'Données projet'!$A$217:$I$237,5,0)),0%,VLOOKUP(A98,'Données projet'!$A$217:$I$237,5,0)*VLOOKUP('Données projet'!$B$16,Paramètres!$A$1:$I$88,7,0))</f>
        <v>0</v>
      </c>
      <c r="DX98" s="37">
        <f>IF(ISNA(VLOOKUP(A98,'Données projet'!$A$217:$I$237,6,0)),0%,VLOOKUP(A98,'Données projet'!$A$217:$I$237,6,0)*VLOOKUP('Données projet'!$B$16,Paramètres!$A$1:$I$88,7,0))</f>
        <v>0</v>
      </c>
      <c r="DY98" s="37">
        <f>IF(ISNA(VLOOKUP(A98,'Données projet'!$A$217:$I$237,7,0)),0%,VLOOKUP(A98,'Données projet'!$A$217:$I$237,7,0))</f>
        <v>0</v>
      </c>
      <c r="DZ98" s="45">
        <f>EXP(-LN(2)/35)*DZ97+(1-EXP(-LN(2)/35))/(LN(2)/35)*DV98*DW98*VLOOKUP('Données projet'!$B$9,Paramètres!$A$1:$I$88,3,0)*0.475*44/12</f>
        <v>0</v>
      </c>
      <c r="EA98" s="45">
        <f>EXP(-LN(2)/25)*EA97+(1-EXP(-LN(2)/25))/(LN(2)/25)*Calculateur!DV98*Calculateur!DX98*VLOOKUP('Données projet'!$B$9,Paramètres!$A$1:$I$88,3,0)*0.475*44/12</f>
        <v>0</v>
      </c>
      <c r="EB98" s="45">
        <f>EXP(-LN(2)/2)*EB97+(1-EXP(-LN(2)/2))/(LN(2)/2)*DV98*DY98*VLOOKUP('Données projet'!$B$9,Paramètres!$A$1:$I$88,3,0)*0.475*44/12</f>
        <v>0</v>
      </c>
      <c r="EC98" s="46">
        <f t="shared" si="57"/>
        <v>0</v>
      </c>
      <c r="ED98" s="32" t="e">
        <f>VLOOKUP(A98,'Données projet'!$A$243:$I$263,2,0)</f>
        <v>#N/A</v>
      </c>
      <c r="EE98" s="33" t="e">
        <f>VLOOKUP(A98,'Données projet'!$A$243:$I$263,9,0)</f>
        <v>#N/A</v>
      </c>
      <c r="EF98" s="33">
        <f t="array" ref="EF98">INDEX(EE:EE,MIN(IF(ISNUMBER(EE98:EE294),ROW(EE98:EE294),"")))</f>
        <v>0</v>
      </c>
      <c r="EG98" s="33">
        <f t="shared" si="80"/>
        <v>0</v>
      </c>
      <c r="EH98" s="38" t="e">
        <f>EG98*VLOOKUP('Données projet'!$B$17,Paramètres!$A$1:$I$88,3,0)*VLOOKUP('Données projet'!$B$17,Paramètres!$A$1:$I$88,5,0)</f>
        <v>#N/A</v>
      </c>
      <c r="EI98" s="34" t="e">
        <f t="shared" si="81"/>
        <v>#N/A</v>
      </c>
      <c r="EJ98" s="44" t="e">
        <f t="shared" si="58"/>
        <v>#N/A</v>
      </c>
      <c r="EK98" s="36">
        <f>IF(ISNA(VLOOKUP(A98,'Données projet'!$A$243:$I$263,3,0)),0,VLOOKUP(A98,'Données projet'!$A$243:$I$263,3,0))</f>
        <v>0</v>
      </c>
      <c r="EL98" s="36">
        <f>IF(ISNA(VLOOKUP(A98,'Données projet'!$A$243:$I$263,4,0)),0,VLOOKUP(A98,'Données projet'!$A$243:$I$263,4,0))</f>
        <v>0</v>
      </c>
      <c r="EM98" s="37">
        <f>IF(ISNA(VLOOKUP(A98,'Données projet'!$A$243:$I$263,5,0)),0%,VLOOKUP(A98,'Données projet'!$A$243:$I$263,5,0)*VLOOKUP('Données projet'!$B$17,Paramètres!$A$1:$I$88,7,0))</f>
        <v>0</v>
      </c>
      <c r="EN98" s="37">
        <f>IF(ISNA(VLOOKUP(A98,'Données projet'!$A$243:$I$263,6,0)),0%,VLOOKUP(A98,'Données projet'!$A$243:$I$263,6,0)*VLOOKUP('Données projet'!$B$17,Paramètres!$A$1:$I$88,7,0))</f>
        <v>0</v>
      </c>
      <c r="EO98" s="37">
        <f>IF(ISNA(VLOOKUP(A98,'Données projet'!$A$243:$I$263,7,0)),0%,VLOOKUP(A98,'Données projet'!$A$243:$I$263,7,0))</f>
        <v>0</v>
      </c>
      <c r="EP98" s="45">
        <f>EXP(-LN(2)/35)*EP97+(1-EXP(-LN(2)/35))/(LN(2)/35)*EL98*EM98*VLOOKUP('Données projet'!$B$9,Paramètres!$A$1:$I$88,3,0)*0.475*44/12</f>
        <v>0</v>
      </c>
      <c r="EQ98" s="45">
        <f>EXP(-LN(2)/25)*EQ97+(1-EXP(-LN(2)/25))/(LN(2)/25)*Calculateur!EL98*Calculateur!EN98*VLOOKUP('Données projet'!$B$9,Paramètres!$A$1:$I$88,3,0)*0.475*44/12</f>
        <v>0</v>
      </c>
      <c r="ER98" s="45">
        <f>EXP(-LN(2)/2)*ER97+(1-EXP(-LN(2)/2))/(LN(2)/2)*EL98*EO98*VLOOKUP('Données projet'!$B$9,Paramètres!$A$1:$I$88,3,0)*0.475*44/12</f>
        <v>0</v>
      </c>
      <c r="ES98" s="46">
        <f t="shared" si="59"/>
        <v>0</v>
      </c>
      <c r="ET98" s="32" t="e">
        <f>VLOOKUP(A98,'Données projet'!$A$269:$I$289,2,0)</f>
        <v>#N/A</v>
      </c>
      <c r="EU98" s="33" t="e">
        <f>VLOOKUP(A98,'Données projet'!$A$269:$I$289,9,0)</f>
        <v>#N/A</v>
      </c>
      <c r="EV98" s="33">
        <f t="array" ref="EV98">INDEX(EU:EU,MIN(IF(ISNUMBER(EU98:EU294),ROW(EU98:EU294),"")))</f>
        <v>0</v>
      </c>
      <c r="EW98" s="33">
        <f t="shared" si="82"/>
        <v>0</v>
      </c>
      <c r="EX98" s="38" t="e">
        <f>EW98*VLOOKUP('Données projet'!$B$18,Paramètres!$A$1:$I$88,3,0)*VLOOKUP('Données projet'!$B$18,Paramètres!$A$1:$I$88,5,0)</f>
        <v>#N/A</v>
      </c>
      <c r="EY98" s="34" t="e">
        <f t="shared" si="83"/>
        <v>#N/A</v>
      </c>
      <c r="EZ98" s="44" t="e">
        <f t="shared" si="60"/>
        <v>#N/A</v>
      </c>
      <c r="FA98" s="36">
        <f>IF(ISNA(VLOOKUP(A98,'Données projet'!$A$269:$I$289,3,0)),0,VLOOKUP(A98,'Données projet'!$A$269:$I$289,3,0))</f>
        <v>0</v>
      </c>
      <c r="FB98" s="36">
        <f>IF(ISNA(VLOOKUP(A98,'Données projet'!$A$269:$I$289,4,0)),0,VLOOKUP(A98,'Données projet'!$A$269:$I$289,4,0))</f>
        <v>0</v>
      </c>
      <c r="FC98" s="37">
        <f>IF(ISNA(VLOOKUP(A98,'Données projet'!$A$269:$I$289,5,0)),0%,VLOOKUP(A98,'Données projet'!$A$269:$I$289,5,0)*VLOOKUP('Données projet'!$B$18,Paramètres!$A$1:$I$88,7,0))</f>
        <v>0</v>
      </c>
      <c r="FD98" s="37">
        <f>IF(ISNA(VLOOKUP(A98,'Données projet'!$A$269:$I$289,6,0)),0%,VLOOKUP(A98,'Données projet'!$A$269:$I$289,6,0)*VLOOKUP('Données projet'!$B$18,Paramètres!$A$1:$I$88,7,0))</f>
        <v>0</v>
      </c>
      <c r="FE98" s="37">
        <f>IF(ISNA(VLOOKUP(A98,'Données projet'!$A$269:$I$289,7,0)),0%,VLOOKUP(A98,'Données projet'!$A$269:$I$289,7,0))</f>
        <v>0</v>
      </c>
      <c r="FF98" s="45">
        <f>EXP(-LN(2)/35)*FF97+(1-EXP(-LN(2)/35))/(LN(2)/35)*FB98*FC98*VLOOKUP('Données projet'!$B$9,Paramètres!$A$1:$I$88,3,0)*0.475*44/12</f>
        <v>0</v>
      </c>
      <c r="FG98" s="45">
        <f>EXP(-LN(2)/25)*FG97+(1-EXP(-LN(2)/25))/(LN(2)/25)*Calculateur!FB98*Calculateur!FD98*VLOOKUP('Données projet'!$B$9,Paramètres!$A$1:$I$88,3,0)*0.475*44/12</f>
        <v>0</v>
      </c>
      <c r="FH98" s="45">
        <f>EXP(-LN(2)/2)*FH97+(1-EXP(-LN(2)/2))/(LN(2)/2)*FB98*FE98*VLOOKUP('Données projet'!$B$9,Paramètres!$A$1:$I$88,3,0)*0.475*44/12</f>
        <v>0</v>
      </c>
      <c r="FI98" s="46">
        <f t="shared" si="61"/>
        <v>0</v>
      </c>
    </row>
    <row r="99" spans="1:165" x14ac:dyDescent="0.25">
      <c r="A99" s="24">
        <f t="shared" si="62"/>
        <v>96</v>
      </c>
      <c r="B99" s="25">
        <f>IF('Scénario référence'!$N$1=1,5,0)</f>
        <v>0</v>
      </c>
      <c r="C99" s="40">
        <f>IF(OR('Scénario référence'!$N$1=2,'Scénario référence'!$N$1=4),C98+1*VLOOKUP('Scénario référence'!$G$14,Paramètres!$A$1:$I$88,3,0)*VLOOKUP('Scénario référence'!$G$14,Paramètres!$A$1:$I$88,5,0),IF(OR('Scénario référence'!$N$1=3,'Scénario référence'!$N$1=5),C98+0.5*VLOOKUP('Scénario référence'!$G$14,Paramètres!$A$1:$I$88,3,0)*VLOOKUP('Scénario référence'!$G$14,Paramètres!$A$1:$I$88,5,0),0))</f>
        <v>52.415999999999954</v>
      </c>
      <c r="D99" s="26">
        <f t="shared" si="63"/>
        <v>15.235978301273022</v>
      </c>
      <c r="E99" s="27">
        <f>IF('Scénario référence'!$N$1=1,B99*44/12,(C99+D99)*0.475*44/12)</f>
        <v>117.82719554138377</v>
      </c>
      <c r="F99" s="28" t="e">
        <f>VLOOKUP(A99,'Données projet'!$A$35:$I$55,2,0)</f>
        <v>#N/A</v>
      </c>
      <c r="G99" s="28" t="e">
        <f>VLOOKUP(A99,'Données projet'!$A$35:$I$55,9,0)</f>
        <v>#N/A</v>
      </c>
      <c r="H99" s="33">
        <f t="array" ref="H99">INDEX(G:G,MIN(IF(ISNUMBER(G99:G295),ROW(G99:G295),"")))</f>
        <v>4.7</v>
      </c>
      <c r="I99" s="28">
        <f t="shared" si="64"/>
        <v>262.69999999999965</v>
      </c>
      <c r="J99" s="41">
        <f>I99*VLOOKUP('Données projet'!$B$9,Paramètres!$A$1:$I$88,3,0)*VLOOKUP('Données projet'!$B$9,Paramètres!$A$1:$I$88,5,0)</f>
        <v>266.37779999999964</v>
      </c>
      <c r="K99" s="41">
        <f t="shared" si="65"/>
        <v>64.079943804672666</v>
      </c>
      <c r="L99" s="42">
        <f t="shared" si="42"/>
        <v>575.54723712647092</v>
      </c>
      <c r="M99" s="30">
        <f>IF(ISNA(VLOOKUP(A99,'Données projet'!$A$35:$I$55,3,0)),0,VLOOKUP(A99,'Données projet'!$A$35:$I$55,3,0))</f>
        <v>0</v>
      </c>
      <c r="N99" s="30">
        <f>IF(ISNA(VLOOKUP(A99,'Données projet'!$A$35:$I$55,4,0)),0,VLOOKUP(A99,'Données projet'!$A$35:$I$55,4,0))</f>
        <v>0</v>
      </c>
      <c r="O99" s="31">
        <f>IF(ISNA(VLOOKUP(A99,'Données projet'!$A$35:$I$55,5,0)),0%,VLOOKUP(A99,'Données projet'!$A$35:$I$55,5,0)*VLOOKUP('Données projet'!$B$9,Paramètres!$A$1:$I$88,7,0))</f>
        <v>0</v>
      </c>
      <c r="P99" s="31">
        <f>IF(ISNA(VLOOKUP(A99,'Données projet'!$A$35:$I$55,6,0)),0%,VLOOKUP(A99,'Données projet'!$A$35:$I$55,6,0)*VLOOKUP('Données projet'!$B$9,Paramètres!$A$1:$I$88,7,0))</f>
        <v>0</v>
      </c>
      <c r="Q99" s="31">
        <f>IF(ISNA(VLOOKUP(A99,'Données projet'!$A$35:$I$55,7,0)),0%,VLOOKUP(A99,'Données projet'!$A$35:$I$55,7,0))</f>
        <v>0</v>
      </c>
      <c r="R99" s="43">
        <f>EXP(-LN(2)/35)*R98+(1-EXP(-LN(2)/35))/(LN(2)/35)*N99*O99*VLOOKUP('Données projet'!$B$9,Paramètres!$A$1:$I$88,3,0)*0.475*44/12</f>
        <v>0</v>
      </c>
      <c r="S99" s="43">
        <f>EXP(-LN(2)/25)*S98+(1-EXP(-LN(2)/25))/(LN(2)/25)*Calculateur!N99*Calculateur!P99*VLOOKUP('Données projet'!$B$9,Paramètres!$A$1:$I$88,3,0)*0.475*44/12</f>
        <v>0</v>
      </c>
      <c r="T99" s="43">
        <f>EXP(-LN(2)/2)*T98+(1-EXP(-LN(2)/2))/(LN(2)/2)*N99*Q99*VLOOKUP('Données projet'!$B$9,Paramètres!$A$1:$I$88,3,0)*0.475*44/12</f>
        <v>0</v>
      </c>
      <c r="U99" s="43">
        <f t="shared" si="43"/>
        <v>0</v>
      </c>
      <c r="V99" s="32" t="e">
        <f>VLOOKUP(A99,'Données projet'!$A$61:$I$81,2,0)</f>
        <v>#N/A</v>
      </c>
      <c r="W99" s="33" t="e">
        <f>VLOOKUP(A99,'Données projet'!$A$61:$I$81,9,0)</f>
        <v>#N/A</v>
      </c>
      <c r="X99" s="33">
        <f t="array" ref="X99">INDEX(W:W,MIN(IF(ISNUMBER(W99:W295),ROW(W99:W295),"")))</f>
        <v>0</v>
      </c>
      <c r="Y99" s="33">
        <f t="shared" si="66"/>
        <v>0</v>
      </c>
      <c r="Z99" s="34" t="e">
        <f>Y99*VLOOKUP('Données projet'!$B$10,Paramètres!$A$1:$I$88,3,0)*VLOOKUP('Données projet'!$B$10,Paramètres!$A$1:$I$88,5,0)</f>
        <v>#N/A</v>
      </c>
      <c r="AA99" s="34" t="e">
        <f t="shared" si="67"/>
        <v>#N/A</v>
      </c>
      <c r="AB99" s="44" t="e">
        <f t="shared" si="44"/>
        <v>#N/A</v>
      </c>
      <c r="AC99" s="36">
        <f>IF(ISNA(VLOOKUP(A99,'Données projet'!$A$61:$I$81,3,0)),0,VLOOKUP(A99,'Données projet'!$A$61:$I$81,3,0))</f>
        <v>0</v>
      </c>
      <c r="AD99" s="36">
        <f>IF(ISNA(VLOOKUP(A99,'Données projet'!$A$61:$I$81,4,0)),0,VLOOKUP(A99,'Données projet'!$A$61:$I$81,4,0))</f>
        <v>0</v>
      </c>
      <c r="AE99" s="37">
        <f>IF(ISNA(VLOOKUP(A99,'Données projet'!$A$61:$I$81,5,0)),0%,VLOOKUP(A99,'Données projet'!$A$61:$I$81,5,0)*VLOOKUP('Données projet'!$B$10,Paramètres!$A$1:$I$88,7,0))</f>
        <v>0</v>
      </c>
      <c r="AF99" s="37">
        <f>IF(ISNA(VLOOKUP(A99,'Données projet'!$A$61:$I$81,6,0)),0%,VLOOKUP(A99,'Données projet'!$A$61:$I$81,6,0)*VLOOKUP('Données projet'!$B$10,Paramètres!$A$1:$I$88,7,0))</f>
        <v>0</v>
      </c>
      <c r="AG99" s="37">
        <f>IF(ISNA(VLOOKUP(A99,'Données projet'!$A$61:$I$81,7,0)),0%,VLOOKUP(A99,'Données projet'!$A$61:$I$81,7,0))</f>
        <v>0</v>
      </c>
      <c r="AH99" s="45">
        <f>EXP(-LN(2)/35)*AH98+(1-EXP(-LN(2)/35))/(LN(2)/35)*AD99*AE99*VLOOKUP('Données projet'!$B$9,Paramètres!$A$1:$I$88,3,0)*0.475*44/12</f>
        <v>0</v>
      </c>
      <c r="AI99" s="45">
        <f>EXP(-LN(2)/25)*AI98+(1-EXP(-LN(2)/25))/(LN(2)/25)*Calculateur!AD99*Calculateur!AF99*VLOOKUP('Données projet'!$B$9,Paramètres!$A$1:$I$88,3,0)*0.475*44/12</f>
        <v>0</v>
      </c>
      <c r="AJ99" s="45">
        <f>EXP(-LN(2)/2)*AJ98+(1-EXP(-LN(2)/2))/(LN(2)/2)*AD99*AG99*VLOOKUP('Données projet'!$B$9,Paramètres!$A$1:$I$88,3,0)*0.475*44/12</f>
        <v>0</v>
      </c>
      <c r="AK99" s="45">
        <f t="shared" si="45"/>
        <v>0</v>
      </c>
      <c r="AL99" s="32" t="e">
        <f>VLOOKUP(A99,'Données projet'!$A$87:$I$107,2,0)</f>
        <v>#N/A</v>
      </c>
      <c r="AM99" s="33" t="e">
        <f>VLOOKUP(A99,'Données projet'!$A$87:$I$107,9,0)</f>
        <v>#N/A</v>
      </c>
      <c r="AN99" s="33">
        <f t="array" ref="AN99">INDEX(AM:AM,MIN(IF(ISNUMBER(AM99:AM295),ROW(AM99:AM295),"")))</f>
        <v>0</v>
      </c>
      <c r="AO99" s="33">
        <f t="shared" si="68"/>
        <v>0</v>
      </c>
      <c r="AP99" s="34" t="e">
        <f>AO99*VLOOKUP('Données projet'!$B$11,Paramètres!$A$1:$I$88,3,0)*VLOOKUP('Données projet'!$B$11,Paramètres!$A$1:$I$88,5,0)</f>
        <v>#N/A</v>
      </c>
      <c r="AQ99" s="34" t="e">
        <f t="shared" si="69"/>
        <v>#N/A</v>
      </c>
      <c r="AR99" s="44" t="e">
        <f t="shared" si="46"/>
        <v>#N/A</v>
      </c>
      <c r="AS99" s="36">
        <f>IF(ISNA(VLOOKUP(A99,'Données projet'!$A$87:$I$107,3,0)),0,VLOOKUP(A99,'Données projet'!$A$87:$I$107,3,0))</f>
        <v>0</v>
      </c>
      <c r="AT99" s="36">
        <f>IF(ISNA(VLOOKUP(A99,'Données projet'!$A$87:$I$107,4,0)),0,VLOOKUP(A99,'Données projet'!$A$87:$I$107,4,0))</f>
        <v>0</v>
      </c>
      <c r="AU99" s="37">
        <f>IF(ISNA(VLOOKUP(A99,'Données projet'!$A$87:$I$107,5,0)),0%,VLOOKUP(A99,'Données projet'!$A$87:$I$107,5,0)*VLOOKUP('Données projet'!$B$11,Paramètres!$A$1:$I$88,7,0))</f>
        <v>0</v>
      </c>
      <c r="AV99" s="37">
        <f>IF(ISNA(VLOOKUP(A99,'Données projet'!$A$87:$I$107,6,0)),0%,VLOOKUP(A99,'Données projet'!$A$87:$I$107,6,0)*VLOOKUP('Données projet'!$B$11,Paramètres!$A$1:$I$88,7,0))</f>
        <v>0</v>
      </c>
      <c r="AW99" s="37">
        <f>IF(ISNA(VLOOKUP(A99,'Données projet'!$A$87:$I$107,7,0)),0%,VLOOKUP(A99,'Données projet'!$A$87:$I$107,7,0))</f>
        <v>0</v>
      </c>
      <c r="AX99" s="45">
        <f>EXP(-LN(2)/35)*AX98+(1-EXP(-LN(2)/35))/(LN(2)/35)*AT99*AU99*VLOOKUP('Données projet'!$B$9,Paramètres!$A$1:$I$88,3,0)*0.475*44/12</f>
        <v>0</v>
      </c>
      <c r="AY99" s="45">
        <f>EXP(-LN(2)/25)*AY98+(1-EXP(-LN(2)/25))/(LN(2)/25)*Calculateur!AT99*Calculateur!AV99*VLOOKUP('Données projet'!$B$9,Paramètres!$A$1:$I$88,3,0)*0.475*44/12</f>
        <v>0</v>
      </c>
      <c r="AZ99" s="45">
        <f>EXP(-LN(2)/2)*AZ98+(1-EXP(-LN(2)/2))/(LN(2)/2)*AT99*AW99*VLOOKUP('Données projet'!$B$9,Paramètres!$A$1:$I$88,3,0)*0.475*44/12</f>
        <v>0</v>
      </c>
      <c r="BA99" s="46">
        <f t="shared" si="47"/>
        <v>0</v>
      </c>
      <c r="BB99" s="32" t="e">
        <f>VLOOKUP(A99,'Données projet'!$A$113:$I$133,2,0)</f>
        <v>#N/A</v>
      </c>
      <c r="BC99" s="33" t="e">
        <f>VLOOKUP(A99,'Données projet'!$A$113:$I$133,9,0)</f>
        <v>#N/A</v>
      </c>
      <c r="BD99" s="33">
        <f t="array" ref="BD99">INDEX(BC:BC,MIN(IF(ISNUMBER(BC99:BC295),ROW(BC99:BC295),"")))</f>
        <v>0</v>
      </c>
      <c r="BE99" s="33">
        <f t="shared" si="70"/>
        <v>0</v>
      </c>
      <c r="BF99" s="34" t="e">
        <f>BE99*VLOOKUP('Données projet'!$B$12,Paramètres!$A$1:$I$88,3,0)*VLOOKUP('Données projet'!$B$12,Paramètres!$A$1:$I$88,5,0)</f>
        <v>#N/A</v>
      </c>
      <c r="BG99" s="34" t="e">
        <f t="shared" si="71"/>
        <v>#N/A</v>
      </c>
      <c r="BH99" s="44" t="e">
        <f t="shared" si="48"/>
        <v>#N/A</v>
      </c>
      <c r="BI99" s="36">
        <f>IF(ISNA(VLOOKUP(A99,'Données projet'!$A$113:$I$133,3,0)),0,VLOOKUP(A99,'Données projet'!$A$113:$I$133,3,0))</f>
        <v>0</v>
      </c>
      <c r="BJ99" s="36">
        <f>IF(ISNA(VLOOKUP(A99,'Données projet'!$A$113:$I$133,4,0)),0,VLOOKUP(A99,'Données projet'!$A$113:$I$133,4,0))</f>
        <v>0</v>
      </c>
      <c r="BK99" s="37">
        <f>IF(ISNA(VLOOKUP(A99,'Données projet'!$A$113:$I$133,5,0)),0%,VLOOKUP(A99,'Données projet'!$A$113:$I$133,5,0)*VLOOKUP('Données projet'!$B$12,Paramètres!$A$1:$I$88,7,0))</f>
        <v>0</v>
      </c>
      <c r="BL99" s="37">
        <f>IF(ISNA(VLOOKUP(A99,'Données projet'!$A$113:$I$133,6,0)),0%,VLOOKUP(A99,'Données projet'!$A$113:$I$133,6,0)*VLOOKUP('Données projet'!$B$12,Paramètres!$A$1:$I$88,7,0))</f>
        <v>0</v>
      </c>
      <c r="BM99" s="37">
        <f>IF(ISNA(VLOOKUP(A99,'Données projet'!$A$113:$I$133,7,0)),0%,VLOOKUP(A99,'Données projet'!$A$113:$I$133,7,0))</f>
        <v>0</v>
      </c>
      <c r="BN99" s="45">
        <f>EXP(-LN(2)/35)*BN98+(1-EXP(-LN(2)/35))/(LN(2)/35)*BJ99*BK99*VLOOKUP('Données projet'!$B$9,Paramètres!$A$1:$I$88,3,0)*0.475*44/12</f>
        <v>0</v>
      </c>
      <c r="BO99" s="45">
        <f>EXP(-LN(2)/25)*BO98+(1-EXP(-LN(2)/25))/(LN(2)/25)*Calculateur!BJ99*Calculateur!BL99*VLOOKUP('Données projet'!$B$9,Paramètres!$A$1:$I$88,3,0)*0.475*44/12</f>
        <v>0</v>
      </c>
      <c r="BP99" s="45">
        <f>EXP(-LN(2)/2)*BP98+(1-EXP(-LN(2)/2))/(LN(2)/2)*BJ99*BM99*VLOOKUP('Données projet'!$B$9,Paramètres!$A$1:$I$88,3,0)*0.475*44/12</f>
        <v>0</v>
      </c>
      <c r="BQ99" s="46">
        <f t="shared" si="49"/>
        <v>0</v>
      </c>
      <c r="BR99" s="32" t="e">
        <f>VLOOKUP(A99,'Données projet'!$A$139:$I$159,2,0)</f>
        <v>#N/A</v>
      </c>
      <c r="BS99" s="33" t="e">
        <f>VLOOKUP(A99,'Données projet'!$A$139:$I$159,9,0)</f>
        <v>#N/A</v>
      </c>
      <c r="BT99" s="33">
        <f t="array" ref="BT99">INDEX(BS:BS,MIN(IF(ISNUMBER(BS99:BS295),ROW(BS99:BS295),"")))</f>
        <v>0</v>
      </c>
      <c r="BU99" s="33">
        <f t="shared" si="72"/>
        <v>0</v>
      </c>
      <c r="BV99" s="38" t="e">
        <f>BU99*VLOOKUP('Données projet'!$B$13,Paramètres!$A$1:$I$88,3,0)*VLOOKUP('Données projet'!$B$13,Paramètres!$A$1:$I$88,5,0)</f>
        <v>#N/A</v>
      </c>
      <c r="BW99" s="34" t="e">
        <f t="shared" si="73"/>
        <v>#N/A</v>
      </c>
      <c r="BX99" s="44" t="e">
        <f t="shared" si="50"/>
        <v>#N/A</v>
      </c>
      <c r="BY99" s="36">
        <f>IF(ISNA(VLOOKUP(A99,'Données projet'!$A$139:$I$159,3,0)),0,VLOOKUP(A99,'Données projet'!$A$139:$I$159,3,0))</f>
        <v>0</v>
      </c>
      <c r="BZ99" s="36">
        <f>IF(ISNA(VLOOKUP(A99,'Données projet'!$A$139:$I$159,4,0)),0,VLOOKUP(A99,'Données projet'!$A$139:$I$159,4,0))</f>
        <v>0</v>
      </c>
      <c r="CA99" s="37">
        <f>IF(ISNA(VLOOKUP(A99,'Données projet'!$A$139:$I$159,5,0)),0%,VLOOKUP(A99,'Données projet'!$A$139:$I$159,5,0)*VLOOKUP('Données projet'!$B$13,Paramètres!$A$1:$I$88,7,0))</f>
        <v>0</v>
      </c>
      <c r="CB99" s="37">
        <f>IF(ISNA(VLOOKUP(A99,'Données projet'!$A$139:$I$159,6,0)),0%,VLOOKUP(A99,'Données projet'!$A$139:$I$159,6,0)*VLOOKUP('Données projet'!$B$13,Paramètres!$A$1:$I$88,7,0))</f>
        <v>0</v>
      </c>
      <c r="CC99" s="37">
        <f>IF(ISNA(VLOOKUP(A99,'Données projet'!$A$139:$I$159,7,0)),0%,VLOOKUP(A99,'Données projet'!$A$139:$I$159,7,0))</f>
        <v>0</v>
      </c>
      <c r="CD99" s="45">
        <f>EXP(-LN(2)/35)*CD98+(1-EXP(-LN(2)/35))/(LN(2)/35)*BZ99*CA99*VLOOKUP('Données projet'!$B$9,Paramètres!$A$1:$I$88,3,0)*0.475*44/12</f>
        <v>0</v>
      </c>
      <c r="CE99" s="45">
        <f>EXP(-LN(2)/25)*CE98+(1-EXP(-LN(2)/25))/(LN(2)/25)*Calculateur!BZ99*Calculateur!CB99*VLOOKUP('Données projet'!$B$9,Paramètres!$A$1:$I$88,3,0)*0.475*44/12</f>
        <v>0</v>
      </c>
      <c r="CF99" s="45">
        <f>EXP(-LN(2)/2)*CF98+(1-EXP(-LN(2)/2))/(LN(2)/2)*BZ99*CC99*VLOOKUP('Données projet'!$B$9,Paramètres!$A$1:$I$88,3,0)*0.475*44/12</f>
        <v>0</v>
      </c>
      <c r="CG99" s="46">
        <f t="shared" si="51"/>
        <v>0</v>
      </c>
      <c r="CH99" s="32" t="e">
        <f>VLOOKUP(A99,'Données projet'!$A$165:$I$185,2,0)</f>
        <v>#N/A</v>
      </c>
      <c r="CI99" s="33" t="e">
        <f>VLOOKUP(A99,'Données projet'!$A$165:$I$185,9,0)</f>
        <v>#N/A</v>
      </c>
      <c r="CJ99" s="33">
        <f t="array" ref="CJ99">INDEX(CI:CI,MIN(IF(ISNUMBER(CI99:CI295),ROW(CI99:CI295),"")))</f>
        <v>0</v>
      </c>
      <c r="CK99" s="33">
        <f t="shared" si="74"/>
        <v>0</v>
      </c>
      <c r="CL99" s="38" t="e">
        <f>CK99*VLOOKUP('Données projet'!$B$14,Paramètres!$A$1:$I$88,3,0)*VLOOKUP('Données projet'!$B$14,Paramètres!$A$1:$I$88,5,0)</f>
        <v>#N/A</v>
      </c>
      <c r="CM99" s="34" t="e">
        <f t="shared" si="75"/>
        <v>#N/A</v>
      </c>
      <c r="CN99" s="44" t="e">
        <f t="shared" si="52"/>
        <v>#N/A</v>
      </c>
      <c r="CO99" s="36">
        <f>IF(ISNA(VLOOKUP(A99,'Données projet'!$A$165:$I$185,3,0)),0,VLOOKUP(A99,'Données projet'!$A$165:$I$185,3,0))</f>
        <v>0</v>
      </c>
      <c r="CP99" s="36">
        <f>IF(ISNA(VLOOKUP(A99,'Données projet'!$A$165:$I$185,4,0)),0,VLOOKUP(A99,'Données projet'!$A$165:$I$185,4,0))</f>
        <v>0</v>
      </c>
      <c r="CQ99" s="37">
        <f>IF(ISNA(VLOOKUP(A99,'Données projet'!$A$165:$I$185,5,0)),0%,VLOOKUP(A99,'Données projet'!$A$165:$I$185,5,0)*VLOOKUP('Données projet'!$B$14,Paramètres!$A$1:$I$88,7,0))</f>
        <v>0</v>
      </c>
      <c r="CR99" s="37">
        <f>IF(ISNA(VLOOKUP(A99,'Données projet'!$A$165:$I$185,6,0)),0%,VLOOKUP(A99,'Données projet'!$A$165:$I$185,6,0)*VLOOKUP('Données projet'!$B$14,Paramètres!$A$1:$I$88,7,0))</f>
        <v>0</v>
      </c>
      <c r="CS99" s="37">
        <f>IF(ISNA(VLOOKUP(A99,'Données projet'!$A$165:$I$185,7,0)),0%,VLOOKUP(A99,'Données projet'!$A$165:$I$185,7,0))</f>
        <v>0</v>
      </c>
      <c r="CT99" s="45">
        <f>EXP(-LN(2)/35)*CT98+(1-EXP(-LN(2)/35))/(LN(2)/35)*CP99*CQ99*VLOOKUP('Données projet'!$B$9,Paramètres!$A$1:$I$88,3,0)*0.475*44/12</f>
        <v>0</v>
      </c>
      <c r="CU99" s="45">
        <f>EXP(-LN(2)/25)*CU98+(1-EXP(-LN(2)/25))/(LN(2)/25)*Calculateur!CP99*Calculateur!CR99*VLOOKUP('Données projet'!$B$9,Paramètres!$A$1:$I$88,3,0)*0.475*44/12</f>
        <v>0</v>
      </c>
      <c r="CV99" s="45">
        <f>EXP(-LN(2)/2)*CV98+(1-EXP(-LN(2)/2))/(LN(2)/2)*CP99*CS99*VLOOKUP('Données projet'!$B$9,Paramètres!$A$1:$I$88,3,0)*0.475*44/12</f>
        <v>0</v>
      </c>
      <c r="CW99" s="46">
        <f t="shared" si="53"/>
        <v>0</v>
      </c>
      <c r="CX99" s="32" t="e">
        <f>VLOOKUP(A99,'Données projet'!$A$191:$I$211,2,0)</f>
        <v>#N/A</v>
      </c>
      <c r="CY99" s="33" t="e">
        <f>VLOOKUP(A99,'Données projet'!$A$191:$I$211,9,0)</f>
        <v>#N/A</v>
      </c>
      <c r="CZ99" s="33">
        <f t="array" ref="CZ99">INDEX(CY:CY,MIN(IF(ISNUMBER(CY99:CY295),ROW(CY99:CY295),"")))</f>
        <v>0</v>
      </c>
      <c r="DA99" s="33">
        <f t="shared" si="76"/>
        <v>0</v>
      </c>
      <c r="DB99" s="38" t="e">
        <f>DA99*VLOOKUP('Données projet'!$B$15,Paramètres!$A$1:$I$88,3,0)*VLOOKUP('Données projet'!$B$15,Paramètres!$A$1:$I$88,5,0)</f>
        <v>#N/A</v>
      </c>
      <c r="DC99" s="34" t="e">
        <f t="shared" si="77"/>
        <v>#N/A</v>
      </c>
      <c r="DD99" s="44" t="e">
        <f t="shared" si="54"/>
        <v>#N/A</v>
      </c>
      <c r="DE99" s="36">
        <f>IF(ISNA(VLOOKUP(A99,'Données projet'!$A$191:$I$211,3,0)),0,VLOOKUP(A99,'Données projet'!$A$191:$I$211,3,0))</f>
        <v>0</v>
      </c>
      <c r="DF99" s="36">
        <f>IF(ISNA(VLOOKUP(A99,'Données projet'!$A$191:$I$211,4,0)),0,VLOOKUP(A99,'Données projet'!$A$191:$I$211,4,0))</f>
        <v>0</v>
      </c>
      <c r="DG99" s="37">
        <f>IF(ISNA(VLOOKUP(A99,'Données projet'!$A$191:$I$211,5,0)),0%,VLOOKUP(A99,'Données projet'!$A$191:$I$211,5,0)*VLOOKUP('Données projet'!$B$15,Paramètres!$A$1:$I$88,7,0))</f>
        <v>0</v>
      </c>
      <c r="DH99" s="37">
        <f>IF(ISNA(VLOOKUP(A99,'Données projet'!$A$191:$I$211,6,0)),0%,VLOOKUP(A99,'Données projet'!$A$191:$I$211,6,0)*VLOOKUP('Données projet'!$B$15,Paramètres!$A$1:$I$88,7,0))</f>
        <v>0</v>
      </c>
      <c r="DI99" s="37">
        <f>IF(ISNA(VLOOKUP(A99,'Données projet'!$A$191:$I$211,7,0)),0%,VLOOKUP(A99,'Données projet'!$A$191:$I$211,7,0))</f>
        <v>0</v>
      </c>
      <c r="DJ99" s="45">
        <f>EXP(-LN(2)/35)*DJ98+(1-EXP(-LN(2)/35))/(LN(2)/35)*DF99*DG99*VLOOKUP('Données projet'!$B$9,Paramètres!$A$1:$I$88,3,0)*0.475*44/12</f>
        <v>0</v>
      </c>
      <c r="DK99" s="45">
        <f>EXP(-LN(2)/25)*DK98+(1-EXP(-LN(2)/25))/(LN(2)/25)*Calculateur!DF99*Calculateur!DH99*VLOOKUP('Données projet'!$B$9,Paramètres!$A$1:$I$88,3,0)*0.475*44/12</f>
        <v>0</v>
      </c>
      <c r="DL99" s="45">
        <f>EXP(-LN(2)/2)*DL98+(1-EXP(-LN(2)/2))/(LN(2)/2)*DF99*DI99*VLOOKUP('Données projet'!$B$9,Paramètres!$A$1:$I$88,3,0)*0.475*44/12</f>
        <v>0</v>
      </c>
      <c r="DM99" s="46">
        <f t="shared" si="55"/>
        <v>0</v>
      </c>
      <c r="DN99" s="32" t="e">
        <f>VLOOKUP(A99,'Données projet'!$A$217:$I$237,2,0)</f>
        <v>#N/A</v>
      </c>
      <c r="DO99" s="33" t="e">
        <f>VLOOKUP(A99,'Données projet'!$A$217:$I$237,9,0)</f>
        <v>#N/A</v>
      </c>
      <c r="DP99" s="33">
        <f t="array" ref="DP99">INDEX(DO:DO,MIN(IF(ISNUMBER(DO99:DO295),ROW(DO99:DO295),"")))</f>
        <v>0</v>
      </c>
      <c r="DQ99" s="33">
        <f t="shared" si="78"/>
        <v>0</v>
      </c>
      <c r="DR99" s="38" t="e">
        <f>DQ99*VLOOKUP('Données projet'!$B$16,Paramètres!$A$1:$I$88,3,0)*VLOOKUP('Données projet'!$B$16,Paramètres!$A$1:$I$88,5,0)</f>
        <v>#N/A</v>
      </c>
      <c r="DS99" s="34" t="e">
        <f t="shared" si="79"/>
        <v>#N/A</v>
      </c>
      <c r="DT99" s="44" t="e">
        <f t="shared" si="56"/>
        <v>#N/A</v>
      </c>
      <c r="DU99" s="36">
        <f>IF(ISNA(VLOOKUP(A99,'Données projet'!$A$217:$I$237,3,0)),0,VLOOKUP(A99,'Données projet'!$A$217:$I$237,3,0))</f>
        <v>0</v>
      </c>
      <c r="DV99" s="36">
        <f>IF(ISNA(VLOOKUP(A99,'Données projet'!$A$217:$I$237,4,0)),0,VLOOKUP(A99,'Données projet'!$A$217:$I$237,4,0))</f>
        <v>0</v>
      </c>
      <c r="DW99" s="37">
        <f>IF(ISNA(VLOOKUP(A99,'Données projet'!$A$217:$I$237,5,0)),0%,VLOOKUP(A99,'Données projet'!$A$217:$I$237,5,0)*VLOOKUP('Données projet'!$B$16,Paramètres!$A$1:$I$88,7,0))</f>
        <v>0</v>
      </c>
      <c r="DX99" s="37">
        <f>IF(ISNA(VLOOKUP(A99,'Données projet'!$A$217:$I$237,6,0)),0%,VLOOKUP(A99,'Données projet'!$A$217:$I$237,6,0)*VLOOKUP('Données projet'!$B$16,Paramètres!$A$1:$I$88,7,0))</f>
        <v>0</v>
      </c>
      <c r="DY99" s="37">
        <f>IF(ISNA(VLOOKUP(A99,'Données projet'!$A$217:$I$237,7,0)),0%,VLOOKUP(A99,'Données projet'!$A$217:$I$237,7,0))</f>
        <v>0</v>
      </c>
      <c r="DZ99" s="45">
        <f>EXP(-LN(2)/35)*DZ98+(1-EXP(-LN(2)/35))/(LN(2)/35)*DV99*DW99*VLOOKUP('Données projet'!$B$9,Paramètres!$A$1:$I$88,3,0)*0.475*44/12</f>
        <v>0</v>
      </c>
      <c r="EA99" s="45">
        <f>EXP(-LN(2)/25)*EA98+(1-EXP(-LN(2)/25))/(LN(2)/25)*Calculateur!DV99*Calculateur!DX99*VLOOKUP('Données projet'!$B$9,Paramètres!$A$1:$I$88,3,0)*0.475*44/12</f>
        <v>0</v>
      </c>
      <c r="EB99" s="45">
        <f>EXP(-LN(2)/2)*EB98+(1-EXP(-LN(2)/2))/(LN(2)/2)*DV99*DY99*VLOOKUP('Données projet'!$B$9,Paramètres!$A$1:$I$88,3,0)*0.475*44/12</f>
        <v>0</v>
      </c>
      <c r="EC99" s="46">
        <f t="shared" si="57"/>
        <v>0</v>
      </c>
      <c r="ED99" s="32" t="e">
        <f>VLOOKUP(A99,'Données projet'!$A$243:$I$263,2,0)</f>
        <v>#N/A</v>
      </c>
      <c r="EE99" s="33" t="e">
        <f>VLOOKUP(A99,'Données projet'!$A$243:$I$263,9,0)</f>
        <v>#N/A</v>
      </c>
      <c r="EF99" s="33">
        <f t="array" ref="EF99">INDEX(EE:EE,MIN(IF(ISNUMBER(EE99:EE295),ROW(EE99:EE295),"")))</f>
        <v>0</v>
      </c>
      <c r="EG99" s="33">
        <f t="shared" si="80"/>
        <v>0</v>
      </c>
      <c r="EH99" s="38" t="e">
        <f>EG99*VLOOKUP('Données projet'!$B$17,Paramètres!$A$1:$I$88,3,0)*VLOOKUP('Données projet'!$B$17,Paramètres!$A$1:$I$88,5,0)</f>
        <v>#N/A</v>
      </c>
      <c r="EI99" s="34" t="e">
        <f t="shared" si="81"/>
        <v>#N/A</v>
      </c>
      <c r="EJ99" s="44" t="e">
        <f t="shared" si="58"/>
        <v>#N/A</v>
      </c>
      <c r="EK99" s="36">
        <f>IF(ISNA(VLOOKUP(A99,'Données projet'!$A$243:$I$263,3,0)),0,VLOOKUP(A99,'Données projet'!$A$243:$I$263,3,0))</f>
        <v>0</v>
      </c>
      <c r="EL99" s="36">
        <f>IF(ISNA(VLOOKUP(A99,'Données projet'!$A$243:$I$263,4,0)),0,VLOOKUP(A99,'Données projet'!$A$243:$I$263,4,0))</f>
        <v>0</v>
      </c>
      <c r="EM99" s="37">
        <f>IF(ISNA(VLOOKUP(A99,'Données projet'!$A$243:$I$263,5,0)),0%,VLOOKUP(A99,'Données projet'!$A$243:$I$263,5,0)*VLOOKUP('Données projet'!$B$17,Paramètres!$A$1:$I$88,7,0))</f>
        <v>0</v>
      </c>
      <c r="EN99" s="37">
        <f>IF(ISNA(VLOOKUP(A99,'Données projet'!$A$243:$I$263,6,0)),0%,VLOOKUP(A99,'Données projet'!$A$243:$I$263,6,0)*VLOOKUP('Données projet'!$B$17,Paramètres!$A$1:$I$88,7,0))</f>
        <v>0</v>
      </c>
      <c r="EO99" s="37">
        <f>IF(ISNA(VLOOKUP(A99,'Données projet'!$A$243:$I$263,7,0)),0%,VLOOKUP(A99,'Données projet'!$A$243:$I$263,7,0))</f>
        <v>0</v>
      </c>
      <c r="EP99" s="45">
        <f>EXP(-LN(2)/35)*EP98+(1-EXP(-LN(2)/35))/(LN(2)/35)*EL99*EM99*VLOOKUP('Données projet'!$B$9,Paramètres!$A$1:$I$88,3,0)*0.475*44/12</f>
        <v>0</v>
      </c>
      <c r="EQ99" s="45">
        <f>EXP(-LN(2)/25)*EQ98+(1-EXP(-LN(2)/25))/(LN(2)/25)*Calculateur!EL99*Calculateur!EN99*VLOOKUP('Données projet'!$B$9,Paramètres!$A$1:$I$88,3,0)*0.475*44/12</f>
        <v>0</v>
      </c>
      <c r="ER99" s="45">
        <f>EXP(-LN(2)/2)*ER98+(1-EXP(-LN(2)/2))/(LN(2)/2)*EL99*EO99*VLOOKUP('Données projet'!$B$9,Paramètres!$A$1:$I$88,3,0)*0.475*44/12</f>
        <v>0</v>
      </c>
      <c r="ES99" s="46">
        <f t="shared" si="59"/>
        <v>0</v>
      </c>
      <c r="ET99" s="32" t="e">
        <f>VLOOKUP(A99,'Données projet'!$A$269:$I$289,2,0)</f>
        <v>#N/A</v>
      </c>
      <c r="EU99" s="33" t="e">
        <f>VLOOKUP(A99,'Données projet'!$A$269:$I$289,9,0)</f>
        <v>#N/A</v>
      </c>
      <c r="EV99" s="33">
        <f t="array" ref="EV99">INDEX(EU:EU,MIN(IF(ISNUMBER(EU99:EU295),ROW(EU99:EU295),"")))</f>
        <v>0</v>
      </c>
      <c r="EW99" s="33">
        <f t="shared" si="82"/>
        <v>0</v>
      </c>
      <c r="EX99" s="38" t="e">
        <f>EW99*VLOOKUP('Données projet'!$B$18,Paramètres!$A$1:$I$88,3,0)*VLOOKUP('Données projet'!$B$18,Paramètres!$A$1:$I$88,5,0)</f>
        <v>#N/A</v>
      </c>
      <c r="EY99" s="34" t="e">
        <f t="shared" si="83"/>
        <v>#N/A</v>
      </c>
      <c r="EZ99" s="44" t="e">
        <f t="shared" si="60"/>
        <v>#N/A</v>
      </c>
      <c r="FA99" s="36">
        <f>IF(ISNA(VLOOKUP(A99,'Données projet'!$A$269:$I$289,3,0)),0,VLOOKUP(A99,'Données projet'!$A$269:$I$289,3,0))</f>
        <v>0</v>
      </c>
      <c r="FB99" s="36">
        <f>IF(ISNA(VLOOKUP(A99,'Données projet'!$A$269:$I$289,4,0)),0,VLOOKUP(A99,'Données projet'!$A$269:$I$289,4,0))</f>
        <v>0</v>
      </c>
      <c r="FC99" s="37">
        <f>IF(ISNA(VLOOKUP(A99,'Données projet'!$A$269:$I$289,5,0)),0%,VLOOKUP(A99,'Données projet'!$A$269:$I$289,5,0)*VLOOKUP('Données projet'!$B$18,Paramètres!$A$1:$I$88,7,0))</f>
        <v>0</v>
      </c>
      <c r="FD99" s="37">
        <f>IF(ISNA(VLOOKUP(A99,'Données projet'!$A$269:$I$289,6,0)),0%,VLOOKUP(A99,'Données projet'!$A$269:$I$289,6,0)*VLOOKUP('Données projet'!$B$18,Paramètres!$A$1:$I$88,7,0))</f>
        <v>0</v>
      </c>
      <c r="FE99" s="37">
        <f>IF(ISNA(VLOOKUP(A99,'Données projet'!$A$269:$I$289,7,0)),0%,VLOOKUP(A99,'Données projet'!$A$269:$I$289,7,0))</f>
        <v>0</v>
      </c>
      <c r="FF99" s="45">
        <f>EXP(-LN(2)/35)*FF98+(1-EXP(-LN(2)/35))/(LN(2)/35)*FB99*FC99*VLOOKUP('Données projet'!$B$9,Paramètres!$A$1:$I$88,3,0)*0.475*44/12</f>
        <v>0</v>
      </c>
      <c r="FG99" s="45">
        <f>EXP(-LN(2)/25)*FG98+(1-EXP(-LN(2)/25))/(LN(2)/25)*Calculateur!FB99*Calculateur!FD99*VLOOKUP('Données projet'!$B$9,Paramètres!$A$1:$I$88,3,0)*0.475*44/12</f>
        <v>0</v>
      </c>
      <c r="FH99" s="45">
        <f>EXP(-LN(2)/2)*FH98+(1-EXP(-LN(2)/2))/(LN(2)/2)*FB99*FE99*VLOOKUP('Données projet'!$B$9,Paramètres!$A$1:$I$88,3,0)*0.475*44/12</f>
        <v>0</v>
      </c>
      <c r="FI99" s="46">
        <f t="shared" si="61"/>
        <v>0</v>
      </c>
    </row>
    <row r="100" spans="1:165" x14ac:dyDescent="0.25">
      <c r="A100" s="24">
        <f t="shared" si="62"/>
        <v>97</v>
      </c>
      <c r="B100" s="25">
        <f>IF('Scénario référence'!$N$1=1,5,0)</f>
        <v>0</v>
      </c>
      <c r="C100" s="40">
        <f>IF(OR('Scénario référence'!$N$1=2,'Scénario référence'!$N$1=4),C99+1*VLOOKUP('Scénario référence'!$G$14,Paramètres!$A$1:$I$88,3,0)*VLOOKUP('Scénario référence'!$G$14,Paramètres!$A$1:$I$88,5,0),IF(OR('Scénario référence'!$N$1=3,'Scénario référence'!$N$1=5),C99+0.5*VLOOKUP('Scénario référence'!$G$14,Paramètres!$A$1:$I$88,3,0)*VLOOKUP('Scénario référence'!$G$14,Paramètres!$A$1:$I$88,5,0),0))</f>
        <v>52.961999999999954</v>
      </c>
      <c r="D100" s="26">
        <f t="shared" si="63"/>
        <v>15.376128095486868</v>
      </c>
      <c r="E100" s="27">
        <f>IF('Scénario référence'!$N$1=1,B100*44/12,(C100+D100)*0.475*44/12)</f>
        <v>119.02223976630621</v>
      </c>
      <c r="F100" s="28" t="e">
        <f>VLOOKUP(A100,'Données projet'!$A$35:$I$55,2,0)</f>
        <v>#N/A</v>
      </c>
      <c r="G100" s="28" t="e">
        <f>VLOOKUP(A100,'Données projet'!$A$35:$I$55,9,0)</f>
        <v>#N/A</v>
      </c>
      <c r="H100" s="33">
        <f t="array" ref="H100">INDEX(G:G,MIN(IF(ISNUMBER(G100:G296),ROW(G100:G296),"")))</f>
        <v>4.7</v>
      </c>
      <c r="I100" s="28">
        <f t="shared" si="64"/>
        <v>267.39999999999964</v>
      </c>
      <c r="J100" s="41">
        <f>I100*VLOOKUP('Données projet'!$B$9,Paramètres!$A$1:$I$88,3,0)*VLOOKUP('Données projet'!$B$9,Paramètres!$A$1:$I$88,5,0)</f>
        <v>271.14359999999965</v>
      </c>
      <c r="K100" s="41">
        <f t="shared" si="65"/>
        <v>65.091910336447413</v>
      </c>
      <c r="L100" s="42">
        <f t="shared" si="42"/>
        <v>585.61018050264533</v>
      </c>
      <c r="M100" s="30">
        <f>IF(ISNA(VLOOKUP(A100,'Données projet'!$A$35:$I$55,3,0)),0,VLOOKUP(A100,'Données projet'!$A$35:$I$55,3,0))</f>
        <v>0</v>
      </c>
      <c r="N100" s="30">
        <f>IF(ISNA(VLOOKUP(A100,'Données projet'!$A$35:$I$55,4,0)),0,VLOOKUP(A100,'Données projet'!$A$35:$I$55,4,0))</f>
        <v>0</v>
      </c>
      <c r="O100" s="31">
        <f>IF(ISNA(VLOOKUP(A100,'Données projet'!$A$35:$I$55,5,0)),0%,VLOOKUP(A100,'Données projet'!$A$35:$I$55,5,0)*VLOOKUP('Données projet'!$B$9,Paramètres!$A$1:$I$88,7,0))</f>
        <v>0</v>
      </c>
      <c r="P100" s="31">
        <f>IF(ISNA(VLOOKUP(A100,'Données projet'!$A$35:$I$55,6,0)),0%,VLOOKUP(A100,'Données projet'!$A$35:$I$55,6,0)*VLOOKUP('Données projet'!$B$9,Paramètres!$A$1:$I$88,7,0))</f>
        <v>0</v>
      </c>
      <c r="Q100" s="31">
        <f>IF(ISNA(VLOOKUP(A100,'Données projet'!$A$35:$I$55,7,0)),0%,VLOOKUP(A100,'Données projet'!$A$35:$I$55,7,0))</f>
        <v>0</v>
      </c>
      <c r="R100" s="43">
        <f>EXP(-LN(2)/35)*R99+(1-EXP(-LN(2)/35))/(LN(2)/35)*N100*O100*VLOOKUP('Données projet'!$B$9,Paramètres!$A$1:$I$88,3,0)*0.475*44/12</f>
        <v>0</v>
      </c>
      <c r="S100" s="43">
        <f>EXP(-LN(2)/25)*S99+(1-EXP(-LN(2)/25))/(LN(2)/25)*Calculateur!N100*Calculateur!P100*VLOOKUP('Données projet'!$B$9,Paramètres!$A$1:$I$88,3,0)*0.475*44/12</f>
        <v>0</v>
      </c>
      <c r="T100" s="43">
        <f>EXP(-LN(2)/2)*T99+(1-EXP(-LN(2)/2))/(LN(2)/2)*N100*Q100*VLOOKUP('Données projet'!$B$9,Paramètres!$A$1:$I$88,3,0)*0.475*44/12</f>
        <v>0</v>
      </c>
      <c r="U100" s="43">
        <f t="shared" si="43"/>
        <v>0</v>
      </c>
      <c r="V100" s="32" t="e">
        <f>VLOOKUP(A100,'Données projet'!$A$61:$I$81,2,0)</f>
        <v>#N/A</v>
      </c>
      <c r="W100" s="33" t="e">
        <f>VLOOKUP(A100,'Données projet'!$A$61:$I$81,9,0)</f>
        <v>#N/A</v>
      </c>
      <c r="X100" s="33">
        <f t="array" ref="X100">INDEX(W:W,MIN(IF(ISNUMBER(W100:W296),ROW(W100:W296),"")))</f>
        <v>0</v>
      </c>
      <c r="Y100" s="33">
        <f t="shared" si="66"/>
        <v>0</v>
      </c>
      <c r="Z100" s="34" t="e">
        <f>Y100*VLOOKUP('Données projet'!$B$10,Paramètres!$A$1:$I$88,3,0)*VLOOKUP('Données projet'!$B$10,Paramètres!$A$1:$I$88,5,0)</f>
        <v>#N/A</v>
      </c>
      <c r="AA100" s="34" t="e">
        <f t="shared" si="67"/>
        <v>#N/A</v>
      </c>
      <c r="AB100" s="44" t="e">
        <f t="shared" si="44"/>
        <v>#N/A</v>
      </c>
      <c r="AC100" s="36">
        <f>IF(ISNA(VLOOKUP(A100,'Données projet'!$A$61:$I$81,3,0)),0,VLOOKUP(A100,'Données projet'!$A$61:$I$81,3,0))</f>
        <v>0</v>
      </c>
      <c r="AD100" s="36">
        <f>IF(ISNA(VLOOKUP(A100,'Données projet'!$A$61:$I$81,4,0)),0,VLOOKUP(A100,'Données projet'!$A$61:$I$81,4,0))</f>
        <v>0</v>
      </c>
      <c r="AE100" s="37">
        <f>IF(ISNA(VLOOKUP(A100,'Données projet'!$A$61:$I$81,5,0)),0%,VLOOKUP(A100,'Données projet'!$A$61:$I$81,5,0)*VLOOKUP('Données projet'!$B$10,Paramètres!$A$1:$I$88,7,0))</f>
        <v>0</v>
      </c>
      <c r="AF100" s="37">
        <f>IF(ISNA(VLOOKUP(A100,'Données projet'!$A$61:$I$81,6,0)),0%,VLOOKUP(A100,'Données projet'!$A$61:$I$81,6,0)*VLOOKUP('Données projet'!$B$10,Paramètres!$A$1:$I$88,7,0))</f>
        <v>0</v>
      </c>
      <c r="AG100" s="37">
        <f>IF(ISNA(VLOOKUP(A100,'Données projet'!$A$61:$I$81,7,0)),0%,VLOOKUP(A100,'Données projet'!$A$61:$I$81,7,0))</f>
        <v>0</v>
      </c>
      <c r="AH100" s="45">
        <f>EXP(-LN(2)/35)*AH99+(1-EXP(-LN(2)/35))/(LN(2)/35)*AD100*AE100*VLOOKUP('Données projet'!$B$9,Paramètres!$A$1:$I$88,3,0)*0.475*44/12</f>
        <v>0</v>
      </c>
      <c r="AI100" s="45">
        <f>EXP(-LN(2)/25)*AI99+(1-EXP(-LN(2)/25))/(LN(2)/25)*Calculateur!AD100*Calculateur!AF100*VLOOKUP('Données projet'!$B$9,Paramètres!$A$1:$I$88,3,0)*0.475*44/12</f>
        <v>0</v>
      </c>
      <c r="AJ100" s="45">
        <f>EXP(-LN(2)/2)*AJ99+(1-EXP(-LN(2)/2))/(LN(2)/2)*AD100*AG100*VLOOKUP('Données projet'!$B$9,Paramètres!$A$1:$I$88,3,0)*0.475*44/12</f>
        <v>0</v>
      </c>
      <c r="AK100" s="45">
        <f t="shared" si="45"/>
        <v>0</v>
      </c>
      <c r="AL100" s="32" t="e">
        <f>VLOOKUP(A100,'Données projet'!$A$87:$I$107,2,0)</f>
        <v>#N/A</v>
      </c>
      <c r="AM100" s="33" t="e">
        <f>VLOOKUP(A100,'Données projet'!$A$87:$I$107,9,0)</f>
        <v>#N/A</v>
      </c>
      <c r="AN100" s="33">
        <f t="array" ref="AN100">INDEX(AM:AM,MIN(IF(ISNUMBER(AM100:AM296),ROW(AM100:AM296),"")))</f>
        <v>0</v>
      </c>
      <c r="AO100" s="33">
        <f t="shared" si="68"/>
        <v>0</v>
      </c>
      <c r="AP100" s="34" t="e">
        <f>AO100*VLOOKUP('Données projet'!$B$11,Paramètres!$A$1:$I$88,3,0)*VLOOKUP('Données projet'!$B$11,Paramètres!$A$1:$I$88,5,0)</f>
        <v>#N/A</v>
      </c>
      <c r="AQ100" s="34" t="e">
        <f t="shared" si="69"/>
        <v>#N/A</v>
      </c>
      <c r="AR100" s="44" t="e">
        <f t="shared" si="46"/>
        <v>#N/A</v>
      </c>
      <c r="AS100" s="36">
        <f>IF(ISNA(VLOOKUP(A100,'Données projet'!$A$87:$I$107,3,0)),0,VLOOKUP(A100,'Données projet'!$A$87:$I$107,3,0))</f>
        <v>0</v>
      </c>
      <c r="AT100" s="36">
        <f>IF(ISNA(VLOOKUP(A100,'Données projet'!$A$87:$I$107,4,0)),0,VLOOKUP(A100,'Données projet'!$A$87:$I$107,4,0))</f>
        <v>0</v>
      </c>
      <c r="AU100" s="37">
        <f>IF(ISNA(VLOOKUP(A100,'Données projet'!$A$87:$I$107,5,0)),0%,VLOOKUP(A100,'Données projet'!$A$87:$I$107,5,0)*VLOOKUP('Données projet'!$B$11,Paramètres!$A$1:$I$88,7,0))</f>
        <v>0</v>
      </c>
      <c r="AV100" s="37">
        <f>IF(ISNA(VLOOKUP(A100,'Données projet'!$A$87:$I$107,6,0)),0%,VLOOKUP(A100,'Données projet'!$A$87:$I$107,6,0)*VLOOKUP('Données projet'!$B$11,Paramètres!$A$1:$I$88,7,0))</f>
        <v>0</v>
      </c>
      <c r="AW100" s="37">
        <f>IF(ISNA(VLOOKUP(A100,'Données projet'!$A$87:$I$107,7,0)),0%,VLOOKUP(A100,'Données projet'!$A$87:$I$107,7,0))</f>
        <v>0</v>
      </c>
      <c r="AX100" s="45">
        <f>EXP(-LN(2)/35)*AX99+(1-EXP(-LN(2)/35))/(LN(2)/35)*AT100*AU100*VLOOKUP('Données projet'!$B$9,Paramètres!$A$1:$I$88,3,0)*0.475*44/12</f>
        <v>0</v>
      </c>
      <c r="AY100" s="45">
        <f>EXP(-LN(2)/25)*AY99+(1-EXP(-LN(2)/25))/(LN(2)/25)*Calculateur!AT100*Calculateur!AV100*VLOOKUP('Données projet'!$B$9,Paramètres!$A$1:$I$88,3,0)*0.475*44/12</f>
        <v>0</v>
      </c>
      <c r="AZ100" s="45">
        <f>EXP(-LN(2)/2)*AZ99+(1-EXP(-LN(2)/2))/(LN(2)/2)*AT100*AW100*VLOOKUP('Données projet'!$B$9,Paramètres!$A$1:$I$88,3,0)*0.475*44/12</f>
        <v>0</v>
      </c>
      <c r="BA100" s="46">
        <f t="shared" si="47"/>
        <v>0</v>
      </c>
      <c r="BB100" s="32" t="e">
        <f>VLOOKUP(A100,'Données projet'!$A$113:$I$133,2,0)</f>
        <v>#N/A</v>
      </c>
      <c r="BC100" s="33" t="e">
        <f>VLOOKUP(A100,'Données projet'!$A$113:$I$133,9,0)</f>
        <v>#N/A</v>
      </c>
      <c r="BD100" s="33">
        <f t="array" ref="BD100">INDEX(BC:BC,MIN(IF(ISNUMBER(BC100:BC296),ROW(BC100:BC296),"")))</f>
        <v>0</v>
      </c>
      <c r="BE100" s="33">
        <f t="shared" si="70"/>
        <v>0</v>
      </c>
      <c r="BF100" s="34" t="e">
        <f>BE100*VLOOKUP('Données projet'!$B$12,Paramètres!$A$1:$I$88,3,0)*VLOOKUP('Données projet'!$B$12,Paramètres!$A$1:$I$88,5,0)</f>
        <v>#N/A</v>
      </c>
      <c r="BG100" s="34" t="e">
        <f t="shared" si="71"/>
        <v>#N/A</v>
      </c>
      <c r="BH100" s="44" t="e">
        <f t="shared" si="48"/>
        <v>#N/A</v>
      </c>
      <c r="BI100" s="36">
        <f>IF(ISNA(VLOOKUP(A100,'Données projet'!$A$113:$I$133,3,0)),0,VLOOKUP(A100,'Données projet'!$A$113:$I$133,3,0))</f>
        <v>0</v>
      </c>
      <c r="BJ100" s="36">
        <f>IF(ISNA(VLOOKUP(A100,'Données projet'!$A$113:$I$133,4,0)),0,VLOOKUP(A100,'Données projet'!$A$113:$I$133,4,0))</f>
        <v>0</v>
      </c>
      <c r="BK100" s="37">
        <f>IF(ISNA(VLOOKUP(A100,'Données projet'!$A$113:$I$133,5,0)),0%,VLOOKUP(A100,'Données projet'!$A$113:$I$133,5,0)*VLOOKUP('Données projet'!$B$12,Paramètres!$A$1:$I$88,7,0))</f>
        <v>0</v>
      </c>
      <c r="BL100" s="37">
        <f>IF(ISNA(VLOOKUP(A100,'Données projet'!$A$113:$I$133,6,0)),0%,VLOOKUP(A100,'Données projet'!$A$113:$I$133,6,0)*VLOOKUP('Données projet'!$B$12,Paramètres!$A$1:$I$88,7,0))</f>
        <v>0</v>
      </c>
      <c r="BM100" s="37">
        <f>IF(ISNA(VLOOKUP(A100,'Données projet'!$A$113:$I$133,7,0)),0%,VLOOKUP(A100,'Données projet'!$A$113:$I$133,7,0))</f>
        <v>0</v>
      </c>
      <c r="BN100" s="45">
        <f>EXP(-LN(2)/35)*BN99+(1-EXP(-LN(2)/35))/(LN(2)/35)*BJ100*BK100*VLOOKUP('Données projet'!$B$9,Paramètres!$A$1:$I$88,3,0)*0.475*44/12</f>
        <v>0</v>
      </c>
      <c r="BO100" s="45">
        <f>EXP(-LN(2)/25)*BO99+(1-EXP(-LN(2)/25))/(LN(2)/25)*Calculateur!BJ100*Calculateur!BL100*VLOOKUP('Données projet'!$B$9,Paramètres!$A$1:$I$88,3,0)*0.475*44/12</f>
        <v>0</v>
      </c>
      <c r="BP100" s="45">
        <f>EXP(-LN(2)/2)*BP99+(1-EXP(-LN(2)/2))/(LN(2)/2)*BJ100*BM100*VLOOKUP('Données projet'!$B$9,Paramètres!$A$1:$I$88,3,0)*0.475*44/12</f>
        <v>0</v>
      </c>
      <c r="BQ100" s="46">
        <f t="shared" si="49"/>
        <v>0</v>
      </c>
      <c r="BR100" s="32" t="e">
        <f>VLOOKUP(A100,'Données projet'!$A$139:$I$159,2,0)</f>
        <v>#N/A</v>
      </c>
      <c r="BS100" s="33" t="e">
        <f>VLOOKUP(A100,'Données projet'!$A$139:$I$159,9,0)</f>
        <v>#N/A</v>
      </c>
      <c r="BT100" s="33">
        <f t="array" ref="BT100">INDEX(BS:BS,MIN(IF(ISNUMBER(BS100:BS296),ROW(BS100:BS296),"")))</f>
        <v>0</v>
      </c>
      <c r="BU100" s="33">
        <f t="shared" si="72"/>
        <v>0</v>
      </c>
      <c r="BV100" s="38" t="e">
        <f>BU100*VLOOKUP('Données projet'!$B$13,Paramètres!$A$1:$I$88,3,0)*VLOOKUP('Données projet'!$B$13,Paramètres!$A$1:$I$88,5,0)</f>
        <v>#N/A</v>
      </c>
      <c r="BW100" s="34" t="e">
        <f t="shared" si="73"/>
        <v>#N/A</v>
      </c>
      <c r="BX100" s="44" t="e">
        <f t="shared" si="50"/>
        <v>#N/A</v>
      </c>
      <c r="BY100" s="36">
        <f>IF(ISNA(VLOOKUP(A100,'Données projet'!$A$139:$I$159,3,0)),0,VLOOKUP(A100,'Données projet'!$A$139:$I$159,3,0))</f>
        <v>0</v>
      </c>
      <c r="BZ100" s="36">
        <f>IF(ISNA(VLOOKUP(A100,'Données projet'!$A$139:$I$159,4,0)),0,VLOOKUP(A100,'Données projet'!$A$139:$I$159,4,0))</f>
        <v>0</v>
      </c>
      <c r="CA100" s="37">
        <f>IF(ISNA(VLOOKUP(A100,'Données projet'!$A$139:$I$159,5,0)),0%,VLOOKUP(A100,'Données projet'!$A$139:$I$159,5,0)*VLOOKUP('Données projet'!$B$13,Paramètres!$A$1:$I$88,7,0))</f>
        <v>0</v>
      </c>
      <c r="CB100" s="37">
        <f>IF(ISNA(VLOOKUP(A100,'Données projet'!$A$139:$I$159,6,0)),0%,VLOOKUP(A100,'Données projet'!$A$139:$I$159,6,0)*VLOOKUP('Données projet'!$B$13,Paramètres!$A$1:$I$88,7,0))</f>
        <v>0</v>
      </c>
      <c r="CC100" s="37">
        <f>IF(ISNA(VLOOKUP(A100,'Données projet'!$A$139:$I$159,7,0)),0%,VLOOKUP(A100,'Données projet'!$A$139:$I$159,7,0))</f>
        <v>0</v>
      </c>
      <c r="CD100" s="45">
        <f>EXP(-LN(2)/35)*CD99+(1-EXP(-LN(2)/35))/(LN(2)/35)*BZ100*CA100*VLOOKUP('Données projet'!$B$9,Paramètres!$A$1:$I$88,3,0)*0.475*44/12</f>
        <v>0</v>
      </c>
      <c r="CE100" s="45">
        <f>EXP(-LN(2)/25)*CE99+(1-EXP(-LN(2)/25))/(LN(2)/25)*Calculateur!BZ100*Calculateur!CB100*VLOOKUP('Données projet'!$B$9,Paramètres!$A$1:$I$88,3,0)*0.475*44/12</f>
        <v>0</v>
      </c>
      <c r="CF100" s="45">
        <f>EXP(-LN(2)/2)*CF99+(1-EXP(-LN(2)/2))/(LN(2)/2)*BZ100*CC100*VLOOKUP('Données projet'!$B$9,Paramètres!$A$1:$I$88,3,0)*0.475*44/12</f>
        <v>0</v>
      </c>
      <c r="CG100" s="46">
        <f t="shared" si="51"/>
        <v>0</v>
      </c>
      <c r="CH100" s="32" t="e">
        <f>VLOOKUP(A100,'Données projet'!$A$165:$I$185,2,0)</f>
        <v>#N/A</v>
      </c>
      <c r="CI100" s="33" t="e">
        <f>VLOOKUP(A100,'Données projet'!$A$165:$I$185,9,0)</f>
        <v>#N/A</v>
      </c>
      <c r="CJ100" s="33">
        <f t="array" ref="CJ100">INDEX(CI:CI,MIN(IF(ISNUMBER(CI100:CI296),ROW(CI100:CI296),"")))</f>
        <v>0</v>
      </c>
      <c r="CK100" s="33">
        <f t="shared" si="74"/>
        <v>0</v>
      </c>
      <c r="CL100" s="38" t="e">
        <f>CK100*VLOOKUP('Données projet'!$B$14,Paramètres!$A$1:$I$88,3,0)*VLOOKUP('Données projet'!$B$14,Paramètres!$A$1:$I$88,5,0)</f>
        <v>#N/A</v>
      </c>
      <c r="CM100" s="34" t="e">
        <f t="shared" si="75"/>
        <v>#N/A</v>
      </c>
      <c r="CN100" s="44" t="e">
        <f t="shared" si="52"/>
        <v>#N/A</v>
      </c>
      <c r="CO100" s="36">
        <f>IF(ISNA(VLOOKUP(A100,'Données projet'!$A$165:$I$185,3,0)),0,VLOOKUP(A100,'Données projet'!$A$165:$I$185,3,0))</f>
        <v>0</v>
      </c>
      <c r="CP100" s="36">
        <f>IF(ISNA(VLOOKUP(A100,'Données projet'!$A$165:$I$185,4,0)),0,VLOOKUP(A100,'Données projet'!$A$165:$I$185,4,0))</f>
        <v>0</v>
      </c>
      <c r="CQ100" s="37">
        <f>IF(ISNA(VLOOKUP(A100,'Données projet'!$A$165:$I$185,5,0)),0%,VLOOKUP(A100,'Données projet'!$A$165:$I$185,5,0)*VLOOKUP('Données projet'!$B$14,Paramètres!$A$1:$I$88,7,0))</f>
        <v>0</v>
      </c>
      <c r="CR100" s="37">
        <f>IF(ISNA(VLOOKUP(A100,'Données projet'!$A$165:$I$185,6,0)),0%,VLOOKUP(A100,'Données projet'!$A$165:$I$185,6,0)*VLOOKUP('Données projet'!$B$14,Paramètres!$A$1:$I$88,7,0))</f>
        <v>0</v>
      </c>
      <c r="CS100" s="37">
        <f>IF(ISNA(VLOOKUP(A100,'Données projet'!$A$165:$I$185,7,0)),0%,VLOOKUP(A100,'Données projet'!$A$165:$I$185,7,0))</f>
        <v>0</v>
      </c>
      <c r="CT100" s="45">
        <f>EXP(-LN(2)/35)*CT99+(1-EXP(-LN(2)/35))/(LN(2)/35)*CP100*CQ100*VLOOKUP('Données projet'!$B$9,Paramètres!$A$1:$I$88,3,0)*0.475*44/12</f>
        <v>0</v>
      </c>
      <c r="CU100" s="45">
        <f>EXP(-LN(2)/25)*CU99+(1-EXP(-LN(2)/25))/(LN(2)/25)*Calculateur!CP100*Calculateur!CR100*VLOOKUP('Données projet'!$B$9,Paramètres!$A$1:$I$88,3,0)*0.475*44/12</f>
        <v>0</v>
      </c>
      <c r="CV100" s="45">
        <f>EXP(-LN(2)/2)*CV99+(1-EXP(-LN(2)/2))/(LN(2)/2)*CP100*CS100*VLOOKUP('Données projet'!$B$9,Paramètres!$A$1:$I$88,3,0)*0.475*44/12</f>
        <v>0</v>
      </c>
      <c r="CW100" s="46">
        <f t="shared" si="53"/>
        <v>0</v>
      </c>
      <c r="CX100" s="32" t="e">
        <f>VLOOKUP(A100,'Données projet'!$A$191:$I$211,2,0)</f>
        <v>#N/A</v>
      </c>
      <c r="CY100" s="33" t="e">
        <f>VLOOKUP(A100,'Données projet'!$A$191:$I$211,9,0)</f>
        <v>#N/A</v>
      </c>
      <c r="CZ100" s="33">
        <f t="array" ref="CZ100">INDEX(CY:CY,MIN(IF(ISNUMBER(CY100:CY296),ROW(CY100:CY296),"")))</f>
        <v>0</v>
      </c>
      <c r="DA100" s="33">
        <f t="shared" si="76"/>
        <v>0</v>
      </c>
      <c r="DB100" s="38" t="e">
        <f>DA100*VLOOKUP('Données projet'!$B$15,Paramètres!$A$1:$I$88,3,0)*VLOOKUP('Données projet'!$B$15,Paramètres!$A$1:$I$88,5,0)</f>
        <v>#N/A</v>
      </c>
      <c r="DC100" s="34" t="e">
        <f t="shared" si="77"/>
        <v>#N/A</v>
      </c>
      <c r="DD100" s="44" t="e">
        <f t="shared" si="54"/>
        <v>#N/A</v>
      </c>
      <c r="DE100" s="36">
        <f>IF(ISNA(VLOOKUP(A100,'Données projet'!$A$191:$I$211,3,0)),0,VLOOKUP(A100,'Données projet'!$A$191:$I$211,3,0))</f>
        <v>0</v>
      </c>
      <c r="DF100" s="36">
        <f>IF(ISNA(VLOOKUP(A100,'Données projet'!$A$191:$I$211,4,0)),0,VLOOKUP(A100,'Données projet'!$A$191:$I$211,4,0))</f>
        <v>0</v>
      </c>
      <c r="DG100" s="37">
        <f>IF(ISNA(VLOOKUP(A100,'Données projet'!$A$191:$I$211,5,0)),0%,VLOOKUP(A100,'Données projet'!$A$191:$I$211,5,0)*VLOOKUP('Données projet'!$B$15,Paramètres!$A$1:$I$88,7,0))</f>
        <v>0</v>
      </c>
      <c r="DH100" s="37">
        <f>IF(ISNA(VLOOKUP(A100,'Données projet'!$A$191:$I$211,6,0)),0%,VLOOKUP(A100,'Données projet'!$A$191:$I$211,6,0)*VLOOKUP('Données projet'!$B$15,Paramètres!$A$1:$I$88,7,0))</f>
        <v>0</v>
      </c>
      <c r="DI100" s="37">
        <f>IF(ISNA(VLOOKUP(A100,'Données projet'!$A$191:$I$211,7,0)),0%,VLOOKUP(A100,'Données projet'!$A$191:$I$211,7,0))</f>
        <v>0</v>
      </c>
      <c r="DJ100" s="45">
        <f>EXP(-LN(2)/35)*DJ99+(1-EXP(-LN(2)/35))/(LN(2)/35)*DF100*DG100*VLOOKUP('Données projet'!$B$9,Paramètres!$A$1:$I$88,3,0)*0.475*44/12</f>
        <v>0</v>
      </c>
      <c r="DK100" s="45">
        <f>EXP(-LN(2)/25)*DK99+(1-EXP(-LN(2)/25))/(LN(2)/25)*Calculateur!DF100*Calculateur!DH100*VLOOKUP('Données projet'!$B$9,Paramètres!$A$1:$I$88,3,0)*0.475*44/12</f>
        <v>0</v>
      </c>
      <c r="DL100" s="45">
        <f>EXP(-LN(2)/2)*DL99+(1-EXP(-LN(2)/2))/(LN(2)/2)*DF100*DI100*VLOOKUP('Données projet'!$B$9,Paramètres!$A$1:$I$88,3,0)*0.475*44/12</f>
        <v>0</v>
      </c>
      <c r="DM100" s="46">
        <f t="shared" si="55"/>
        <v>0</v>
      </c>
      <c r="DN100" s="32" t="e">
        <f>VLOOKUP(A100,'Données projet'!$A$217:$I$237,2,0)</f>
        <v>#N/A</v>
      </c>
      <c r="DO100" s="33" t="e">
        <f>VLOOKUP(A100,'Données projet'!$A$217:$I$237,9,0)</f>
        <v>#N/A</v>
      </c>
      <c r="DP100" s="33">
        <f t="array" ref="DP100">INDEX(DO:DO,MIN(IF(ISNUMBER(DO100:DO296),ROW(DO100:DO296),"")))</f>
        <v>0</v>
      </c>
      <c r="DQ100" s="33">
        <f t="shared" si="78"/>
        <v>0</v>
      </c>
      <c r="DR100" s="38" t="e">
        <f>DQ100*VLOOKUP('Données projet'!$B$16,Paramètres!$A$1:$I$88,3,0)*VLOOKUP('Données projet'!$B$16,Paramètres!$A$1:$I$88,5,0)</f>
        <v>#N/A</v>
      </c>
      <c r="DS100" s="34" t="e">
        <f t="shared" si="79"/>
        <v>#N/A</v>
      </c>
      <c r="DT100" s="44" t="e">
        <f t="shared" si="56"/>
        <v>#N/A</v>
      </c>
      <c r="DU100" s="36">
        <f>IF(ISNA(VLOOKUP(A100,'Données projet'!$A$217:$I$237,3,0)),0,VLOOKUP(A100,'Données projet'!$A$217:$I$237,3,0))</f>
        <v>0</v>
      </c>
      <c r="DV100" s="36">
        <f>IF(ISNA(VLOOKUP(A100,'Données projet'!$A$217:$I$237,4,0)),0,VLOOKUP(A100,'Données projet'!$A$217:$I$237,4,0))</f>
        <v>0</v>
      </c>
      <c r="DW100" s="37">
        <f>IF(ISNA(VLOOKUP(A100,'Données projet'!$A$217:$I$237,5,0)),0%,VLOOKUP(A100,'Données projet'!$A$217:$I$237,5,0)*VLOOKUP('Données projet'!$B$16,Paramètres!$A$1:$I$88,7,0))</f>
        <v>0</v>
      </c>
      <c r="DX100" s="37">
        <f>IF(ISNA(VLOOKUP(A100,'Données projet'!$A$217:$I$237,6,0)),0%,VLOOKUP(A100,'Données projet'!$A$217:$I$237,6,0)*VLOOKUP('Données projet'!$B$16,Paramètres!$A$1:$I$88,7,0))</f>
        <v>0</v>
      </c>
      <c r="DY100" s="37">
        <f>IF(ISNA(VLOOKUP(A100,'Données projet'!$A$217:$I$237,7,0)),0%,VLOOKUP(A100,'Données projet'!$A$217:$I$237,7,0))</f>
        <v>0</v>
      </c>
      <c r="DZ100" s="45">
        <f>EXP(-LN(2)/35)*DZ99+(1-EXP(-LN(2)/35))/(LN(2)/35)*DV100*DW100*VLOOKUP('Données projet'!$B$9,Paramètres!$A$1:$I$88,3,0)*0.475*44/12</f>
        <v>0</v>
      </c>
      <c r="EA100" s="45">
        <f>EXP(-LN(2)/25)*EA99+(1-EXP(-LN(2)/25))/(LN(2)/25)*Calculateur!DV100*Calculateur!DX100*VLOOKUP('Données projet'!$B$9,Paramètres!$A$1:$I$88,3,0)*0.475*44/12</f>
        <v>0</v>
      </c>
      <c r="EB100" s="45">
        <f>EXP(-LN(2)/2)*EB99+(1-EXP(-LN(2)/2))/(LN(2)/2)*DV100*DY100*VLOOKUP('Données projet'!$B$9,Paramètres!$A$1:$I$88,3,0)*0.475*44/12</f>
        <v>0</v>
      </c>
      <c r="EC100" s="46">
        <f t="shared" si="57"/>
        <v>0</v>
      </c>
      <c r="ED100" s="32" t="e">
        <f>VLOOKUP(A100,'Données projet'!$A$243:$I$263,2,0)</f>
        <v>#N/A</v>
      </c>
      <c r="EE100" s="33" t="e">
        <f>VLOOKUP(A100,'Données projet'!$A$243:$I$263,9,0)</f>
        <v>#N/A</v>
      </c>
      <c r="EF100" s="33">
        <f t="array" ref="EF100">INDEX(EE:EE,MIN(IF(ISNUMBER(EE100:EE296),ROW(EE100:EE296),"")))</f>
        <v>0</v>
      </c>
      <c r="EG100" s="33">
        <f t="shared" si="80"/>
        <v>0</v>
      </c>
      <c r="EH100" s="38" t="e">
        <f>EG100*VLOOKUP('Données projet'!$B$17,Paramètres!$A$1:$I$88,3,0)*VLOOKUP('Données projet'!$B$17,Paramètres!$A$1:$I$88,5,0)</f>
        <v>#N/A</v>
      </c>
      <c r="EI100" s="34" t="e">
        <f t="shared" si="81"/>
        <v>#N/A</v>
      </c>
      <c r="EJ100" s="44" t="e">
        <f t="shared" si="58"/>
        <v>#N/A</v>
      </c>
      <c r="EK100" s="36">
        <f>IF(ISNA(VLOOKUP(A100,'Données projet'!$A$243:$I$263,3,0)),0,VLOOKUP(A100,'Données projet'!$A$243:$I$263,3,0))</f>
        <v>0</v>
      </c>
      <c r="EL100" s="36">
        <f>IF(ISNA(VLOOKUP(A100,'Données projet'!$A$243:$I$263,4,0)),0,VLOOKUP(A100,'Données projet'!$A$243:$I$263,4,0))</f>
        <v>0</v>
      </c>
      <c r="EM100" s="37">
        <f>IF(ISNA(VLOOKUP(A100,'Données projet'!$A$243:$I$263,5,0)),0%,VLOOKUP(A100,'Données projet'!$A$243:$I$263,5,0)*VLOOKUP('Données projet'!$B$17,Paramètres!$A$1:$I$88,7,0))</f>
        <v>0</v>
      </c>
      <c r="EN100" s="37">
        <f>IF(ISNA(VLOOKUP(A100,'Données projet'!$A$243:$I$263,6,0)),0%,VLOOKUP(A100,'Données projet'!$A$243:$I$263,6,0)*VLOOKUP('Données projet'!$B$17,Paramètres!$A$1:$I$88,7,0))</f>
        <v>0</v>
      </c>
      <c r="EO100" s="37">
        <f>IF(ISNA(VLOOKUP(A100,'Données projet'!$A$243:$I$263,7,0)),0%,VLOOKUP(A100,'Données projet'!$A$243:$I$263,7,0))</f>
        <v>0</v>
      </c>
      <c r="EP100" s="45">
        <f>EXP(-LN(2)/35)*EP99+(1-EXP(-LN(2)/35))/(LN(2)/35)*EL100*EM100*VLOOKUP('Données projet'!$B$9,Paramètres!$A$1:$I$88,3,0)*0.475*44/12</f>
        <v>0</v>
      </c>
      <c r="EQ100" s="45">
        <f>EXP(-LN(2)/25)*EQ99+(1-EXP(-LN(2)/25))/(LN(2)/25)*Calculateur!EL100*Calculateur!EN100*VLOOKUP('Données projet'!$B$9,Paramètres!$A$1:$I$88,3,0)*0.475*44/12</f>
        <v>0</v>
      </c>
      <c r="ER100" s="45">
        <f>EXP(-LN(2)/2)*ER99+(1-EXP(-LN(2)/2))/(LN(2)/2)*EL100*EO100*VLOOKUP('Données projet'!$B$9,Paramètres!$A$1:$I$88,3,0)*0.475*44/12</f>
        <v>0</v>
      </c>
      <c r="ES100" s="46">
        <f t="shared" si="59"/>
        <v>0</v>
      </c>
      <c r="ET100" s="32" t="e">
        <f>VLOOKUP(A100,'Données projet'!$A$269:$I$289,2,0)</f>
        <v>#N/A</v>
      </c>
      <c r="EU100" s="33" t="e">
        <f>VLOOKUP(A100,'Données projet'!$A$269:$I$289,9,0)</f>
        <v>#N/A</v>
      </c>
      <c r="EV100" s="33">
        <f t="array" ref="EV100">INDEX(EU:EU,MIN(IF(ISNUMBER(EU100:EU296),ROW(EU100:EU296),"")))</f>
        <v>0</v>
      </c>
      <c r="EW100" s="33">
        <f t="shared" si="82"/>
        <v>0</v>
      </c>
      <c r="EX100" s="38" t="e">
        <f>EW100*VLOOKUP('Données projet'!$B$18,Paramètres!$A$1:$I$88,3,0)*VLOOKUP('Données projet'!$B$18,Paramètres!$A$1:$I$88,5,0)</f>
        <v>#N/A</v>
      </c>
      <c r="EY100" s="34" t="e">
        <f t="shared" si="83"/>
        <v>#N/A</v>
      </c>
      <c r="EZ100" s="44" t="e">
        <f t="shared" si="60"/>
        <v>#N/A</v>
      </c>
      <c r="FA100" s="36">
        <f>IF(ISNA(VLOOKUP(A100,'Données projet'!$A$269:$I$289,3,0)),0,VLOOKUP(A100,'Données projet'!$A$269:$I$289,3,0))</f>
        <v>0</v>
      </c>
      <c r="FB100" s="36">
        <f>IF(ISNA(VLOOKUP(A100,'Données projet'!$A$269:$I$289,4,0)),0,VLOOKUP(A100,'Données projet'!$A$269:$I$289,4,0))</f>
        <v>0</v>
      </c>
      <c r="FC100" s="37">
        <f>IF(ISNA(VLOOKUP(A100,'Données projet'!$A$269:$I$289,5,0)),0%,VLOOKUP(A100,'Données projet'!$A$269:$I$289,5,0)*VLOOKUP('Données projet'!$B$18,Paramètres!$A$1:$I$88,7,0))</f>
        <v>0</v>
      </c>
      <c r="FD100" s="37">
        <f>IF(ISNA(VLOOKUP(A100,'Données projet'!$A$269:$I$289,6,0)),0%,VLOOKUP(A100,'Données projet'!$A$269:$I$289,6,0)*VLOOKUP('Données projet'!$B$18,Paramètres!$A$1:$I$88,7,0))</f>
        <v>0</v>
      </c>
      <c r="FE100" s="37">
        <f>IF(ISNA(VLOOKUP(A100,'Données projet'!$A$269:$I$289,7,0)),0%,VLOOKUP(A100,'Données projet'!$A$269:$I$289,7,0))</f>
        <v>0</v>
      </c>
      <c r="FF100" s="45">
        <f>EXP(-LN(2)/35)*FF99+(1-EXP(-LN(2)/35))/(LN(2)/35)*FB100*FC100*VLOOKUP('Données projet'!$B$9,Paramètres!$A$1:$I$88,3,0)*0.475*44/12</f>
        <v>0</v>
      </c>
      <c r="FG100" s="45">
        <f>EXP(-LN(2)/25)*FG99+(1-EXP(-LN(2)/25))/(LN(2)/25)*Calculateur!FB100*Calculateur!FD100*VLOOKUP('Données projet'!$B$9,Paramètres!$A$1:$I$88,3,0)*0.475*44/12</f>
        <v>0</v>
      </c>
      <c r="FH100" s="45">
        <f>EXP(-LN(2)/2)*FH99+(1-EXP(-LN(2)/2))/(LN(2)/2)*FB100*FE100*VLOOKUP('Données projet'!$B$9,Paramètres!$A$1:$I$88,3,0)*0.475*44/12</f>
        <v>0</v>
      </c>
      <c r="FI100" s="46">
        <f t="shared" si="61"/>
        <v>0</v>
      </c>
    </row>
    <row r="101" spans="1:165" x14ac:dyDescent="0.25">
      <c r="A101" s="24">
        <f t="shared" si="62"/>
        <v>98</v>
      </c>
      <c r="B101" s="25">
        <f>IF('Scénario référence'!$N$1=1,5,0)</f>
        <v>0</v>
      </c>
      <c r="C101" s="40">
        <f>IF(OR('Scénario référence'!$N$1=2,'Scénario référence'!$N$1=4),C100+1*VLOOKUP('Scénario référence'!$G$14,Paramètres!$A$1:$I$88,3,0)*VLOOKUP('Scénario référence'!$G$14,Paramètres!$A$1:$I$88,5,0),IF(OR('Scénario référence'!$N$1=3,'Scénario référence'!$N$1=5),C100+0.5*VLOOKUP('Scénario référence'!$G$14,Paramètres!$A$1:$I$88,3,0)*VLOOKUP('Scénario référence'!$G$14,Paramètres!$A$1:$I$88,5,0),0))</f>
        <v>53.507999999999953</v>
      </c>
      <c r="D101" s="26">
        <f t="shared" si="63"/>
        <v>15.516109807666373</v>
      </c>
      <c r="E101" s="27">
        <f>IF('Scénario référence'!$N$1=1,B101*44/12,(C101+D101)*0.475*44/12)</f>
        <v>120.21699124835219</v>
      </c>
      <c r="F101" s="28" t="e">
        <f>VLOOKUP(A101,'Données projet'!$A$35:$I$55,2,0)</f>
        <v>#N/A</v>
      </c>
      <c r="G101" s="28" t="e">
        <f>VLOOKUP(A101,'Données projet'!$A$35:$I$55,9,0)</f>
        <v>#N/A</v>
      </c>
      <c r="H101" s="33">
        <f t="array" ref="H101">INDEX(G:G,MIN(IF(ISNUMBER(G101:G297),ROW(G101:G297),"")))</f>
        <v>4.7</v>
      </c>
      <c r="I101" s="28">
        <f t="shared" si="64"/>
        <v>272.09999999999962</v>
      </c>
      <c r="J101" s="41">
        <f>I101*VLOOKUP('Données projet'!$B$9,Paramètres!$A$1:$I$88,3,0)*VLOOKUP('Données projet'!$B$9,Paramètres!$A$1:$I$88,5,0)</f>
        <v>275.90939999999961</v>
      </c>
      <c r="K101" s="41">
        <f t="shared" si="65"/>
        <v>66.101808465810961</v>
      </c>
      <c r="L101" s="42">
        <f t="shared" si="42"/>
        <v>595.66952141128684</v>
      </c>
      <c r="M101" s="30">
        <f>IF(ISNA(VLOOKUP(A101,'Données projet'!$A$35:$I$55,3,0)),0,VLOOKUP(A101,'Données projet'!$A$35:$I$55,3,0))</f>
        <v>0</v>
      </c>
      <c r="N101" s="30">
        <f>IF(ISNA(VLOOKUP(A101,'Données projet'!$A$35:$I$55,4,0)),0,VLOOKUP(A101,'Données projet'!$A$35:$I$55,4,0))</f>
        <v>0</v>
      </c>
      <c r="O101" s="31">
        <f>IF(ISNA(VLOOKUP(A101,'Données projet'!$A$35:$I$55,5,0)),0%,VLOOKUP(A101,'Données projet'!$A$35:$I$55,5,0)*VLOOKUP('Données projet'!$B$9,Paramètres!$A$1:$I$88,7,0))</f>
        <v>0</v>
      </c>
      <c r="P101" s="31">
        <f>IF(ISNA(VLOOKUP(A101,'Données projet'!$A$35:$I$55,6,0)),0%,VLOOKUP(A101,'Données projet'!$A$35:$I$55,6,0)*VLOOKUP('Données projet'!$B$9,Paramètres!$A$1:$I$88,7,0))</f>
        <v>0</v>
      </c>
      <c r="Q101" s="31">
        <f>IF(ISNA(VLOOKUP(A101,'Données projet'!$A$35:$I$55,7,0)),0%,VLOOKUP(A101,'Données projet'!$A$35:$I$55,7,0))</f>
        <v>0</v>
      </c>
      <c r="R101" s="43">
        <f>EXP(-LN(2)/35)*R100+(1-EXP(-LN(2)/35))/(LN(2)/35)*N101*O101*VLOOKUP('Données projet'!$B$9,Paramètres!$A$1:$I$88,3,0)*0.475*44/12</f>
        <v>0</v>
      </c>
      <c r="S101" s="43">
        <f>EXP(-LN(2)/25)*S100+(1-EXP(-LN(2)/25))/(LN(2)/25)*Calculateur!N101*Calculateur!P101*VLOOKUP('Données projet'!$B$9,Paramètres!$A$1:$I$88,3,0)*0.475*44/12</f>
        <v>0</v>
      </c>
      <c r="T101" s="43">
        <f>EXP(-LN(2)/2)*T100+(1-EXP(-LN(2)/2))/(LN(2)/2)*N101*Q101*VLOOKUP('Données projet'!$B$9,Paramètres!$A$1:$I$88,3,0)*0.475*44/12</f>
        <v>0</v>
      </c>
      <c r="U101" s="43">
        <f t="shared" si="43"/>
        <v>0</v>
      </c>
      <c r="V101" s="32" t="e">
        <f>VLOOKUP(A101,'Données projet'!$A$61:$I$81,2,0)</f>
        <v>#N/A</v>
      </c>
      <c r="W101" s="33" t="e">
        <f>VLOOKUP(A101,'Données projet'!$A$61:$I$81,9,0)</f>
        <v>#N/A</v>
      </c>
      <c r="X101" s="33">
        <f t="array" ref="X101">INDEX(W:W,MIN(IF(ISNUMBER(W101:W297),ROW(W101:W297),"")))</f>
        <v>0</v>
      </c>
      <c r="Y101" s="33">
        <f t="shared" si="66"/>
        <v>0</v>
      </c>
      <c r="Z101" s="34" t="e">
        <f>Y101*VLOOKUP('Données projet'!$B$10,Paramètres!$A$1:$I$88,3,0)*VLOOKUP('Données projet'!$B$10,Paramètres!$A$1:$I$88,5,0)</f>
        <v>#N/A</v>
      </c>
      <c r="AA101" s="34" t="e">
        <f t="shared" si="67"/>
        <v>#N/A</v>
      </c>
      <c r="AB101" s="44" t="e">
        <f t="shared" si="44"/>
        <v>#N/A</v>
      </c>
      <c r="AC101" s="36">
        <f>IF(ISNA(VLOOKUP(A101,'Données projet'!$A$61:$I$81,3,0)),0,VLOOKUP(A101,'Données projet'!$A$61:$I$81,3,0))</f>
        <v>0</v>
      </c>
      <c r="AD101" s="36">
        <f>IF(ISNA(VLOOKUP(A101,'Données projet'!$A$61:$I$81,4,0)),0,VLOOKUP(A101,'Données projet'!$A$61:$I$81,4,0))</f>
        <v>0</v>
      </c>
      <c r="AE101" s="37">
        <f>IF(ISNA(VLOOKUP(A101,'Données projet'!$A$61:$I$81,5,0)),0%,VLOOKUP(A101,'Données projet'!$A$61:$I$81,5,0)*VLOOKUP('Données projet'!$B$10,Paramètres!$A$1:$I$88,7,0))</f>
        <v>0</v>
      </c>
      <c r="AF101" s="37">
        <f>IF(ISNA(VLOOKUP(A101,'Données projet'!$A$61:$I$81,6,0)),0%,VLOOKUP(A101,'Données projet'!$A$61:$I$81,6,0)*VLOOKUP('Données projet'!$B$10,Paramètres!$A$1:$I$88,7,0))</f>
        <v>0</v>
      </c>
      <c r="AG101" s="37">
        <f>IF(ISNA(VLOOKUP(A101,'Données projet'!$A$61:$I$81,7,0)),0%,VLOOKUP(A101,'Données projet'!$A$61:$I$81,7,0))</f>
        <v>0</v>
      </c>
      <c r="AH101" s="45">
        <f>EXP(-LN(2)/35)*AH100+(1-EXP(-LN(2)/35))/(LN(2)/35)*AD101*AE101*VLOOKUP('Données projet'!$B$9,Paramètres!$A$1:$I$88,3,0)*0.475*44/12</f>
        <v>0</v>
      </c>
      <c r="AI101" s="45">
        <f>EXP(-LN(2)/25)*AI100+(1-EXP(-LN(2)/25))/(LN(2)/25)*Calculateur!AD101*Calculateur!AF101*VLOOKUP('Données projet'!$B$9,Paramètres!$A$1:$I$88,3,0)*0.475*44/12</f>
        <v>0</v>
      </c>
      <c r="AJ101" s="45">
        <f>EXP(-LN(2)/2)*AJ100+(1-EXP(-LN(2)/2))/(LN(2)/2)*AD101*AG101*VLOOKUP('Données projet'!$B$9,Paramètres!$A$1:$I$88,3,0)*0.475*44/12</f>
        <v>0</v>
      </c>
      <c r="AK101" s="45">
        <f t="shared" si="45"/>
        <v>0</v>
      </c>
      <c r="AL101" s="32" t="e">
        <f>VLOOKUP(A101,'Données projet'!$A$87:$I$107,2,0)</f>
        <v>#N/A</v>
      </c>
      <c r="AM101" s="33" t="e">
        <f>VLOOKUP(A101,'Données projet'!$A$87:$I$107,9,0)</f>
        <v>#N/A</v>
      </c>
      <c r="AN101" s="33">
        <f t="array" ref="AN101">INDEX(AM:AM,MIN(IF(ISNUMBER(AM101:AM297),ROW(AM101:AM297),"")))</f>
        <v>0</v>
      </c>
      <c r="AO101" s="33">
        <f t="shared" si="68"/>
        <v>0</v>
      </c>
      <c r="AP101" s="34" t="e">
        <f>AO101*VLOOKUP('Données projet'!$B$11,Paramètres!$A$1:$I$88,3,0)*VLOOKUP('Données projet'!$B$11,Paramètres!$A$1:$I$88,5,0)</f>
        <v>#N/A</v>
      </c>
      <c r="AQ101" s="34" t="e">
        <f t="shared" si="69"/>
        <v>#N/A</v>
      </c>
      <c r="AR101" s="44" t="e">
        <f t="shared" si="46"/>
        <v>#N/A</v>
      </c>
      <c r="AS101" s="36">
        <f>IF(ISNA(VLOOKUP(A101,'Données projet'!$A$87:$I$107,3,0)),0,VLOOKUP(A101,'Données projet'!$A$87:$I$107,3,0))</f>
        <v>0</v>
      </c>
      <c r="AT101" s="36">
        <f>IF(ISNA(VLOOKUP(A101,'Données projet'!$A$87:$I$107,4,0)),0,VLOOKUP(A101,'Données projet'!$A$87:$I$107,4,0))</f>
        <v>0</v>
      </c>
      <c r="AU101" s="37">
        <f>IF(ISNA(VLOOKUP(A101,'Données projet'!$A$87:$I$107,5,0)),0%,VLOOKUP(A101,'Données projet'!$A$87:$I$107,5,0)*VLOOKUP('Données projet'!$B$11,Paramètres!$A$1:$I$88,7,0))</f>
        <v>0</v>
      </c>
      <c r="AV101" s="37">
        <f>IF(ISNA(VLOOKUP(A101,'Données projet'!$A$87:$I$107,6,0)),0%,VLOOKUP(A101,'Données projet'!$A$87:$I$107,6,0)*VLOOKUP('Données projet'!$B$11,Paramètres!$A$1:$I$88,7,0))</f>
        <v>0</v>
      </c>
      <c r="AW101" s="37">
        <f>IF(ISNA(VLOOKUP(A101,'Données projet'!$A$87:$I$107,7,0)),0%,VLOOKUP(A101,'Données projet'!$A$87:$I$107,7,0))</f>
        <v>0</v>
      </c>
      <c r="AX101" s="45">
        <f>EXP(-LN(2)/35)*AX100+(1-EXP(-LN(2)/35))/(LN(2)/35)*AT101*AU101*VLOOKUP('Données projet'!$B$9,Paramètres!$A$1:$I$88,3,0)*0.475*44/12</f>
        <v>0</v>
      </c>
      <c r="AY101" s="45">
        <f>EXP(-LN(2)/25)*AY100+(1-EXP(-LN(2)/25))/(LN(2)/25)*Calculateur!AT101*Calculateur!AV101*VLOOKUP('Données projet'!$B$9,Paramètres!$A$1:$I$88,3,0)*0.475*44/12</f>
        <v>0</v>
      </c>
      <c r="AZ101" s="45">
        <f>EXP(-LN(2)/2)*AZ100+(1-EXP(-LN(2)/2))/(LN(2)/2)*AT101*AW101*VLOOKUP('Données projet'!$B$9,Paramètres!$A$1:$I$88,3,0)*0.475*44/12</f>
        <v>0</v>
      </c>
      <c r="BA101" s="46">
        <f t="shared" si="47"/>
        <v>0</v>
      </c>
      <c r="BB101" s="32" t="e">
        <f>VLOOKUP(A101,'Données projet'!$A$113:$I$133,2,0)</f>
        <v>#N/A</v>
      </c>
      <c r="BC101" s="33" t="e">
        <f>VLOOKUP(A101,'Données projet'!$A$113:$I$133,9,0)</f>
        <v>#N/A</v>
      </c>
      <c r="BD101" s="33">
        <f t="array" ref="BD101">INDEX(BC:BC,MIN(IF(ISNUMBER(BC101:BC297),ROW(BC101:BC297),"")))</f>
        <v>0</v>
      </c>
      <c r="BE101" s="33">
        <f t="shared" si="70"/>
        <v>0</v>
      </c>
      <c r="BF101" s="34" t="e">
        <f>BE101*VLOOKUP('Données projet'!$B$12,Paramètres!$A$1:$I$88,3,0)*VLOOKUP('Données projet'!$B$12,Paramètres!$A$1:$I$88,5,0)</f>
        <v>#N/A</v>
      </c>
      <c r="BG101" s="34" t="e">
        <f t="shared" si="71"/>
        <v>#N/A</v>
      </c>
      <c r="BH101" s="44" t="e">
        <f t="shared" si="48"/>
        <v>#N/A</v>
      </c>
      <c r="BI101" s="36">
        <f>IF(ISNA(VLOOKUP(A101,'Données projet'!$A$113:$I$133,3,0)),0,VLOOKUP(A101,'Données projet'!$A$113:$I$133,3,0))</f>
        <v>0</v>
      </c>
      <c r="BJ101" s="36">
        <f>IF(ISNA(VLOOKUP(A101,'Données projet'!$A$113:$I$133,4,0)),0,VLOOKUP(A101,'Données projet'!$A$113:$I$133,4,0))</f>
        <v>0</v>
      </c>
      <c r="BK101" s="37">
        <f>IF(ISNA(VLOOKUP(A101,'Données projet'!$A$113:$I$133,5,0)),0%,VLOOKUP(A101,'Données projet'!$A$113:$I$133,5,0)*VLOOKUP('Données projet'!$B$12,Paramètres!$A$1:$I$88,7,0))</f>
        <v>0</v>
      </c>
      <c r="BL101" s="37">
        <f>IF(ISNA(VLOOKUP(A101,'Données projet'!$A$113:$I$133,6,0)),0%,VLOOKUP(A101,'Données projet'!$A$113:$I$133,6,0)*VLOOKUP('Données projet'!$B$12,Paramètres!$A$1:$I$88,7,0))</f>
        <v>0</v>
      </c>
      <c r="BM101" s="37">
        <f>IF(ISNA(VLOOKUP(A101,'Données projet'!$A$113:$I$133,7,0)),0%,VLOOKUP(A101,'Données projet'!$A$113:$I$133,7,0))</f>
        <v>0</v>
      </c>
      <c r="BN101" s="45">
        <f>EXP(-LN(2)/35)*BN100+(1-EXP(-LN(2)/35))/(LN(2)/35)*BJ101*BK101*VLOOKUP('Données projet'!$B$9,Paramètres!$A$1:$I$88,3,0)*0.475*44/12</f>
        <v>0</v>
      </c>
      <c r="BO101" s="45">
        <f>EXP(-LN(2)/25)*BO100+(1-EXP(-LN(2)/25))/(LN(2)/25)*Calculateur!BJ101*Calculateur!BL101*VLOOKUP('Données projet'!$B$9,Paramètres!$A$1:$I$88,3,0)*0.475*44/12</f>
        <v>0</v>
      </c>
      <c r="BP101" s="45">
        <f>EXP(-LN(2)/2)*BP100+(1-EXP(-LN(2)/2))/(LN(2)/2)*BJ101*BM101*VLOOKUP('Données projet'!$B$9,Paramètres!$A$1:$I$88,3,0)*0.475*44/12</f>
        <v>0</v>
      </c>
      <c r="BQ101" s="46">
        <f t="shared" si="49"/>
        <v>0</v>
      </c>
      <c r="BR101" s="32" t="e">
        <f>VLOOKUP(A101,'Données projet'!$A$139:$I$159,2,0)</f>
        <v>#N/A</v>
      </c>
      <c r="BS101" s="33" t="e">
        <f>VLOOKUP(A101,'Données projet'!$A$139:$I$159,9,0)</f>
        <v>#N/A</v>
      </c>
      <c r="BT101" s="33">
        <f t="array" ref="BT101">INDEX(BS:BS,MIN(IF(ISNUMBER(BS101:BS297),ROW(BS101:BS297),"")))</f>
        <v>0</v>
      </c>
      <c r="BU101" s="33">
        <f t="shared" si="72"/>
        <v>0</v>
      </c>
      <c r="BV101" s="38" t="e">
        <f>BU101*VLOOKUP('Données projet'!$B$13,Paramètres!$A$1:$I$88,3,0)*VLOOKUP('Données projet'!$B$13,Paramètres!$A$1:$I$88,5,0)</f>
        <v>#N/A</v>
      </c>
      <c r="BW101" s="34" t="e">
        <f t="shared" si="73"/>
        <v>#N/A</v>
      </c>
      <c r="BX101" s="44" t="e">
        <f t="shared" si="50"/>
        <v>#N/A</v>
      </c>
      <c r="BY101" s="36">
        <f>IF(ISNA(VLOOKUP(A101,'Données projet'!$A$139:$I$159,3,0)),0,VLOOKUP(A101,'Données projet'!$A$139:$I$159,3,0))</f>
        <v>0</v>
      </c>
      <c r="BZ101" s="36">
        <f>IF(ISNA(VLOOKUP(A101,'Données projet'!$A$139:$I$159,4,0)),0,VLOOKUP(A101,'Données projet'!$A$139:$I$159,4,0))</f>
        <v>0</v>
      </c>
      <c r="CA101" s="37">
        <f>IF(ISNA(VLOOKUP(A101,'Données projet'!$A$139:$I$159,5,0)),0%,VLOOKUP(A101,'Données projet'!$A$139:$I$159,5,0)*VLOOKUP('Données projet'!$B$13,Paramètres!$A$1:$I$88,7,0))</f>
        <v>0</v>
      </c>
      <c r="CB101" s="37">
        <f>IF(ISNA(VLOOKUP(A101,'Données projet'!$A$139:$I$159,6,0)),0%,VLOOKUP(A101,'Données projet'!$A$139:$I$159,6,0)*VLOOKUP('Données projet'!$B$13,Paramètres!$A$1:$I$88,7,0))</f>
        <v>0</v>
      </c>
      <c r="CC101" s="37">
        <f>IF(ISNA(VLOOKUP(A101,'Données projet'!$A$139:$I$159,7,0)),0%,VLOOKUP(A101,'Données projet'!$A$139:$I$159,7,0))</f>
        <v>0</v>
      </c>
      <c r="CD101" s="45">
        <f>EXP(-LN(2)/35)*CD100+(1-EXP(-LN(2)/35))/(LN(2)/35)*BZ101*CA101*VLOOKUP('Données projet'!$B$9,Paramètres!$A$1:$I$88,3,0)*0.475*44/12</f>
        <v>0</v>
      </c>
      <c r="CE101" s="45">
        <f>EXP(-LN(2)/25)*CE100+(1-EXP(-LN(2)/25))/(LN(2)/25)*Calculateur!BZ101*Calculateur!CB101*VLOOKUP('Données projet'!$B$9,Paramètres!$A$1:$I$88,3,0)*0.475*44/12</f>
        <v>0</v>
      </c>
      <c r="CF101" s="45">
        <f>EXP(-LN(2)/2)*CF100+(1-EXP(-LN(2)/2))/(LN(2)/2)*BZ101*CC101*VLOOKUP('Données projet'!$B$9,Paramètres!$A$1:$I$88,3,0)*0.475*44/12</f>
        <v>0</v>
      </c>
      <c r="CG101" s="46">
        <f t="shared" si="51"/>
        <v>0</v>
      </c>
      <c r="CH101" s="32" t="e">
        <f>VLOOKUP(A101,'Données projet'!$A$165:$I$185,2,0)</f>
        <v>#N/A</v>
      </c>
      <c r="CI101" s="33" t="e">
        <f>VLOOKUP(A101,'Données projet'!$A$165:$I$185,9,0)</f>
        <v>#N/A</v>
      </c>
      <c r="CJ101" s="33">
        <f t="array" ref="CJ101">INDEX(CI:CI,MIN(IF(ISNUMBER(CI101:CI297),ROW(CI101:CI297),"")))</f>
        <v>0</v>
      </c>
      <c r="CK101" s="33">
        <f t="shared" si="74"/>
        <v>0</v>
      </c>
      <c r="CL101" s="38" t="e">
        <f>CK101*VLOOKUP('Données projet'!$B$14,Paramètres!$A$1:$I$88,3,0)*VLOOKUP('Données projet'!$B$14,Paramètres!$A$1:$I$88,5,0)</f>
        <v>#N/A</v>
      </c>
      <c r="CM101" s="34" t="e">
        <f t="shared" si="75"/>
        <v>#N/A</v>
      </c>
      <c r="CN101" s="44" t="e">
        <f t="shared" si="52"/>
        <v>#N/A</v>
      </c>
      <c r="CO101" s="36">
        <f>IF(ISNA(VLOOKUP(A101,'Données projet'!$A$165:$I$185,3,0)),0,VLOOKUP(A101,'Données projet'!$A$165:$I$185,3,0))</f>
        <v>0</v>
      </c>
      <c r="CP101" s="36">
        <f>IF(ISNA(VLOOKUP(A101,'Données projet'!$A$165:$I$185,4,0)),0,VLOOKUP(A101,'Données projet'!$A$165:$I$185,4,0))</f>
        <v>0</v>
      </c>
      <c r="CQ101" s="37">
        <f>IF(ISNA(VLOOKUP(A101,'Données projet'!$A$165:$I$185,5,0)),0%,VLOOKUP(A101,'Données projet'!$A$165:$I$185,5,0)*VLOOKUP('Données projet'!$B$14,Paramètres!$A$1:$I$88,7,0))</f>
        <v>0</v>
      </c>
      <c r="CR101" s="37">
        <f>IF(ISNA(VLOOKUP(A101,'Données projet'!$A$165:$I$185,6,0)),0%,VLOOKUP(A101,'Données projet'!$A$165:$I$185,6,0)*VLOOKUP('Données projet'!$B$14,Paramètres!$A$1:$I$88,7,0))</f>
        <v>0</v>
      </c>
      <c r="CS101" s="37">
        <f>IF(ISNA(VLOOKUP(A101,'Données projet'!$A$165:$I$185,7,0)),0%,VLOOKUP(A101,'Données projet'!$A$165:$I$185,7,0))</f>
        <v>0</v>
      </c>
      <c r="CT101" s="45">
        <f>EXP(-LN(2)/35)*CT100+(1-EXP(-LN(2)/35))/(LN(2)/35)*CP101*CQ101*VLOOKUP('Données projet'!$B$9,Paramètres!$A$1:$I$88,3,0)*0.475*44/12</f>
        <v>0</v>
      </c>
      <c r="CU101" s="45">
        <f>EXP(-LN(2)/25)*CU100+(1-EXP(-LN(2)/25))/(LN(2)/25)*Calculateur!CP101*Calculateur!CR101*VLOOKUP('Données projet'!$B$9,Paramètres!$A$1:$I$88,3,0)*0.475*44/12</f>
        <v>0</v>
      </c>
      <c r="CV101" s="45">
        <f>EXP(-LN(2)/2)*CV100+(1-EXP(-LN(2)/2))/(LN(2)/2)*CP101*CS101*VLOOKUP('Données projet'!$B$9,Paramètres!$A$1:$I$88,3,0)*0.475*44/12</f>
        <v>0</v>
      </c>
      <c r="CW101" s="46">
        <f t="shared" si="53"/>
        <v>0</v>
      </c>
      <c r="CX101" s="32" t="e">
        <f>VLOOKUP(A101,'Données projet'!$A$191:$I$211,2,0)</f>
        <v>#N/A</v>
      </c>
      <c r="CY101" s="33" t="e">
        <f>VLOOKUP(A101,'Données projet'!$A$191:$I$211,9,0)</f>
        <v>#N/A</v>
      </c>
      <c r="CZ101" s="33">
        <f t="array" ref="CZ101">INDEX(CY:CY,MIN(IF(ISNUMBER(CY101:CY297),ROW(CY101:CY297),"")))</f>
        <v>0</v>
      </c>
      <c r="DA101" s="33">
        <f t="shared" si="76"/>
        <v>0</v>
      </c>
      <c r="DB101" s="38" t="e">
        <f>DA101*VLOOKUP('Données projet'!$B$15,Paramètres!$A$1:$I$88,3,0)*VLOOKUP('Données projet'!$B$15,Paramètres!$A$1:$I$88,5,0)</f>
        <v>#N/A</v>
      </c>
      <c r="DC101" s="34" t="e">
        <f t="shared" si="77"/>
        <v>#N/A</v>
      </c>
      <c r="DD101" s="44" t="e">
        <f t="shared" si="54"/>
        <v>#N/A</v>
      </c>
      <c r="DE101" s="36">
        <f>IF(ISNA(VLOOKUP(A101,'Données projet'!$A$191:$I$211,3,0)),0,VLOOKUP(A101,'Données projet'!$A$191:$I$211,3,0))</f>
        <v>0</v>
      </c>
      <c r="DF101" s="36">
        <f>IF(ISNA(VLOOKUP(A101,'Données projet'!$A$191:$I$211,4,0)),0,VLOOKUP(A101,'Données projet'!$A$191:$I$211,4,0))</f>
        <v>0</v>
      </c>
      <c r="DG101" s="37">
        <f>IF(ISNA(VLOOKUP(A101,'Données projet'!$A$191:$I$211,5,0)),0%,VLOOKUP(A101,'Données projet'!$A$191:$I$211,5,0)*VLOOKUP('Données projet'!$B$15,Paramètres!$A$1:$I$88,7,0))</f>
        <v>0</v>
      </c>
      <c r="DH101" s="37">
        <f>IF(ISNA(VLOOKUP(A101,'Données projet'!$A$191:$I$211,6,0)),0%,VLOOKUP(A101,'Données projet'!$A$191:$I$211,6,0)*VLOOKUP('Données projet'!$B$15,Paramètres!$A$1:$I$88,7,0))</f>
        <v>0</v>
      </c>
      <c r="DI101" s="37">
        <f>IF(ISNA(VLOOKUP(A101,'Données projet'!$A$191:$I$211,7,0)),0%,VLOOKUP(A101,'Données projet'!$A$191:$I$211,7,0))</f>
        <v>0</v>
      </c>
      <c r="DJ101" s="45">
        <f>EXP(-LN(2)/35)*DJ100+(1-EXP(-LN(2)/35))/(LN(2)/35)*DF101*DG101*VLOOKUP('Données projet'!$B$9,Paramètres!$A$1:$I$88,3,0)*0.475*44/12</f>
        <v>0</v>
      </c>
      <c r="DK101" s="45">
        <f>EXP(-LN(2)/25)*DK100+(1-EXP(-LN(2)/25))/(LN(2)/25)*Calculateur!DF101*Calculateur!DH101*VLOOKUP('Données projet'!$B$9,Paramètres!$A$1:$I$88,3,0)*0.475*44/12</f>
        <v>0</v>
      </c>
      <c r="DL101" s="45">
        <f>EXP(-LN(2)/2)*DL100+(1-EXP(-LN(2)/2))/(LN(2)/2)*DF101*DI101*VLOOKUP('Données projet'!$B$9,Paramètres!$A$1:$I$88,3,0)*0.475*44/12</f>
        <v>0</v>
      </c>
      <c r="DM101" s="46">
        <f t="shared" si="55"/>
        <v>0</v>
      </c>
      <c r="DN101" s="32" t="e">
        <f>VLOOKUP(A101,'Données projet'!$A$217:$I$237,2,0)</f>
        <v>#N/A</v>
      </c>
      <c r="DO101" s="33" t="e">
        <f>VLOOKUP(A101,'Données projet'!$A$217:$I$237,9,0)</f>
        <v>#N/A</v>
      </c>
      <c r="DP101" s="33">
        <f t="array" ref="DP101">INDEX(DO:DO,MIN(IF(ISNUMBER(DO101:DO297),ROW(DO101:DO297),"")))</f>
        <v>0</v>
      </c>
      <c r="DQ101" s="33">
        <f t="shared" si="78"/>
        <v>0</v>
      </c>
      <c r="DR101" s="38" t="e">
        <f>DQ101*VLOOKUP('Données projet'!$B$16,Paramètres!$A$1:$I$88,3,0)*VLOOKUP('Données projet'!$B$16,Paramètres!$A$1:$I$88,5,0)</f>
        <v>#N/A</v>
      </c>
      <c r="DS101" s="34" t="e">
        <f t="shared" si="79"/>
        <v>#N/A</v>
      </c>
      <c r="DT101" s="44" t="e">
        <f t="shared" si="56"/>
        <v>#N/A</v>
      </c>
      <c r="DU101" s="36">
        <f>IF(ISNA(VLOOKUP(A101,'Données projet'!$A$217:$I$237,3,0)),0,VLOOKUP(A101,'Données projet'!$A$217:$I$237,3,0))</f>
        <v>0</v>
      </c>
      <c r="DV101" s="36">
        <f>IF(ISNA(VLOOKUP(A101,'Données projet'!$A$217:$I$237,4,0)),0,VLOOKUP(A101,'Données projet'!$A$217:$I$237,4,0))</f>
        <v>0</v>
      </c>
      <c r="DW101" s="37">
        <f>IF(ISNA(VLOOKUP(A101,'Données projet'!$A$217:$I$237,5,0)),0%,VLOOKUP(A101,'Données projet'!$A$217:$I$237,5,0)*VLOOKUP('Données projet'!$B$16,Paramètres!$A$1:$I$88,7,0))</f>
        <v>0</v>
      </c>
      <c r="DX101" s="37">
        <f>IF(ISNA(VLOOKUP(A101,'Données projet'!$A$217:$I$237,6,0)),0%,VLOOKUP(A101,'Données projet'!$A$217:$I$237,6,0)*VLOOKUP('Données projet'!$B$16,Paramètres!$A$1:$I$88,7,0))</f>
        <v>0</v>
      </c>
      <c r="DY101" s="37">
        <f>IF(ISNA(VLOOKUP(A101,'Données projet'!$A$217:$I$237,7,0)),0%,VLOOKUP(A101,'Données projet'!$A$217:$I$237,7,0))</f>
        <v>0</v>
      </c>
      <c r="DZ101" s="45">
        <f>EXP(-LN(2)/35)*DZ100+(1-EXP(-LN(2)/35))/(LN(2)/35)*DV101*DW101*VLOOKUP('Données projet'!$B$9,Paramètres!$A$1:$I$88,3,0)*0.475*44/12</f>
        <v>0</v>
      </c>
      <c r="EA101" s="45">
        <f>EXP(-LN(2)/25)*EA100+(1-EXP(-LN(2)/25))/(LN(2)/25)*Calculateur!DV101*Calculateur!DX101*VLOOKUP('Données projet'!$B$9,Paramètres!$A$1:$I$88,3,0)*0.475*44/12</f>
        <v>0</v>
      </c>
      <c r="EB101" s="45">
        <f>EXP(-LN(2)/2)*EB100+(1-EXP(-LN(2)/2))/(LN(2)/2)*DV101*DY101*VLOOKUP('Données projet'!$B$9,Paramètres!$A$1:$I$88,3,0)*0.475*44/12</f>
        <v>0</v>
      </c>
      <c r="EC101" s="46">
        <f t="shared" si="57"/>
        <v>0</v>
      </c>
      <c r="ED101" s="32" t="e">
        <f>VLOOKUP(A101,'Données projet'!$A$243:$I$263,2,0)</f>
        <v>#N/A</v>
      </c>
      <c r="EE101" s="33" t="e">
        <f>VLOOKUP(A101,'Données projet'!$A$243:$I$263,9,0)</f>
        <v>#N/A</v>
      </c>
      <c r="EF101" s="33">
        <f t="array" ref="EF101">INDEX(EE:EE,MIN(IF(ISNUMBER(EE101:EE297),ROW(EE101:EE297),"")))</f>
        <v>0</v>
      </c>
      <c r="EG101" s="33">
        <f t="shared" si="80"/>
        <v>0</v>
      </c>
      <c r="EH101" s="38" t="e">
        <f>EG101*VLOOKUP('Données projet'!$B$17,Paramètres!$A$1:$I$88,3,0)*VLOOKUP('Données projet'!$B$17,Paramètres!$A$1:$I$88,5,0)</f>
        <v>#N/A</v>
      </c>
      <c r="EI101" s="34" t="e">
        <f t="shared" si="81"/>
        <v>#N/A</v>
      </c>
      <c r="EJ101" s="44" t="e">
        <f t="shared" si="58"/>
        <v>#N/A</v>
      </c>
      <c r="EK101" s="36">
        <f>IF(ISNA(VLOOKUP(A101,'Données projet'!$A$243:$I$263,3,0)),0,VLOOKUP(A101,'Données projet'!$A$243:$I$263,3,0))</f>
        <v>0</v>
      </c>
      <c r="EL101" s="36">
        <f>IF(ISNA(VLOOKUP(A101,'Données projet'!$A$243:$I$263,4,0)),0,VLOOKUP(A101,'Données projet'!$A$243:$I$263,4,0))</f>
        <v>0</v>
      </c>
      <c r="EM101" s="37">
        <f>IF(ISNA(VLOOKUP(A101,'Données projet'!$A$243:$I$263,5,0)),0%,VLOOKUP(A101,'Données projet'!$A$243:$I$263,5,0)*VLOOKUP('Données projet'!$B$17,Paramètres!$A$1:$I$88,7,0))</f>
        <v>0</v>
      </c>
      <c r="EN101" s="37">
        <f>IF(ISNA(VLOOKUP(A101,'Données projet'!$A$243:$I$263,6,0)),0%,VLOOKUP(A101,'Données projet'!$A$243:$I$263,6,0)*VLOOKUP('Données projet'!$B$17,Paramètres!$A$1:$I$88,7,0))</f>
        <v>0</v>
      </c>
      <c r="EO101" s="37">
        <f>IF(ISNA(VLOOKUP(A101,'Données projet'!$A$243:$I$263,7,0)),0%,VLOOKUP(A101,'Données projet'!$A$243:$I$263,7,0))</f>
        <v>0</v>
      </c>
      <c r="EP101" s="45">
        <f>EXP(-LN(2)/35)*EP100+(1-EXP(-LN(2)/35))/(LN(2)/35)*EL101*EM101*VLOOKUP('Données projet'!$B$9,Paramètres!$A$1:$I$88,3,0)*0.475*44/12</f>
        <v>0</v>
      </c>
      <c r="EQ101" s="45">
        <f>EXP(-LN(2)/25)*EQ100+(1-EXP(-LN(2)/25))/(LN(2)/25)*Calculateur!EL101*Calculateur!EN101*VLOOKUP('Données projet'!$B$9,Paramètres!$A$1:$I$88,3,0)*0.475*44/12</f>
        <v>0</v>
      </c>
      <c r="ER101" s="45">
        <f>EXP(-LN(2)/2)*ER100+(1-EXP(-LN(2)/2))/(LN(2)/2)*EL101*EO101*VLOOKUP('Données projet'!$B$9,Paramètres!$A$1:$I$88,3,0)*0.475*44/12</f>
        <v>0</v>
      </c>
      <c r="ES101" s="46">
        <f t="shared" si="59"/>
        <v>0</v>
      </c>
      <c r="ET101" s="32" t="e">
        <f>VLOOKUP(A101,'Données projet'!$A$269:$I$289,2,0)</f>
        <v>#N/A</v>
      </c>
      <c r="EU101" s="33" t="e">
        <f>VLOOKUP(A101,'Données projet'!$A$269:$I$289,9,0)</f>
        <v>#N/A</v>
      </c>
      <c r="EV101" s="33">
        <f t="array" ref="EV101">INDEX(EU:EU,MIN(IF(ISNUMBER(EU101:EU297),ROW(EU101:EU297),"")))</f>
        <v>0</v>
      </c>
      <c r="EW101" s="33">
        <f t="shared" si="82"/>
        <v>0</v>
      </c>
      <c r="EX101" s="38" t="e">
        <f>EW101*VLOOKUP('Données projet'!$B$18,Paramètres!$A$1:$I$88,3,0)*VLOOKUP('Données projet'!$B$18,Paramètres!$A$1:$I$88,5,0)</f>
        <v>#N/A</v>
      </c>
      <c r="EY101" s="34" t="e">
        <f t="shared" si="83"/>
        <v>#N/A</v>
      </c>
      <c r="EZ101" s="44" t="e">
        <f t="shared" si="60"/>
        <v>#N/A</v>
      </c>
      <c r="FA101" s="36">
        <f>IF(ISNA(VLOOKUP(A101,'Données projet'!$A$269:$I$289,3,0)),0,VLOOKUP(A101,'Données projet'!$A$269:$I$289,3,0))</f>
        <v>0</v>
      </c>
      <c r="FB101" s="36">
        <f>IF(ISNA(VLOOKUP(A101,'Données projet'!$A$269:$I$289,4,0)),0,VLOOKUP(A101,'Données projet'!$A$269:$I$289,4,0))</f>
        <v>0</v>
      </c>
      <c r="FC101" s="37">
        <f>IF(ISNA(VLOOKUP(A101,'Données projet'!$A$269:$I$289,5,0)),0%,VLOOKUP(A101,'Données projet'!$A$269:$I$289,5,0)*VLOOKUP('Données projet'!$B$18,Paramètres!$A$1:$I$88,7,0))</f>
        <v>0</v>
      </c>
      <c r="FD101" s="37">
        <f>IF(ISNA(VLOOKUP(A101,'Données projet'!$A$269:$I$289,6,0)),0%,VLOOKUP(A101,'Données projet'!$A$269:$I$289,6,0)*VLOOKUP('Données projet'!$B$18,Paramètres!$A$1:$I$88,7,0))</f>
        <v>0</v>
      </c>
      <c r="FE101" s="37">
        <f>IF(ISNA(VLOOKUP(A101,'Données projet'!$A$269:$I$289,7,0)),0%,VLOOKUP(A101,'Données projet'!$A$269:$I$289,7,0))</f>
        <v>0</v>
      </c>
      <c r="FF101" s="45">
        <f>EXP(-LN(2)/35)*FF100+(1-EXP(-LN(2)/35))/(LN(2)/35)*FB101*FC101*VLOOKUP('Données projet'!$B$9,Paramètres!$A$1:$I$88,3,0)*0.475*44/12</f>
        <v>0</v>
      </c>
      <c r="FG101" s="45">
        <f>EXP(-LN(2)/25)*FG100+(1-EXP(-LN(2)/25))/(LN(2)/25)*Calculateur!FB101*Calculateur!FD101*VLOOKUP('Données projet'!$B$9,Paramètres!$A$1:$I$88,3,0)*0.475*44/12</f>
        <v>0</v>
      </c>
      <c r="FH101" s="45">
        <f>EXP(-LN(2)/2)*FH100+(1-EXP(-LN(2)/2))/(LN(2)/2)*FB101*FE101*VLOOKUP('Données projet'!$B$9,Paramètres!$A$1:$I$88,3,0)*0.475*44/12</f>
        <v>0</v>
      </c>
      <c r="FI101" s="46">
        <f t="shared" si="61"/>
        <v>0</v>
      </c>
    </row>
    <row r="102" spans="1:165" x14ac:dyDescent="0.25">
      <c r="A102" s="24">
        <f t="shared" si="62"/>
        <v>99</v>
      </c>
      <c r="B102" s="25">
        <f>IF('Scénario référence'!$N$1=1,5,0)</f>
        <v>0</v>
      </c>
      <c r="C102" s="40">
        <f>IF(OR('Scénario référence'!$N$1=2,'Scénario référence'!$N$1=4),C101+1*VLOOKUP('Scénario référence'!$G$14,Paramètres!$A$1:$I$88,3,0)*VLOOKUP('Scénario référence'!$G$14,Paramètres!$A$1:$I$88,5,0),IF(OR('Scénario référence'!$N$1=3,'Scénario référence'!$N$1=5),C101+0.5*VLOOKUP('Scénario référence'!$G$14,Paramètres!$A$1:$I$88,3,0)*VLOOKUP('Scénario référence'!$G$14,Paramètres!$A$1:$I$88,5,0),0))</f>
        <v>54.053999999999952</v>
      </c>
      <c r="D102" s="26">
        <f t="shared" si="63"/>
        <v>15.655925351504653</v>
      </c>
      <c r="E102" s="27">
        <f>IF('Scénario référence'!$N$1=1,B102*44/12,(C102+D102)*0.475*44/12)</f>
        <v>121.41145332053719</v>
      </c>
      <c r="F102" s="28" t="e">
        <f>VLOOKUP(A102,'Données projet'!$A$35:$I$55,2,0)</f>
        <v>#N/A</v>
      </c>
      <c r="G102" s="28" t="e">
        <f>VLOOKUP(A102,'Données projet'!$A$35:$I$55,9,0)</f>
        <v>#N/A</v>
      </c>
      <c r="H102" s="33">
        <f t="array" ref="H102">INDEX(G:G,MIN(IF(ISNUMBER(G102:G298),ROW(G102:G298),"")))</f>
        <v>4.7</v>
      </c>
      <c r="I102" s="28">
        <f t="shared" si="64"/>
        <v>276.79999999999961</v>
      </c>
      <c r="J102" s="41">
        <f>I102*VLOOKUP('Données projet'!$B$9,Paramètres!$A$1:$I$88,3,0)*VLOOKUP('Données projet'!$B$9,Paramètres!$A$1:$I$88,5,0)</f>
        <v>280.67519999999962</v>
      </c>
      <c r="K102" s="41">
        <f t="shared" si="65"/>
        <v>67.109678043026435</v>
      </c>
      <c r="L102" s="42">
        <f t="shared" si="42"/>
        <v>605.72532925827045</v>
      </c>
      <c r="M102" s="30">
        <f>IF(ISNA(VLOOKUP(A102,'Données projet'!$A$35:$I$55,3,0)),0,VLOOKUP(A102,'Données projet'!$A$35:$I$55,3,0))</f>
        <v>0</v>
      </c>
      <c r="N102" s="30">
        <f>IF(ISNA(VLOOKUP(A102,'Données projet'!$A$35:$I$55,4,0)),0,VLOOKUP(A102,'Données projet'!$A$35:$I$55,4,0))</f>
        <v>0</v>
      </c>
      <c r="O102" s="31">
        <f>IF(ISNA(VLOOKUP(A102,'Données projet'!$A$35:$I$55,5,0)),0%,VLOOKUP(A102,'Données projet'!$A$35:$I$55,5,0)*VLOOKUP('Données projet'!$B$9,Paramètres!$A$1:$I$88,7,0))</f>
        <v>0</v>
      </c>
      <c r="P102" s="31">
        <f>IF(ISNA(VLOOKUP(A102,'Données projet'!$A$35:$I$55,6,0)),0%,VLOOKUP(A102,'Données projet'!$A$35:$I$55,6,0)*VLOOKUP('Données projet'!$B$9,Paramètres!$A$1:$I$88,7,0))</f>
        <v>0</v>
      </c>
      <c r="Q102" s="31">
        <f>IF(ISNA(VLOOKUP(A102,'Données projet'!$A$35:$I$55,7,0)),0%,VLOOKUP(A102,'Données projet'!$A$35:$I$55,7,0))</f>
        <v>0</v>
      </c>
      <c r="R102" s="43">
        <f>EXP(-LN(2)/35)*R101+(1-EXP(-LN(2)/35))/(LN(2)/35)*N102*O102*VLOOKUP('Données projet'!$B$9,Paramètres!$A$1:$I$88,3,0)*0.475*44/12</f>
        <v>0</v>
      </c>
      <c r="S102" s="43">
        <f>EXP(-LN(2)/25)*S101+(1-EXP(-LN(2)/25))/(LN(2)/25)*Calculateur!N102*Calculateur!P102*VLOOKUP('Données projet'!$B$9,Paramètres!$A$1:$I$88,3,0)*0.475*44/12</f>
        <v>0</v>
      </c>
      <c r="T102" s="43">
        <f>EXP(-LN(2)/2)*T101+(1-EXP(-LN(2)/2))/(LN(2)/2)*N102*Q102*VLOOKUP('Données projet'!$B$9,Paramètres!$A$1:$I$88,3,0)*0.475*44/12</f>
        <v>0</v>
      </c>
      <c r="U102" s="43">
        <f t="shared" si="43"/>
        <v>0</v>
      </c>
      <c r="V102" s="32" t="e">
        <f>VLOOKUP(A102,'Données projet'!$A$61:$I$81,2,0)</f>
        <v>#N/A</v>
      </c>
      <c r="W102" s="33" t="e">
        <f>VLOOKUP(A102,'Données projet'!$A$61:$I$81,9,0)</f>
        <v>#N/A</v>
      </c>
      <c r="X102" s="33">
        <f t="array" ref="X102">INDEX(W:W,MIN(IF(ISNUMBER(W102:W298),ROW(W102:W298),"")))</f>
        <v>0</v>
      </c>
      <c r="Y102" s="33">
        <f t="shared" si="66"/>
        <v>0</v>
      </c>
      <c r="Z102" s="34" t="e">
        <f>Y102*VLOOKUP('Données projet'!$B$10,Paramètres!$A$1:$I$88,3,0)*VLOOKUP('Données projet'!$B$10,Paramètres!$A$1:$I$88,5,0)</f>
        <v>#N/A</v>
      </c>
      <c r="AA102" s="34" t="e">
        <f t="shared" si="67"/>
        <v>#N/A</v>
      </c>
      <c r="AB102" s="44" t="e">
        <f t="shared" si="44"/>
        <v>#N/A</v>
      </c>
      <c r="AC102" s="36">
        <f>IF(ISNA(VLOOKUP(A102,'Données projet'!$A$61:$I$81,3,0)),0,VLOOKUP(A102,'Données projet'!$A$61:$I$81,3,0))</f>
        <v>0</v>
      </c>
      <c r="AD102" s="36">
        <f>IF(ISNA(VLOOKUP(A102,'Données projet'!$A$61:$I$81,4,0)),0,VLOOKUP(A102,'Données projet'!$A$61:$I$81,4,0))</f>
        <v>0</v>
      </c>
      <c r="AE102" s="37">
        <f>IF(ISNA(VLOOKUP(A102,'Données projet'!$A$61:$I$81,5,0)),0%,VLOOKUP(A102,'Données projet'!$A$61:$I$81,5,0)*VLOOKUP('Données projet'!$B$10,Paramètres!$A$1:$I$88,7,0))</f>
        <v>0</v>
      </c>
      <c r="AF102" s="37">
        <f>IF(ISNA(VLOOKUP(A102,'Données projet'!$A$61:$I$81,6,0)),0%,VLOOKUP(A102,'Données projet'!$A$61:$I$81,6,0)*VLOOKUP('Données projet'!$B$10,Paramètres!$A$1:$I$88,7,0))</f>
        <v>0</v>
      </c>
      <c r="AG102" s="37">
        <f>IF(ISNA(VLOOKUP(A102,'Données projet'!$A$61:$I$81,7,0)),0%,VLOOKUP(A102,'Données projet'!$A$61:$I$81,7,0))</f>
        <v>0</v>
      </c>
      <c r="AH102" s="45">
        <f>EXP(-LN(2)/35)*AH101+(1-EXP(-LN(2)/35))/(LN(2)/35)*AD102*AE102*VLOOKUP('Données projet'!$B$9,Paramètres!$A$1:$I$88,3,0)*0.475*44/12</f>
        <v>0</v>
      </c>
      <c r="AI102" s="45">
        <f>EXP(-LN(2)/25)*AI101+(1-EXP(-LN(2)/25))/(LN(2)/25)*Calculateur!AD102*Calculateur!AF102*VLOOKUP('Données projet'!$B$9,Paramètres!$A$1:$I$88,3,0)*0.475*44/12</f>
        <v>0</v>
      </c>
      <c r="AJ102" s="45">
        <f>EXP(-LN(2)/2)*AJ101+(1-EXP(-LN(2)/2))/(LN(2)/2)*AD102*AG102*VLOOKUP('Données projet'!$B$9,Paramètres!$A$1:$I$88,3,0)*0.475*44/12</f>
        <v>0</v>
      </c>
      <c r="AK102" s="45">
        <f t="shared" si="45"/>
        <v>0</v>
      </c>
      <c r="AL102" s="32" t="e">
        <f>VLOOKUP(A102,'Données projet'!$A$87:$I$107,2,0)</f>
        <v>#N/A</v>
      </c>
      <c r="AM102" s="33" t="e">
        <f>VLOOKUP(A102,'Données projet'!$A$87:$I$107,9,0)</f>
        <v>#N/A</v>
      </c>
      <c r="AN102" s="33">
        <f t="array" ref="AN102">INDEX(AM:AM,MIN(IF(ISNUMBER(AM102:AM298),ROW(AM102:AM298),"")))</f>
        <v>0</v>
      </c>
      <c r="AO102" s="33">
        <f t="shared" si="68"/>
        <v>0</v>
      </c>
      <c r="AP102" s="34" t="e">
        <f>AO102*VLOOKUP('Données projet'!$B$11,Paramètres!$A$1:$I$88,3,0)*VLOOKUP('Données projet'!$B$11,Paramètres!$A$1:$I$88,5,0)</f>
        <v>#N/A</v>
      </c>
      <c r="AQ102" s="34" t="e">
        <f t="shared" si="69"/>
        <v>#N/A</v>
      </c>
      <c r="AR102" s="44" t="e">
        <f t="shared" si="46"/>
        <v>#N/A</v>
      </c>
      <c r="AS102" s="36">
        <f>IF(ISNA(VLOOKUP(A102,'Données projet'!$A$87:$I$107,3,0)),0,VLOOKUP(A102,'Données projet'!$A$87:$I$107,3,0))</f>
        <v>0</v>
      </c>
      <c r="AT102" s="36">
        <f>IF(ISNA(VLOOKUP(A102,'Données projet'!$A$87:$I$107,4,0)),0,VLOOKUP(A102,'Données projet'!$A$87:$I$107,4,0))</f>
        <v>0</v>
      </c>
      <c r="AU102" s="37">
        <f>IF(ISNA(VLOOKUP(A102,'Données projet'!$A$87:$I$107,5,0)),0%,VLOOKUP(A102,'Données projet'!$A$87:$I$107,5,0)*VLOOKUP('Données projet'!$B$11,Paramètres!$A$1:$I$88,7,0))</f>
        <v>0</v>
      </c>
      <c r="AV102" s="37">
        <f>IF(ISNA(VLOOKUP(A102,'Données projet'!$A$87:$I$107,6,0)),0%,VLOOKUP(A102,'Données projet'!$A$87:$I$107,6,0)*VLOOKUP('Données projet'!$B$11,Paramètres!$A$1:$I$88,7,0))</f>
        <v>0</v>
      </c>
      <c r="AW102" s="37">
        <f>IF(ISNA(VLOOKUP(A102,'Données projet'!$A$87:$I$107,7,0)),0%,VLOOKUP(A102,'Données projet'!$A$87:$I$107,7,0))</f>
        <v>0</v>
      </c>
      <c r="AX102" s="45">
        <f>EXP(-LN(2)/35)*AX101+(1-EXP(-LN(2)/35))/(LN(2)/35)*AT102*AU102*VLOOKUP('Données projet'!$B$9,Paramètres!$A$1:$I$88,3,0)*0.475*44/12</f>
        <v>0</v>
      </c>
      <c r="AY102" s="45">
        <f>EXP(-LN(2)/25)*AY101+(1-EXP(-LN(2)/25))/(LN(2)/25)*Calculateur!AT102*Calculateur!AV102*VLOOKUP('Données projet'!$B$9,Paramètres!$A$1:$I$88,3,0)*0.475*44/12</f>
        <v>0</v>
      </c>
      <c r="AZ102" s="45">
        <f>EXP(-LN(2)/2)*AZ101+(1-EXP(-LN(2)/2))/(LN(2)/2)*AT102*AW102*VLOOKUP('Données projet'!$B$9,Paramètres!$A$1:$I$88,3,0)*0.475*44/12</f>
        <v>0</v>
      </c>
      <c r="BA102" s="46">
        <f t="shared" si="47"/>
        <v>0</v>
      </c>
      <c r="BB102" s="32" t="e">
        <f>VLOOKUP(A102,'Données projet'!$A$113:$I$133,2,0)</f>
        <v>#N/A</v>
      </c>
      <c r="BC102" s="33" t="e">
        <f>VLOOKUP(A102,'Données projet'!$A$113:$I$133,9,0)</f>
        <v>#N/A</v>
      </c>
      <c r="BD102" s="33">
        <f t="array" ref="BD102">INDEX(BC:BC,MIN(IF(ISNUMBER(BC102:BC298),ROW(BC102:BC298),"")))</f>
        <v>0</v>
      </c>
      <c r="BE102" s="33">
        <f t="shared" si="70"/>
        <v>0</v>
      </c>
      <c r="BF102" s="34" t="e">
        <f>BE102*VLOOKUP('Données projet'!$B$12,Paramètres!$A$1:$I$88,3,0)*VLOOKUP('Données projet'!$B$12,Paramètres!$A$1:$I$88,5,0)</f>
        <v>#N/A</v>
      </c>
      <c r="BG102" s="34" t="e">
        <f t="shared" si="71"/>
        <v>#N/A</v>
      </c>
      <c r="BH102" s="44" t="e">
        <f t="shared" si="48"/>
        <v>#N/A</v>
      </c>
      <c r="BI102" s="36">
        <f>IF(ISNA(VLOOKUP(A102,'Données projet'!$A$113:$I$133,3,0)),0,VLOOKUP(A102,'Données projet'!$A$113:$I$133,3,0))</f>
        <v>0</v>
      </c>
      <c r="BJ102" s="36">
        <f>IF(ISNA(VLOOKUP(A102,'Données projet'!$A$113:$I$133,4,0)),0,VLOOKUP(A102,'Données projet'!$A$113:$I$133,4,0))</f>
        <v>0</v>
      </c>
      <c r="BK102" s="37">
        <f>IF(ISNA(VLOOKUP(A102,'Données projet'!$A$113:$I$133,5,0)),0%,VLOOKUP(A102,'Données projet'!$A$113:$I$133,5,0)*VLOOKUP('Données projet'!$B$12,Paramètres!$A$1:$I$88,7,0))</f>
        <v>0</v>
      </c>
      <c r="BL102" s="37">
        <f>IF(ISNA(VLOOKUP(A102,'Données projet'!$A$113:$I$133,6,0)),0%,VLOOKUP(A102,'Données projet'!$A$113:$I$133,6,0)*VLOOKUP('Données projet'!$B$12,Paramètres!$A$1:$I$88,7,0))</f>
        <v>0</v>
      </c>
      <c r="BM102" s="37">
        <f>IF(ISNA(VLOOKUP(A102,'Données projet'!$A$113:$I$133,7,0)),0%,VLOOKUP(A102,'Données projet'!$A$113:$I$133,7,0))</f>
        <v>0</v>
      </c>
      <c r="BN102" s="45">
        <f>EXP(-LN(2)/35)*BN101+(1-EXP(-LN(2)/35))/(LN(2)/35)*BJ102*BK102*VLOOKUP('Données projet'!$B$9,Paramètres!$A$1:$I$88,3,0)*0.475*44/12</f>
        <v>0</v>
      </c>
      <c r="BO102" s="45">
        <f>EXP(-LN(2)/25)*BO101+(1-EXP(-LN(2)/25))/(LN(2)/25)*Calculateur!BJ102*Calculateur!BL102*VLOOKUP('Données projet'!$B$9,Paramètres!$A$1:$I$88,3,0)*0.475*44/12</f>
        <v>0</v>
      </c>
      <c r="BP102" s="45">
        <f>EXP(-LN(2)/2)*BP101+(1-EXP(-LN(2)/2))/(LN(2)/2)*BJ102*BM102*VLOOKUP('Données projet'!$B$9,Paramètres!$A$1:$I$88,3,0)*0.475*44/12</f>
        <v>0</v>
      </c>
      <c r="BQ102" s="46">
        <f t="shared" si="49"/>
        <v>0</v>
      </c>
      <c r="BR102" s="32" t="e">
        <f>VLOOKUP(A102,'Données projet'!$A$139:$I$159,2,0)</f>
        <v>#N/A</v>
      </c>
      <c r="BS102" s="33" t="e">
        <f>VLOOKUP(A102,'Données projet'!$A$139:$I$159,9,0)</f>
        <v>#N/A</v>
      </c>
      <c r="BT102" s="33">
        <f t="array" ref="BT102">INDEX(BS:BS,MIN(IF(ISNUMBER(BS102:BS298),ROW(BS102:BS298),"")))</f>
        <v>0</v>
      </c>
      <c r="BU102" s="33">
        <f t="shared" si="72"/>
        <v>0</v>
      </c>
      <c r="BV102" s="38" t="e">
        <f>BU102*VLOOKUP('Données projet'!$B$13,Paramètres!$A$1:$I$88,3,0)*VLOOKUP('Données projet'!$B$13,Paramètres!$A$1:$I$88,5,0)</f>
        <v>#N/A</v>
      </c>
      <c r="BW102" s="34" t="e">
        <f t="shared" si="73"/>
        <v>#N/A</v>
      </c>
      <c r="BX102" s="44" t="e">
        <f t="shared" si="50"/>
        <v>#N/A</v>
      </c>
      <c r="BY102" s="36">
        <f>IF(ISNA(VLOOKUP(A102,'Données projet'!$A$139:$I$159,3,0)),0,VLOOKUP(A102,'Données projet'!$A$139:$I$159,3,0))</f>
        <v>0</v>
      </c>
      <c r="BZ102" s="36">
        <f>IF(ISNA(VLOOKUP(A102,'Données projet'!$A$139:$I$159,4,0)),0,VLOOKUP(A102,'Données projet'!$A$139:$I$159,4,0))</f>
        <v>0</v>
      </c>
      <c r="CA102" s="37">
        <f>IF(ISNA(VLOOKUP(A102,'Données projet'!$A$139:$I$159,5,0)),0%,VLOOKUP(A102,'Données projet'!$A$139:$I$159,5,0)*VLOOKUP('Données projet'!$B$13,Paramètres!$A$1:$I$88,7,0))</f>
        <v>0</v>
      </c>
      <c r="CB102" s="37">
        <f>IF(ISNA(VLOOKUP(A102,'Données projet'!$A$139:$I$159,6,0)),0%,VLOOKUP(A102,'Données projet'!$A$139:$I$159,6,0)*VLOOKUP('Données projet'!$B$13,Paramètres!$A$1:$I$88,7,0))</f>
        <v>0</v>
      </c>
      <c r="CC102" s="37">
        <f>IF(ISNA(VLOOKUP(A102,'Données projet'!$A$139:$I$159,7,0)),0%,VLOOKUP(A102,'Données projet'!$A$139:$I$159,7,0))</f>
        <v>0</v>
      </c>
      <c r="CD102" s="45">
        <f>EXP(-LN(2)/35)*CD101+(1-EXP(-LN(2)/35))/(LN(2)/35)*BZ102*CA102*VLOOKUP('Données projet'!$B$9,Paramètres!$A$1:$I$88,3,0)*0.475*44/12</f>
        <v>0</v>
      </c>
      <c r="CE102" s="45">
        <f>EXP(-LN(2)/25)*CE101+(1-EXP(-LN(2)/25))/(LN(2)/25)*Calculateur!BZ102*Calculateur!CB102*VLOOKUP('Données projet'!$B$9,Paramètres!$A$1:$I$88,3,0)*0.475*44/12</f>
        <v>0</v>
      </c>
      <c r="CF102" s="45">
        <f>EXP(-LN(2)/2)*CF101+(1-EXP(-LN(2)/2))/(LN(2)/2)*BZ102*CC102*VLOOKUP('Données projet'!$B$9,Paramètres!$A$1:$I$88,3,0)*0.475*44/12</f>
        <v>0</v>
      </c>
      <c r="CG102" s="46">
        <f t="shared" si="51"/>
        <v>0</v>
      </c>
      <c r="CH102" s="32" t="e">
        <f>VLOOKUP(A102,'Données projet'!$A$165:$I$185,2,0)</f>
        <v>#N/A</v>
      </c>
      <c r="CI102" s="33" t="e">
        <f>VLOOKUP(A102,'Données projet'!$A$165:$I$185,9,0)</f>
        <v>#N/A</v>
      </c>
      <c r="CJ102" s="33">
        <f t="array" ref="CJ102">INDEX(CI:CI,MIN(IF(ISNUMBER(CI102:CI298),ROW(CI102:CI298),"")))</f>
        <v>0</v>
      </c>
      <c r="CK102" s="33">
        <f t="shared" si="74"/>
        <v>0</v>
      </c>
      <c r="CL102" s="38" t="e">
        <f>CK102*VLOOKUP('Données projet'!$B$14,Paramètres!$A$1:$I$88,3,0)*VLOOKUP('Données projet'!$B$14,Paramètres!$A$1:$I$88,5,0)</f>
        <v>#N/A</v>
      </c>
      <c r="CM102" s="34" t="e">
        <f t="shared" si="75"/>
        <v>#N/A</v>
      </c>
      <c r="CN102" s="44" t="e">
        <f t="shared" si="52"/>
        <v>#N/A</v>
      </c>
      <c r="CO102" s="36">
        <f>IF(ISNA(VLOOKUP(A102,'Données projet'!$A$165:$I$185,3,0)),0,VLOOKUP(A102,'Données projet'!$A$165:$I$185,3,0))</f>
        <v>0</v>
      </c>
      <c r="CP102" s="36">
        <f>IF(ISNA(VLOOKUP(A102,'Données projet'!$A$165:$I$185,4,0)),0,VLOOKUP(A102,'Données projet'!$A$165:$I$185,4,0))</f>
        <v>0</v>
      </c>
      <c r="CQ102" s="37">
        <f>IF(ISNA(VLOOKUP(A102,'Données projet'!$A$165:$I$185,5,0)),0%,VLOOKUP(A102,'Données projet'!$A$165:$I$185,5,0)*VLOOKUP('Données projet'!$B$14,Paramètres!$A$1:$I$88,7,0))</f>
        <v>0</v>
      </c>
      <c r="CR102" s="37">
        <f>IF(ISNA(VLOOKUP(A102,'Données projet'!$A$165:$I$185,6,0)),0%,VLOOKUP(A102,'Données projet'!$A$165:$I$185,6,0)*VLOOKUP('Données projet'!$B$14,Paramètres!$A$1:$I$88,7,0))</f>
        <v>0</v>
      </c>
      <c r="CS102" s="37">
        <f>IF(ISNA(VLOOKUP(A102,'Données projet'!$A$165:$I$185,7,0)),0%,VLOOKUP(A102,'Données projet'!$A$165:$I$185,7,0))</f>
        <v>0</v>
      </c>
      <c r="CT102" s="45">
        <f>EXP(-LN(2)/35)*CT101+(1-EXP(-LN(2)/35))/(LN(2)/35)*CP102*CQ102*VLOOKUP('Données projet'!$B$9,Paramètres!$A$1:$I$88,3,0)*0.475*44/12</f>
        <v>0</v>
      </c>
      <c r="CU102" s="45">
        <f>EXP(-LN(2)/25)*CU101+(1-EXP(-LN(2)/25))/(LN(2)/25)*Calculateur!CP102*Calculateur!CR102*VLOOKUP('Données projet'!$B$9,Paramètres!$A$1:$I$88,3,0)*0.475*44/12</f>
        <v>0</v>
      </c>
      <c r="CV102" s="45">
        <f>EXP(-LN(2)/2)*CV101+(1-EXP(-LN(2)/2))/(LN(2)/2)*CP102*CS102*VLOOKUP('Données projet'!$B$9,Paramètres!$A$1:$I$88,3,0)*0.475*44/12</f>
        <v>0</v>
      </c>
      <c r="CW102" s="46">
        <f t="shared" si="53"/>
        <v>0</v>
      </c>
      <c r="CX102" s="32" t="e">
        <f>VLOOKUP(A102,'Données projet'!$A$191:$I$211,2,0)</f>
        <v>#N/A</v>
      </c>
      <c r="CY102" s="33" t="e">
        <f>VLOOKUP(A102,'Données projet'!$A$191:$I$211,9,0)</f>
        <v>#N/A</v>
      </c>
      <c r="CZ102" s="33">
        <f t="array" ref="CZ102">INDEX(CY:CY,MIN(IF(ISNUMBER(CY102:CY298),ROW(CY102:CY298),"")))</f>
        <v>0</v>
      </c>
      <c r="DA102" s="33">
        <f t="shared" si="76"/>
        <v>0</v>
      </c>
      <c r="DB102" s="38" t="e">
        <f>DA102*VLOOKUP('Données projet'!$B$15,Paramètres!$A$1:$I$88,3,0)*VLOOKUP('Données projet'!$B$15,Paramètres!$A$1:$I$88,5,0)</f>
        <v>#N/A</v>
      </c>
      <c r="DC102" s="34" t="e">
        <f t="shared" si="77"/>
        <v>#N/A</v>
      </c>
      <c r="DD102" s="44" t="e">
        <f t="shared" si="54"/>
        <v>#N/A</v>
      </c>
      <c r="DE102" s="36">
        <f>IF(ISNA(VLOOKUP(A102,'Données projet'!$A$191:$I$211,3,0)),0,VLOOKUP(A102,'Données projet'!$A$191:$I$211,3,0))</f>
        <v>0</v>
      </c>
      <c r="DF102" s="36">
        <f>IF(ISNA(VLOOKUP(A102,'Données projet'!$A$191:$I$211,4,0)),0,VLOOKUP(A102,'Données projet'!$A$191:$I$211,4,0))</f>
        <v>0</v>
      </c>
      <c r="DG102" s="37">
        <f>IF(ISNA(VLOOKUP(A102,'Données projet'!$A$191:$I$211,5,0)),0%,VLOOKUP(A102,'Données projet'!$A$191:$I$211,5,0)*VLOOKUP('Données projet'!$B$15,Paramètres!$A$1:$I$88,7,0))</f>
        <v>0</v>
      </c>
      <c r="DH102" s="37">
        <f>IF(ISNA(VLOOKUP(A102,'Données projet'!$A$191:$I$211,6,0)),0%,VLOOKUP(A102,'Données projet'!$A$191:$I$211,6,0)*VLOOKUP('Données projet'!$B$15,Paramètres!$A$1:$I$88,7,0))</f>
        <v>0</v>
      </c>
      <c r="DI102" s="37">
        <f>IF(ISNA(VLOOKUP(A102,'Données projet'!$A$191:$I$211,7,0)),0%,VLOOKUP(A102,'Données projet'!$A$191:$I$211,7,0))</f>
        <v>0</v>
      </c>
      <c r="DJ102" s="45">
        <f>EXP(-LN(2)/35)*DJ101+(1-EXP(-LN(2)/35))/(LN(2)/35)*DF102*DG102*VLOOKUP('Données projet'!$B$9,Paramètres!$A$1:$I$88,3,0)*0.475*44/12</f>
        <v>0</v>
      </c>
      <c r="DK102" s="45">
        <f>EXP(-LN(2)/25)*DK101+(1-EXP(-LN(2)/25))/(LN(2)/25)*Calculateur!DF102*Calculateur!DH102*VLOOKUP('Données projet'!$B$9,Paramètres!$A$1:$I$88,3,0)*0.475*44/12</f>
        <v>0</v>
      </c>
      <c r="DL102" s="45">
        <f>EXP(-LN(2)/2)*DL101+(1-EXP(-LN(2)/2))/(LN(2)/2)*DF102*DI102*VLOOKUP('Données projet'!$B$9,Paramètres!$A$1:$I$88,3,0)*0.475*44/12</f>
        <v>0</v>
      </c>
      <c r="DM102" s="46">
        <f t="shared" si="55"/>
        <v>0</v>
      </c>
      <c r="DN102" s="32" t="e">
        <f>VLOOKUP(A102,'Données projet'!$A$217:$I$237,2,0)</f>
        <v>#N/A</v>
      </c>
      <c r="DO102" s="33" t="e">
        <f>VLOOKUP(A102,'Données projet'!$A$217:$I$237,9,0)</f>
        <v>#N/A</v>
      </c>
      <c r="DP102" s="33">
        <f t="array" ref="DP102">INDEX(DO:DO,MIN(IF(ISNUMBER(DO102:DO298),ROW(DO102:DO298),"")))</f>
        <v>0</v>
      </c>
      <c r="DQ102" s="33">
        <f t="shared" si="78"/>
        <v>0</v>
      </c>
      <c r="DR102" s="38" t="e">
        <f>DQ102*VLOOKUP('Données projet'!$B$16,Paramètres!$A$1:$I$88,3,0)*VLOOKUP('Données projet'!$B$16,Paramètres!$A$1:$I$88,5,0)</f>
        <v>#N/A</v>
      </c>
      <c r="DS102" s="34" t="e">
        <f t="shared" si="79"/>
        <v>#N/A</v>
      </c>
      <c r="DT102" s="44" t="e">
        <f t="shared" si="56"/>
        <v>#N/A</v>
      </c>
      <c r="DU102" s="36">
        <f>IF(ISNA(VLOOKUP(A102,'Données projet'!$A$217:$I$237,3,0)),0,VLOOKUP(A102,'Données projet'!$A$217:$I$237,3,0))</f>
        <v>0</v>
      </c>
      <c r="DV102" s="36">
        <f>IF(ISNA(VLOOKUP(A102,'Données projet'!$A$217:$I$237,4,0)),0,VLOOKUP(A102,'Données projet'!$A$217:$I$237,4,0))</f>
        <v>0</v>
      </c>
      <c r="DW102" s="37">
        <f>IF(ISNA(VLOOKUP(A102,'Données projet'!$A$217:$I$237,5,0)),0%,VLOOKUP(A102,'Données projet'!$A$217:$I$237,5,0)*VLOOKUP('Données projet'!$B$16,Paramètres!$A$1:$I$88,7,0))</f>
        <v>0</v>
      </c>
      <c r="DX102" s="37">
        <f>IF(ISNA(VLOOKUP(A102,'Données projet'!$A$217:$I$237,6,0)),0%,VLOOKUP(A102,'Données projet'!$A$217:$I$237,6,0)*VLOOKUP('Données projet'!$B$16,Paramètres!$A$1:$I$88,7,0))</f>
        <v>0</v>
      </c>
      <c r="DY102" s="37">
        <f>IF(ISNA(VLOOKUP(A102,'Données projet'!$A$217:$I$237,7,0)),0%,VLOOKUP(A102,'Données projet'!$A$217:$I$237,7,0))</f>
        <v>0</v>
      </c>
      <c r="DZ102" s="45">
        <f>EXP(-LN(2)/35)*DZ101+(1-EXP(-LN(2)/35))/(LN(2)/35)*DV102*DW102*VLOOKUP('Données projet'!$B$9,Paramètres!$A$1:$I$88,3,0)*0.475*44/12</f>
        <v>0</v>
      </c>
      <c r="EA102" s="45">
        <f>EXP(-LN(2)/25)*EA101+(1-EXP(-LN(2)/25))/(LN(2)/25)*Calculateur!DV102*Calculateur!DX102*VLOOKUP('Données projet'!$B$9,Paramètres!$A$1:$I$88,3,0)*0.475*44/12</f>
        <v>0</v>
      </c>
      <c r="EB102" s="45">
        <f>EXP(-LN(2)/2)*EB101+(1-EXP(-LN(2)/2))/(LN(2)/2)*DV102*DY102*VLOOKUP('Données projet'!$B$9,Paramètres!$A$1:$I$88,3,0)*0.475*44/12</f>
        <v>0</v>
      </c>
      <c r="EC102" s="46">
        <f t="shared" si="57"/>
        <v>0</v>
      </c>
      <c r="ED102" s="32" t="e">
        <f>VLOOKUP(A102,'Données projet'!$A$243:$I$263,2,0)</f>
        <v>#N/A</v>
      </c>
      <c r="EE102" s="33" t="e">
        <f>VLOOKUP(A102,'Données projet'!$A$243:$I$263,9,0)</f>
        <v>#N/A</v>
      </c>
      <c r="EF102" s="33">
        <f t="array" ref="EF102">INDEX(EE:EE,MIN(IF(ISNUMBER(EE102:EE298),ROW(EE102:EE298),"")))</f>
        <v>0</v>
      </c>
      <c r="EG102" s="33">
        <f t="shared" si="80"/>
        <v>0</v>
      </c>
      <c r="EH102" s="38" t="e">
        <f>EG102*VLOOKUP('Données projet'!$B$17,Paramètres!$A$1:$I$88,3,0)*VLOOKUP('Données projet'!$B$17,Paramètres!$A$1:$I$88,5,0)</f>
        <v>#N/A</v>
      </c>
      <c r="EI102" s="34" t="e">
        <f t="shared" si="81"/>
        <v>#N/A</v>
      </c>
      <c r="EJ102" s="44" t="e">
        <f t="shared" si="58"/>
        <v>#N/A</v>
      </c>
      <c r="EK102" s="36">
        <f>IF(ISNA(VLOOKUP(A102,'Données projet'!$A$243:$I$263,3,0)),0,VLOOKUP(A102,'Données projet'!$A$243:$I$263,3,0))</f>
        <v>0</v>
      </c>
      <c r="EL102" s="36">
        <f>IF(ISNA(VLOOKUP(A102,'Données projet'!$A$243:$I$263,4,0)),0,VLOOKUP(A102,'Données projet'!$A$243:$I$263,4,0))</f>
        <v>0</v>
      </c>
      <c r="EM102" s="37">
        <f>IF(ISNA(VLOOKUP(A102,'Données projet'!$A$243:$I$263,5,0)),0%,VLOOKUP(A102,'Données projet'!$A$243:$I$263,5,0)*VLOOKUP('Données projet'!$B$17,Paramètres!$A$1:$I$88,7,0))</f>
        <v>0</v>
      </c>
      <c r="EN102" s="37">
        <f>IF(ISNA(VLOOKUP(A102,'Données projet'!$A$243:$I$263,6,0)),0%,VLOOKUP(A102,'Données projet'!$A$243:$I$263,6,0)*VLOOKUP('Données projet'!$B$17,Paramètres!$A$1:$I$88,7,0))</f>
        <v>0</v>
      </c>
      <c r="EO102" s="37">
        <f>IF(ISNA(VLOOKUP(A102,'Données projet'!$A$243:$I$263,7,0)),0%,VLOOKUP(A102,'Données projet'!$A$243:$I$263,7,0))</f>
        <v>0</v>
      </c>
      <c r="EP102" s="45">
        <f>EXP(-LN(2)/35)*EP101+(1-EXP(-LN(2)/35))/(LN(2)/35)*EL102*EM102*VLOOKUP('Données projet'!$B$9,Paramètres!$A$1:$I$88,3,0)*0.475*44/12</f>
        <v>0</v>
      </c>
      <c r="EQ102" s="45">
        <f>EXP(-LN(2)/25)*EQ101+(1-EXP(-LN(2)/25))/(LN(2)/25)*Calculateur!EL102*Calculateur!EN102*VLOOKUP('Données projet'!$B$9,Paramètres!$A$1:$I$88,3,0)*0.475*44/12</f>
        <v>0</v>
      </c>
      <c r="ER102" s="45">
        <f>EXP(-LN(2)/2)*ER101+(1-EXP(-LN(2)/2))/(LN(2)/2)*EL102*EO102*VLOOKUP('Données projet'!$B$9,Paramètres!$A$1:$I$88,3,0)*0.475*44/12</f>
        <v>0</v>
      </c>
      <c r="ES102" s="46">
        <f t="shared" si="59"/>
        <v>0</v>
      </c>
      <c r="ET102" s="32" t="e">
        <f>VLOOKUP(A102,'Données projet'!$A$269:$I$289,2,0)</f>
        <v>#N/A</v>
      </c>
      <c r="EU102" s="33" t="e">
        <f>VLOOKUP(A102,'Données projet'!$A$269:$I$289,9,0)</f>
        <v>#N/A</v>
      </c>
      <c r="EV102" s="33">
        <f t="array" ref="EV102">INDEX(EU:EU,MIN(IF(ISNUMBER(EU102:EU298),ROW(EU102:EU298),"")))</f>
        <v>0</v>
      </c>
      <c r="EW102" s="33">
        <f t="shared" si="82"/>
        <v>0</v>
      </c>
      <c r="EX102" s="38" t="e">
        <f>EW102*VLOOKUP('Données projet'!$B$18,Paramètres!$A$1:$I$88,3,0)*VLOOKUP('Données projet'!$B$18,Paramètres!$A$1:$I$88,5,0)</f>
        <v>#N/A</v>
      </c>
      <c r="EY102" s="34" t="e">
        <f t="shared" si="83"/>
        <v>#N/A</v>
      </c>
      <c r="EZ102" s="44" t="e">
        <f t="shared" si="60"/>
        <v>#N/A</v>
      </c>
      <c r="FA102" s="36">
        <f>IF(ISNA(VLOOKUP(A102,'Données projet'!$A$269:$I$289,3,0)),0,VLOOKUP(A102,'Données projet'!$A$269:$I$289,3,0))</f>
        <v>0</v>
      </c>
      <c r="FB102" s="36">
        <f>IF(ISNA(VLOOKUP(A102,'Données projet'!$A$269:$I$289,4,0)),0,VLOOKUP(A102,'Données projet'!$A$269:$I$289,4,0))</f>
        <v>0</v>
      </c>
      <c r="FC102" s="37">
        <f>IF(ISNA(VLOOKUP(A102,'Données projet'!$A$269:$I$289,5,0)),0%,VLOOKUP(A102,'Données projet'!$A$269:$I$289,5,0)*VLOOKUP('Données projet'!$B$18,Paramètres!$A$1:$I$88,7,0))</f>
        <v>0</v>
      </c>
      <c r="FD102" s="37">
        <f>IF(ISNA(VLOOKUP(A102,'Données projet'!$A$269:$I$289,6,0)),0%,VLOOKUP(A102,'Données projet'!$A$269:$I$289,6,0)*VLOOKUP('Données projet'!$B$18,Paramètres!$A$1:$I$88,7,0))</f>
        <v>0</v>
      </c>
      <c r="FE102" s="37">
        <f>IF(ISNA(VLOOKUP(A102,'Données projet'!$A$269:$I$289,7,0)),0%,VLOOKUP(A102,'Données projet'!$A$269:$I$289,7,0))</f>
        <v>0</v>
      </c>
      <c r="FF102" s="45">
        <f>EXP(-LN(2)/35)*FF101+(1-EXP(-LN(2)/35))/(LN(2)/35)*FB102*FC102*VLOOKUP('Données projet'!$B$9,Paramètres!$A$1:$I$88,3,0)*0.475*44/12</f>
        <v>0</v>
      </c>
      <c r="FG102" s="45">
        <f>EXP(-LN(2)/25)*FG101+(1-EXP(-LN(2)/25))/(LN(2)/25)*Calculateur!FB102*Calculateur!FD102*VLOOKUP('Données projet'!$B$9,Paramètres!$A$1:$I$88,3,0)*0.475*44/12</f>
        <v>0</v>
      </c>
      <c r="FH102" s="45">
        <f>EXP(-LN(2)/2)*FH101+(1-EXP(-LN(2)/2))/(LN(2)/2)*FB102*FE102*VLOOKUP('Données projet'!$B$9,Paramètres!$A$1:$I$88,3,0)*0.475*44/12</f>
        <v>0</v>
      </c>
      <c r="FI102" s="46">
        <f t="shared" si="61"/>
        <v>0</v>
      </c>
    </row>
    <row r="103" spans="1:165" x14ac:dyDescent="0.25">
      <c r="A103" s="24">
        <f t="shared" si="62"/>
        <v>100</v>
      </c>
      <c r="B103" s="25">
        <f>IF('Scénario référence'!$N$1=1,5,0)</f>
        <v>0</v>
      </c>
      <c r="C103" s="40">
        <f>IF(OR('Scénario référence'!$N$1=2,'Scénario référence'!$N$1=4),C102+1*VLOOKUP('Scénario référence'!$G$14,Paramètres!$A$1:$I$88,3,0)*VLOOKUP('Scénario référence'!$G$14,Paramètres!$A$1:$I$88,5,0),IF(OR('Scénario référence'!$N$1=3,'Scénario référence'!$N$1=5),C102+0.5*VLOOKUP('Scénario référence'!$G$14,Paramètres!$A$1:$I$88,3,0)*VLOOKUP('Scénario référence'!$G$14,Paramètres!$A$1:$I$88,5,0),0))</f>
        <v>54.599999999999952</v>
      </c>
      <c r="D103" s="26">
        <f t="shared" si="63"/>
        <v>15.795576599806306</v>
      </c>
      <c r="E103" s="27">
        <f>IF('Scénario référence'!$N$1=1,B103*44/12,(C103+D103)*0.475*44/12)</f>
        <v>122.60562924466257</v>
      </c>
      <c r="F103" s="28" t="e">
        <f>VLOOKUP(A103,'Données projet'!$A$35:$I$55,2,0)</f>
        <v>#N/A</v>
      </c>
      <c r="G103" s="28" t="e">
        <f>VLOOKUP(A103,'Données projet'!$A$35:$I$55,9,0)</f>
        <v>#N/A</v>
      </c>
      <c r="H103" s="33">
        <f t="array" ref="H103">INDEX(G:G,MIN(IF(ISNUMBER(G103:G299),ROW(G103:G299),"")))</f>
        <v>4.7</v>
      </c>
      <c r="I103" s="28">
        <f t="shared" si="64"/>
        <v>281.4999999999996</v>
      </c>
      <c r="J103" s="41">
        <f>I103*VLOOKUP('Données projet'!$B$9,Paramètres!$A$1:$I$88,3,0)*VLOOKUP('Données projet'!$B$9,Paramètres!$A$1:$I$88,5,0)</f>
        <v>285.44099999999958</v>
      </c>
      <c r="K103" s="41">
        <f t="shared" si="65"/>
        <v>68.115557487507047</v>
      </c>
      <c r="L103" s="42">
        <f t="shared" si="42"/>
        <v>615.77767095740739</v>
      </c>
      <c r="M103" s="30">
        <f>IF(ISNA(VLOOKUP(A103,'Données projet'!$A$35:$I$55,3,0)),0,VLOOKUP(A103,'Données projet'!$A$35:$I$55,3,0))</f>
        <v>0</v>
      </c>
      <c r="N103" s="30">
        <f>IF(ISNA(VLOOKUP(A103,'Données projet'!$A$35:$I$55,4,0)),0,VLOOKUP(A103,'Données projet'!$A$35:$I$55,4,0))</f>
        <v>0</v>
      </c>
      <c r="O103" s="31">
        <f>IF(ISNA(VLOOKUP(A103,'Données projet'!$A$35:$I$55,5,0)),0%,VLOOKUP(A103,'Données projet'!$A$35:$I$55,5,0)*VLOOKUP('Données projet'!$B$9,Paramètres!$A$1:$I$88,7,0))</f>
        <v>0</v>
      </c>
      <c r="P103" s="31">
        <f>IF(ISNA(VLOOKUP(A103,'Données projet'!$A$35:$I$55,6,0)),0%,VLOOKUP(A103,'Données projet'!$A$35:$I$55,6,0)*VLOOKUP('Données projet'!$B$9,Paramètres!$A$1:$I$88,7,0))</f>
        <v>0</v>
      </c>
      <c r="Q103" s="31">
        <f>IF(ISNA(VLOOKUP(A103,'Données projet'!$A$35:$I$55,7,0)),0%,VLOOKUP(A103,'Données projet'!$A$35:$I$55,7,0))</f>
        <v>0</v>
      </c>
      <c r="R103" s="43">
        <f>EXP(-LN(2)/35)*R102+(1-EXP(-LN(2)/35))/(LN(2)/35)*N103*O103*VLOOKUP('Données projet'!$B$9,Paramètres!$A$1:$I$88,3,0)*0.475*44/12</f>
        <v>0</v>
      </c>
      <c r="S103" s="43">
        <f>EXP(-LN(2)/25)*S102+(1-EXP(-LN(2)/25))/(LN(2)/25)*Calculateur!N103*Calculateur!P103*VLOOKUP('Données projet'!$B$9,Paramètres!$A$1:$I$88,3,0)*0.475*44/12</f>
        <v>0</v>
      </c>
      <c r="T103" s="43">
        <f>EXP(-LN(2)/2)*T102+(1-EXP(-LN(2)/2))/(LN(2)/2)*N103*Q103*VLOOKUP('Données projet'!$B$9,Paramètres!$A$1:$I$88,3,0)*0.475*44/12</f>
        <v>0</v>
      </c>
      <c r="U103" s="43">
        <f t="shared" si="43"/>
        <v>0</v>
      </c>
      <c r="V103" s="32" t="e">
        <f>VLOOKUP(A103,'Données projet'!$A$61:$I$81,2,0)</f>
        <v>#N/A</v>
      </c>
      <c r="W103" s="33" t="e">
        <f>VLOOKUP(A103,'Données projet'!$A$61:$I$81,9,0)</f>
        <v>#N/A</v>
      </c>
      <c r="X103" s="33">
        <f t="array" ref="X103">INDEX(W:W,MIN(IF(ISNUMBER(W103:W299),ROW(W103:W299),"")))</f>
        <v>0</v>
      </c>
      <c r="Y103" s="33">
        <f t="shared" si="66"/>
        <v>0</v>
      </c>
      <c r="Z103" s="34" t="e">
        <f>Y103*VLOOKUP('Données projet'!$B$10,Paramètres!$A$1:$I$88,3,0)*VLOOKUP('Données projet'!$B$10,Paramètres!$A$1:$I$88,5,0)</f>
        <v>#N/A</v>
      </c>
      <c r="AA103" s="34" t="e">
        <f t="shared" si="67"/>
        <v>#N/A</v>
      </c>
      <c r="AB103" s="44" t="e">
        <f t="shared" si="44"/>
        <v>#N/A</v>
      </c>
      <c r="AC103" s="36">
        <f>IF(ISNA(VLOOKUP(A103,'Données projet'!$A$61:$I$81,3,0)),0,VLOOKUP(A103,'Données projet'!$A$61:$I$81,3,0))</f>
        <v>0</v>
      </c>
      <c r="AD103" s="36">
        <f>IF(ISNA(VLOOKUP(A103,'Données projet'!$A$61:$I$81,4,0)),0,VLOOKUP(A103,'Données projet'!$A$61:$I$81,4,0))</f>
        <v>0</v>
      </c>
      <c r="AE103" s="37">
        <f>IF(ISNA(VLOOKUP(A103,'Données projet'!$A$61:$I$81,5,0)),0%,VLOOKUP(A103,'Données projet'!$A$61:$I$81,5,0)*VLOOKUP('Données projet'!$B$10,Paramètres!$A$1:$I$88,7,0))</f>
        <v>0</v>
      </c>
      <c r="AF103" s="37">
        <f>IF(ISNA(VLOOKUP(A103,'Données projet'!$A$61:$I$81,6,0)),0%,VLOOKUP(A103,'Données projet'!$A$61:$I$81,6,0)*VLOOKUP('Données projet'!$B$10,Paramètres!$A$1:$I$88,7,0))</f>
        <v>0</v>
      </c>
      <c r="AG103" s="37">
        <f>IF(ISNA(VLOOKUP(A103,'Données projet'!$A$61:$I$81,7,0)),0%,VLOOKUP(A103,'Données projet'!$A$61:$I$81,7,0))</f>
        <v>0</v>
      </c>
      <c r="AH103" s="45">
        <f>EXP(-LN(2)/35)*AH102+(1-EXP(-LN(2)/35))/(LN(2)/35)*AD103*AE103*VLOOKUP('Données projet'!$B$9,Paramètres!$A$1:$I$88,3,0)*0.475*44/12</f>
        <v>0</v>
      </c>
      <c r="AI103" s="45">
        <f>EXP(-LN(2)/25)*AI102+(1-EXP(-LN(2)/25))/(LN(2)/25)*Calculateur!AD103*Calculateur!AF103*VLOOKUP('Données projet'!$B$9,Paramètres!$A$1:$I$88,3,0)*0.475*44/12</f>
        <v>0</v>
      </c>
      <c r="AJ103" s="45">
        <f>EXP(-LN(2)/2)*AJ102+(1-EXP(-LN(2)/2))/(LN(2)/2)*AD103*AG103*VLOOKUP('Données projet'!$B$9,Paramètres!$A$1:$I$88,3,0)*0.475*44/12</f>
        <v>0</v>
      </c>
      <c r="AK103" s="45">
        <f t="shared" si="45"/>
        <v>0</v>
      </c>
      <c r="AL103" s="32" t="e">
        <f>VLOOKUP(A103,'Données projet'!$A$87:$I$107,2,0)</f>
        <v>#N/A</v>
      </c>
      <c r="AM103" s="33" t="e">
        <f>VLOOKUP(A103,'Données projet'!$A$87:$I$107,9,0)</f>
        <v>#N/A</v>
      </c>
      <c r="AN103" s="33">
        <f t="array" ref="AN103">INDEX(AM:AM,MIN(IF(ISNUMBER(AM103:AM299),ROW(AM103:AM299),"")))</f>
        <v>0</v>
      </c>
      <c r="AO103" s="33">
        <f t="shared" si="68"/>
        <v>0</v>
      </c>
      <c r="AP103" s="34" t="e">
        <f>AO103*VLOOKUP('Données projet'!$B$11,Paramètres!$A$1:$I$88,3,0)*VLOOKUP('Données projet'!$B$11,Paramètres!$A$1:$I$88,5,0)</f>
        <v>#N/A</v>
      </c>
      <c r="AQ103" s="34" t="e">
        <f t="shared" si="69"/>
        <v>#N/A</v>
      </c>
      <c r="AR103" s="44" t="e">
        <f t="shared" si="46"/>
        <v>#N/A</v>
      </c>
      <c r="AS103" s="36">
        <f>IF(ISNA(VLOOKUP(A103,'Données projet'!$A$87:$I$107,3,0)),0,VLOOKUP(A103,'Données projet'!$A$87:$I$107,3,0))</f>
        <v>0</v>
      </c>
      <c r="AT103" s="36">
        <f>IF(ISNA(VLOOKUP(A103,'Données projet'!$A$87:$I$107,4,0)),0,VLOOKUP(A103,'Données projet'!$A$87:$I$107,4,0))</f>
        <v>0</v>
      </c>
      <c r="AU103" s="37">
        <f>IF(ISNA(VLOOKUP(A103,'Données projet'!$A$87:$I$107,5,0)),0%,VLOOKUP(A103,'Données projet'!$A$87:$I$107,5,0)*VLOOKUP('Données projet'!$B$11,Paramètres!$A$1:$I$88,7,0))</f>
        <v>0</v>
      </c>
      <c r="AV103" s="37">
        <f>IF(ISNA(VLOOKUP(A103,'Données projet'!$A$87:$I$107,6,0)),0%,VLOOKUP(A103,'Données projet'!$A$87:$I$107,6,0)*VLOOKUP('Données projet'!$B$11,Paramètres!$A$1:$I$88,7,0))</f>
        <v>0</v>
      </c>
      <c r="AW103" s="37">
        <f>IF(ISNA(VLOOKUP(A103,'Données projet'!$A$87:$I$107,7,0)),0%,VLOOKUP(A103,'Données projet'!$A$87:$I$107,7,0))</f>
        <v>0</v>
      </c>
      <c r="AX103" s="45">
        <f>EXP(-LN(2)/35)*AX102+(1-EXP(-LN(2)/35))/(LN(2)/35)*AT103*AU103*VLOOKUP('Données projet'!$B$9,Paramètres!$A$1:$I$88,3,0)*0.475*44/12</f>
        <v>0</v>
      </c>
      <c r="AY103" s="45">
        <f>EXP(-LN(2)/25)*AY102+(1-EXP(-LN(2)/25))/(LN(2)/25)*Calculateur!AT103*Calculateur!AV103*VLOOKUP('Données projet'!$B$9,Paramètres!$A$1:$I$88,3,0)*0.475*44/12</f>
        <v>0</v>
      </c>
      <c r="AZ103" s="45">
        <f>EXP(-LN(2)/2)*AZ102+(1-EXP(-LN(2)/2))/(LN(2)/2)*AT103*AW103*VLOOKUP('Données projet'!$B$9,Paramètres!$A$1:$I$88,3,0)*0.475*44/12</f>
        <v>0</v>
      </c>
      <c r="BA103" s="46">
        <f t="shared" si="47"/>
        <v>0</v>
      </c>
      <c r="BB103" s="32" t="e">
        <f>VLOOKUP(A103,'Données projet'!$A$113:$I$133,2,0)</f>
        <v>#N/A</v>
      </c>
      <c r="BC103" s="33" t="e">
        <f>VLOOKUP(A103,'Données projet'!$A$113:$I$133,9,0)</f>
        <v>#N/A</v>
      </c>
      <c r="BD103" s="33">
        <f t="array" ref="BD103">INDEX(BC:BC,MIN(IF(ISNUMBER(BC103:BC299),ROW(BC103:BC299),"")))</f>
        <v>0</v>
      </c>
      <c r="BE103" s="33">
        <f t="shared" si="70"/>
        <v>0</v>
      </c>
      <c r="BF103" s="34" t="e">
        <f>BE103*VLOOKUP('Données projet'!$B$12,Paramètres!$A$1:$I$88,3,0)*VLOOKUP('Données projet'!$B$12,Paramètres!$A$1:$I$88,5,0)</f>
        <v>#N/A</v>
      </c>
      <c r="BG103" s="34" t="e">
        <f t="shared" si="71"/>
        <v>#N/A</v>
      </c>
      <c r="BH103" s="44" t="e">
        <f t="shared" si="48"/>
        <v>#N/A</v>
      </c>
      <c r="BI103" s="36">
        <f>IF(ISNA(VLOOKUP(A103,'Données projet'!$A$113:$I$133,3,0)),0,VLOOKUP(A103,'Données projet'!$A$113:$I$133,3,0))</f>
        <v>0</v>
      </c>
      <c r="BJ103" s="36">
        <f>IF(ISNA(VLOOKUP(A103,'Données projet'!$A$113:$I$133,4,0)),0,VLOOKUP(A103,'Données projet'!$A$113:$I$133,4,0))</f>
        <v>0</v>
      </c>
      <c r="BK103" s="37">
        <f>IF(ISNA(VLOOKUP(A103,'Données projet'!$A$113:$I$133,5,0)),0%,VLOOKUP(A103,'Données projet'!$A$113:$I$133,5,0)*VLOOKUP('Données projet'!$B$12,Paramètres!$A$1:$I$88,7,0))</f>
        <v>0</v>
      </c>
      <c r="BL103" s="37">
        <f>IF(ISNA(VLOOKUP(A103,'Données projet'!$A$113:$I$133,6,0)),0%,VLOOKUP(A103,'Données projet'!$A$113:$I$133,6,0)*VLOOKUP('Données projet'!$B$12,Paramètres!$A$1:$I$88,7,0))</f>
        <v>0</v>
      </c>
      <c r="BM103" s="37">
        <f>IF(ISNA(VLOOKUP(A103,'Données projet'!$A$113:$I$133,7,0)),0%,VLOOKUP(A103,'Données projet'!$A$113:$I$133,7,0))</f>
        <v>0</v>
      </c>
      <c r="BN103" s="45">
        <f>EXP(-LN(2)/35)*BN102+(1-EXP(-LN(2)/35))/(LN(2)/35)*BJ103*BK103*VLOOKUP('Données projet'!$B$9,Paramètres!$A$1:$I$88,3,0)*0.475*44/12</f>
        <v>0</v>
      </c>
      <c r="BO103" s="45">
        <f>EXP(-LN(2)/25)*BO102+(1-EXP(-LN(2)/25))/(LN(2)/25)*Calculateur!BJ103*Calculateur!BL103*VLOOKUP('Données projet'!$B$9,Paramètres!$A$1:$I$88,3,0)*0.475*44/12</f>
        <v>0</v>
      </c>
      <c r="BP103" s="45">
        <f>EXP(-LN(2)/2)*BP102+(1-EXP(-LN(2)/2))/(LN(2)/2)*BJ103*BM103*VLOOKUP('Données projet'!$B$9,Paramètres!$A$1:$I$88,3,0)*0.475*44/12</f>
        <v>0</v>
      </c>
      <c r="BQ103" s="46">
        <f t="shared" si="49"/>
        <v>0</v>
      </c>
      <c r="BR103" s="32" t="e">
        <f>VLOOKUP(A103,'Données projet'!$A$139:$I$159,2,0)</f>
        <v>#N/A</v>
      </c>
      <c r="BS103" s="33" t="e">
        <f>VLOOKUP(A103,'Données projet'!$A$139:$I$159,9,0)</f>
        <v>#N/A</v>
      </c>
      <c r="BT103" s="33">
        <f t="array" ref="BT103">INDEX(BS:BS,MIN(IF(ISNUMBER(BS103:BS299),ROW(BS103:BS299),"")))</f>
        <v>0</v>
      </c>
      <c r="BU103" s="33">
        <f t="shared" si="72"/>
        <v>0</v>
      </c>
      <c r="BV103" s="38" t="e">
        <f>BU103*VLOOKUP('Données projet'!$B$13,Paramètres!$A$1:$I$88,3,0)*VLOOKUP('Données projet'!$B$13,Paramètres!$A$1:$I$88,5,0)</f>
        <v>#N/A</v>
      </c>
      <c r="BW103" s="34" t="e">
        <f t="shared" si="73"/>
        <v>#N/A</v>
      </c>
      <c r="BX103" s="44" t="e">
        <f t="shared" si="50"/>
        <v>#N/A</v>
      </c>
      <c r="BY103" s="36">
        <f>IF(ISNA(VLOOKUP(A103,'Données projet'!$A$139:$I$159,3,0)),0,VLOOKUP(A103,'Données projet'!$A$139:$I$159,3,0))</f>
        <v>0</v>
      </c>
      <c r="BZ103" s="36">
        <f>IF(ISNA(VLOOKUP(A103,'Données projet'!$A$139:$I$159,4,0)),0,VLOOKUP(A103,'Données projet'!$A$139:$I$159,4,0))</f>
        <v>0</v>
      </c>
      <c r="CA103" s="37">
        <f>IF(ISNA(VLOOKUP(A103,'Données projet'!$A$139:$I$159,5,0)),0%,VLOOKUP(A103,'Données projet'!$A$139:$I$159,5,0)*VLOOKUP('Données projet'!$B$13,Paramètres!$A$1:$I$88,7,0))</f>
        <v>0</v>
      </c>
      <c r="CB103" s="37">
        <f>IF(ISNA(VLOOKUP(A103,'Données projet'!$A$139:$I$159,6,0)),0%,VLOOKUP(A103,'Données projet'!$A$139:$I$159,6,0)*VLOOKUP('Données projet'!$B$13,Paramètres!$A$1:$I$88,7,0))</f>
        <v>0</v>
      </c>
      <c r="CC103" s="37">
        <f>IF(ISNA(VLOOKUP(A103,'Données projet'!$A$139:$I$159,7,0)),0%,VLOOKUP(A103,'Données projet'!$A$139:$I$159,7,0))</f>
        <v>0</v>
      </c>
      <c r="CD103" s="45">
        <f>EXP(-LN(2)/35)*CD102+(1-EXP(-LN(2)/35))/(LN(2)/35)*BZ103*CA103*VLOOKUP('Données projet'!$B$9,Paramètres!$A$1:$I$88,3,0)*0.475*44/12</f>
        <v>0</v>
      </c>
      <c r="CE103" s="45">
        <f>EXP(-LN(2)/25)*CE102+(1-EXP(-LN(2)/25))/(LN(2)/25)*Calculateur!BZ103*Calculateur!CB103*VLOOKUP('Données projet'!$B$9,Paramètres!$A$1:$I$88,3,0)*0.475*44/12</f>
        <v>0</v>
      </c>
      <c r="CF103" s="45">
        <f>EXP(-LN(2)/2)*CF102+(1-EXP(-LN(2)/2))/(LN(2)/2)*BZ103*CC103*VLOOKUP('Données projet'!$B$9,Paramètres!$A$1:$I$88,3,0)*0.475*44/12</f>
        <v>0</v>
      </c>
      <c r="CG103" s="46">
        <f t="shared" si="51"/>
        <v>0</v>
      </c>
      <c r="CH103" s="32" t="e">
        <f>VLOOKUP(A103,'Données projet'!$A$165:$I$185,2,0)</f>
        <v>#N/A</v>
      </c>
      <c r="CI103" s="33" t="e">
        <f>VLOOKUP(A103,'Données projet'!$A$165:$I$185,9,0)</f>
        <v>#N/A</v>
      </c>
      <c r="CJ103" s="33">
        <f t="array" ref="CJ103">INDEX(CI:CI,MIN(IF(ISNUMBER(CI103:CI299),ROW(CI103:CI299),"")))</f>
        <v>0</v>
      </c>
      <c r="CK103" s="33">
        <f t="shared" si="74"/>
        <v>0</v>
      </c>
      <c r="CL103" s="38" t="e">
        <f>CK103*VLOOKUP('Données projet'!$B$14,Paramètres!$A$1:$I$88,3,0)*VLOOKUP('Données projet'!$B$14,Paramètres!$A$1:$I$88,5,0)</f>
        <v>#N/A</v>
      </c>
      <c r="CM103" s="34" t="e">
        <f t="shared" si="75"/>
        <v>#N/A</v>
      </c>
      <c r="CN103" s="44" t="e">
        <f t="shared" si="52"/>
        <v>#N/A</v>
      </c>
      <c r="CO103" s="36">
        <f>IF(ISNA(VLOOKUP(A103,'Données projet'!$A$165:$I$185,3,0)),0,VLOOKUP(A103,'Données projet'!$A$165:$I$185,3,0))</f>
        <v>0</v>
      </c>
      <c r="CP103" s="36">
        <f>IF(ISNA(VLOOKUP(A103,'Données projet'!$A$165:$I$185,4,0)),0,VLOOKUP(A103,'Données projet'!$A$165:$I$185,4,0))</f>
        <v>0</v>
      </c>
      <c r="CQ103" s="37">
        <f>IF(ISNA(VLOOKUP(A103,'Données projet'!$A$165:$I$185,5,0)),0%,VLOOKUP(A103,'Données projet'!$A$165:$I$185,5,0)*VLOOKUP('Données projet'!$B$14,Paramètres!$A$1:$I$88,7,0))</f>
        <v>0</v>
      </c>
      <c r="CR103" s="37">
        <f>IF(ISNA(VLOOKUP(A103,'Données projet'!$A$165:$I$185,6,0)),0%,VLOOKUP(A103,'Données projet'!$A$165:$I$185,6,0)*VLOOKUP('Données projet'!$B$14,Paramètres!$A$1:$I$88,7,0))</f>
        <v>0</v>
      </c>
      <c r="CS103" s="37">
        <f>IF(ISNA(VLOOKUP(A103,'Données projet'!$A$165:$I$185,7,0)),0%,VLOOKUP(A103,'Données projet'!$A$165:$I$185,7,0))</f>
        <v>0</v>
      </c>
      <c r="CT103" s="45">
        <f>EXP(-LN(2)/35)*CT102+(1-EXP(-LN(2)/35))/(LN(2)/35)*CP103*CQ103*VLOOKUP('Données projet'!$B$9,Paramètres!$A$1:$I$88,3,0)*0.475*44/12</f>
        <v>0</v>
      </c>
      <c r="CU103" s="45">
        <f>EXP(-LN(2)/25)*CU102+(1-EXP(-LN(2)/25))/(LN(2)/25)*Calculateur!CP103*Calculateur!CR103*VLOOKUP('Données projet'!$B$9,Paramètres!$A$1:$I$88,3,0)*0.475*44/12</f>
        <v>0</v>
      </c>
      <c r="CV103" s="45">
        <f>EXP(-LN(2)/2)*CV102+(1-EXP(-LN(2)/2))/(LN(2)/2)*CP103*CS103*VLOOKUP('Données projet'!$B$9,Paramètres!$A$1:$I$88,3,0)*0.475*44/12</f>
        <v>0</v>
      </c>
      <c r="CW103" s="46">
        <f t="shared" si="53"/>
        <v>0</v>
      </c>
      <c r="CX103" s="32" t="e">
        <f>VLOOKUP(A103,'Données projet'!$A$191:$I$211,2,0)</f>
        <v>#N/A</v>
      </c>
      <c r="CY103" s="33" t="e">
        <f>VLOOKUP(A103,'Données projet'!$A$191:$I$211,9,0)</f>
        <v>#N/A</v>
      </c>
      <c r="CZ103" s="33">
        <f t="array" ref="CZ103">INDEX(CY:CY,MIN(IF(ISNUMBER(CY103:CY299),ROW(CY103:CY299),"")))</f>
        <v>0</v>
      </c>
      <c r="DA103" s="33">
        <f t="shared" si="76"/>
        <v>0</v>
      </c>
      <c r="DB103" s="38" t="e">
        <f>DA103*VLOOKUP('Données projet'!$B$15,Paramètres!$A$1:$I$88,3,0)*VLOOKUP('Données projet'!$B$15,Paramètres!$A$1:$I$88,5,0)</f>
        <v>#N/A</v>
      </c>
      <c r="DC103" s="34" t="e">
        <f t="shared" si="77"/>
        <v>#N/A</v>
      </c>
      <c r="DD103" s="44" t="e">
        <f t="shared" si="54"/>
        <v>#N/A</v>
      </c>
      <c r="DE103" s="36">
        <f>IF(ISNA(VLOOKUP(A103,'Données projet'!$A$191:$I$211,3,0)),0,VLOOKUP(A103,'Données projet'!$A$191:$I$211,3,0))</f>
        <v>0</v>
      </c>
      <c r="DF103" s="36">
        <f>IF(ISNA(VLOOKUP(A103,'Données projet'!$A$191:$I$211,4,0)),0,VLOOKUP(A103,'Données projet'!$A$191:$I$211,4,0))</f>
        <v>0</v>
      </c>
      <c r="DG103" s="37">
        <f>IF(ISNA(VLOOKUP(A103,'Données projet'!$A$191:$I$211,5,0)),0%,VLOOKUP(A103,'Données projet'!$A$191:$I$211,5,0)*VLOOKUP('Données projet'!$B$15,Paramètres!$A$1:$I$88,7,0))</f>
        <v>0</v>
      </c>
      <c r="DH103" s="37">
        <f>IF(ISNA(VLOOKUP(A103,'Données projet'!$A$191:$I$211,6,0)),0%,VLOOKUP(A103,'Données projet'!$A$191:$I$211,6,0)*VLOOKUP('Données projet'!$B$15,Paramètres!$A$1:$I$88,7,0))</f>
        <v>0</v>
      </c>
      <c r="DI103" s="37">
        <f>IF(ISNA(VLOOKUP(A103,'Données projet'!$A$191:$I$211,7,0)),0%,VLOOKUP(A103,'Données projet'!$A$191:$I$211,7,0))</f>
        <v>0</v>
      </c>
      <c r="DJ103" s="45">
        <f>EXP(-LN(2)/35)*DJ102+(1-EXP(-LN(2)/35))/(LN(2)/35)*DF103*DG103*VLOOKUP('Données projet'!$B$9,Paramètres!$A$1:$I$88,3,0)*0.475*44/12</f>
        <v>0</v>
      </c>
      <c r="DK103" s="45">
        <f>EXP(-LN(2)/25)*DK102+(1-EXP(-LN(2)/25))/(LN(2)/25)*Calculateur!DF103*Calculateur!DH103*VLOOKUP('Données projet'!$B$9,Paramètres!$A$1:$I$88,3,0)*0.475*44/12</f>
        <v>0</v>
      </c>
      <c r="DL103" s="45">
        <f>EXP(-LN(2)/2)*DL102+(1-EXP(-LN(2)/2))/(LN(2)/2)*DF103*DI103*VLOOKUP('Données projet'!$B$9,Paramètres!$A$1:$I$88,3,0)*0.475*44/12</f>
        <v>0</v>
      </c>
      <c r="DM103" s="46">
        <f t="shared" si="55"/>
        <v>0</v>
      </c>
      <c r="DN103" s="32" t="e">
        <f>VLOOKUP(A103,'Données projet'!$A$217:$I$237,2,0)</f>
        <v>#N/A</v>
      </c>
      <c r="DO103" s="33" t="e">
        <f>VLOOKUP(A103,'Données projet'!$A$217:$I$237,9,0)</f>
        <v>#N/A</v>
      </c>
      <c r="DP103" s="33">
        <f t="array" ref="DP103">INDEX(DO:DO,MIN(IF(ISNUMBER(DO103:DO299),ROW(DO103:DO299),"")))</f>
        <v>0</v>
      </c>
      <c r="DQ103" s="33">
        <f t="shared" si="78"/>
        <v>0</v>
      </c>
      <c r="DR103" s="38" t="e">
        <f>DQ103*VLOOKUP('Données projet'!$B$16,Paramètres!$A$1:$I$88,3,0)*VLOOKUP('Données projet'!$B$16,Paramètres!$A$1:$I$88,5,0)</f>
        <v>#N/A</v>
      </c>
      <c r="DS103" s="34" t="e">
        <f t="shared" si="79"/>
        <v>#N/A</v>
      </c>
      <c r="DT103" s="44" t="e">
        <f t="shared" si="56"/>
        <v>#N/A</v>
      </c>
      <c r="DU103" s="36">
        <f>IF(ISNA(VLOOKUP(A103,'Données projet'!$A$217:$I$237,3,0)),0,VLOOKUP(A103,'Données projet'!$A$217:$I$237,3,0))</f>
        <v>0</v>
      </c>
      <c r="DV103" s="36">
        <f>IF(ISNA(VLOOKUP(A103,'Données projet'!$A$217:$I$237,4,0)),0,VLOOKUP(A103,'Données projet'!$A$217:$I$237,4,0))</f>
        <v>0</v>
      </c>
      <c r="DW103" s="37">
        <f>IF(ISNA(VLOOKUP(A103,'Données projet'!$A$217:$I$237,5,0)),0%,VLOOKUP(A103,'Données projet'!$A$217:$I$237,5,0)*VLOOKUP('Données projet'!$B$16,Paramètres!$A$1:$I$88,7,0))</f>
        <v>0</v>
      </c>
      <c r="DX103" s="37">
        <f>IF(ISNA(VLOOKUP(A103,'Données projet'!$A$217:$I$237,6,0)),0%,VLOOKUP(A103,'Données projet'!$A$217:$I$237,6,0)*VLOOKUP('Données projet'!$B$16,Paramètres!$A$1:$I$88,7,0))</f>
        <v>0</v>
      </c>
      <c r="DY103" s="37">
        <f>IF(ISNA(VLOOKUP(A103,'Données projet'!$A$217:$I$237,7,0)),0%,VLOOKUP(A103,'Données projet'!$A$217:$I$237,7,0))</f>
        <v>0</v>
      </c>
      <c r="DZ103" s="45">
        <f>EXP(-LN(2)/35)*DZ102+(1-EXP(-LN(2)/35))/(LN(2)/35)*DV103*DW103*VLOOKUP('Données projet'!$B$9,Paramètres!$A$1:$I$88,3,0)*0.475*44/12</f>
        <v>0</v>
      </c>
      <c r="EA103" s="45">
        <f>EXP(-LN(2)/25)*EA102+(1-EXP(-LN(2)/25))/(LN(2)/25)*Calculateur!DV103*Calculateur!DX103*VLOOKUP('Données projet'!$B$9,Paramètres!$A$1:$I$88,3,0)*0.475*44/12</f>
        <v>0</v>
      </c>
      <c r="EB103" s="45">
        <f>EXP(-LN(2)/2)*EB102+(1-EXP(-LN(2)/2))/(LN(2)/2)*DV103*DY103*VLOOKUP('Données projet'!$B$9,Paramètres!$A$1:$I$88,3,0)*0.475*44/12</f>
        <v>0</v>
      </c>
      <c r="EC103" s="46">
        <f t="shared" si="57"/>
        <v>0</v>
      </c>
      <c r="ED103" s="32" t="e">
        <f>VLOOKUP(A103,'Données projet'!$A$243:$I$263,2,0)</f>
        <v>#N/A</v>
      </c>
      <c r="EE103" s="33" t="e">
        <f>VLOOKUP(A103,'Données projet'!$A$243:$I$263,9,0)</f>
        <v>#N/A</v>
      </c>
      <c r="EF103" s="33">
        <f t="array" ref="EF103">INDEX(EE:EE,MIN(IF(ISNUMBER(EE103:EE299),ROW(EE103:EE299),"")))</f>
        <v>0</v>
      </c>
      <c r="EG103" s="33">
        <f t="shared" si="80"/>
        <v>0</v>
      </c>
      <c r="EH103" s="38" t="e">
        <f>EG103*VLOOKUP('Données projet'!$B$17,Paramètres!$A$1:$I$88,3,0)*VLOOKUP('Données projet'!$B$17,Paramètres!$A$1:$I$88,5,0)</f>
        <v>#N/A</v>
      </c>
      <c r="EI103" s="34" t="e">
        <f t="shared" si="81"/>
        <v>#N/A</v>
      </c>
      <c r="EJ103" s="44" t="e">
        <f t="shared" si="58"/>
        <v>#N/A</v>
      </c>
      <c r="EK103" s="36">
        <f>IF(ISNA(VLOOKUP(A103,'Données projet'!$A$243:$I$263,3,0)),0,VLOOKUP(A103,'Données projet'!$A$243:$I$263,3,0))</f>
        <v>0</v>
      </c>
      <c r="EL103" s="36">
        <f>IF(ISNA(VLOOKUP(A103,'Données projet'!$A$243:$I$263,4,0)),0,VLOOKUP(A103,'Données projet'!$A$243:$I$263,4,0))</f>
        <v>0</v>
      </c>
      <c r="EM103" s="37">
        <f>IF(ISNA(VLOOKUP(A103,'Données projet'!$A$243:$I$263,5,0)),0%,VLOOKUP(A103,'Données projet'!$A$243:$I$263,5,0)*VLOOKUP('Données projet'!$B$17,Paramètres!$A$1:$I$88,7,0))</f>
        <v>0</v>
      </c>
      <c r="EN103" s="37">
        <f>IF(ISNA(VLOOKUP(A103,'Données projet'!$A$243:$I$263,6,0)),0%,VLOOKUP(A103,'Données projet'!$A$243:$I$263,6,0)*VLOOKUP('Données projet'!$B$17,Paramètres!$A$1:$I$88,7,0))</f>
        <v>0</v>
      </c>
      <c r="EO103" s="37">
        <f>IF(ISNA(VLOOKUP(A103,'Données projet'!$A$243:$I$263,7,0)),0%,VLOOKUP(A103,'Données projet'!$A$243:$I$263,7,0))</f>
        <v>0</v>
      </c>
      <c r="EP103" s="45">
        <f>EXP(-LN(2)/35)*EP102+(1-EXP(-LN(2)/35))/(LN(2)/35)*EL103*EM103*VLOOKUP('Données projet'!$B$9,Paramètres!$A$1:$I$88,3,0)*0.475*44/12</f>
        <v>0</v>
      </c>
      <c r="EQ103" s="45">
        <f>EXP(-LN(2)/25)*EQ102+(1-EXP(-LN(2)/25))/(LN(2)/25)*Calculateur!EL103*Calculateur!EN103*VLOOKUP('Données projet'!$B$9,Paramètres!$A$1:$I$88,3,0)*0.475*44/12</f>
        <v>0</v>
      </c>
      <c r="ER103" s="45">
        <f>EXP(-LN(2)/2)*ER102+(1-EXP(-LN(2)/2))/(LN(2)/2)*EL103*EO103*VLOOKUP('Données projet'!$B$9,Paramètres!$A$1:$I$88,3,0)*0.475*44/12</f>
        <v>0</v>
      </c>
      <c r="ES103" s="46">
        <f t="shared" si="59"/>
        <v>0</v>
      </c>
      <c r="ET103" s="32" t="e">
        <f>VLOOKUP(A103,'Données projet'!$A$269:$I$289,2,0)</f>
        <v>#N/A</v>
      </c>
      <c r="EU103" s="33" t="e">
        <f>VLOOKUP(A103,'Données projet'!$A$269:$I$289,9,0)</f>
        <v>#N/A</v>
      </c>
      <c r="EV103" s="33">
        <f t="array" ref="EV103">INDEX(EU:EU,MIN(IF(ISNUMBER(EU103:EU299),ROW(EU103:EU299),"")))</f>
        <v>0</v>
      </c>
      <c r="EW103" s="33">
        <f t="shared" si="82"/>
        <v>0</v>
      </c>
      <c r="EX103" s="38" t="e">
        <f>EW103*VLOOKUP('Données projet'!$B$18,Paramètres!$A$1:$I$88,3,0)*VLOOKUP('Données projet'!$B$18,Paramètres!$A$1:$I$88,5,0)</f>
        <v>#N/A</v>
      </c>
      <c r="EY103" s="34" t="e">
        <f t="shared" si="83"/>
        <v>#N/A</v>
      </c>
      <c r="EZ103" s="44" t="e">
        <f t="shared" si="60"/>
        <v>#N/A</v>
      </c>
      <c r="FA103" s="36">
        <f>IF(ISNA(VLOOKUP(A103,'Données projet'!$A$269:$I$289,3,0)),0,VLOOKUP(A103,'Données projet'!$A$269:$I$289,3,0))</f>
        <v>0</v>
      </c>
      <c r="FB103" s="36">
        <f>IF(ISNA(VLOOKUP(A103,'Données projet'!$A$269:$I$289,4,0)),0,VLOOKUP(A103,'Données projet'!$A$269:$I$289,4,0))</f>
        <v>0</v>
      </c>
      <c r="FC103" s="37">
        <f>IF(ISNA(VLOOKUP(A103,'Données projet'!$A$269:$I$289,5,0)),0%,VLOOKUP(A103,'Données projet'!$A$269:$I$289,5,0)*VLOOKUP('Données projet'!$B$18,Paramètres!$A$1:$I$88,7,0))</f>
        <v>0</v>
      </c>
      <c r="FD103" s="37">
        <f>IF(ISNA(VLOOKUP(A103,'Données projet'!$A$269:$I$289,6,0)),0%,VLOOKUP(A103,'Données projet'!$A$269:$I$289,6,0)*VLOOKUP('Données projet'!$B$18,Paramètres!$A$1:$I$88,7,0))</f>
        <v>0</v>
      </c>
      <c r="FE103" s="37">
        <f>IF(ISNA(VLOOKUP(A103,'Données projet'!$A$269:$I$289,7,0)),0%,VLOOKUP(A103,'Données projet'!$A$269:$I$289,7,0))</f>
        <v>0</v>
      </c>
      <c r="FF103" s="45">
        <f>EXP(-LN(2)/35)*FF102+(1-EXP(-LN(2)/35))/(LN(2)/35)*FB103*FC103*VLOOKUP('Données projet'!$B$9,Paramètres!$A$1:$I$88,3,0)*0.475*44/12</f>
        <v>0</v>
      </c>
      <c r="FG103" s="45">
        <f>EXP(-LN(2)/25)*FG102+(1-EXP(-LN(2)/25))/(LN(2)/25)*Calculateur!FB103*Calculateur!FD103*VLOOKUP('Données projet'!$B$9,Paramètres!$A$1:$I$88,3,0)*0.475*44/12</f>
        <v>0</v>
      </c>
      <c r="FH103" s="45">
        <f>EXP(-LN(2)/2)*FH102+(1-EXP(-LN(2)/2))/(LN(2)/2)*FB103*FE103*VLOOKUP('Données projet'!$B$9,Paramètres!$A$1:$I$88,3,0)*0.475*44/12</f>
        <v>0</v>
      </c>
      <c r="FI103" s="46">
        <f t="shared" si="61"/>
        <v>0</v>
      </c>
    </row>
    <row r="104" spans="1:165" x14ac:dyDescent="0.25">
      <c r="A104" s="24">
        <f t="shared" si="62"/>
        <v>101</v>
      </c>
      <c r="B104" s="25">
        <f>IF('Scénario référence'!$N$1=1,5,0)</f>
        <v>0</v>
      </c>
      <c r="C104" s="40">
        <f>IF(OR('Scénario référence'!$N$1=2,'Scénario référence'!$N$1=4),C103+1*VLOOKUP('Scénario référence'!$G$14,Paramètres!$A$1:$I$88,3,0)*VLOOKUP('Scénario référence'!$G$14,Paramètres!$A$1:$I$88,5,0),IF(OR('Scénario référence'!$N$1=3,'Scénario référence'!$N$1=5),C103+0.5*VLOOKUP('Scénario référence'!$G$14,Paramètres!$A$1:$I$88,3,0)*VLOOKUP('Scénario référence'!$G$14,Paramètres!$A$1:$I$88,5,0),0))</f>
        <v>55.145999999999951</v>
      </c>
      <c r="D104" s="26">
        <f t="shared" si="63"/>
        <v>15.935065385761003</v>
      </c>
      <c r="E104" s="27">
        <f>IF('Scénario référence'!$N$1=1,B104*44/12,(C104+D104)*0.475*44/12)</f>
        <v>123.79952221353365</v>
      </c>
      <c r="F104" s="28" t="e">
        <f>VLOOKUP(A104,'Données projet'!$A$35:$I$55,2,0)</f>
        <v>#N/A</v>
      </c>
      <c r="G104" s="28" t="e">
        <f>VLOOKUP(A104,'Données projet'!$A$35:$I$55,9,0)</f>
        <v>#N/A</v>
      </c>
      <c r="H104" s="33">
        <f t="array" ref="H104">INDEX(G:G,MIN(IF(ISNUMBER(G104:G300),ROW(G104:G300),"")))</f>
        <v>4.7</v>
      </c>
      <c r="I104" s="28">
        <f t="shared" si="64"/>
        <v>286.19999999999959</v>
      </c>
      <c r="J104" s="41">
        <f>I104*VLOOKUP('Données projet'!$B$9,Paramètres!$A$1:$I$88,3,0)*VLOOKUP('Données projet'!$B$9,Paramètres!$A$1:$I$88,5,0)</f>
        <v>290.20679999999959</v>
      </c>
      <c r="K104" s="41">
        <f t="shared" si="65"/>
        <v>69.119483862208341</v>
      </c>
      <c r="L104" s="42">
        <f t="shared" si="42"/>
        <v>625.82661106001206</v>
      </c>
      <c r="M104" s="30">
        <f>IF(ISNA(VLOOKUP(A104,'Données projet'!$A$35:$I$55,3,0)),0,VLOOKUP(A104,'Données projet'!$A$35:$I$55,3,0))</f>
        <v>0</v>
      </c>
      <c r="N104" s="30">
        <f>IF(ISNA(VLOOKUP(A104,'Données projet'!$A$35:$I$55,4,0)),0,VLOOKUP(A104,'Données projet'!$A$35:$I$55,4,0))</f>
        <v>0</v>
      </c>
      <c r="O104" s="31">
        <f>IF(ISNA(VLOOKUP(A104,'Données projet'!$A$35:$I$55,5,0)),0%,VLOOKUP(A104,'Données projet'!$A$35:$I$55,5,0)*VLOOKUP('Données projet'!$B$9,Paramètres!$A$1:$I$88,7,0))</f>
        <v>0</v>
      </c>
      <c r="P104" s="31">
        <f>IF(ISNA(VLOOKUP(A104,'Données projet'!$A$35:$I$55,6,0)),0%,VLOOKUP(A104,'Données projet'!$A$35:$I$55,6,0)*VLOOKUP('Données projet'!$B$9,Paramètres!$A$1:$I$88,7,0))</f>
        <v>0</v>
      </c>
      <c r="Q104" s="31">
        <f>IF(ISNA(VLOOKUP(A104,'Données projet'!$A$35:$I$55,7,0)),0%,VLOOKUP(A104,'Données projet'!$A$35:$I$55,7,0))</f>
        <v>0</v>
      </c>
      <c r="R104" s="43">
        <f>EXP(-LN(2)/35)*R103+(1-EXP(-LN(2)/35))/(LN(2)/35)*N104*O104*VLOOKUP('Données projet'!$B$9,Paramètres!$A$1:$I$88,3,0)*0.475*44/12</f>
        <v>0</v>
      </c>
      <c r="S104" s="43">
        <f>EXP(-LN(2)/25)*S103+(1-EXP(-LN(2)/25))/(LN(2)/25)*Calculateur!N104*Calculateur!P104*VLOOKUP('Données projet'!$B$9,Paramètres!$A$1:$I$88,3,0)*0.475*44/12</f>
        <v>0</v>
      </c>
      <c r="T104" s="43">
        <f>EXP(-LN(2)/2)*T103+(1-EXP(-LN(2)/2))/(LN(2)/2)*N104*Q104*VLOOKUP('Données projet'!$B$9,Paramètres!$A$1:$I$88,3,0)*0.475*44/12</f>
        <v>0</v>
      </c>
      <c r="U104" s="43">
        <f t="shared" si="43"/>
        <v>0</v>
      </c>
      <c r="V104" s="32" t="e">
        <f>VLOOKUP(A104,'Données projet'!$A$61:$I$81,2,0)</f>
        <v>#N/A</v>
      </c>
      <c r="W104" s="33" t="e">
        <f>VLOOKUP(A104,'Données projet'!$A$61:$I$81,9,0)</f>
        <v>#N/A</v>
      </c>
      <c r="X104" s="33">
        <f t="array" ref="X104">INDEX(W:W,MIN(IF(ISNUMBER(W104:W300),ROW(W104:W300),"")))</f>
        <v>0</v>
      </c>
      <c r="Y104" s="33">
        <f t="shared" si="66"/>
        <v>0</v>
      </c>
      <c r="Z104" s="34" t="e">
        <f>Y104*VLOOKUP('Données projet'!$B$10,Paramètres!$A$1:$I$88,3,0)*VLOOKUP('Données projet'!$B$10,Paramètres!$A$1:$I$88,5,0)</f>
        <v>#N/A</v>
      </c>
      <c r="AA104" s="34" t="e">
        <f t="shared" si="67"/>
        <v>#N/A</v>
      </c>
      <c r="AB104" s="44" t="e">
        <f t="shared" si="44"/>
        <v>#N/A</v>
      </c>
      <c r="AC104" s="36">
        <f>IF(ISNA(VLOOKUP(A104,'Données projet'!$A$61:$I$81,3,0)),0,VLOOKUP(A104,'Données projet'!$A$61:$I$81,3,0))</f>
        <v>0</v>
      </c>
      <c r="AD104" s="36">
        <f>IF(ISNA(VLOOKUP(A104,'Données projet'!$A$61:$I$81,4,0)),0,VLOOKUP(A104,'Données projet'!$A$61:$I$81,4,0))</f>
        <v>0</v>
      </c>
      <c r="AE104" s="37">
        <f>IF(ISNA(VLOOKUP(A104,'Données projet'!$A$61:$I$81,5,0)),0%,VLOOKUP(A104,'Données projet'!$A$61:$I$81,5,0)*VLOOKUP('Données projet'!$B$10,Paramètres!$A$1:$I$88,7,0))</f>
        <v>0</v>
      </c>
      <c r="AF104" s="37">
        <f>IF(ISNA(VLOOKUP(A104,'Données projet'!$A$61:$I$81,6,0)),0%,VLOOKUP(A104,'Données projet'!$A$61:$I$81,6,0)*VLOOKUP('Données projet'!$B$10,Paramètres!$A$1:$I$88,7,0))</f>
        <v>0</v>
      </c>
      <c r="AG104" s="37">
        <f>IF(ISNA(VLOOKUP(A104,'Données projet'!$A$61:$I$81,7,0)),0%,VLOOKUP(A104,'Données projet'!$A$61:$I$81,7,0))</f>
        <v>0</v>
      </c>
      <c r="AH104" s="45">
        <f>EXP(-LN(2)/35)*AH103+(1-EXP(-LN(2)/35))/(LN(2)/35)*AD104*AE104*VLOOKUP('Données projet'!$B$9,Paramètres!$A$1:$I$88,3,0)*0.475*44/12</f>
        <v>0</v>
      </c>
      <c r="AI104" s="45">
        <f>EXP(-LN(2)/25)*AI103+(1-EXP(-LN(2)/25))/(LN(2)/25)*Calculateur!AD104*Calculateur!AF104*VLOOKUP('Données projet'!$B$9,Paramètres!$A$1:$I$88,3,0)*0.475*44/12</f>
        <v>0</v>
      </c>
      <c r="AJ104" s="45">
        <f>EXP(-LN(2)/2)*AJ103+(1-EXP(-LN(2)/2))/(LN(2)/2)*AD104*AG104*VLOOKUP('Données projet'!$B$9,Paramètres!$A$1:$I$88,3,0)*0.475*44/12</f>
        <v>0</v>
      </c>
      <c r="AK104" s="45">
        <f t="shared" si="45"/>
        <v>0</v>
      </c>
      <c r="AL104" s="32" t="e">
        <f>VLOOKUP(A104,'Données projet'!$A$87:$I$107,2,0)</f>
        <v>#N/A</v>
      </c>
      <c r="AM104" s="33" t="e">
        <f>VLOOKUP(A104,'Données projet'!$A$87:$I$107,9,0)</f>
        <v>#N/A</v>
      </c>
      <c r="AN104" s="33">
        <f t="array" ref="AN104">INDEX(AM:AM,MIN(IF(ISNUMBER(AM104:AM300),ROW(AM104:AM300),"")))</f>
        <v>0</v>
      </c>
      <c r="AO104" s="33">
        <f t="shared" si="68"/>
        <v>0</v>
      </c>
      <c r="AP104" s="34" t="e">
        <f>AO104*VLOOKUP('Données projet'!$B$11,Paramètres!$A$1:$I$88,3,0)*VLOOKUP('Données projet'!$B$11,Paramètres!$A$1:$I$88,5,0)</f>
        <v>#N/A</v>
      </c>
      <c r="AQ104" s="34" t="e">
        <f t="shared" si="69"/>
        <v>#N/A</v>
      </c>
      <c r="AR104" s="44" t="e">
        <f t="shared" si="46"/>
        <v>#N/A</v>
      </c>
      <c r="AS104" s="36">
        <f>IF(ISNA(VLOOKUP(A104,'Données projet'!$A$87:$I$107,3,0)),0,VLOOKUP(A104,'Données projet'!$A$87:$I$107,3,0))</f>
        <v>0</v>
      </c>
      <c r="AT104" s="36">
        <f>IF(ISNA(VLOOKUP(A104,'Données projet'!$A$87:$I$107,4,0)),0,VLOOKUP(A104,'Données projet'!$A$87:$I$107,4,0))</f>
        <v>0</v>
      </c>
      <c r="AU104" s="37">
        <f>IF(ISNA(VLOOKUP(A104,'Données projet'!$A$87:$I$107,5,0)),0%,VLOOKUP(A104,'Données projet'!$A$87:$I$107,5,0)*VLOOKUP('Données projet'!$B$11,Paramètres!$A$1:$I$88,7,0))</f>
        <v>0</v>
      </c>
      <c r="AV104" s="37">
        <f>IF(ISNA(VLOOKUP(A104,'Données projet'!$A$87:$I$107,6,0)),0%,VLOOKUP(A104,'Données projet'!$A$87:$I$107,6,0)*VLOOKUP('Données projet'!$B$11,Paramètres!$A$1:$I$88,7,0))</f>
        <v>0</v>
      </c>
      <c r="AW104" s="37">
        <f>IF(ISNA(VLOOKUP(A104,'Données projet'!$A$87:$I$107,7,0)),0%,VLOOKUP(A104,'Données projet'!$A$87:$I$107,7,0))</f>
        <v>0</v>
      </c>
      <c r="AX104" s="45">
        <f>EXP(-LN(2)/35)*AX103+(1-EXP(-LN(2)/35))/(LN(2)/35)*AT104*AU104*VLOOKUP('Données projet'!$B$9,Paramètres!$A$1:$I$88,3,0)*0.475*44/12</f>
        <v>0</v>
      </c>
      <c r="AY104" s="45">
        <f>EXP(-LN(2)/25)*AY103+(1-EXP(-LN(2)/25))/(LN(2)/25)*Calculateur!AT104*Calculateur!AV104*VLOOKUP('Données projet'!$B$9,Paramètres!$A$1:$I$88,3,0)*0.475*44/12</f>
        <v>0</v>
      </c>
      <c r="AZ104" s="45">
        <f>EXP(-LN(2)/2)*AZ103+(1-EXP(-LN(2)/2))/(LN(2)/2)*AT104*AW104*VLOOKUP('Données projet'!$B$9,Paramètres!$A$1:$I$88,3,0)*0.475*44/12</f>
        <v>0</v>
      </c>
      <c r="BA104" s="46">
        <f t="shared" si="47"/>
        <v>0</v>
      </c>
      <c r="BB104" s="32" t="e">
        <f>VLOOKUP(A104,'Données projet'!$A$113:$I$133,2,0)</f>
        <v>#N/A</v>
      </c>
      <c r="BC104" s="33" t="e">
        <f>VLOOKUP(A104,'Données projet'!$A$113:$I$133,9,0)</f>
        <v>#N/A</v>
      </c>
      <c r="BD104" s="33">
        <f t="array" ref="BD104">INDEX(BC:BC,MIN(IF(ISNUMBER(BC104:BC300),ROW(BC104:BC300),"")))</f>
        <v>0</v>
      </c>
      <c r="BE104" s="33">
        <f t="shared" si="70"/>
        <v>0</v>
      </c>
      <c r="BF104" s="34" t="e">
        <f>BE104*VLOOKUP('Données projet'!$B$12,Paramètres!$A$1:$I$88,3,0)*VLOOKUP('Données projet'!$B$12,Paramètres!$A$1:$I$88,5,0)</f>
        <v>#N/A</v>
      </c>
      <c r="BG104" s="34" t="e">
        <f t="shared" si="71"/>
        <v>#N/A</v>
      </c>
      <c r="BH104" s="44" t="e">
        <f t="shared" si="48"/>
        <v>#N/A</v>
      </c>
      <c r="BI104" s="36">
        <f>IF(ISNA(VLOOKUP(A104,'Données projet'!$A$113:$I$133,3,0)),0,VLOOKUP(A104,'Données projet'!$A$113:$I$133,3,0))</f>
        <v>0</v>
      </c>
      <c r="BJ104" s="36">
        <f>IF(ISNA(VLOOKUP(A104,'Données projet'!$A$113:$I$133,4,0)),0,VLOOKUP(A104,'Données projet'!$A$113:$I$133,4,0))</f>
        <v>0</v>
      </c>
      <c r="BK104" s="37">
        <f>IF(ISNA(VLOOKUP(A104,'Données projet'!$A$113:$I$133,5,0)),0%,VLOOKUP(A104,'Données projet'!$A$113:$I$133,5,0)*VLOOKUP('Données projet'!$B$12,Paramètres!$A$1:$I$88,7,0))</f>
        <v>0</v>
      </c>
      <c r="BL104" s="37">
        <f>IF(ISNA(VLOOKUP(A104,'Données projet'!$A$113:$I$133,6,0)),0%,VLOOKUP(A104,'Données projet'!$A$113:$I$133,6,0)*VLOOKUP('Données projet'!$B$12,Paramètres!$A$1:$I$88,7,0))</f>
        <v>0</v>
      </c>
      <c r="BM104" s="37">
        <f>IF(ISNA(VLOOKUP(A104,'Données projet'!$A$113:$I$133,7,0)),0%,VLOOKUP(A104,'Données projet'!$A$113:$I$133,7,0))</f>
        <v>0</v>
      </c>
      <c r="BN104" s="45">
        <f>EXP(-LN(2)/35)*BN103+(1-EXP(-LN(2)/35))/(LN(2)/35)*BJ104*BK104*VLOOKUP('Données projet'!$B$9,Paramètres!$A$1:$I$88,3,0)*0.475*44/12</f>
        <v>0</v>
      </c>
      <c r="BO104" s="45">
        <f>EXP(-LN(2)/25)*BO103+(1-EXP(-LN(2)/25))/(LN(2)/25)*Calculateur!BJ104*Calculateur!BL104*VLOOKUP('Données projet'!$B$9,Paramètres!$A$1:$I$88,3,0)*0.475*44/12</f>
        <v>0</v>
      </c>
      <c r="BP104" s="45">
        <f>EXP(-LN(2)/2)*BP103+(1-EXP(-LN(2)/2))/(LN(2)/2)*BJ104*BM104*VLOOKUP('Données projet'!$B$9,Paramètres!$A$1:$I$88,3,0)*0.475*44/12</f>
        <v>0</v>
      </c>
      <c r="BQ104" s="46">
        <f t="shared" si="49"/>
        <v>0</v>
      </c>
      <c r="BR104" s="32" t="e">
        <f>VLOOKUP(A104,'Données projet'!$A$139:$I$159,2,0)</f>
        <v>#N/A</v>
      </c>
      <c r="BS104" s="33" t="e">
        <f>VLOOKUP(A104,'Données projet'!$A$139:$I$159,9,0)</f>
        <v>#N/A</v>
      </c>
      <c r="BT104" s="33">
        <f t="array" ref="BT104">INDEX(BS:BS,MIN(IF(ISNUMBER(BS104:BS300),ROW(BS104:BS300),"")))</f>
        <v>0</v>
      </c>
      <c r="BU104" s="33">
        <f t="shared" si="72"/>
        <v>0</v>
      </c>
      <c r="BV104" s="38" t="e">
        <f>BU104*VLOOKUP('Données projet'!$B$13,Paramètres!$A$1:$I$88,3,0)*VLOOKUP('Données projet'!$B$13,Paramètres!$A$1:$I$88,5,0)</f>
        <v>#N/A</v>
      </c>
      <c r="BW104" s="34" t="e">
        <f t="shared" si="73"/>
        <v>#N/A</v>
      </c>
      <c r="BX104" s="44" t="e">
        <f t="shared" si="50"/>
        <v>#N/A</v>
      </c>
      <c r="BY104" s="36">
        <f>IF(ISNA(VLOOKUP(A104,'Données projet'!$A$139:$I$159,3,0)),0,VLOOKUP(A104,'Données projet'!$A$139:$I$159,3,0))</f>
        <v>0</v>
      </c>
      <c r="BZ104" s="36">
        <f>IF(ISNA(VLOOKUP(A104,'Données projet'!$A$139:$I$159,4,0)),0,VLOOKUP(A104,'Données projet'!$A$139:$I$159,4,0))</f>
        <v>0</v>
      </c>
      <c r="CA104" s="37">
        <f>IF(ISNA(VLOOKUP(A104,'Données projet'!$A$139:$I$159,5,0)),0%,VLOOKUP(A104,'Données projet'!$A$139:$I$159,5,0)*VLOOKUP('Données projet'!$B$13,Paramètres!$A$1:$I$88,7,0))</f>
        <v>0</v>
      </c>
      <c r="CB104" s="37">
        <f>IF(ISNA(VLOOKUP(A104,'Données projet'!$A$139:$I$159,6,0)),0%,VLOOKUP(A104,'Données projet'!$A$139:$I$159,6,0)*VLOOKUP('Données projet'!$B$13,Paramètres!$A$1:$I$88,7,0))</f>
        <v>0</v>
      </c>
      <c r="CC104" s="37">
        <f>IF(ISNA(VLOOKUP(A104,'Données projet'!$A$139:$I$159,7,0)),0%,VLOOKUP(A104,'Données projet'!$A$139:$I$159,7,0))</f>
        <v>0</v>
      </c>
      <c r="CD104" s="45">
        <f>EXP(-LN(2)/35)*CD103+(1-EXP(-LN(2)/35))/(LN(2)/35)*BZ104*CA104*VLOOKUP('Données projet'!$B$9,Paramètres!$A$1:$I$88,3,0)*0.475*44/12</f>
        <v>0</v>
      </c>
      <c r="CE104" s="45">
        <f>EXP(-LN(2)/25)*CE103+(1-EXP(-LN(2)/25))/(LN(2)/25)*Calculateur!BZ104*Calculateur!CB104*VLOOKUP('Données projet'!$B$9,Paramètres!$A$1:$I$88,3,0)*0.475*44/12</f>
        <v>0</v>
      </c>
      <c r="CF104" s="45">
        <f>EXP(-LN(2)/2)*CF103+(1-EXP(-LN(2)/2))/(LN(2)/2)*BZ104*CC104*VLOOKUP('Données projet'!$B$9,Paramètres!$A$1:$I$88,3,0)*0.475*44/12</f>
        <v>0</v>
      </c>
      <c r="CG104" s="46">
        <f t="shared" si="51"/>
        <v>0</v>
      </c>
      <c r="CH104" s="32" t="e">
        <f>VLOOKUP(A104,'Données projet'!$A$165:$I$185,2,0)</f>
        <v>#N/A</v>
      </c>
      <c r="CI104" s="33" t="e">
        <f>VLOOKUP(A104,'Données projet'!$A$165:$I$185,9,0)</f>
        <v>#N/A</v>
      </c>
      <c r="CJ104" s="33">
        <f t="array" ref="CJ104">INDEX(CI:CI,MIN(IF(ISNUMBER(CI104:CI300),ROW(CI104:CI300),"")))</f>
        <v>0</v>
      </c>
      <c r="CK104" s="33">
        <f t="shared" si="74"/>
        <v>0</v>
      </c>
      <c r="CL104" s="38" t="e">
        <f>CK104*VLOOKUP('Données projet'!$B$14,Paramètres!$A$1:$I$88,3,0)*VLOOKUP('Données projet'!$B$14,Paramètres!$A$1:$I$88,5,0)</f>
        <v>#N/A</v>
      </c>
      <c r="CM104" s="34" t="e">
        <f t="shared" si="75"/>
        <v>#N/A</v>
      </c>
      <c r="CN104" s="44" t="e">
        <f t="shared" si="52"/>
        <v>#N/A</v>
      </c>
      <c r="CO104" s="36">
        <f>IF(ISNA(VLOOKUP(A104,'Données projet'!$A$165:$I$185,3,0)),0,VLOOKUP(A104,'Données projet'!$A$165:$I$185,3,0))</f>
        <v>0</v>
      </c>
      <c r="CP104" s="36">
        <f>IF(ISNA(VLOOKUP(A104,'Données projet'!$A$165:$I$185,4,0)),0,VLOOKUP(A104,'Données projet'!$A$165:$I$185,4,0))</f>
        <v>0</v>
      </c>
      <c r="CQ104" s="37">
        <f>IF(ISNA(VLOOKUP(A104,'Données projet'!$A$165:$I$185,5,0)),0%,VLOOKUP(A104,'Données projet'!$A$165:$I$185,5,0)*VLOOKUP('Données projet'!$B$14,Paramètres!$A$1:$I$88,7,0))</f>
        <v>0</v>
      </c>
      <c r="CR104" s="37">
        <f>IF(ISNA(VLOOKUP(A104,'Données projet'!$A$165:$I$185,6,0)),0%,VLOOKUP(A104,'Données projet'!$A$165:$I$185,6,0)*VLOOKUP('Données projet'!$B$14,Paramètres!$A$1:$I$88,7,0))</f>
        <v>0</v>
      </c>
      <c r="CS104" s="37">
        <f>IF(ISNA(VLOOKUP(A104,'Données projet'!$A$165:$I$185,7,0)),0%,VLOOKUP(A104,'Données projet'!$A$165:$I$185,7,0))</f>
        <v>0</v>
      </c>
      <c r="CT104" s="45">
        <f>EXP(-LN(2)/35)*CT103+(1-EXP(-LN(2)/35))/(LN(2)/35)*CP104*CQ104*VLOOKUP('Données projet'!$B$9,Paramètres!$A$1:$I$88,3,0)*0.475*44/12</f>
        <v>0</v>
      </c>
      <c r="CU104" s="45">
        <f>EXP(-LN(2)/25)*CU103+(1-EXP(-LN(2)/25))/(LN(2)/25)*Calculateur!CP104*Calculateur!CR104*VLOOKUP('Données projet'!$B$9,Paramètres!$A$1:$I$88,3,0)*0.475*44/12</f>
        <v>0</v>
      </c>
      <c r="CV104" s="45">
        <f>EXP(-LN(2)/2)*CV103+(1-EXP(-LN(2)/2))/(LN(2)/2)*CP104*CS104*VLOOKUP('Données projet'!$B$9,Paramètres!$A$1:$I$88,3,0)*0.475*44/12</f>
        <v>0</v>
      </c>
      <c r="CW104" s="46">
        <f t="shared" si="53"/>
        <v>0</v>
      </c>
      <c r="CX104" s="32" t="e">
        <f>VLOOKUP(A104,'Données projet'!$A$191:$I$211,2,0)</f>
        <v>#N/A</v>
      </c>
      <c r="CY104" s="33" t="e">
        <f>VLOOKUP(A104,'Données projet'!$A$191:$I$211,9,0)</f>
        <v>#N/A</v>
      </c>
      <c r="CZ104" s="33">
        <f t="array" ref="CZ104">INDEX(CY:CY,MIN(IF(ISNUMBER(CY104:CY300),ROW(CY104:CY300),"")))</f>
        <v>0</v>
      </c>
      <c r="DA104" s="33">
        <f t="shared" si="76"/>
        <v>0</v>
      </c>
      <c r="DB104" s="38" t="e">
        <f>DA104*VLOOKUP('Données projet'!$B$15,Paramètres!$A$1:$I$88,3,0)*VLOOKUP('Données projet'!$B$15,Paramètres!$A$1:$I$88,5,0)</f>
        <v>#N/A</v>
      </c>
      <c r="DC104" s="34" t="e">
        <f t="shared" si="77"/>
        <v>#N/A</v>
      </c>
      <c r="DD104" s="44" t="e">
        <f t="shared" si="54"/>
        <v>#N/A</v>
      </c>
      <c r="DE104" s="36">
        <f>IF(ISNA(VLOOKUP(A104,'Données projet'!$A$191:$I$211,3,0)),0,VLOOKUP(A104,'Données projet'!$A$191:$I$211,3,0))</f>
        <v>0</v>
      </c>
      <c r="DF104" s="36">
        <f>IF(ISNA(VLOOKUP(A104,'Données projet'!$A$191:$I$211,4,0)),0,VLOOKUP(A104,'Données projet'!$A$191:$I$211,4,0))</f>
        <v>0</v>
      </c>
      <c r="DG104" s="37">
        <f>IF(ISNA(VLOOKUP(A104,'Données projet'!$A$191:$I$211,5,0)),0%,VLOOKUP(A104,'Données projet'!$A$191:$I$211,5,0)*VLOOKUP('Données projet'!$B$15,Paramètres!$A$1:$I$88,7,0))</f>
        <v>0</v>
      </c>
      <c r="DH104" s="37">
        <f>IF(ISNA(VLOOKUP(A104,'Données projet'!$A$191:$I$211,6,0)),0%,VLOOKUP(A104,'Données projet'!$A$191:$I$211,6,0)*VLOOKUP('Données projet'!$B$15,Paramètres!$A$1:$I$88,7,0))</f>
        <v>0</v>
      </c>
      <c r="DI104" s="37">
        <f>IF(ISNA(VLOOKUP(A104,'Données projet'!$A$191:$I$211,7,0)),0%,VLOOKUP(A104,'Données projet'!$A$191:$I$211,7,0))</f>
        <v>0</v>
      </c>
      <c r="DJ104" s="45">
        <f>EXP(-LN(2)/35)*DJ103+(1-EXP(-LN(2)/35))/(LN(2)/35)*DF104*DG104*VLOOKUP('Données projet'!$B$9,Paramètres!$A$1:$I$88,3,0)*0.475*44/12</f>
        <v>0</v>
      </c>
      <c r="DK104" s="45">
        <f>EXP(-LN(2)/25)*DK103+(1-EXP(-LN(2)/25))/(LN(2)/25)*Calculateur!DF104*Calculateur!DH104*VLOOKUP('Données projet'!$B$9,Paramètres!$A$1:$I$88,3,0)*0.475*44/12</f>
        <v>0</v>
      </c>
      <c r="DL104" s="45">
        <f>EXP(-LN(2)/2)*DL103+(1-EXP(-LN(2)/2))/(LN(2)/2)*DF104*DI104*VLOOKUP('Données projet'!$B$9,Paramètres!$A$1:$I$88,3,0)*0.475*44/12</f>
        <v>0</v>
      </c>
      <c r="DM104" s="46">
        <f t="shared" si="55"/>
        <v>0</v>
      </c>
      <c r="DN104" s="32" t="e">
        <f>VLOOKUP(A104,'Données projet'!$A$217:$I$237,2,0)</f>
        <v>#N/A</v>
      </c>
      <c r="DO104" s="33" t="e">
        <f>VLOOKUP(A104,'Données projet'!$A$217:$I$237,9,0)</f>
        <v>#N/A</v>
      </c>
      <c r="DP104" s="33">
        <f t="array" ref="DP104">INDEX(DO:DO,MIN(IF(ISNUMBER(DO104:DO300),ROW(DO104:DO300),"")))</f>
        <v>0</v>
      </c>
      <c r="DQ104" s="33">
        <f t="shared" si="78"/>
        <v>0</v>
      </c>
      <c r="DR104" s="38" t="e">
        <f>DQ104*VLOOKUP('Données projet'!$B$16,Paramètres!$A$1:$I$88,3,0)*VLOOKUP('Données projet'!$B$16,Paramètres!$A$1:$I$88,5,0)</f>
        <v>#N/A</v>
      </c>
      <c r="DS104" s="34" t="e">
        <f t="shared" si="79"/>
        <v>#N/A</v>
      </c>
      <c r="DT104" s="44" t="e">
        <f t="shared" si="56"/>
        <v>#N/A</v>
      </c>
      <c r="DU104" s="36">
        <f>IF(ISNA(VLOOKUP(A104,'Données projet'!$A$217:$I$237,3,0)),0,VLOOKUP(A104,'Données projet'!$A$217:$I$237,3,0))</f>
        <v>0</v>
      </c>
      <c r="DV104" s="36">
        <f>IF(ISNA(VLOOKUP(A104,'Données projet'!$A$217:$I$237,4,0)),0,VLOOKUP(A104,'Données projet'!$A$217:$I$237,4,0))</f>
        <v>0</v>
      </c>
      <c r="DW104" s="37">
        <f>IF(ISNA(VLOOKUP(A104,'Données projet'!$A$217:$I$237,5,0)),0%,VLOOKUP(A104,'Données projet'!$A$217:$I$237,5,0)*VLOOKUP('Données projet'!$B$16,Paramètres!$A$1:$I$88,7,0))</f>
        <v>0</v>
      </c>
      <c r="DX104" s="37">
        <f>IF(ISNA(VLOOKUP(A104,'Données projet'!$A$217:$I$237,6,0)),0%,VLOOKUP(A104,'Données projet'!$A$217:$I$237,6,0)*VLOOKUP('Données projet'!$B$16,Paramètres!$A$1:$I$88,7,0))</f>
        <v>0</v>
      </c>
      <c r="DY104" s="37">
        <f>IF(ISNA(VLOOKUP(A104,'Données projet'!$A$217:$I$237,7,0)),0%,VLOOKUP(A104,'Données projet'!$A$217:$I$237,7,0))</f>
        <v>0</v>
      </c>
      <c r="DZ104" s="45">
        <f>EXP(-LN(2)/35)*DZ103+(1-EXP(-LN(2)/35))/(LN(2)/35)*DV104*DW104*VLOOKUP('Données projet'!$B$9,Paramètres!$A$1:$I$88,3,0)*0.475*44/12</f>
        <v>0</v>
      </c>
      <c r="EA104" s="45">
        <f>EXP(-LN(2)/25)*EA103+(1-EXP(-LN(2)/25))/(LN(2)/25)*Calculateur!DV104*Calculateur!DX104*VLOOKUP('Données projet'!$B$9,Paramètres!$A$1:$I$88,3,0)*0.475*44/12</f>
        <v>0</v>
      </c>
      <c r="EB104" s="45">
        <f>EXP(-LN(2)/2)*EB103+(1-EXP(-LN(2)/2))/(LN(2)/2)*DV104*DY104*VLOOKUP('Données projet'!$B$9,Paramètres!$A$1:$I$88,3,0)*0.475*44/12</f>
        <v>0</v>
      </c>
      <c r="EC104" s="46">
        <f t="shared" si="57"/>
        <v>0</v>
      </c>
      <c r="ED104" s="32" t="e">
        <f>VLOOKUP(A104,'Données projet'!$A$243:$I$263,2,0)</f>
        <v>#N/A</v>
      </c>
      <c r="EE104" s="33" t="e">
        <f>VLOOKUP(A104,'Données projet'!$A$243:$I$263,9,0)</f>
        <v>#N/A</v>
      </c>
      <c r="EF104" s="33">
        <f t="array" ref="EF104">INDEX(EE:EE,MIN(IF(ISNUMBER(EE104:EE300),ROW(EE104:EE300),"")))</f>
        <v>0</v>
      </c>
      <c r="EG104" s="33">
        <f t="shared" si="80"/>
        <v>0</v>
      </c>
      <c r="EH104" s="38" t="e">
        <f>EG104*VLOOKUP('Données projet'!$B$17,Paramètres!$A$1:$I$88,3,0)*VLOOKUP('Données projet'!$B$17,Paramètres!$A$1:$I$88,5,0)</f>
        <v>#N/A</v>
      </c>
      <c r="EI104" s="34" t="e">
        <f t="shared" si="81"/>
        <v>#N/A</v>
      </c>
      <c r="EJ104" s="44" t="e">
        <f t="shared" si="58"/>
        <v>#N/A</v>
      </c>
      <c r="EK104" s="36">
        <f>IF(ISNA(VLOOKUP(A104,'Données projet'!$A$243:$I$263,3,0)),0,VLOOKUP(A104,'Données projet'!$A$243:$I$263,3,0))</f>
        <v>0</v>
      </c>
      <c r="EL104" s="36">
        <f>IF(ISNA(VLOOKUP(A104,'Données projet'!$A$243:$I$263,4,0)),0,VLOOKUP(A104,'Données projet'!$A$243:$I$263,4,0))</f>
        <v>0</v>
      </c>
      <c r="EM104" s="37">
        <f>IF(ISNA(VLOOKUP(A104,'Données projet'!$A$243:$I$263,5,0)),0%,VLOOKUP(A104,'Données projet'!$A$243:$I$263,5,0)*VLOOKUP('Données projet'!$B$17,Paramètres!$A$1:$I$88,7,0))</f>
        <v>0</v>
      </c>
      <c r="EN104" s="37">
        <f>IF(ISNA(VLOOKUP(A104,'Données projet'!$A$243:$I$263,6,0)),0%,VLOOKUP(A104,'Données projet'!$A$243:$I$263,6,0)*VLOOKUP('Données projet'!$B$17,Paramètres!$A$1:$I$88,7,0))</f>
        <v>0</v>
      </c>
      <c r="EO104" s="37">
        <f>IF(ISNA(VLOOKUP(A104,'Données projet'!$A$243:$I$263,7,0)),0%,VLOOKUP(A104,'Données projet'!$A$243:$I$263,7,0))</f>
        <v>0</v>
      </c>
      <c r="EP104" s="45">
        <f>EXP(-LN(2)/35)*EP103+(1-EXP(-LN(2)/35))/(LN(2)/35)*EL104*EM104*VLOOKUP('Données projet'!$B$9,Paramètres!$A$1:$I$88,3,0)*0.475*44/12</f>
        <v>0</v>
      </c>
      <c r="EQ104" s="45">
        <f>EXP(-LN(2)/25)*EQ103+(1-EXP(-LN(2)/25))/(LN(2)/25)*Calculateur!EL104*Calculateur!EN104*VLOOKUP('Données projet'!$B$9,Paramètres!$A$1:$I$88,3,0)*0.475*44/12</f>
        <v>0</v>
      </c>
      <c r="ER104" s="45">
        <f>EXP(-LN(2)/2)*ER103+(1-EXP(-LN(2)/2))/(LN(2)/2)*EL104*EO104*VLOOKUP('Données projet'!$B$9,Paramètres!$A$1:$I$88,3,0)*0.475*44/12</f>
        <v>0</v>
      </c>
      <c r="ES104" s="46">
        <f t="shared" si="59"/>
        <v>0</v>
      </c>
      <c r="ET104" s="32" t="e">
        <f>VLOOKUP(A104,'Données projet'!$A$269:$I$289,2,0)</f>
        <v>#N/A</v>
      </c>
      <c r="EU104" s="33" t="e">
        <f>VLOOKUP(A104,'Données projet'!$A$269:$I$289,9,0)</f>
        <v>#N/A</v>
      </c>
      <c r="EV104" s="33">
        <f t="array" ref="EV104">INDEX(EU:EU,MIN(IF(ISNUMBER(EU104:EU300),ROW(EU104:EU300),"")))</f>
        <v>0</v>
      </c>
      <c r="EW104" s="33">
        <f t="shared" si="82"/>
        <v>0</v>
      </c>
      <c r="EX104" s="38" t="e">
        <f>EW104*VLOOKUP('Données projet'!$B$18,Paramètres!$A$1:$I$88,3,0)*VLOOKUP('Données projet'!$B$18,Paramètres!$A$1:$I$88,5,0)</f>
        <v>#N/A</v>
      </c>
      <c r="EY104" s="34" t="e">
        <f t="shared" si="83"/>
        <v>#N/A</v>
      </c>
      <c r="EZ104" s="44" t="e">
        <f t="shared" si="60"/>
        <v>#N/A</v>
      </c>
      <c r="FA104" s="36">
        <f>IF(ISNA(VLOOKUP(A104,'Données projet'!$A$269:$I$289,3,0)),0,VLOOKUP(A104,'Données projet'!$A$269:$I$289,3,0))</f>
        <v>0</v>
      </c>
      <c r="FB104" s="36">
        <f>IF(ISNA(VLOOKUP(A104,'Données projet'!$A$269:$I$289,4,0)),0,VLOOKUP(A104,'Données projet'!$A$269:$I$289,4,0))</f>
        <v>0</v>
      </c>
      <c r="FC104" s="37">
        <f>IF(ISNA(VLOOKUP(A104,'Données projet'!$A$269:$I$289,5,0)),0%,VLOOKUP(A104,'Données projet'!$A$269:$I$289,5,0)*VLOOKUP('Données projet'!$B$18,Paramètres!$A$1:$I$88,7,0))</f>
        <v>0</v>
      </c>
      <c r="FD104" s="37">
        <f>IF(ISNA(VLOOKUP(A104,'Données projet'!$A$269:$I$289,6,0)),0%,VLOOKUP(A104,'Données projet'!$A$269:$I$289,6,0)*VLOOKUP('Données projet'!$B$18,Paramètres!$A$1:$I$88,7,0))</f>
        <v>0</v>
      </c>
      <c r="FE104" s="37">
        <f>IF(ISNA(VLOOKUP(A104,'Données projet'!$A$269:$I$289,7,0)),0%,VLOOKUP(A104,'Données projet'!$A$269:$I$289,7,0))</f>
        <v>0</v>
      </c>
      <c r="FF104" s="45">
        <f>EXP(-LN(2)/35)*FF103+(1-EXP(-LN(2)/35))/(LN(2)/35)*FB104*FC104*VLOOKUP('Données projet'!$B$9,Paramètres!$A$1:$I$88,3,0)*0.475*44/12</f>
        <v>0</v>
      </c>
      <c r="FG104" s="45">
        <f>EXP(-LN(2)/25)*FG103+(1-EXP(-LN(2)/25))/(LN(2)/25)*Calculateur!FB104*Calculateur!FD104*VLOOKUP('Données projet'!$B$9,Paramètres!$A$1:$I$88,3,0)*0.475*44/12</f>
        <v>0</v>
      </c>
      <c r="FH104" s="45">
        <f>EXP(-LN(2)/2)*FH103+(1-EXP(-LN(2)/2))/(LN(2)/2)*FB104*FE104*VLOOKUP('Données projet'!$B$9,Paramètres!$A$1:$I$88,3,0)*0.475*44/12</f>
        <v>0</v>
      </c>
      <c r="FI104" s="46">
        <f t="shared" si="61"/>
        <v>0</v>
      </c>
    </row>
    <row r="105" spans="1:165" x14ac:dyDescent="0.25">
      <c r="A105" s="24">
        <f t="shared" si="62"/>
        <v>102</v>
      </c>
      <c r="B105" s="25">
        <f>IF('Scénario référence'!$N$1=1,5,0)</f>
        <v>0</v>
      </c>
      <c r="C105" s="40">
        <f>IF(OR('Scénario référence'!$N$1=2,'Scénario référence'!$N$1=4),C104+1*VLOOKUP('Scénario référence'!$G$14,Paramètres!$A$1:$I$88,3,0)*VLOOKUP('Scénario référence'!$G$14,Paramètres!$A$1:$I$88,5,0),IF(OR('Scénario référence'!$N$1=3,'Scénario référence'!$N$1=5),C104+0.5*VLOOKUP('Scénario référence'!$G$14,Paramètres!$A$1:$I$88,3,0)*VLOOKUP('Scénario référence'!$G$14,Paramètres!$A$1:$I$88,5,0),0))</f>
        <v>55.69199999999995</v>
      </c>
      <c r="D105" s="26">
        <f t="shared" si="63"/>
        <v>16.07439350416519</v>
      </c>
      <c r="E105" s="27">
        <f>IF('Scénario référence'!$N$1=1,B105*44/12,(C105+D105)*0.475*44/12)</f>
        <v>124.99313535308761</v>
      </c>
      <c r="F105" s="28" t="e">
        <f>VLOOKUP(A105,'Données projet'!$A$35:$I$55,2,0)</f>
        <v>#N/A</v>
      </c>
      <c r="G105" s="28" t="e">
        <f>VLOOKUP(A105,'Données projet'!$A$35:$I$55,9,0)</f>
        <v>#N/A</v>
      </c>
      <c r="H105" s="33">
        <f t="array" ref="H105">INDEX(G:G,MIN(IF(ISNUMBER(G105:G301),ROW(G105:G301),"")))</f>
        <v>4.7</v>
      </c>
      <c r="I105" s="28">
        <f t="shared" si="64"/>
        <v>290.89999999999958</v>
      </c>
      <c r="J105" s="41">
        <f>I105*VLOOKUP('Données projet'!$B$9,Paramètres!$A$1:$I$88,3,0)*VLOOKUP('Données projet'!$B$9,Paramètres!$A$1:$I$88,5,0)</f>
        <v>294.9725999999996</v>
      </c>
      <c r="K105" s="41">
        <f t="shared" si="65"/>
        <v>70.121492942994351</v>
      </c>
      <c r="L105" s="42">
        <f t="shared" si="42"/>
        <v>635.87221187571447</v>
      </c>
      <c r="M105" s="30">
        <f>IF(ISNA(VLOOKUP(A105,'Données projet'!$A$35:$I$55,3,0)),0,VLOOKUP(A105,'Données projet'!$A$35:$I$55,3,0))</f>
        <v>0</v>
      </c>
      <c r="N105" s="30">
        <f>IF(ISNA(VLOOKUP(A105,'Données projet'!$A$35:$I$55,4,0)),0,VLOOKUP(A105,'Données projet'!$A$35:$I$55,4,0))</f>
        <v>0</v>
      </c>
      <c r="O105" s="31">
        <f>IF(ISNA(VLOOKUP(A105,'Données projet'!$A$35:$I$55,5,0)),0%,VLOOKUP(A105,'Données projet'!$A$35:$I$55,5,0)*VLOOKUP('Données projet'!$B$9,Paramètres!$A$1:$I$88,7,0))</f>
        <v>0</v>
      </c>
      <c r="P105" s="31">
        <f>IF(ISNA(VLOOKUP(A105,'Données projet'!$A$35:$I$55,6,0)),0%,VLOOKUP(A105,'Données projet'!$A$35:$I$55,6,0)*VLOOKUP('Données projet'!$B$9,Paramètres!$A$1:$I$88,7,0))</f>
        <v>0</v>
      </c>
      <c r="Q105" s="31">
        <f>IF(ISNA(VLOOKUP(A105,'Données projet'!$A$35:$I$55,7,0)),0%,VLOOKUP(A105,'Données projet'!$A$35:$I$55,7,0))</f>
        <v>0</v>
      </c>
      <c r="R105" s="43">
        <f>EXP(-LN(2)/35)*R104+(1-EXP(-LN(2)/35))/(LN(2)/35)*N105*O105*VLOOKUP('Données projet'!$B$9,Paramètres!$A$1:$I$88,3,0)*0.475*44/12</f>
        <v>0</v>
      </c>
      <c r="S105" s="43">
        <f>EXP(-LN(2)/25)*S104+(1-EXP(-LN(2)/25))/(LN(2)/25)*Calculateur!N105*Calculateur!P105*VLOOKUP('Données projet'!$B$9,Paramètres!$A$1:$I$88,3,0)*0.475*44/12</f>
        <v>0</v>
      </c>
      <c r="T105" s="43">
        <f>EXP(-LN(2)/2)*T104+(1-EXP(-LN(2)/2))/(LN(2)/2)*N105*Q105*VLOOKUP('Données projet'!$B$9,Paramètres!$A$1:$I$88,3,0)*0.475*44/12</f>
        <v>0</v>
      </c>
      <c r="U105" s="43">
        <f t="shared" si="43"/>
        <v>0</v>
      </c>
      <c r="V105" s="32" t="e">
        <f>VLOOKUP(A105,'Données projet'!$A$61:$I$81,2,0)</f>
        <v>#N/A</v>
      </c>
      <c r="W105" s="33" t="e">
        <f>VLOOKUP(A105,'Données projet'!$A$61:$I$81,9,0)</f>
        <v>#N/A</v>
      </c>
      <c r="X105" s="33">
        <f t="array" ref="X105">INDEX(W:W,MIN(IF(ISNUMBER(W105:W301),ROW(W105:W301),"")))</f>
        <v>0</v>
      </c>
      <c r="Y105" s="33">
        <f t="shared" si="66"/>
        <v>0</v>
      </c>
      <c r="Z105" s="34" t="e">
        <f>Y105*VLOOKUP('Données projet'!$B$10,Paramètres!$A$1:$I$88,3,0)*VLOOKUP('Données projet'!$B$10,Paramètres!$A$1:$I$88,5,0)</f>
        <v>#N/A</v>
      </c>
      <c r="AA105" s="34" t="e">
        <f t="shared" si="67"/>
        <v>#N/A</v>
      </c>
      <c r="AB105" s="44" t="e">
        <f t="shared" si="44"/>
        <v>#N/A</v>
      </c>
      <c r="AC105" s="36">
        <f>IF(ISNA(VLOOKUP(A105,'Données projet'!$A$61:$I$81,3,0)),0,VLOOKUP(A105,'Données projet'!$A$61:$I$81,3,0))</f>
        <v>0</v>
      </c>
      <c r="AD105" s="36">
        <f>IF(ISNA(VLOOKUP(A105,'Données projet'!$A$61:$I$81,4,0)),0,VLOOKUP(A105,'Données projet'!$A$61:$I$81,4,0))</f>
        <v>0</v>
      </c>
      <c r="AE105" s="37">
        <f>IF(ISNA(VLOOKUP(A105,'Données projet'!$A$61:$I$81,5,0)),0%,VLOOKUP(A105,'Données projet'!$A$61:$I$81,5,0)*VLOOKUP('Données projet'!$B$10,Paramètres!$A$1:$I$88,7,0))</f>
        <v>0</v>
      </c>
      <c r="AF105" s="37">
        <f>IF(ISNA(VLOOKUP(A105,'Données projet'!$A$61:$I$81,6,0)),0%,VLOOKUP(A105,'Données projet'!$A$61:$I$81,6,0)*VLOOKUP('Données projet'!$B$10,Paramètres!$A$1:$I$88,7,0))</f>
        <v>0</v>
      </c>
      <c r="AG105" s="37">
        <f>IF(ISNA(VLOOKUP(A105,'Données projet'!$A$61:$I$81,7,0)),0%,VLOOKUP(A105,'Données projet'!$A$61:$I$81,7,0))</f>
        <v>0</v>
      </c>
      <c r="AH105" s="45">
        <f>EXP(-LN(2)/35)*AH104+(1-EXP(-LN(2)/35))/(LN(2)/35)*AD105*AE105*VLOOKUP('Données projet'!$B$9,Paramètres!$A$1:$I$88,3,0)*0.475*44/12</f>
        <v>0</v>
      </c>
      <c r="AI105" s="45">
        <f>EXP(-LN(2)/25)*AI104+(1-EXP(-LN(2)/25))/(LN(2)/25)*Calculateur!AD105*Calculateur!AF105*VLOOKUP('Données projet'!$B$9,Paramètres!$A$1:$I$88,3,0)*0.475*44/12</f>
        <v>0</v>
      </c>
      <c r="AJ105" s="45">
        <f>EXP(-LN(2)/2)*AJ104+(1-EXP(-LN(2)/2))/(LN(2)/2)*AD105*AG105*VLOOKUP('Données projet'!$B$9,Paramètres!$A$1:$I$88,3,0)*0.475*44/12</f>
        <v>0</v>
      </c>
      <c r="AK105" s="45">
        <f t="shared" si="45"/>
        <v>0</v>
      </c>
      <c r="AL105" s="32" t="e">
        <f>VLOOKUP(A105,'Données projet'!$A$87:$I$107,2,0)</f>
        <v>#N/A</v>
      </c>
      <c r="AM105" s="33" t="e">
        <f>VLOOKUP(A105,'Données projet'!$A$87:$I$107,9,0)</f>
        <v>#N/A</v>
      </c>
      <c r="AN105" s="33">
        <f t="array" ref="AN105">INDEX(AM:AM,MIN(IF(ISNUMBER(AM105:AM301),ROW(AM105:AM301),"")))</f>
        <v>0</v>
      </c>
      <c r="AO105" s="33">
        <f t="shared" si="68"/>
        <v>0</v>
      </c>
      <c r="AP105" s="34" t="e">
        <f>AO105*VLOOKUP('Données projet'!$B$11,Paramètres!$A$1:$I$88,3,0)*VLOOKUP('Données projet'!$B$11,Paramètres!$A$1:$I$88,5,0)</f>
        <v>#N/A</v>
      </c>
      <c r="AQ105" s="34" t="e">
        <f t="shared" si="69"/>
        <v>#N/A</v>
      </c>
      <c r="AR105" s="44" t="e">
        <f t="shared" si="46"/>
        <v>#N/A</v>
      </c>
      <c r="AS105" s="36">
        <f>IF(ISNA(VLOOKUP(A105,'Données projet'!$A$87:$I$107,3,0)),0,VLOOKUP(A105,'Données projet'!$A$87:$I$107,3,0))</f>
        <v>0</v>
      </c>
      <c r="AT105" s="36">
        <f>IF(ISNA(VLOOKUP(A105,'Données projet'!$A$87:$I$107,4,0)),0,VLOOKUP(A105,'Données projet'!$A$87:$I$107,4,0))</f>
        <v>0</v>
      </c>
      <c r="AU105" s="37">
        <f>IF(ISNA(VLOOKUP(A105,'Données projet'!$A$87:$I$107,5,0)),0%,VLOOKUP(A105,'Données projet'!$A$87:$I$107,5,0)*VLOOKUP('Données projet'!$B$11,Paramètres!$A$1:$I$88,7,0))</f>
        <v>0</v>
      </c>
      <c r="AV105" s="37">
        <f>IF(ISNA(VLOOKUP(A105,'Données projet'!$A$87:$I$107,6,0)),0%,VLOOKUP(A105,'Données projet'!$A$87:$I$107,6,0)*VLOOKUP('Données projet'!$B$11,Paramètres!$A$1:$I$88,7,0))</f>
        <v>0</v>
      </c>
      <c r="AW105" s="37">
        <f>IF(ISNA(VLOOKUP(A105,'Données projet'!$A$87:$I$107,7,0)),0%,VLOOKUP(A105,'Données projet'!$A$87:$I$107,7,0))</f>
        <v>0</v>
      </c>
      <c r="AX105" s="45">
        <f>EXP(-LN(2)/35)*AX104+(1-EXP(-LN(2)/35))/(LN(2)/35)*AT105*AU105*VLOOKUP('Données projet'!$B$9,Paramètres!$A$1:$I$88,3,0)*0.475*44/12</f>
        <v>0</v>
      </c>
      <c r="AY105" s="45">
        <f>EXP(-LN(2)/25)*AY104+(1-EXP(-LN(2)/25))/(LN(2)/25)*Calculateur!AT105*Calculateur!AV105*VLOOKUP('Données projet'!$B$9,Paramètres!$A$1:$I$88,3,0)*0.475*44/12</f>
        <v>0</v>
      </c>
      <c r="AZ105" s="45">
        <f>EXP(-LN(2)/2)*AZ104+(1-EXP(-LN(2)/2))/(LN(2)/2)*AT105*AW105*VLOOKUP('Données projet'!$B$9,Paramètres!$A$1:$I$88,3,0)*0.475*44/12</f>
        <v>0</v>
      </c>
      <c r="BA105" s="46">
        <f t="shared" si="47"/>
        <v>0</v>
      </c>
      <c r="BB105" s="32" t="e">
        <f>VLOOKUP(A105,'Données projet'!$A$113:$I$133,2,0)</f>
        <v>#N/A</v>
      </c>
      <c r="BC105" s="33" t="e">
        <f>VLOOKUP(A105,'Données projet'!$A$113:$I$133,9,0)</f>
        <v>#N/A</v>
      </c>
      <c r="BD105" s="33">
        <f t="array" ref="BD105">INDEX(BC:BC,MIN(IF(ISNUMBER(BC105:BC301),ROW(BC105:BC301),"")))</f>
        <v>0</v>
      </c>
      <c r="BE105" s="33">
        <f t="shared" si="70"/>
        <v>0</v>
      </c>
      <c r="BF105" s="34" t="e">
        <f>BE105*VLOOKUP('Données projet'!$B$12,Paramètres!$A$1:$I$88,3,0)*VLOOKUP('Données projet'!$B$12,Paramètres!$A$1:$I$88,5,0)</f>
        <v>#N/A</v>
      </c>
      <c r="BG105" s="34" t="e">
        <f t="shared" si="71"/>
        <v>#N/A</v>
      </c>
      <c r="BH105" s="44" t="e">
        <f t="shared" si="48"/>
        <v>#N/A</v>
      </c>
      <c r="BI105" s="36">
        <f>IF(ISNA(VLOOKUP(A105,'Données projet'!$A$113:$I$133,3,0)),0,VLOOKUP(A105,'Données projet'!$A$113:$I$133,3,0))</f>
        <v>0</v>
      </c>
      <c r="BJ105" s="36">
        <f>IF(ISNA(VLOOKUP(A105,'Données projet'!$A$113:$I$133,4,0)),0,VLOOKUP(A105,'Données projet'!$A$113:$I$133,4,0))</f>
        <v>0</v>
      </c>
      <c r="BK105" s="37">
        <f>IF(ISNA(VLOOKUP(A105,'Données projet'!$A$113:$I$133,5,0)),0%,VLOOKUP(A105,'Données projet'!$A$113:$I$133,5,0)*VLOOKUP('Données projet'!$B$12,Paramètres!$A$1:$I$88,7,0))</f>
        <v>0</v>
      </c>
      <c r="BL105" s="37">
        <f>IF(ISNA(VLOOKUP(A105,'Données projet'!$A$113:$I$133,6,0)),0%,VLOOKUP(A105,'Données projet'!$A$113:$I$133,6,0)*VLOOKUP('Données projet'!$B$12,Paramètres!$A$1:$I$88,7,0))</f>
        <v>0</v>
      </c>
      <c r="BM105" s="37">
        <f>IF(ISNA(VLOOKUP(A105,'Données projet'!$A$113:$I$133,7,0)),0%,VLOOKUP(A105,'Données projet'!$A$113:$I$133,7,0))</f>
        <v>0</v>
      </c>
      <c r="BN105" s="45">
        <f>EXP(-LN(2)/35)*BN104+(1-EXP(-LN(2)/35))/(LN(2)/35)*BJ105*BK105*VLOOKUP('Données projet'!$B$9,Paramètres!$A$1:$I$88,3,0)*0.475*44/12</f>
        <v>0</v>
      </c>
      <c r="BO105" s="45">
        <f>EXP(-LN(2)/25)*BO104+(1-EXP(-LN(2)/25))/(LN(2)/25)*Calculateur!BJ105*Calculateur!BL105*VLOOKUP('Données projet'!$B$9,Paramètres!$A$1:$I$88,3,0)*0.475*44/12</f>
        <v>0</v>
      </c>
      <c r="BP105" s="45">
        <f>EXP(-LN(2)/2)*BP104+(1-EXP(-LN(2)/2))/(LN(2)/2)*BJ105*BM105*VLOOKUP('Données projet'!$B$9,Paramètres!$A$1:$I$88,3,0)*0.475*44/12</f>
        <v>0</v>
      </c>
      <c r="BQ105" s="46">
        <f t="shared" si="49"/>
        <v>0</v>
      </c>
      <c r="BR105" s="32" t="e">
        <f>VLOOKUP(A105,'Données projet'!$A$139:$I$159,2,0)</f>
        <v>#N/A</v>
      </c>
      <c r="BS105" s="33" t="e">
        <f>VLOOKUP(A105,'Données projet'!$A$139:$I$159,9,0)</f>
        <v>#N/A</v>
      </c>
      <c r="BT105" s="33">
        <f t="array" ref="BT105">INDEX(BS:BS,MIN(IF(ISNUMBER(BS105:BS301),ROW(BS105:BS301),"")))</f>
        <v>0</v>
      </c>
      <c r="BU105" s="33">
        <f t="shared" si="72"/>
        <v>0</v>
      </c>
      <c r="BV105" s="38" t="e">
        <f>BU105*VLOOKUP('Données projet'!$B$13,Paramètres!$A$1:$I$88,3,0)*VLOOKUP('Données projet'!$B$13,Paramètres!$A$1:$I$88,5,0)</f>
        <v>#N/A</v>
      </c>
      <c r="BW105" s="34" t="e">
        <f t="shared" si="73"/>
        <v>#N/A</v>
      </c>
      <c r="BX105" s="44" t="e">
        <f t="shared" si="50"/>
        <v>#N/A</v>
      </c>
      <c r="BY105" s="36">
        <f>IF(ISNA(VLOOKUP(A105,'Données projet'!$A$139:$I$159,3,0)),0,VLOOKUP(A105,'Données projet'!$A$139:$I$159,3,0))</f>
        <v>0</v>
      </c>
      <c r="BZ105" s="36">
        <f>IF(ISNA(VLOOKUP(A105,'Données projet'!$A$139:$I$159,4,0)),0,VLOOKUP(A105,'Données projet'!$A$139:$I$159,4,0))</f>
        <v>0</v>
      </c>
      <c r="CA105" s="37">
        <f>IF(ISNA(VLOOKUP(A105,'Données projet'!$A$139:$I$159,5,0)),0%,VLOOKUP(A105,'Données projet'!$A$139:$I$159,5,0)*VLOOKUP('Données projet'!$B$13,Paramètres!$A$1:$I$88,7,0))</f>
        <v>0</v>
      </c>
      <c r="CB105" s="37">
        <f>IF(ISNA(VLOOKUP(A105,'Données projet'!$A$139:$I$159,6,0)),0%,VLOOKUP(A105,'Données projet'!$A$139:$I$159,6,0)*VLOOKUP('Données projet'!$B$13,Paramètres!$A$1:$I$88,7,0))</f>
        <v>0</v>
      </c>
      <c r="CC105" s="37">
        <f>IF(ISNA(VLOOKUP(A105,'Données projet'!$A$139:$I$159,7,0)),0%,VLOOKUP(A105,'Données projet'!$A$139:$I$159,7,0))</f>
        <v>0</v>
      </c>
      <c r="CD105" s="45">
        <f>EXP(-LN(2)/35)*CD104+(1-EXP(-LN(2)/35))/(LN(2)/35)*BZ105*CA105*VLOOKUP('Données projet'!$B$9,Paramètres!$A$1:$I$88,3,0)*0.475*44/12</f>
        <v>0</v>
      </c>
      <c r="CE105" s="45">
        <f>EXP(-LN(2)/25)*CE104+(1-EXP(-LN(2)/25))/(LN(2)/25)*Calculateur!BZ105*Calculateur!CB105*VLOOKUP('Données projet'!$B$9,Paramètres!$A$1:$I$88,3,0)*0.475*44/12</f>
        <v>0</v>
      </c>
      <c r="CF105" s="45">
        <f>EXP(-LN(2)/2)*CF104+(1-EXP(-LN(2)/2))/(LN(2)/2)*BZ105*CC105*VLOOKUP('Données projet'!$B$9,Paramètres!$A$1:$I$88,3,0)*0.475*44/12</f>
        <v>0</v>
      </c>
      <c r="CG105" s="46">
        <f t="shared" si="51"/>
        <v>0</v>
      </c>
      <c r="CH105" s="32" t="e">
        <f>VLOOKUP(A105,'Données projet'!$A$165:$I$185,2,0)</f>
        <v>#N/A</v>
      </c>
      <c r="CI105" s="33" t="e">
        <f>VLOOKUP(A105,'Données projet'!$A$165:$I$185,9,0)</f>
        <v>#N/A</v>
      </c>
      <c r="CJ105" s="33">
        <f t="array" ref="CJ105">INDEX(CI:CI,MIN(IF(ISNUMBER(CI105:CI301),ROW(CI105:CI301),"")))</f>
        <v>0</v>
      </c>
      <c r="CK105" s="33">
        <f t="shared" si="74"/>
        <v>0</v>
      </c>
      <c r="CL105" s="38" t="e">
        <f>CK105*VLOOKUP('Données projet'!$B$14,Paramètres!$A$1:$I$88,3,0)*VLOOKUP('Données projet'!$B$14,Paramètres!$A$1:$I$88,5,0)</f>
        <v>#N/A</v>
      </c>
      <c r="CM105" s="34" t="e">
        <f t="shared" si="75"/>
        <v>#N/A</v>
      </c>
      <c r="CN105" s="44" t="e">
        <f t="shared" si="52"/>
        <v>#N/A</v>
      </c>
      <c r="CO105" s="36">
        <f>IF(ISNA(VLOOKUP(A105,'Données projet'!$A$165:$I$185,3,0)),0,VLOOKUP(A105,'Données projet'!$A$165:$I$185,3,0))</f>
        <v>0</v>
      </c>
      <c r="CP105" s="36">
        <f>IF(ISNA(VLOOKUP(A105,'Données projet'!$A$165:$I$185,4,0)),0,VLOOKUP(A105,'Données projet'!$A$165:$I$185,4,0))</f>
        <v>0</v>
      </c>
      <c r="CQ105" s="37">
        <f>IF(ISNA(VLOOKUP(A105,'Données projet'!$A$165:$I$185,5,0)),0%,VLOOKUP(A105,'Données projet'!$A$165:$I$185,5,0)*VLOOKUP('Données projet'!$B$14,Paramètres!$A$1:$I$88,7,0))</f>
        <v>0</v>
      </c>
      <c r="CR105" s="37">
        <f>IF(ISNA(VLOOKUP(A105,'Données projet'!$A$165:$I$185,6,0)),0%,VLOOKUP(A105,'Données projet'!$A$165:$I$185,6,0)*VLOOKUP('Données projet'!$B$14,Paramètres!$A$1:$I$88,7,0))</f>
        <v>0</v>
      </c>
      <c r="CS105" s="37">
        <f>IF(ISNA(VLOOKUP(A105,'Données projet'!$A$165:$I$185,7,0)),0%,VLOOKUP(A105,'Données projet'!$A$165:$I$185,7,0))</f>
        <v>0</v>
      </c>
      <c r="CT105" s="45">
        <f>EXP(-LN(2)/35)*CT104+(1-EXP(-LN(2)/35))/(LN(2)/35)*CP105*CQ105*VLOOKUP('Données projet'!$B$9,Paramètres!$A$1:$I$88,3,0)*0.475*44/12</f>
        <v>0</v>
      </c>
      <c r="CU105" s="45">
        <f>EXP(-LN(2)/25)*CU104+(1-EXP(-LN(2)/25))/(LN(2)/25)*Calculateur!CP105*Calculateur!CR105*VLOOKUP('Données projet'!$B$9,Paramètres!$A$1:$I$88,3,0)*0.475*44/12</f>
        <v>0</v>
      </c>
      <c r="CV105" s="45">
        <f>EXP(-LN(2)/2)*CV104+(1-EXP(-LN(2)/2))/(LN(2)/2)*CP105*CS105*VLOOKUP('Données projet'!$B$9,Paramètres!$A$1:$I$88,3,0)*0.475*44/12</f>
        <v>0</v>
      </c>
      <c r="CW105" s="46">
        <f t="shared" si="53"/>
        <v>0</v>
      </c>
      <c r="CX105" s="32" t="e">
        <f>VLOOKUP(A105,'Données projet'!$A$191:$I$211,2,0)</f>
        <v>#N/A</v>
      </c>
      <c r="CY105" s="33" t="e">
        <f>VLOOKUP(A105,'Données projet'!$A$191:$I$211,9,0)</f>
        <v>#N/A</v>
      </c>
      <c r="CZ105" s="33">
        <f t="array" ref="CZ105">INDEX(CY:CY,MIN(IF(ISNUMBER(CY105:CY301),ROW(CY105:CY301),"")))</f>
        <v>0</v>
      </c>
      <c r="DA105" s="33">
        <f t="shared" si="76"/>
        <v>0</v>
      </c>
      <c r="DB105" s="38" t="e">
        <f>DA105*VLOOKUP('Données projet'!$B$15,Paramètres!$A$1:$I$88,3,0)*VLOOKUP('Données projet'!$B$15,Paramètres!$A$1:$I$88,5,0)</f>
        <v>#N/A</v>
      </c>
      <c r="DC105" s="34" t="e">
        <f t="shared" si="77"/>
        <v>#N/A</v>
      </c>
      <c r="DD105" s="44" t="e">
        <f t="shared" si="54"/>
        <v>#N/A</v>
      </c>
      <c r="DE105" s="36">
        <f>IF(ISNA(VLOOKUP(A105,'Données projet'!$A$191:$I$211,3,0)),0,VLOOKUP(A105,'Données projet'!$A$191:$I$211,3,0))</f>
        <v>0</v>
      </c>
      <c r="DF105" s="36">
        <f>IF(ISNA(VLOOKUP(A105,'Données projet'!$A$191:$I$211,4,0)),0,VLOOKUP(A105,'Données projet'!$A$191:$I$211,4,0))</f>
        <v>0</v>
      </c>
      <c r="DG105" s="37">
        <f>IF(ISNA(VLOOKUP(A105,'Données projet'!$A$191:$I$211,5,0)),0%,VLOOKUP(A105,'Données projet'!$A$191:$I$211,5,0)*VLOOKUP('Données projet'!$B$15,Paramètres!$A$1:$I$88,7,0))</f>
        <v>0</v>
      </c>
      <c r="DH105" s="37">
        <f>IF(ISNA(VLOOKUP(A105,'Données projet'!$A$191:$I$211,6,0)),0%,VLOOKUP(A105,'Données projet'!$A$191:$I$211,6,0)*VLOOKUP('Données projet'!$B$15,Paramètres!$A$1:$I$88,7,0))</f>
        <v>0</v>
      </c>
      <c r="DI105" s="37">
        <f>IF(ISNA(VLOOKUP(A105,'Données projet'!$A$191:$I$211,7,0)),0%,VLOOKUP(A105,'Données projet'!$A$191:$I$211,7,0))</f>
        <v>0</v>
      </c>
      <c r="DJ105" s="45">
        <f>EXP(-LN(2)/35)*DJ104+(1-EXP(-LN(2)/35))/(LN(2)/35)*DF105*DG105*VLOOKUP('Données projet'!$B$9,Paramètres!$A$1:$I$88,3,0)*0.475*44/12</f>
        <v>0</v>
      </c>
      <c r="DK105" s="45">
        <f>EXP(-LN(2)/25)*DK104+(1-EXP(-LN(2)/25))/(LN(2)/25)*Calculateur!DF105*Calculateur!DH105*VLOOKUP('Données projet'!$B$9,Paramètres!$A$1:$I$88,3,0)*0.475*44/12</f>
        <v>0</v>
      </c>
      <c r="DL105" s="45">
        <f>EXP(-LN(2)/2)*DL104+(1-EXP(-LN(2)/2))/(LN(2)/2)*DF105*DI105*VLOOKUP('Données projet'!$B$9,Paramètres!$A$1:$I$88,3,0)*0.475*44/12</f>
        <v>0</v>
      </c>
      <c r="DM105" s="46">
        <f t="shared" si="55"/>
        <v>0</v>
      </c>
      <c r="DN105" s="32" t="e">
        <f>VLOOKUP(A105,'Données projet'!$A$217:$I$237,2,0)</f>
        <v>#N/A</v>
      </c>
      <c r="DO105" s="33" t="e">
        <f>VLOOKUP(A105,'Données projet'!$A$217:$I$237,9,0)</f>
        <v>#N/A</v>
      </c>
      <c r="DP105" s="33">
        <f t="array" ref="DP105">INDEX(DO:DO,MIN(IF(ISNUMBER(DO105:DO301),ROW(DO105:DO301),"")))</f>
        <v>0</v>
      </c>
      <c r="DQ105" s="33">
        <f t="shared" si="78"/>
        <v>0</v>
      </c>
      <c r="DR105" s="38" t="e">
        <f>DQ105*VLOOKUP('Données projet'!$B$16,Paramètres!$A$1:$I$88,3,0)*VLOOKUP('Données projet'!$B$16,Paramètres!$A$1:$I$88,5,0)</f>
        <v>#N/A</v>
      </c>
      <c r="DS105" s="34" t="e">
        <f t="shared" si="79"/>
        <v>#N/A</v>
      </c>
      <c r="DT105" s="44" t="e">
        <f t="shared" si="56"/>
        <v>#N/A</v>
      </c>
      <c r="DU105" s="36">
        <f>IF(ISNA(VLOOKUP(A105,'Données projet'!$A$217:$I$237,3,0)),0,VLOOKUP(A105,'Données projet'!$A$217:$I$237,3,0))</f>
        <v>0</v>
      </c>
      <c r="DV105" s="36">
        <f>IF(ISNA(VLOOKUP(A105,'Données projet'!$A$217:$I$237,4,0)),0,VLOOKUP(A105,'Données projet'!$A$217:$I$237,4,0))</f>
        <v>0</v>
      </c>
      <c r="DW105" s="37">
        <f>IF(ISNA(VLOOKUP(A105,'Données projet'!$A$217:$I$237,5,0)),0%,VLOOKUP(A105,'Données projet'!$A$217:$I$237,5,0)*VLOOKUP('Données projet'!$B$16,Paramètres!$A$1:$I$88,7,0))</f>
        <v>0</v>
      </c>
      <c r="DX105" s="37">
        <f>IF(ISNA(VLOOKUP(A105,'Données projet'!$A$217:$I$237,6,0)),0%,VLOOKUP(A105,'Données projet'!$A$217:$I$237,6,0)*VLOOKUP('Données projet'!$B$16,Paramètres!$A$1:$I$88,7,0))</f>
        <v>0</v>
      </c>
      <c r="DY105" s="37">
        <f>IF(ISNA(VLOOKUP(A105,'Données projet'!$A$217:$I$237,7,0)),0%,VLOOKUP(A105,'Données projet'!$A$217:$I$237,7,0))</f>
        <v>0</v>
      </c>
      <c r="DZ105" s="45">
        <f>EXP(-LN(2)/35)*DZ104+(1-EXP(-LN(2)/35))/(LN(2)/35)*DV105*DW105*VLOOKUP('Données projet'!$B$9,Paramètres!$A$1:$I$88,3,0)*0.475*44/12</f>
        <v>0</v>
      </c>
      <c r="EA105" s="45">
        <f>EXP(-LN(2)/25)*EA104+(1-EXP(-LN(2)/25))/(LN(2)/25)*Calculateur!DV105*Calculateur!DX105*VLOOKUP('Données projet'!$B$9,Paramètres!$A$1:$I$88,3,0)*0.475*44/12</f>
        <v>0</v>
      </c>
      <c r="EB105" s="45">
        <f>EXP(-LN(2)/2)*EB104+(1-EXP(-LN(2)/2))/(LN(2)/2)*DV105*DY105*VLOOKUP('Données projet'!$B$9,Paramètres!$A$1:$I$88,3,0)*0.475*44/12</f>
        <v>0</v>
      </c>
      <c r="EC105" s="46">
        <f t="shared" si="57"/>
        <v>0</v>
      </c>
      <c r="ED105" s="32" t="e">
        <f>VLOOKUP(A105,'Données projet'!$A$243:$I$263,2,0)</f>
        <v>#N/A</v>
      </c>
      <c r="EE105" s="33" t="e">
        <f>VLOOKUP(A105,'Données projet'!$A$243:$I$263,9,0)</f>
        <v>#N/A</v>
      </c>
      <c r="EF105" s="33">
        <f t="array" ref="EF105">INDEX(EE:EE,MIN(IF(ISNUMBER(EE105:EE301),ROW(EE105:EE301),"")))</f>
        <v>0</v>
      </c>
      <c r="EG105" s="33">
        <f t="shared" si="80"/>
        <v>0</v>
      </c>
      <c r="EH105" s="38" t="e">
        <f>EG105*VLOOKUP('Données projet'!$B$17,Paramètres!$A$1:$I$88,3,0)*VLOOKUP('Données projet'!$B$17,Paramètres!$A$1:$I$88,5,0)</f>
        <v>#N/A</v>
      </c>
      <c r="EI105" s="34" t="e">
        <f t="shared" si="81"/>
        <v>#N/A</v>
      </c>
      <c r="EJ105" s="44" t="e">
        <f t="shared" si="58"/>
        <v>#N/A</v>
      </c>
      <c r="EK105" s="36">
        <f>IF(ISNA(VLOOKUP(A105,'Données projet'!$A$243:$I$263,3,0)),0,VLOOKUP(A105,'Données projet'!$A$243:$I$263,3,0))</f>
        <v>0</v>
      </c>
      <c r="EL105" s="36">
        <f>IF(ISNA(VLOOKUP(A105,'Données projet'!$A$243:$I$263,4,0)),0,VLOOKUP(A105,'Données projet'!$A$243:$I$263,4,0))</f>
        <v>0</v>
      </c>
      <c r="EM105" s="37">
        <f>IF(ISNA(VLOOKUP(A105,'Données projet'!$A$243:$I$263,5,0)),0%,VLOOKUP(A105,'Données projet'!$A$243:$I$263,5,0)*VLOOKUP('Données projet'!$B$17,Paramètres!$A$1:$I$88,7,0))</f>
        <v>0</v>
      </c>
      <c r="EN105" s="37">
        <f>IF(ISNA(VLOOKUP(A105,'Données projet'!$A$243:$I$263,6,0)),0%,VLOOKUP(A105,'Données projet'!$A$243:$I$263,6,0)*VLOOKUP('Données projet'!$B$17,Paramètres!$A$1:$I$88,7,0))</f>
        <v>0</v>
      </c>
      <c r="EO105" s="37">
        <f>IF(ISNA(VLOOKUP(A105,'Données projet'!$A$243:$I$263,7,0)),0%,VLOOKUP(A105,'Données projet'!$A$243:$I$263,7,0))</f>
        <v>0</v>
      </c>
      <c r="EP105" s="45">
        <f>EXP(-LN(2)/35)*EP104+(1-EXP(-LN(2)/35))/(LN(2)/35)*EL105*EM105*VLOOKUP('Données projet'!$B$9,Paramètres!$A$1:$I$88,3,0)*0.475*44/12</f>
        <v>0</v>
      </c>
      <c r="EQ105" s="45">
        <f>EXP(-LN(2)/25)*EQ104+(1-EXP(-LN(2)/25))/(LN(2)/25)*Calculateur!EL105*Calculateur!EN105*VLOOKUP('Données projet'!$B$9,Paramètres!$A$1:$I$88,3,0)*0.475*44/12</f>
        <v>0</v>
      </c>
      <c r="ER105" s="45">
        <f>EXP(-LN(2)/2)*ER104+(1-EXP(-LN(2)/2))/(LN(2)/2)*EL105*EO105*VLOOKUP('Données projet'!$B$9,Paramètres!$A$1:$I$88,3,0)*0.475*44/12</f>
        <v>0</v>
      </c>
      <c r="ES105" s="46">
        <f t="shared" si="59"/>
        <v>0</v>
      </c>
      <c r="ET105" s="32" t="e">
        <f>VLOOKUP(A105,'Données projet'!$A$269:$I$289,2,0)</f>
        <v>#N/A</v>
      </c>
      <c r="EU105" s="33" t="e">
        <f>VLOOKUP(A105,'Données projet'!$A$269:$I$289,9,0)</f>
        <v>#N/A</v>
      </c>
      <c r="EV105" s="33">
        <f t="array" ref="EV105">INDEX(EU:EU,MIN(IF(ISNUMBER(EU105:EU301),ROW(EU105:EU301),"")))</f>
        <v>0</v>
      </c>
      <c r="EW105" s="33">
        <f t="shared" si="82"/>
        <v>0</v>
      </c>
      <c r="EX105" s="38" t="e">
        <f>EW105*VLOOKUP('Données projet'!$B$18,Paramètres!$A$1:$I$88,3,0)*VLOOKUP('Données projet'!$B$18,Paramètres!$A$1:$I$88,5,0)</f>
        <v>#N/A</v>
      </c>
      <c r="EY105" s="34" t="e">
        <f t="shared" si="83"/>
        <v>#N/A</v>
      </c>
      <c r="EZ105" s="44" t="e">
        <f t="shared" si="60"/>
        <v>#N/A</v>
      </c>
      <c r="FA105" s="36">
        <f>IF(ISNA(VLOOKUP(A105,'Données projet'!$A$269:$I$289,3,0)),0,VLOOKUP(A105,'Données projet'!$A$269:$I$289,3,0))</f>
        <v>0</v>
      </c>
      <c r="FB105" s="36">
        <f>IF(ISNA(VLOOKUP(A105,'Données projet'!$A$269:$I$289,4,0)),0,VLOOKUP(A105,'Données projet'!$A$269:$I$289,4,0))</f>
        <v>0</v>
      </c>
      <c r="FC105" s="37">
        <f>IF(ISNA(VLOOKUP(A105,'Données projet'!$A$269:$I$289,5,0)),0%,VLOOKUP(A105,'Données projet'!$A$269:$I$289,5,0)*VLOOKUP('Données projet'!$B$18,Paramètres!$A$1:$I$88,7,0))</f>
        <v>0</v>
      </c>
      <c r="FD105" s="37">
        <f>IF(ISNA(VLOOKUP(A105,'Données projet'!$A$269:$I$289,6,0)),0%,VLOOKUP(A105,'Données projet'!$A$269:$I$289,6,0)*VLOOKUP('Données projet'!$B$18,Paramètres!$A$1:$I$88,7,0))</f>
        <v>0</v>
      </c>
      <c r="FE105" s="37">
        <f>IF(ISNA(VLOOKUP(A105,'Données projet'!$A$269:$I$289,7,0)),0%,VLOOKUP(A105,'Données projet'!$A$269:$I$289,7,0))</f>
        <v>0</v>
      </c>
      <c r="FF105" s="45">
        <f>EXP(-LN(2)/35)*FF104+(1-EXP(-LN(2)/35))/(LN(2)/35)*FB105*FC105*VLOOKUP('Données projet'!$B$9,Paramètres!$A$1:$I$88,3,0)*0.475*44/12</f>
        <v>0</v>
      </c>
      <c r="FG105" s="45">
        <f>EXP(-LN(2)/25)*FG104+(1-EXP(-LN(2)/25))/(LN(2)/25)*Calculateur!FB105*Calculateur!FD105*VLOOKUP('Données projet'!$B$9,Paramètres!$A$1:$I$88,3,0)*0.475*44/12</f>
        <v>0</v>
      </c>
      <c r="FH105" s="45">
        <f>EXP(-LN(2)/2)*FH104+(1-EXP(-LN(2)/2))/(LN(2)/2)*FB105*FE105*VLOOKUP('Données projet'!$B$9,Paramètres!$A$1:$I$88,3,0)*0.475*44/12</f>
        <v>0</v>
      </c>
      <c r="FI105" s="46">
        <f t="shared" si="61"/>
        <v>0</v>
      </c>
    </row>
    <row r="106" spans="1:165" x14ac:dyDescent="0.25">
      <c r="A106" s="24">
        <f t="shared" si="62"/>
        <v>103</v>
      </c>
      <c r="B106" s="25">
        <f>IF('Scénario référence'!$N$1=1,5,0)</f>
        <v>0</v>
      </c>
      <c r="C106" s="40">
        <f>IF(OR('Scénario référence'!$N$1=2,'Scénario référence'!$N$1=4),C105+1*VLOOKUP('Scénario référence'!$G$14,Paramètres!$A$1:$I$88,3,0)*VLOOKUP('Scénario référence'!$G$14,Paramètres!$A$1:$I$88,5,0),IF(OR('Scénario référence'!$N$1=3,'Scénario référence'!$N$1=5),C105+0.5*VLOOKUP('Scénario référence'!$G$14,Paramètres!$A$1:$I$88,3,0)*VLOOKUP('Scénario référence'!$G$14,Paramètres!$A$1:$I$88,5,0),0))</f>
        <v>56.23799999999995</v>
      </c>
      <c r="D106" s="26">
        <f t="shared" si="63"/>
        <v>16.213562712594495</v>
      </c>
      <c r="E106" s="27">
        <f>IF('Scénario référence'!$N$1=1,B106*44/12,(C106+D106)*0.475*44/12)</f>
        <v>126.18647172443531</v>
      </c>
      <c r="F106" s="28" t="e">
        <f>VLOOKUP(A106,'Données projet'!$A$35:$I$55,2,0)</f>
        <v>#N/A</v>
      </c>
      <c r="G106" s="28" t="e">
        <f>VLOOKUP(A106,'Données projet'!$A$35:$I$55,9,0)</f>
        <v>#N/A</v>
      </c>
      <c r="H106" s="33">
        <f t="array" ref="H106">INDEX(G:G,MIN(IF(ISNUMBER(G106:G302),ROW(G106:G302),"")))</f>
        <v>4.7</v>
      </c>
      <c r="I106" s="28">
        <f t="shared" si="64"/>
        <v>295.59999999999957</v>
      </c>
      <c r="J106" s="41">
        <f>I106*VLOOKUP('Données projet'!$B$9,Paramètres!$A$1:$I$88,3,0)*VLOOKUP('Données projet'!$B$9,Paramètres!$A$1:$I$88,5,0)</f>
        <v>299.73839999999961</v>
      </c>
      <c r="K106" s="41">
        <f t="shared" si="65"/>
        <v>71.121619283394352</v>
      </c>
      <c r="L106" s="42">
        <f t="shared" si="42"/>
        <v>645.91453358524438</v>
      </c>
      <c r="M106" s="30">
        <f>IF(ISNA(VLOOKUP(A106,'Données projet'!$A$35:$I$55,3,0)),0,VLOOKUP(A106,'Données projet'!$A$35:$I$55,3,0))</f>
        <v>0</v>
      </c>
      <c r="N106" s="30">
        <f>IF(ISNA(VLOOKUP(A106,'Données projet'!$A$35:$I$55,4,0)),0,VLOOKUP(A106,'Données projet'!$A$35:$I$55,4,0))</f>
        <v>0</v>
      </c>
      <c r="O106" s="31">
        <f>IF(ISNA(VLOOKUP(A106,'Données projet'!$A$35:$I$55,5,0)),0%,VLOOKUP(A106,'Données projet'!$A$35:$I$55,5,0)*VLOOKUP('Données projet'!$B$9,Paramètres!$A$1:$I$88,7,0))</f>
        <v>0</v>
      </c>
      <c r="P106" s="31">
        <f>IF(ISNA(VLOOKUP(A106,'Données projet'!$A$35:$I$55,6,0)),0%,VLOOKUP(A106,'Données projet'!$A$35:$I$55,6,0)*VLOOKUP('Données projet'!$B$9,Paramètres!$A$1:$I$88,7,0))</f>
        <v>0</v>
      </c>
      <c r="Q106" s="31">
        <f>IF(ISNA(VLOOKUP(A106,'Données projet'!$A$35:$I$55,7,0)),0%,VLOOKUP(A106,'Données projet'!$A$35:$I$55,7,0))</f>
        <v>0</v>
      </c>
      <c r="R106" s="43">
        <f>EXP(-LN(2)/35)*R105+(1-EXP(-LN(2)/35))/(LN(2)/35)*N106*O106*VLOOKUP('Données projet'!$B$9,Paramètres!$A$1:$I$88,3,0)*0.475*44/12</f>
        <v>0</v>
      </c>
      <c r="S106" s="43">
        <f>EXP(-LN(2)/25)*S105+(1-EXP(-LN(2)/25))/(LN(2)/25)*Calculateur!N106*Calculateur!P106*VLOOKUP('Données projet'!$B$9,Paramètres!$A$1:$I$88,3,0)*0.475*44/12</f>
        <v>0</v>
      </c>
      <c r="T106" s="43">
        <f>EXP(-LN(2)/2)*T105+(1-EXP(-LN(2)/2))/(LN(2)/2)*N106*Q106*VLOOKUP('Données projet'!$B$9,Paramètres!$A$1:$I$88,3,0)*0.475*44/12</f>
        <v>0</v>
      </c>
      <c r="U106" s="43">
        <f t="shared" si="43"/>
        <v>0</v>
      </c>
      <c r="V106" s="32" t="e">
        <f>VLOOKUP(A106,'Données projet'!$A$61:$I$81,2,0)</f>
        <v>#N/A</v>
      </c>
      <c r="W106" s="33" t="e">
        <f>VLOOKUP(A106,'Données projet'!$A$61:$I$81,9,0)</f>
        <v>#N/A</v>
      </c>
      <c r="X106" s="33">
        <f t="array" ref="X106">INDEX(W:W,MIN(IF(ISNUMBER(W106:W302),ROW(W106:W302),"")))</f>
        <v>0</v>
      </c>
      <c r="Y106" s="33">
        <f t="shared" si="66"/>
        <v>0</v>
      </c>
      <c r="Z106" s="34" t="e">
        <f>Y106*VLOOKUP('Données projet'!$B$10,Paramètres!$A$1:$I$88,3,0)*VLOOKUP('Données projet'!$B$10,Paramètres!$A$1:$I$88,5,0)</f>
        <v>#N/A</v>
      </c>
      <c r="AA106" s="34" t="e">
        <f t="shared" si="67"/>
        <v>#N/A</v>
      </c>
      <c r="AB106" s="44" t="e">
        <f t="shared" si="44"/>
        <v>#N/A</v>
      </c>
      <c r="AC106" s="36">
        <f>IF(ISNA(VLOOKUP(A106,'Données projet'!$A$61:$I$81,3,0)),0,VLOOKUP(A106,'Données projet'!$A$61:$I$81,3,0))</f>
        <v>0</v>
      </c>
      <c r="AD106" s="36">
        <f>IF(ISNA(VLOOKUP(A106,'Données projet'!$A$61:$I$81,4,0)),0,VLOOKUP(A106,'Données projet'!$A$61:$I$81,4,0))</f>
        <v>0</v>
      </c>
      <c r="AE106" s="37">
        <f>IF(ISNA(VLOOKUP(A106,'Données projet'!$A$61:$I$81,5,0)),0%,VLOOKUP(A106,'Données projet'!$A$61:$I$81,5,0)*VLOOKUP('Données projet'!$B$10,Paramètres!$A$1:$I$88,7,0))</f>
        <v>0</v>
      </c>
      <c r="AF106" s="37">
        <f>IF(ISNA(VLOOKUP(A106,'Données projet'!$A$61:$I$81,6,0)),0%,VLOOKUP(A106,'Données projet'!$A$61:$I$81,6,0)*VLOOKUP('Données projet'!$B$10,Paramètres!$A$1:$I$88,7,0))</f>
        <v>0</v>
      </c>
      <c r="AG106" s="37">
        <f>IF(ISNA(VLOOKUP(A106,'Données projet'!$A$61:$I$81,7,0)),0%,VLOOKUP(A106,'Données projet'!$A$61:$I$81,7,0))</f>
        <v>0</v>
      </c>
      <c r="AH106" s="45">
        <f>EXP(-LN(2)/35)*AH105+(1-EXP(-LN(2)/35))/(LN(2)/35)*AD106*AE106*VLOOKUP('Données projet'!$B$9,Paramètres!$A$1:$I$88,3,0)*0.475*44/12</f>
        <v>0</v>
      </c>
      <c r="AI106" s="45">
        <f>EXP(-LN(2)/25)*AI105+(1-EXP(-LN(2)/25))/(LN(2)/25)*Calculateur!AD106*Calculateur!AF106*VLOOKUP('Données projet'!$B$9,Paramètres!$A$1:$I$88,3,0)*0.475*44/12</f>
        <v>0</v>
      </c>
      <c r="AJ106" s="45">
        <f>EXP(-LN(2)/2)*AJ105+(1-EXP(-LN(2)/2))/(LN(2)/2)*AD106*AG106*VLOOKUP('Données projet'!$B$9,Paramètres!$A$1:$I$88,3,0)*0.475*44/12</f>
        <v>0</v>
      </c>
      <c r="AK106" s="45">
        <f t="shared" si="45"/>
        <v>0</v>
      </c>
      <c r="AL106" s="32" t="e">
        <f>VLOOKUP(A106,'Données projet'!$A$87:$I$107,2,0)</f>
        <v>#N/A</v>
      </c>
      <c r="AM106" s="33" t="e">
        <f>VLOOKUP(A106,'Données projet'!$A$87:$I$107,9,0)</f>
        <v>#N/A</v>
      </c>
      <c r="AN106" s="33">
        <f t="array" ref="AN106">INDEX(AM:AM,MIN(IF(ISNUMBER(AM106:AM302),ROW(AM106:AM302),"")))</f>
        <v>0</v>
      </c>
      <c r="AO106" s="33">
        <f t="shared" si="68"/>
        <v>0</v>
      </c>
      <c r="AP106" s="34" t="e">
        <f>AO106*VLOOKUP('Données projet'!$B$11,Paramètres!$A$1:$I$88,3,0)*VLOOKUP('Données projet'!$B$11,Paramètres!$A$1:$I$88,5,0)</f>
        <v>#N/A</v>
      </c>
      <c r="AQ106" s="34" t="e">
        <f t="shared" si="69"/>
        <v>#N/A</v>
      </c>
      <c r="AR106" s="44" t="e">
        <f t="shared" si="46"/>
        <v>#N/A</v>
      </c>
      <c r="AS106" s="36">
        <f>IF(ISNA(VLOOKUP(A106,'Données projet'!$A$87:$I$107,3,0)),0,VLOOKUP(A106,'Données projet'!$A$87:$I$107,3,0))</f>
        <v>0</v>
      </c>
      <c r="AT106" s="36">
        <f>IF(ISNA(VLOOKUP(A106,'Données projet'!$A$87:$I$107,4,0)),0,VLOOKUP(A106,'Données projet'!$A$87:$I$107,4,0))</f>
        <v>0</v>
      </c>
      <c r="AU106" s="37">
        <f>IF(ISNA(VLOOKUP(A106,'Données projet'!$A$87:$I$107,5,0)),0%,VLOOKUP(A106,'Données projet'!$A$87:$I$107,5,0)*VLOOKUP('Données projet'!$B$11,Paramètres!$A$1:$I$88,7,0))</f>
        <v>0</v>
      </c>
      <c r="AV106" s="37">
        <f>IF(ISNA(VLOOKUP(A106,'Données projet'!$A$87:$I$107,6,0)),0%,VLOOKUP(A106,'Données projet'!$A$87:$I$107,6,0)*VLOOKUP('Données projet'!$B$11,Paramètres!$A$1:$I$88,7,0))</f>
        <v>0</v>
      </c>
      <c r="AW106" s="37">
        <f>IF(ISNA(VLOOKUP(A106,'Données projet'!$A$87:$I$107,7,0)),0%,VLOOKUP(A106,'Données projet'!$A$87:$I$107,7,0))</f>
        <v>0</v>
      </c>
      <c r="AX106" s="45">
        <f>EXP(-LN(2)/35)*AX105+(1-EXP(-LN(2)/35))/(LN(2)/35)*AT106*AU106*VLOOKUP('Données projet'!$B$9,Paramètres!$A$1:$I$88,3,0)*0.475*44/12</f>
        <v>0</v>
      </c>
      <c r="AY106" s="45">
        <f>EXP(-LN(2)/25)*AY105+(1-EXP(-LN(2)/25))/(LN(2)/25)*Calculateur!AT106*Calculateur!AV106*VLOOKUP('Données projet'!$B$9,Paramètres!$A$1:$I$88,3,0)*0.475*44/12</f>
        <v>0</v>
      </c>
      <c r="AZ106" s="45">
        <f>EXP(-LN(2)/2)*AZ105+(1-EXP(-LN(2)/2))/(LN(2)/2)*AT106*AW106*VLOOKUP('Données projet'!$B$9,Paramètres!$A$1:$I$88,3,0)*0.475*44/12</f>
        <v>0</v>
      </c>
      <c r="BA106" s="46">
        <f t="shared" si="47"/>
        <v>0</v>
      </c>
      <c r="BB106" s="32" t="e">
        <f>VLOOKUP(A106,'Données projet'!$A$113:$I$133,2,0)</f>
        <v>#N/A</v>
      </c>
      <c r="BC106" s="33" t="e">
        <f>VLOOKUP(A106,'Données projet'!$A$113:$I$133,9,0)</f>
        <v>#N/A</v>
      </c>
      <c r="BD106" s="33">
        <f t="array" ref="BD106">INDEX(BC:BC,MIN(IF(ISNUMBER(BC106:BC302),ROW(BC106:BC302),"")))</f>
        <v>0</v>
      </c>
      <c r="BE106" s="33">
        <f t="shared" si="70"/>
        <v>0</v>
      </c>
      <c r="BF106" s="34" t="e">
        <f>BE106*VLOOKUP('Données projet'!$B$12,Paramètres!$A$1:$I$88,3,0)*VLOOKUP('Données projet'!$B$12,Paramètres!$A$1:$I$88,5,0)</f>
        <v>#N/A</v>
      </c>
      <c r="BG106" s="34" t="e">
        <f t="shared" si="71"/>
        <v>#N/A</v>
      </c>
      <c r="BH106" s="44" t="e">
        <f t="shared" si="48"/>
        <v>#N/A</v>
      </c>
      <c r="BI106" s="36">
        <f>IF(ISNA(VLOOKUP(A106,'Données projet'!$A$113:$I$133,3,0)),0,VLOOKUP(A106,'Données projet'!$A$113:$I$133,3,0))</f>
        <v>0</v>
      </c>
      <c r="BJ106" s="36">
        <f>IF(ISNA(VLOOKUP(A106,'Données projet'!$A$113:$I$133,4,0)),0,VLOOKUP(A106,'Données projet'!$A$113:$I$133,4,0))</f>
        <v>0</v>
      </c>
      <c r="BK106" s="37">
        <f>IF(ISNA(VLOOKUP(A106,'Données projet'!$A$113:$I$133,5,0)),0%,VLOOKUP(A106,'Données projet'!$A$113:$I$133,5,0)*VLOOKUP('Données projet'!$B$12,Paramètres!$A$1:$I$88,7,0))</f>
        <v>0</v>
      </c>
      <c r="BL106" s="37">
        <f>IF(ISNA(VLOOKUP(A106,'Données projet'!$A$113:$I$133,6,0)),0%,VLOOKUP(A106,'Données projet'!$A$113:$I$133,6,0)*VLOOKUP('Données projet'!$B$12,Paramètres!$A$1:$I$88,7,0))</f>
        <v>0</v>
      </c>
      <c r="BM106" s="37">
        <f>IF(ISNA(VLOOKUP(A106,'Données projet'!$A$113:$I$133,7,0)),0%,VLOOKUP(A106,'Données projet'!$A$113:$I$133,7,0))</f>
        <v>0</v>
      </c>
      <c r="BN106" s="45">
        <f>EXP(-LN(2)/35)*BN105+(1-EXP(-LN(2)/35))/(LN(2)/35)*BJ106*BK106*VLOOKUP('Données projet'!$B$9,Paramètres!$A$1:$I$88,3,0)*0.475*44/12</f>
        <v>0</v>
      </c>
      <c r="BO106" s="45">
        <f>EXP(-LN(2)/25)*BO105+(1-EXP(-LN(2)/25))/(LN(2)/25)*Calculateur!BJ106*Calculateur!BL106*VLOOKUP('Données projet'!$B$9,Paramètres!$A$1:$I$88,3,0)*0.475*44/12</f>
        <v>0</v>
      </c>
      <c r="BP106" s="45">
        <f>EXP(-LN(2)/2)*BP105+(1-EXP(-LN(2)/2))/(LN(2)/2)*BJ106*BM106*VLOOKUP('Données projet'!$B$9,Paramètres!$A$1:$I$88,3,0)*0.475*44/12</f>
        <v>0</v>
      </c>
      <c r="BQ106" s="46">
        <f t="shared" si="49"/>
        <v>0</v>
      </c>
      <c r="BR106" s="32" t="e">
        <f>VLOOKUP(A106,'Données projet'!$A$139:$I$159,2,0)</f>
        <v>#N/A</v>
      </c>
      <c r="BS106" s="33" t="e">
        <f>VLOOKUP(A106,'Données projet'!$A$139:$I$159,9,0)</f>
        <v>#N/A</v>
      </c>
      <c r="BT106" s="33">
        <f t="array" ref="BT106">INDEX(BS:BS,MIN(IF(ISNUMBER(BS106:BS302),ROW(BS106:BS302),"")))</f>
        <v>0</v>
      </c>
      <c r="BU106" s="33">
        <f t="shared" si="72"/>
        <v>0</v>
      </c>
      <c r="BV106" s="38" t="e">
        <f>BU106*VLOOKUP('Données projet'!$B$13,Paramètres!$A$1:$I$88,3,0)*VLOOKUP('Données projet'!$B$13,Paramètres!$A$1:$I$88,5,0)</f>
        <v>#N/A</v>
      </c>
      <c r="BW106" s="34" t="e">
        <f t="shared" si="73"/>
        <v>#N/A</v>
      </c>
      <c r="BX106" s="44" t="e">
        <f t="shared" si="50"/>
        <v>#N/A</v>
      </c>
      <c r="BY106" s="36">
        <f>IF(ISNA(VLOOKUP(A106,'Données projet'!$A$139:$I$159,3,0)),0,VLOOKUP(A106,'Données projet'!$A$139:$I$159,3,0))</f>
        <v>0</v>
      </c>
      <c r="BZ106" s="36">
        <f>IF(ISNA(VLOOKUP(A106,'Données projet'!$A$139:$I$159,4,0)),0,VLOOKUP(A106,'Données projet'!$A$139:$I$159,4,0))</f>
        <v>0</v>
      </c>
      <c r="CA106" s="37">
        <f>IF(ISNA(VLOOKUP(A106,'Données projet'!$A$139:$I$159,5,0)),0%,VLOOKUP(A106,'Données projet'!$A$139:$I$159,5,0)*VLOOKUP('Données projet'!$B$13,Paramètres!$A$1:$I$88,7,0))</f>
        <v>0</v>
      </c>
      <c r="CB106" s="37">
        <f>IF(ISNA(VLOOKUP(A106,'Données projet'!$A$139:$I$159,6,0)),0%,VLOOKUP(A106,'Données projet'!$A$139:$I$159,6,0)*VLOOKUP('Données projet'!$B$13,Paramètres!$A$1:$I$88,7,0))</f>
        <v>0</v>
      </c>
      <c r="CC106" s="37">
        <f>IF(ISNA(VLOOKUP(A106,'Données projet'!$A$139:$I$159,7,0)),0%,VLOOKUP(A106,'Données projet'!$A$139:$I$159,7,0))</f>
        <v>0</v>
      </c>
      <c r="CD106" s="45">
        <f>EXP(-LN(2)/35)*CD105+(1-EXP(-LN(2)/35))/(LN(2)/35)*BZ106*CA106*VLOOKUP('Données projet'!$B$9,Paramètres!$A$1:$I$88,3,0)*0.475*44/12</f>
        <v>0</v>
      </c>
      <c r="CE106" s="45">
        <f>EXP(-LN(2)/25)*CE105+(1-EXP(-LN(2)/25))/(LN(2)/25)*Calculateur!BZ106*Calculateur!CB106*VLOOKUP('Données projet'!$B$9,Paramètres!$A$1:$I$88,3,0)*0.475*44/12</f>
        <v>0</v>
      </c>
      <c r="CF106" s="45">
        <f>EXP(-LN(2)/2)*CF105+(1-EXP(-LN(2)/2))/(LN(2)/2)*BZ106*CC106*VLOOKUP('Données projet'!$B$9,Paramètres!$A$1:$I$88,3,0)*0.475*44/12</f>
        <v>0</v>
      </c>
      <c r="CG106" s="46">
        <f t="shared" si="51"/>
        <v>0</v>
      </c>
      <c r="CH106" s="32" t="e">
        <f>VLOOKUP(A106,'Données projet'!$A$165:$I$185,2,0)</f>
        <v>#N/A</v>
      </c>
      <c r="CI106" s="33" t="e">
        <f>VLOOKUP(A106,'Données projet'!$A$165:$I$185,9,0)</f>
        <v>#N/A</v>
      </c>
      <c r="CJ106" s="33">
        <f t="array" ref="CJ106">INDEX(CI:CI,MIN(IF(ISNUMBER(CI106:CI302),ROW(CI106:CI302),"")))</f>
        <v>0</v>
      </c>
      <c r="CK106" s="33">
        <f t="shared" si="74"/>
        <v>0</v>
      </c>
      <c r="CL106" s="38" t="e">
        <f>CK106*VLOOKUP('Données projet'!$B$14,Paramètres!$A$1:$I$88,3,0)*VLOOKUP('Données projet'!$B$14,Paramètres!$A$1:$I$88,5,0)</f>
        <v>#N/A</v>
      </c>
      <c r="CM106" s="34" t="e">
        <f t="shared" si="75"/>
        <v>#N/A</v>
      </c>
      <c r="CN106" s="44" t="e">
        <f t="shared" si="52"/>
        <v>#N/A</v>
      </c>
      <c r="CO106" s="36">
        <f>IF(ISNA(VLOOKUP(A106,'Données projet'!$A$165:$I$185,3,0)),0,VLOOKUP(A106,'Données projet'!$A$165:$I$185,3,0))</f>
        <v>0</v>
      </c>
      <c r="CP106" s="36">
        <f>IF(ISNA(VLOOKUP(A106,'Données projet'!$A$165:$I$185,4,0)),0,VLOOKUP(A106,'Données projet'!$A$165:$I$185,4,0))</f>
        <v>0</v>
      </c>
      <c r="CQ106" s="37">
        <f>IF(ISNA(VLOOKUP(A106,'Données projet'!$A$165:$I$185,5,0)),0%,VLOOKUP(A106,'Données projet'!$A$165:$I$185,5,0)*VLOOKUP('Données projet'!$B$14,Paramètres!$A$1:$I$88,7,0))</f>
        <v>0</v>
      </c>
      <c r="CR106" s="37">
        <f>IF(ISNA(VLOOKUP(A106,'Données projet'!$A$165:$I$185,6,0)),0%,VLOOKUP(A106,'Données projet'!$A$165:$I$185,6,0)*VLOOKUP('Données projet'!$B$14,Paramètres!$A$1:$I$88,7,0))</f>
        <v>0</v>
      </c>
      <c r="CS106" s="37">
        <f>IF(ISNA(VLOOKUP(A106,'Données projet'!$A$165:$I$185,7,0)),0%,VLOOKUP(A106,'Données projet'!$A$165:$I$185,7,0))</f>
        <v>0</v>
      </c>
      <c r="CT106" s="45">
        <f>EXP(-LN(2)/35)*CT105+(1-EXP(-LN(2)/35))/(LN(2)/35)*CP106*CQ106*VLOOKUP('Données projet'!$B$9,Paramètres!$A$1:$I$88,3,0)*0.475*44/12</f>
        <v>0</v>
      </c>
      <c r="CU106" s="45">
        <f>EXP(-LN(2)/25)*CU105+(1-EXP(-LN(2)/25))/(LN(2)/25)*Calculateur!CP106*Calculateur!CR106*VLOOKUP('Données projet'!$B$9,Paramètres!$A$1:$I$88,3,0)*0.475*44/12</f>
        <v>0</v>
      </c>
      <c r="CV106" s="45">
        <f>EXP(-LN(2)/2)*CV105+(1-EXP(-LN(2)/2))/(LN(2)/2)*CP106*CS106*VLOOKUP('Données projet'!$B$9,Paramètres!$A$1:$I$88,3,0)*0.475*44/12</f>
        <v>0</v>
      </c>
      <c r="CW106" s="46">
        <f t="shared" si="53"/>
        <v>0</v>
      </c>
      <c r="CX106" s="32" t="e">
        <f>VLOOKUP(A106,'Données projet'!$A$191:$I$211,2,0)</f>
        <v>#N/A</v>
      </c>
      <c r="CY106" s="33" t="e">
        <f>VLOOKUP(A106,'Données projet'!$A$191:$I$211,9,0)</f>
        <v>#N/A</v>
      </c>
      <c r="CZ106" s="33">
        <f t="array" ref="CZ106">INDEX(CY:CY,MIN(IF(ISNUMBER(CY106:CY302),ROW(CY106:CY302),"")))</f>
        <v>0</v>
      </c>
      <c r="DA106" s="33">
        <f t="shared" si="76"/>
        <v>0</v>
      </c>
      <c r="DB106" s="38" t="e">
        <f>DA106*VLOOKUP('Données projet'!$B$15,Paramètres!$A$1:$I$88,3,0)*VLOOKUP('Données projet'!$B$15,Paramètres!$A$1:$I$88,5,0)</f>
        <v>#N/A</v>
      </c>
      <c r="DC106" s="34" t="e">
        <f t="shared" si="77"/>
        <v>#N/A</v>
      </c>
      <c r="DD106" s="44" t="e">
        <f t="shared" si="54"/>
        <v>#N/A</v>
      </c>
      <c r="DE106" s="36">
        <f>IF(ISNA(VLOOKUP(A106,'Données projet'!$A$191:$I$211,3,0)),0,VLOOKUP(A106,'Données projet'!$A$191:$I$211,3,0))</f>
        <v>0</v>
      </c>
      <c r="DF106" s="36">
        <f>IF(ISNA(VLOOKUP(A106,'Données projet'!$A$191:$I$211,4,0)),0,VLOOKUP(A106,'Données projet'!$A$191:$I$211,4,0))</f>
        <v>0</v>
      </c>
      <c r="DG106" s="37">
        <f>IF(ISNA(VLOOKUP(A106,'Données projet'!$A$191:$I$211,5,0)),0%,VLOOKUP(A106,'Données projet'!$A$191:$I$211,5,0)*VLOOKUP('Données projet'!$B$15,Paramètres!$A$1:$I$88,7,0))</f>
        <v>0</v>
      </c>
      <c r="DH106" s="37">
        <f>IF(ISNA(VLOOKUP(A106,'Données projet'!$A$191:$I$211,6,0)),0%,VLOOKUP(A106,'Données projet'!$A$191:$I$211,6,0)*VLOOKUP('Données projet'!$B$15,Paramètres!$A$1:$I$88,7,0))</f>
        <v>0</v>
      </c>
      <c r="DI106" s="37">
        <f>IF(ISNA(VLOOKUP(A106,'Données projet'!$A$191:$I$211,7,0)),0%,VLOOKUP(A106,'Données projet'!$A$191:$I$211,7,0))</f>
        <v>0</v>
      </c>
      <c r="DJ106" s="45">
        <f>EXP(-LN(2)/35)*DJ105+(1-EXP(-LN(2)/35))/(LN(2)/35)*DF106*DG106*VLOOKUP('Données projet'!$B$9,Paramètres!$A$1:$I$88,3,0)*0.475*44/12</f>
        <v>0</v>
      </c>
      <c r="DK106" s="45">
        <f>EXP(-LN(2)/25)*DK105+(1-EXP(-LN(2)/25))/(LN(2)/25)*Calculateur!DF106*Calculateur!DH106*VLOOKUP('Données projet'!$B$9,Paramètres!$A$1:$I$88,3,0)*0.475*44/12</f>
        <v>0</v>
      </c>
      <c r="DL106" s="45">
        <f>EXP(-LN(2)/2)*DL105+(1-EXP(-LN(2)/2))/(LN(2)/2)*DF106*DI106*VLOOKUP('Données projet'!$B$9,Paramètres!$A$1:$I$88,3,0)*0.475*44/12</f>
        <v>0</v>
      </c>
      <c r="DM106" s="46">
        <f t="shared" si="55"/>
        <v>0</v>
      </c>
      <c r="DN106" s="32" t="e">
        <f>VLOOKUP(A106,'Données projet'!$A$217:$I$237,2,0)</f>
        <v>#N/A</v>
      </c>
      <c r="DO106" s="33" t="e">
        <f>VLOOKUP(A106,'Données projet'!$A$217:$I$237,9,0)</f>
        <v>#N/A</v>
      </c>
      <c r="DP106" s="33">
        <f t="array" ref="DP106">INDEX(DO:DO,MIN(IF(ISNUMBER(DO106:DO302),ROW(DO106:DO302),"")))</f>
        <v>0</v>
      </c>
      <c r="DQ106" s="33">
        <f t="shared" si="78"/>
        <v>0</v>
      </c>
      <c r="DR106" s="38" t="e">
        <f>DQ106*VLOOKUP('Données projet'!$B$16,Paramètres!$A$1:$I$88,3,0)*VLOOKUP('Données projet'!$B$16,Paramètres!$A$1:$I$88,5,0)</f>
        <v>#N/A</v>
      </c>
      <c r="DS106" s="34" t="e">
        <f t="shared" si="79"/>
        <v>#N/A</v>
      </c>
      <c r="DT106" s="44" t="e">
        <f t="shared" si="56"/>
        <v>#N/A</v>
      </c>
      <c r="DU106" s="36">
        <f>IF(ISNA(VLOOKUP(A106,'Données projet'!$A$217:$I$237,3,0)),0,VLOOKUP(A106,'Données projet'!$A$217:$I$237,3,0))</f>
        <v>0</v>
      </c>
      <c r="DV106" s="36">
        <f>IF(ISNA(VLOOKUP(A106,'Données projet'!$A$217:$I$237,4,0)),0,VLOOKUP(A106,'Données projet'!$A$217:$I$237,4,0))</f>
        <v>0</v>
      </c>
      <c r="DW106" s="37">
        <f>IF(ISNA(VLOOKUP(A106,'Données projet'!$A$217:$I$237,5,0)),0%,VLOOKUP(A106,'Données projet'!$A$217:$I$237,5,0)*VLOOKUP('Données projet'!$B$16,Paramètres!$A$1:$I$88,7,0))</f>
        <v>0</v>
      </c>
      <c r="DX106" s="37">
        <f>IF(ISNA(VLOOKUP(A106,'Données projet'!$A$217:$I$237,6,0)),0%,VLOOKUP(A106,'Données projet'!$A$217:$I$237,6,0)*VLOOKUP('Données projet'!$B$16,Paramètres!$A$1:$I$88,7,0))</f>
        <v>0</v>
      </c>
      <c r="DY106" s="37">
        <f>IF(ISNA(VLOOKUP(A106,'Données projet'!$A$217:$I$237,7,0)),0%,VLOOKUP(A106,'Données projet'!$A$217:$I$237,7,0))</f>
        <v>0</v>
      </c>
      <c r="DZ106" s="45">
        <f>EXP(-LN(2)/35)*DZ105+(1-EXP(-LN(2)/35))/(LN(2)/35)*DV106*DW106*VLOOKUP('Données projet'!$B$9,Paramètres!$A$1:$I$88,3,0)*0.475*44/12</f>
        <v>0</v>
      </c>
      <c r="EA106" s="45">
        <f>EXP(-LN(2)/25)*EA105+(1-EXP(-LN(2)/25))/(LN(2)/25)*Calculateur!DV106*Calculateur!DX106*VLOOKUP('Données projet'!$B$9,Paramètres!$A$1:$I$88,3,0)*0.475*44/12</f>
        <v>0</v>
      </c>
      <c r="EB106" s="45">
        <f>EXP(-LN(2)/2)*EB105+(1-EXP(-LN(2)/2))/(LN(2)/2)*DV106*DY106*VLOOKUP('Données projet'!$B$9,Paramètres!$A$1:$I$88,3,0)*0.475*44/12</f>
        <v>0</v>
      </c>
      <c r="EC106" s="46">
        <f t="shared" si="57"/>
        <v>0</v>
      </c>
      <c r="ED106" s="32" t="e">
        <f>VLOOKUP(A106,'Données projet'!$A$243:$I$263,2,0)</f>
        <v>#N/A</v>
      </c>
      <c r="EE106" s="33" t="e">
        <f>VLOOKUP(A106,'Données projet'!$A$243:$I$263,9,0)</f>
        <v>#N/A</v>
      </c>
      <c r="EF106" s="33">
        <f t="array" ref="EF106">INDEX(EE:EE,MIN(IF(ISNUMBER(EE106:EE302),ROW(EE106:EE302),"")))</f>
        <v>0</v>
      </c>
      <c r="EG106" s="33">
        <f t="shared" si="80"/>
        <v>0</v>
      </c>
      <c r="EH106" s="38" t="e">
        <f>EG106*VLOOKUP('Données projet'!$B$17,Paramètres!$A$1:$I$88,3,0)*VLOOKUP('Données projet'!$B$17,Paramètres!$A$1:$I$88,5,0)</f>
        <v>#N/A</v>
      </c>
      <c r="EI106" s="34" t="e">
        <f t="shared" si="81"/>
        <v>#N/A</v>
      </c>
      <c r="EJ106" s="44" t="e">
        <f t="shared" si="58"/>
        <v>#N/A</v>
      </c>
      <c r="EK106" s="36">
        <f>IF(ISNA(VLOOKUP(A106,'Données projet'!$A$243:$I$263,3,0)),0,VLOOKUP(A106,'Données projet'!$A$243:$I$263,3,0))</f>
        <v>0</v>
      </c>
      <c r="EL106" s="36">
        <f>IF(ISNA(VLOOKUP(A106,'Données projet'!$A$243:$I$263,4,0)),0,VLOOKUP(A106,'Données projet'!$A$243:$I$263,4,0))</f>
        <v>0</v>
      </c>
      <c r="EM106" s="37">
        <f>IF(ISNA(VLOOKUP(A106,'Données projet'!$A$243:$I$263,5,0)),0%,VLOOKUP(A106,'Données projet'!$A$243:$I$263,5,0)*VLOOKUP('Données projet'!$B$17,Paramètres!$A$1:$I$88,7,0))</f>
        <v>0</v>
      </c>
      <c r="EN106" s="37">
        <f>IF(ISNA(VLOOKUP(A106,'Données projet'!$A$243:$I$263,6,0)),0%,VLOOKUP(A106,'Données projet'!$A$243:$I$263,6,0)*VLOOKUP('Données projet'!$B$17,Paramètres!$A$1:$I$88,7,0))</f>
        <v>0</v>
      </c>
      <c r="EO106" s="37">
        <f>IF(ISNA(VLOOKUP(A106,'Données projet'!$A$243:$I$263,7,0)),0%,VLOOKUP(A106,'Données projet'!$A$243:$I$263,7,0))</f>
        <v>0</v>
      </c>
      <c r="EP106" s="45">
        <f>EXP(-LN(2)/35)*EP105+(1-EXP(-LN(2)/35))/(LN(2)/35)*EL106*EM106*VLOOKUP('Données projet'!$B$9,Paramètres!$A$1:$I$88,3,0)*0.475*44/12</f>
        <v>0</v>
      </c>
      <c r="EQ106" s="45">
        <f>EXP(-LN(2)/25)*EQ105+(1-EXP(-LN(2)/25))/(LN(2)/25)*Calculateur!EL106*Calculateur!EN106*VLOOKUP('Données projet'!$B$9,Paramètres!$A$1:$I$88,3,0)*0.475*44/12</f>
        <v>0</v>
      </c>
      <c r="ER106" s="45">
        <f>EXP(-LN(2)/2)*ER105+(1-EXP(-LN(2)/2))/(LN(2)/2)*EL106*EO106*VLOOKUP('Données projet'!$B$9,Paramètres!$A$1:$I$88,3,0)*0.475*44/12</f>
        <v>0</v>
      </c>
      <c r="ES106" s="46">
        <f t="shared" si="59"/>
        <v>0</v>
      </c>
      <c r="ET106" s="32" t="e">
        <f>VLOOKUP(A106,'Données projet'!$A$269:$I$289,2,0)</f>
        <v>#N/A</v>
      </c>
      <c r="EU106" s="33" t="e">
        <f>VLOOKUP(A106,'Données projet'!$A$269:$I$289,9,0)</f>
        <v>#N/A</v>
      </c>
      <c r="EV106" s="33">
        <f t="array" ref="EV106">INDEX(EU:EU,MIN(IF(ISNUMBER(EU106:EU302),ROW(EU106:EU302),"")))</f>
        <v>0</v>
      </c>
      <c r="EW106" s="33">
        <f t="shared" si="82"/>
        <v>0</v>
      </c>
      <c r="EX106" s="38" t="e">
        <f>EW106*VLOOKUP('Données projet'!$B$18,Paramètres!$A$1:$I$88,3,0)*VLOOKUP('Données projet'!$B$18,Paramètres!$A$1:$I$88,5,0)</f>
        <v>#N/A</v>
      </c>
      <c r="EY106" s="34" t="e">
        <f t="shared" si="83"/>
        <v>#N/A</v>
      </c>
      <c r="EZ106" s="44" t="e">
        <f t="shared" si="60"/>
        <v>#N/A</v>
      </c>
      <c r="FA106" s="36">
        <f>IF(ISNA(VLOOKUP(A106,'Données projet'!$A$269:$I$289,3,0)),0,VLOOKUP(A106,'Données projet'!$A$269:$I$289,3,0))</f>
        <v>0</v>
      </c>
      <c r="FB106" s="36">
        <f>IF(ISNA(VLOOKUP(A106,'Données projet'!$A$269:$I$289,4,0)),0,VLOOKUP(A106,'Données projet'!$A$269:$I$289,4,0))</f>
        <v>0</v>
      </c>
      <c r="FC106" s="37">
        <f>IF(ISNA(VLOOKUP(A106,'Données projet'!$A$269:$I$289,5,0)),0%,VLOOKUP(A106,'Données projet'!$A$269:$I$289,5,0)*VLOOKUP('Données projet'!$B$18,Paramètres!$A$1:$I$88,7,0))</f>
        <v>0</v>
      </c>
      <c r="FD106" s="37">
        <f>IF(ISNA(VLOOKUP(A106,'Données projet'!$A$269:$I$289,6,0)),0%,VLOOKUP(A106,'Données projet'!$A$269:$I$289,6,0)*VLOOKUP('Données projet'!$B$18,Paramètres!$A$1:$I$88,7,0))</f>
        <v>0</v>
      </c>
      <c r="FE106" s="37">
        <f>IF(ISNA(VLOOKUP(A106,'Données projet'!$A$269:$I$289,7,0)),0%,VLOOKUP(A106,'Données projet'!$A$269:$I$289,7,0))</f>
        <v>0</v>
      </c>
      <c r="FF106" s="45">
        <f>EXP(-LN(2)/35)*FF105+(1-EXP(-LN(2)/35))/(LN(2)/35)*FB106*FC106*VLOOKUP('Données projet'!$B$9,Paramètres!$A$1:$I$88,3,0)*0.475*44/12</f>
        <v>0</v>
      </c>
      <c r="FG106" s="45">
        <f>EXP(-LN(2)/25)*FG105+(1-EXP(-LN(2)/25))/(LN(2)/25)*Calculateur!FB106*Calculateur!FD106*VLOOKUP('Données projet'!$B$9,Paramètres!$A$1:$I$88,3,0)*0.475*44/12</f>
        <v>0</v>
      </c>
      <c r="FH106" s="45">
        <f>EXP(-LN(2)/2)*FH105+(1-EXP(-LN(2)/2))/(LN(2)/2)*FB106*FE106*VLOOKUP('Données projet'!$B$9,Paramètres!$A$1:$I$88,3,0)*0.475*44/12</f>
        <v>0</v>
      </c>
      <c r="FI106" s="46">
        <f t="shared" si="61"/>
        <v>0</v>
      </c>
    </row>
    <row r="107" spans="1:165" x14ac:dyDescent="0.25">
      <c r="A107" s="24">
        <f t="shared" si="62"/>
        <v>104</v>
      </c>
      <c r="B107" s="25">
        <f>IF('Scénario référence'!$N$1=1,5,0)</f>
        <v>0</v>
      </c>
      <c r="C107" s="40">
        <f>IF(OR('Scénario référence'!$N$1=2,'Scénario référence'!$N$1=4),C106+1*VLOOKUP('Scénario référence'!$G$14,Paramètres!$A$1:$I$88,3,0)*VLOOKUP('Scénario référence'!$G$14,Paramètres!$A$1:$I$88,5,0),IF(OR('Scénario référence'!$N$1=3,'Scénario référence'!$N$1=5),C106+0.5*VLOOKUP('Scénario référence'!$G$14,Paramètres!$A$1:$I$88,3,0)*VLOOKUP('Scénario référence'!$G$14,Paramètres!$A$1:$I$88,5,0),0))</f>
        <v>56.783999999999949</v>
      </c>
      <c r="D107" s="26">
        <f t="shared" si="63"/>
        <v>16.352574732529348</v>
      </c>
      <c r="E107" s="27">
        <f>IF('Scénario référence'!$N$1=1,B107*44/12,(C107+D107)*0.475*44/12)</f>
        <v>127.37953432582185</v>
      </c>
      <c r="F107" s="28" t="e">
        <f>VLOOKUP(A107,'Données projet'!$A$35:$I$55,2,0)</f>
        <v>#N/A</v>
      </c>
      <c r="G107" s="28" t="e">
        <f>VLOOKUP(A107,'Données projet'!$A$35:$I$55,9,0)</f>
        <v>#N/A</v>
      </c>
      <c r="H107" s="33">
        <f t="array" ref="H107">INDEX(G:G,MIN(IF(ISNUMBER(G107:G303),ROW(G107:G303),"")))</f>
        <v>4.7</v>
      </c>
      <c r="I107" s="28">
        <f t="shared" si="64"/>
        <v>300.29999999999956</v>
      </c>
      <c r="J107" s="41">
        <f>I107*VLOOKUP('Données projet'!$B$9,Paramètres!$A$1:$I$88,3,0)*VLOOKUP('Données projet'!$B$9,Paramètres!$A$1:$I$88,5,0)</f>
        <v>304.50419999999957</v>
      </c>
      <c r="K107" s="41">
        <f t="shared" si="65"/>
        <v>72.11989627512429</v>
      </c>
      <c r="L107" s="42">
        <f t="shared" si="42"/>
        <v>655.95363434584067</v>
      </c>
      <c r="M107" s="30">
        <f>IF(ISNA(VLOOKUP(A107,'Données projet'!$A$35:$I$55,3,0)),0,VLOOKUP(A107,'Données projet'!$A$35:$I$55,3,0))</f>
        <v>0</v>
      </c>
      <c r="N107" s="30">
        <f>IF(ISNA(VLOOKUP(A107,'Données projet'!$A$35:$I$55,4,0)),0,VLOOKUP(A107,'Données projet'!$A$35:$I$55,4,0))</f>
        <v>0</v>
      </c>
      <c r="O107" s="31">
        <f>IF(ISNA(VLOOKUP(A107,'Données projet'!$A$35:$I$55,5,0)),0%,VLOOKUP(A107,'Données projet'!$A$35:$I$55,5,0)*VLOOKUP('Données projet'!$B$9,Paramètres!$A$1:$I$88,7,0))</f>
        <v>0</v>
      </c>
      <c r="P107" s="31">
        <f>IF(ISNA(VLOOKUP(A107,'Données projet'!$A$35:$I$55,6,0)),0%,VLOOKUP(A107,'Données projet'!$A$35:$I$55,6,0)*VLOOKUP('Données projet'!$B$9,Paramètres!$A$1:$I$88,7,0))</f>
        <v>0</v>
      </c>
      <c r="Q107" s="31">
        <f>IF(ISNA(VLOOKUP(A107,'Données projet'!$A$35:$I$55,7,0)),0%,VLOOKUP(A107,'Données projet'!$A$35:$I$55,7,0))</f>
        <v>0</v>
      </c>
      <c r="R107" s="43">
        <f>EXP(-LN(2)/35)*R106+(1-EXP(-LN(2)/35))/(LN(2)/35)*N107*O107*VLOOKUP('Données projet'!$B$9,Paramètres!$A$1:$I$88,3,0)*0.475*44/12</f>
        <v>0</v>
      </c>
      <c r="S107" s="43">
        <f>EXP(-LN(2)/25)*S106+(1-EXP(-LN(2)/25))/(LN(2)/25)*Calculateur!N107*Calculateur!P107*VLOOKUP('Données projet'!$B$9,Paramètres!$A$1:$I$88,3,0)*0.475*44/12</f>
        <v>0</v>
      </c>
      <c r="T107" s="43">
        <f>EXP(-LN(2)/2)*T106+(1-EXP(-LN(2)/2))/(LN(2)/2)*N107*Q107*VLOOKUP('Données projet'!$B$9,Paramètres!$A$1:$I$88,3,0)*0.475*44/12</f>
        <v>0</v>
      </c>
      <c r="U107" s="43">
        <f t="shared" si="43"/>
        <v>0</v>
      </c>
      <c r="V107" s="32" t="e">
        <f>VLOOKUP(A107,'Données projet'!$A$61:$I$81,2,0)</f>
        <v>#N/A</v>
      </c>
      <c r="W107" s="33" t="e">
        <f>VLOOKUP(A107,'Données projet'!$A$61:$I$81,9,0)</f>
        <v>#N/A</v>
      </c>
      <c r="X107" s="33">
        <f t="array" ref="X107">INDEX(W:W,MIN(IF(ISNUMBER(W107:W303),ROW(W107:W303),"")))</f>
        <v>0</v>
      </c>
      <c r="Y107" s="33">
        <f t="shared" si="66"/>
        <v>0</v>
      </c>
      <c r="Z107" s="34" t="e">
        <f>Y107*VLOOKUP('Données projet'!$B$10,Paramètres!$A$1:$I$88,3,0)*VLOOKUP('Données projet'!$B$10,Paramètres!$A$1:$I$88,5,0)</f>
        <v>#N/A</v>
      </c>
      <c r="AA107" s="34" t="e">
        <f t="shared" si="67"/>
        <v>#N/A</v>
      </c>
      <c r="AB107" s="44" t="e">
        <f t="shared" si="44"/>
        <v>#N/A</v>
      </c>
      <c r="AC107" s="36">
        <f>IF(ISNA(VLOOKUP(A107,'Données projet'!$A$61:$I$81,3,0)),0,VLOOKUP(A107,'Données projet'!$A$61:$I$81,3,0))</f>
        <v>0</v>
      </c>
      <c r="AD107" s="36">
        <f>IF(ISNA(VLOOKUP(A107,'Données projet'!$A$61:$I$81,4,0)),0,VLOOKUP(A107,'Données projet'!$A$61:$I$81,4,0))</f>
        <v>0</v>
      </c>
      <c r="AE107" s="37">
        <f>IF(ISNA(VLOOKUP(A107,'Données projet'!$A$61:$I$81,5,0)),0%,VLOOKUP(A107,'Données projet'!$A$61:$I$81,5,0)*VLOOKUP('Données projet'!$B$10,Paramètres!$A$1:$I$88,7,0))</f>
        <v>0</v>
      </c>
      <c r="AF107" s="37">
        <f>IF(ISNA(VLOOKUP(A107,'Données projet'!$A$61:$I$81,6,0)),0%,VLOOKUP(A107,'Données projet'!$A$61:$I$81,6,0)*VLOOKUP('Données projet'!$B$10,Paramètres!$A$1:$I$88,7,0))</f>
        <v>0</v>
      </c>
      <c r="AG107" s="37">
        <f>IF(ISNA(VLOOKUP(A107,'Données projet'!$A$61:$I$81,7,0)),0%,VLOOKUP(A107,'Données projet'!$A$61:$I$81,7,0))</f>
        <v>0</v>
      </c>
      <c r="AH107" s="45">
        <f>EXP(-LN(2)/35)*AH106+(1-EXP(-LN(2)/35))/(LN(2)/35)*AD107*AE107*VLOOKUP('Données projet'!$B$9,Paramètres!$A$1:$I$88,3,0)*0.475*44/12</f>
        <v>0</v>
      </c>
      <c r="AI107" s="45">
        <f>EXP(-LN(2)/25)*AI106+(1-EXP(-LN(2)/25))/(LN(2)/25)*Calculateur!AD107*Calculateur!AF107*VLOOKUP('Données projet'!$B$9,Paramètres!$A$1:$I$88,3,0)*0.475*44/12</f>
        <v>0</v>
      </c>
      <c r="AJ107" s="45">
        <f>EXP(-LN(2)/2)*AJ106+(1-EXP(-LN(2)/2))/(LN(2)/2)*AD107*AG107*VLOOKUP('Données projet'!$B$9,Paramètres!$A$1:$I$88,3,0)*0.475*44/12</f>
        <v>0</v>
      </c>
      <c r="AK107" s="45">
        <f t="shared" si="45"/>
        <v>0</v>
      </c>
      <c r="AL107" s="32" t="e">
        <f>VLOOKUP(A107,'Données projet'!$A$87:$I$107,2,0)</f>
        <v>#N/A</v>
      </c>
      <c r="AM107" s="33" t="e">
        <f>VLOOKUP(A107,'Données projet'!$A$87:$I$107,9,0)</f>
        <v>#N/A</v>
      </c>
      <c r="AN107" s="33">
        <f t="array" ref="AN107">INDEX(AM:AM,MIN(IF(ISNUMBER(AM107:AM303),ROW(AM107:AM303),"")))</f>
        <v>0</v>
      </c>
      <c r="AO107" s="33">
        <f t="shared" si="68"/>
        <v>0</v>
      </c>
      <c r="AP107" s="34" t="e">
        <f>AO107*VLOOKUP('Données projet'!$B$11,Paramètres!$A$1:$I$88,3,0)*VLOOKUP('Données projet'!$B$11,Paramètres!$A$1:$I$88,5,0)</f>
        <v>#N/A</v>
      </c>
      <c r="AQ107" s="34" t="e">
        <f t="shared" si="69"/>
        <v>#N/A</v>
      </c>
      <c r="AR107" s="44" t="e">
        <f t="shared" si="46"/>
        <v>#N/A</v>
      </c>
      <c r="AS107" s="36">
        <f>IF(ISNA(VLOOKUP(A107,'Données projet'!$A$87:$I$107,3,0)),0,VLOOKUP(A107,'Données projet'!$A$87:$I$107,3,0))</f>
        <v>0</v>
      </c>
      <c r="AT107" s="36">
        <f>IF(ISNA(VLOOKUP(A107,'Données projet'!$A$87:$I$107,4,0)),0,VLOOKUP(A107,'Données projet'!$A$87:$I$107,4,0))</f>
        <v>0</v>
      </c>
      <c r="AU107" s="37">
        <f>IF(ISNA(VLOOKUP(A107,'Données projet'!$A$87:$I$107,5,0)),0%,VLOOKUP(A107,'Données projet'!$A$87:$I$107,5,0)*VLOOKUP('Données projet'!$B$11,Paramètres!$A$1:$I$88,7,0))</f>
        <v>0</v>
      </c>
      <c r="AV107" s="37">
        <f>IF(ISNA(VLOOKUP(A107,'Données projet'!$A$87:$I$107,6,0)),0%,VLOOKUP(A107,'Données projet'!$A$87:$I$107,6,0)*VLOOKUP('Données projet'!$B$11,Paramètres!$A$1:$I$88,7,0))</f>
        <v>0</v>
      </c>
      <c r="AW107" s="37">
        <f>IF(ISNA(VLOOKUP(A107,'Données projet'!$A$87:$I$107,7,0)),0%,VLOOKUP(A107,'Données projet'!$A$87:$I$107,7,0))</f>
        <v>0</v>
      </c>
      <c r="AX107" s="45">
        <f>EXP(-LN(2)/35)*AX106+(1-EXP(-LN(2)/35))/(LN(2)/35)*AT107*AU107*VLOOKUP('Données projet'!$B$9,Paramètres!$A$1:$I$88,3,0)*0.475*44/12</f>
        <v>0</v>
      </c>
      <c r="AY107" s="45">
        <f>EXP(-LN(2)/25)*AY106+(1-EXP(-LN(2)/25))/(LN(2)/25)*Calculateur!AT107*Calculateur!AV107*VLOOKUP('Données projet'!$B$9,Paramètres!$A$1:$I$88,3,0)*0.475*44/12</f>
        <v>0</v>
      </c>
      <c r="AZ107" s="45">
        <f>EXP(-LN(2)/2)*AZ106+(1-EXP(-LN(2)/2))/(LN(2)/2)*AT107*AW107*VLOOKUP('Données projet'!$B$9,Paramètres!$A$1:$I$88,3,0)*0.475*44/12</f>
        <v>0</v>
      </c>
      <c r="BA107" s="46">
        <f t="shared" si="47"/>
        <v>0</v>
      </c>
      <c r="BB107" s="32" t="e">
        <f>VLOOKUP(A107,'Données projet'!$A$113:$I$133,2,0)</f>
        <v>#N/A</v>
      </c>
      <c r="BC107" s="33" t="e">
        <f>VLOOKUP(A107,'Données projet'!$A$113:$I$133,9,0)</f>
        <v>#N/A</v>
      </c>
      <c r="BD107" s="33">
        <f t="array" ref="BD107">INDEX(BC:BC,MIN(IF(ISNUMBER(BC107:BC303),ROW(BC107:BC303),"")))</f>
        <v>0</v>
      </c>
      <c r="BE107" s="33">
        <f t="shared" si="70"/>
        <v>0</v>
      </c>
      <c r="BF107" s="34" t="e">
        <f>BE107*VLOOKUP('Données projet'!$B$12,Paramètres!$A$1:$I$88,3,0)*VLOOKUP('Données projet'!$B$12,Paramètres!$A$1:$I$88,5,0)</f>
        <v>#N/A</v>
      </c>
      <c r="BG107" s="34" t="e">
        <f t="shared" si="71"/>
        <v>#N/A</v>
      </c>
      <c r="BH107" s="44" t="e">
        <f t="shared" si="48"/>
        <v>#N/A</v>
      </c>
      <c r="BI107" s="36">
        <f>IF(ISNA(VLOOKUP(A107,'Données projet'!$A$113:$I$133,3,0)),0,VLOOKUP(A107,'Données projet'!$A$113:$I$133,3,0))</f>
        <v>0</v>
      </c>
      <c r="BJ107" s="36">
        <f>IF(ISNA(VLOOKUP(A107,'Données projet'!$A$113:$I$133,4,0)),0,VLOOKUP(A107,'Données projet'!$A$113:$I$133,4,0))</f>
        <v>0</v>
      </c>
      <c r="BK107" s="37">
        <f>IF(ISNA(VLOOKUP(A107,'Données projet'!$A$113:$I$133,5,0)),0%,VLOOKUP(A107,'Données projet'!$A$113:$I$133,5,0)*VLOOKUP('Données projet'!$B$12,Paramètres!$A$1:$I$88,7,0))</f>
        <v>0</v>
      </c>
      <c r="BL107" s="37">
        <f>IF(ISNA(VLOOKUP(A107,'Données projet'!$A$113:$I$133,6,0)),0%,VLOOKUP(A107,'Données projet'!$A$113:$I$133,6,0)*VLOOKUP('Données projet'!$B$12,Paramètres!$A$1:$I$88,7,0))</f>
        <v>0</v>
      </c>
      <c r="BM107" s="37">
        <f>IF(ISNA(VLOOKUP(A107,'Données projet'!$A$113:$I$133,7,0)),0%,VLOOKUP(A107,'Données projet'!$A$113:$I$133,7,0))</f>
        <v>0</v>
      </c>
      <c r="BN107" s="45">
        <f>EXP(-LN(2)/35)*BN106+(1-EXP(-LN(2)/35))/(LN(2)/35)*BJ107*BK107*VLOOKUP('Données projet'!$B$9,Paramètres!$A$1:$I$88,3,0)*0.475*44/12</f>
        <v>0</v>
      </c>
      <c r="BO107" s="45">
        <f>EXP(-LN(2)/25)*BO106+(1-EXP(-LN(2)/25))/(LN(2)/25)*Calculateur!BJ107*Calculateur!BL107*VLOOKUP('Données projet'!$B$9,Paramètres!$A$1:$I$88,3,0)*0.475*44/12</f>
        <v>0</v>
      </c>
      <c r="BP107" s="45">
        <f>EXP(-LN(2)/2)*BP106+(1-EXP(-LN(2)/2))/(LN(2)/2)*BJ107*BM107*VLOOKUP('Données projet'!$B$9,Paramètres!$A$1:$I$88,3,0)*0.475*44/12</f>
        <v>0</v>
      </c>
      <c r="BQ107" s="46">
        <f t="shared" si="49"/>
        <v>0</v>
      </c>
      <c r="BR107" s="32" t="e">
        <f>VLOOKUP(A107,'Données projet'!$A$139:$I$159,2,0)</f>
        <v>#N/A</v>
      </c>
      <c r="BS107" s="33" t="e">
        <f>VLOOKUP(A107,'Données projet'!$A$139:$I$159,9,0)</f>
        <v>#N/A</v>
      </c>
      <c r="BT107" s="33">
        <f t="array" ref="BT107">INDEX(BS:BS,MIN(IF(ISNUMBER(BS107:BS303),ROW(BS107:BS303),"")))</f>
        <v>0</v>
      </c>
      <c r="BU107" s="33">
        <f t="shared" si="72"/>
        <v>0</v>
      </c>
      <c r="BV107" s="38" t="e">
        <f>BU107*VLOOKUP('Données projet'!$B$13,Paramètres!$A$1:$I$88,3,0)*VLOOKUP('Données projet'!$B$13,Paramètres!$A$1:$I$88,5,0)</f>
        <v>#N/A</v>
      </c>
      <c r="BW107" s="34" t="e">
        <f t="shared" si="73"/>
        <v>#N/A</v>
      </c>
      <c r="BX107" s="44" t="e">
        <f t="shared" si="50"/>
        <v>#N/A</v>
      </c>
      <c r="BY107" s="36">
        <f>IF(ISNA(VLOOKUP(A107,'Données projet'!$A$139:$I$159,3,0)),0,VLOOKUP(A107,'Données projet'!$A$139:$I$159,3,0))</f>
        <v>0</v>
      </c>
      <c r="BZ107" s="36">
        <f>IF(ISNA(VLOOKUP(A107,'Données projet'!$A$139:$I$159,4,0)),0,VLOOKUP(A107,'Données projet'!$A$139:$I$159,4,0))</f>
        <v>0</v>
      </c>
      <c r="CA107" s="37">
        <f>IF(ISNA(VLOOKUP(A107,'Données projet'!$A$139:$I$159,5,0)),0%,VLOOKUP(A107,'Données projet'!$A$139:$I$159,5,0)*VLOOKUP('Données projet'!$B$13,Paramètres!$A$1:$I$88,7,0))</f>
        <v>0</v>
      </c>
      <c r="CB107" s="37">
        <f>IF(ISNA(VLOOKUP(A107,'Données projet'!$A$139:$I$159,6,0)),0%,VLOOKUP(A107,'Données projet'!$A$139:$I$159,6,0)*VLOOKUP('Données projet'!$B$13,Paramètres!$A$1:$I$88,7,0))</f>
        <v>0</v>
      </c>
      <c r="CC107" s="37">
        <f>IF(ISNA(VLOOKUP(A107,'Données projet'!$A$139:$I$159,7,0)),0%,VLOOKUP(A107,'Données projet'!$A$139:$I$159,7,0))</f>
        <v>0</v>
      </c>
      <c r="CD107" s="45">
        <f>EXP(-LN(2)/35)*CD106+(1-EXP(-LN(2)/35))/(LN(2)/35)*BZ107*CA107*VLOOKUP('Données projet'!$B$9,Paramètres!$A$1:$I$88,3,0)*0.475*44/12</f>
        <v>0</v>
      </c>
      <c r="CE107" s="45">
        <f>EXP(-LN(2)/25)*CE106+(1-EXP(-LN(2)/25))/(LN(2)/25)*Calculateur!BZ107*Calculateur!CB107*VLOOKUP('Données projet'!$B$9,Paramètres!$A$1:$I$88,3,0)*0.475*44/12</f>
        <v>0</v>
      </c>
      <c r="CF107" s="45">
        <f>EXP(-LN(2)/2)*CF106+(1-EXP(-LN(2)/2))/(LN(2)/2)*BZ107*CC107*VLOOKUP('Données projet'!$B$9,Paramètres!$A$1:$I$88,3,0)*0.475*44/12</f>
        <v>0</v>
      </c>
      <c r="CG107" s="46">
        <f t="shared" si="51"/>
        <v>0</v>
      </c>
      <c r="CH107" s="32" t="e">
        <f>VLOOKUP(A107,'Données projet'!$A$165:$I$185,2,0)</f>
        <v>#N/A</v>
      </c>
      <c r="CI107" s="33" t="e">
        <f>VLOOKUP(A107,'Données projet'!$A$165:$I$185,9,0)</f>
        <v>#N/A</v>
      </c>
      <c r="CJ107" s="33">
        <f t="array" ref="CJ107">INDEX(CI:CI,MIN(IF(ISNUMBER(CI107:CI303),ROW(CI107:CI303),"")))</f>
        <v>0</v>
      </c>
      <c r="CK107" s="33">
        <f t="shared" si="74"/>
        <v>0</v>
      </c>
      <c r="CL107" s="38" t="e">
        <f>CK107*VLOOKUP('Données projet'!$B$14,Paramètres!$A$1:$I$88,3,0)*VLOOKUP('Données projet'!$B$14,Paramètres!$A$1:$I$88,5,0)</f>
        <v>#N/A</v>
      </c>
      <c r="CM107" s="34" t="e">
        <f t="shared" si="75"/>
        <v>#N/A</v>
      </c>
      <c r="CN107" s="44" t="e">
        <f t="shared" si="52"/>
        <v>#N/A</v>
      </c>
      <c r="CO107" s="36">
        <f>IF(ISNA(VLOOKUP(A107,'Données projet'!$A$165:$I$185,3,0)),0,VLOOKUP(A107,'Données projet'!$A$165:$I$185,3,0))</f>
        <v>0</v>
      </c>
      <c r="CP107" s="36">
        <f>IF(ISNA(VLOOKUP(A107,'Données projet'!$A$165:$I$185,4,0)),0,VLOOKUP(A107,'Données projet'!$A$165:$I$185,4,0))</f>
        <v>0</v>
      </c>
      <c r="CQ107" s="37">
        <f>IF(ISNA(VLOOKUP(A107,'Données projet'!$A$165:$I$185,5,0)),0%,VLOOKUP(A107,'Données projet'!$A$165:$I$185,5,0)*VLOOKUP('Données projet'!$B$14,Paramètres!$A$1:$I$88,7,0))</f>
        <v>0</v>
      </c>
      <c r="CR107" s="37">
        <f>IF(ISNA(VLOOKUP(A107,'Données projet'!$A$165:$I$185,6,0)),0%,VLOOKUP(A107,'Données projet'!$A$165:$I$185,6,0)*VLOOKUP('Données projet'!$B$14,Paramètres!$A$1:$I$88,7,0))</f>
        <v>0</v>
      </c>
      <c r="CS107" s="37">
        <f>IF(ISNA(VLOOKUP(A107,'Données projet'!$A$165:$I$185,7,0)),0%,VLOOKUP(A107,'Données projet'!$A$165:$I$185,7,0))</f>
        <v>0</v>
      </c>
      <c r="CT107" s="45">
        <f>EXP(-LN(2)/35)*CT106+(1-EXP(-LN(2)/35))/(LN(2)/35)*CP107*CQ107*VLOOKUP('Données projet'!$B$9,Paramètres!$A$1:$I$88,3,0)*0.475*44/12</f>
        <v>0</v>
      </c>
      <c r="CU107" s="45">
        <f>EXP(-LN(2)/25)*CU106+(1-EXP(-LN(2)/25))/(LN(2)/25)*Calculateur!CP107*Calculateur!CR107*VLOOKUP('Données projet'!$B$9,Paramètres!$A$1:$I$88,3,0)*0.475*44/12</f>
        <v>0</v>
      </c>
      <c r="CV107" s="45">
        <f>EXP(-LN(2)/2)*CV106+(1-EXP(-LN(2)/2))/(LN(2)/2)*CP107*CS107*VLOOKUP('Données projet'!$B$9,Paramètres!$A$1:$I$88,3,0)*0.475*44/12</f>
        <v>0</v>
      </c>
      <c r="CW107" s="46">
        <f t="shared" si="53"/>
        <v>0</v>
      </c>
      <c r="CX107" s="32" t="e">
        <f>VLOOKUP(A107,'Données projet'!$A$191:$I$211,2,0)</f>
        <v>#N/A</v>
      </c>
      <c r="CY107" s="33" t="e">
        <f>VLOOKUP(A107,'Données projet'!$A$191:$I$211,9,0)</f>
        <v>#N/A</v>
      </c>
      <c r="CZ107" s="33">
        <f t="array" ref="CZ107">INDEX(CY:CY,MIN(IF(ISNUMBER(CY107:CY303),ROW(CY107:CY303),"")))</f>
        <v>0</v>
      </c>
      <c r="DA107" s="33">
        <f t="shared" si="76"/>
        <v>0</v>
      </c>
      <c r="DB107" s="38" t="e">
        <f>DA107*VLOOKUP('Données projet'!$B$15,Paramètres!$A$1:$I$88,3,0)*VLOOKUP('Données projet'!$B$15,Paramètres!$A$1:$I$88,5,0)</f>
        <v>#N/A</v>
      </c>
      <c r="DC107" s="34" t="e">
        <f t="shared" si="77"/>
        <v>#N/A</v>
      </c>
      <c r="DD107" s="44" t="e">
        <f t="shared" si="54"/>
        <v>#N/A</v>
      </c>
      <c r="DE107" s="36">
        <f>IF(ISNA(VLOOKUP(A107,'Données projet'!$A$191:$I$211,3,0)),0,VLOOKUP(A107,'Données projet'!$A$191:$I$211,3,0))</f>
        <v>0</v>
      </c>
      <c r="DF107" s="36">
        <f>IF(ISNA(VLOOKUP(A107,'Données projet'!$A$191:$I$211,4,0)),0,VLOOKUP(A107,'Données projet'!$A$191:$I$211,4,0))</f>
        <v>0</v>
      </c>
      <c r="DG107" s="37">
        <f>IF(ISNA(VLOOKUP(A107,'Données projet'!$A$191:$I$211,5,0)),0%,VLOOKUP(A107,'Données projet'!$A$191:$I$211,5,0)*VLOOKUP('Données projet'!$B$15,Paramètres!$A$1:$I$88,7,0))</f>
        <v>0</v>
      </c>
      <c r="DH107" s="37">
        <f>IF(ISNA(VLOOKUP(A107,'Données projet'!$A$191:$I$211,6,0)),0%,VLOOKUP(A107,'Données projet'!$A$191:$I$211,6,0)*VLOOKUP('Données projet'!$B$15,Paramètres!$A$1:$I$88,7,0))</f>
        <v>0</v>
      </c>
      <c r="DI107" s="37">
        <f>IF(ISNA(VLOOKUP(A107,'Données projet'!$A$191:$I$211,7,0)),0%,VLOOKUP(A107,'Données projet'!$A$191:$I$211,7,0))</f>
        <v>0</v>
      </c>
      <c r="DJ107" s="45">
        <f>EXP(-LN(2)/35)*DJ106+(1-EXP(-LN(2)/35))/(LN(2)/35)*DF107*DG107*VLOOKUP('Données projet'!$B$9,Paramètres!$A$1:$I$88,3,0)*0.475*44/12</f>
        <v>0</v>
      </c>
      <c r="DK107" s="45">
        <f>EXP(-LN(2)/25)*DK106+(1-EXP(-LN(2)/25))/(LN(2)/25)*Calculateur!DF107*Calculateur!DH107*VLOOKUP('Données projet'!$B$9,Paramètres!$A$1:$I$88,3,0)*0.475*44/12</f>
        <v>0</v>
      </c>
      <c r="DL107" s="45">
        <f>EXP(-LN(2)/2)*DL106+(1-EXP(-LN(2)/2))/(LN(2)/2)*DF107*DI107*VLOOKUP('Données projet'!$B$9,Paramètres!$A$1:$I$88,3,0)*0.475*44/12</f>
        <v>0</v>
      </c>
      <c r="DM107" s="46">
        <f t="shared" si="55"/>
        <v>0</v>
      </c>
      <c r="DN107" s="32" t="e">
        <f>VLOOKUP(A107,'Données projet'!$A$217:$I$237,2,0)</f>
        <v>#N/A</v>
      </c>
      <c r="DO107" s="33" t="e">
        <f>VLOOKUP(A107,'Données projet'!$A$217:$I$237,9,0)</f>
        <v>#N/A</v>
      </c>
      <c r="DP107" s="33">
        <f t="array" ref="DP107">INDEX(DO:DO,MIN(IF(ISNUMBER(DO107:DO303),ROW(DO107:DO303),"")))</f>
        <v>0</v>
      </c>
      <c r="DQ107" s="33">
        <f t="shared" si="78"/>
        <v>0</v>
      </c>
      <c r="DR107" s="38" t="e">
        <f>DQ107*VLOOKUP('Données projet'!$B$16,Paramètres!$A$1:$I$88,3,0)*VLOOKUP('Données projet'!$B$16,Paramètres!$A$1:$I$88,5,0)</f>
        <v>#N/A</v>
      </c>
      <c r="DS107" s="34" t="e">
        <f t="shared" si="79"/>
        <v>#N/A</v>
      </c>
      <c r="DT107" s="44" t="e">
        <f t="shared" si="56"/>
        <v>#N/A</v>
      </c>
      <c r="DU107" s="36">
        <f>IF(ISNA(VLOOKUP(A107,'Données projet'!$A$217:$I$237,3,0)),0,VLOOKUP(A107,'Données projet'!$A$217:$I$237,3,0))</f>
        <v>0</v>
      </c>
      <c r="DV107" s="36">
        <f>IF(ISNA(VLOOKUP(A107,'Données projet'!$A$217:$I$237,4,0)),0,VLOOKUP(A107,'Données projet'!$A$217:$I$237,4,0))</f>
        <v>0</v>
      </c>
      <c r="DW107" s="37">
        <f>IF(ISNA(VLOOKUP(A107,'Données projet'!$A$217:$I$237,5,0)),0%,VLOOKUP(A107,'Données projet'!$A$217:$I$237,5,0)*VLOOKUP('Données projet'!$B$16,Paramètres!$A$1:$I$88,7,0))</f>
        <v>0</v>
      </c>
      <c r="DX107" s="37">
        <f>IF(ISNA(VLOOKUP(A107,'Données projet'!$A$217:$I$237,6,0)),0%,VLOOKUP(A107,'Données projet'!$A$217:$I$237,6,0)*VLOOKUP('Données projet'!$B$16,Paramètres!$A$1:$I$88,7,0))</f>
        <v>0</v>
      </c>
      <c r="DY107" s="37">
        <f>IF(ISNA(VLOOKUP(A107,'Données projet'!$A$217:$I$237,7,0)),0%,VLOOKUP(A107,'Données projet'!$A$217:$I$237,7,0))</f>
        <v>0</v>
      </c>
      <c r="DZ107" s="45">
        <f>EXP(-LN(2)/35)*DZ106+(1-EXP(-LN(2)/35))/(LN(2)/35)*DV107*DW107*VLOOKUP('Données projet'!$B$9,Paramètres!$A$1:$I$88,3,0)*0.475*44/12</f>
        <v>0</v>
      </c>
      <c r="EA107" s="45">
        <f>EXP(-LN(2)/25)*EA106+(1-EXP(-LN(2)/25))/(LN(2)/25)*Calculateur!DV107*Calculateur!DX107*VLOOKUP('Données projet'!$B$9,Paramètres!$A$1:$I$88,3,0)*0.475*44/12</f>
        <v>0</v>
      </c>
      <c r="EB107" s="45">
        <f>EXP(-LN(2)/2)*EB106+(1-EXP(-LN(2)/2))/(LN(2)/2)*DV107*DY107*VLOOKUP('Données projet'!$B$9,Paramètres!$A$1:$I$88,3,0)*0.475*44/12</f>
        <v>0</v>
      </c>
      <c r="EC107" s="46">
        <f t="shared" si="57"/>
        <v>0</v>
      </c>
      <c r="ED107" s="32" t="e">
        <f>VLOOKUP(A107,'Données projet'!$A$243:$I$263,2,0)</f>
        <v>#N/A</v>
      </c>
      <c r="EE107" s="33" t="e">
        <f>VLOOKUP(A107,'Données projet'!$A$243:$I$263,9,0)</f>
        <v>#N/A</v>
      </c>
      <c r="EF107" s="33">
        <f t="array" ref="EF107">INDEX(EE:EE,MIN(IF(ISNUMBER(EE107:EE303),ROW(EE107:EE303),"")))</f>
        <v>0</v>
      </c>
      <c r="EG107" s="33">
        <f t="shared" si="80"/>
        <v>0</v>
      </c>
      <c r="EH107" s="38" t="e">
        <f>EG107*VLOOKUP('Données projet'!$B$17,Paramètres!$A$1:$I$88,3,0)*VLOOKUP('Données projet'!$B$17,Paramètres!$A$1:$I$88,5,0)</f>
        <v>#N/A</v>
      </c>
      <c r="EI107" s="34" t="e">
        <f t="shared" si="81"/>
        <v>#N/A</v>
      </c>
      <c r="EJ107" s="44" t="e">
        <f t="shared" si="58"/>
        <v>#N/A</v>
      </c>
      <c r="EK107" s="36">
        <f>IF(ISNA(VLOOKUP(A107,'Données projet'!$A$243:$I$263,3,0)),0,VLOOKUP(A107,'Données projet'!$A$243:$I$263,3,0))</f>
        <v>0</v>
      </c>
      <c r="EL107" s="36">
        <f>IF(ISNA(VLOOKUP(A107,'Données projet'!$A$243:$I$263,4,0)),0,VLOOKUP(A107,'Données projet'!$A$243:$I$263,4,0))</f>
        <v>0</v>
      </c>
      <c r="EM107" s="37">
        <f>IF(ISNA(VLOOKUP(A107,'Données projet'!$A$243:$I$263,5,0)),0%,VLOOKUP(A107,'Données projet'!$A$243:$I$263,5,0)*VLOOKUP('Données projet'!$B$17,Paramètres!$A$1:$I$88,7,0))</f>
        <v>0</v>
      </c>
      <c r="EN107" s="37">
        <f>IF(ISNA(VLOOKUP(A107,'Données projet'!$A$243:$I$263,6,0)),0%,VLOOKUP(A107,'Données projet'!$A$243:$I$263,6,0)*VLOOKUP('Données projet'!$B$17,Paramètres!$A$1:$I$88,7,0))</f>
        <v>0</v>
      </c>
      <c r="EO107" s="37">
        <f>IF(ISNA(VLOOKUP(A107,'Données projet'!$A$243:$I$263,7,0)),0%,VLOOKUP(A107,'Données projet'!$A$243:$I$263,7,0))</f>
        <v>0</v>
      </c>
      <c r="EP107" s="45">
        <f>EXP(-LN(2)/35)*EP106+(1-EXP(-LN(2)/35))/(LN(2)/35)*EL107*EM107*VLOOKUP('Données projet'!$B$9,Paramètres!$A$1:$I$88,3,0)*0.475*44/12</f>
        <v>0</v>
      </c>
      <c r="EQ107" s="45">
        <f>EXP(-LN(2)/25)*EQ106+(1-EXP(-LN(2)/25))/(LN(2)/25)*Calculateur!EL107*Calculateur!EN107*VLOOKUP('Données projet'!$B$9,Paramètres!$A$1:$I$88,3,0)*0.475*44/12</f>
        <v>0</v>
      </c>
      <c r="ER107" s="45">
        <f>EXP(-LN(2)/2)*ER106+(1-EXP(-LN(2)/2))/(LN(2)/2)*EL107*EO107*VLOOKUP('Données projet'!$B$9,Paramètres!$A$1:$I$88,3,0)*0.475*44/12</f>
        <v>0</v>
      </c>
      <c r="ES107" s="46">
        <f t="shared" si="59"/>
        <v>0</v>
      </c>
      <c r="ET107" s="32" t="e">
        <f>VLOOKUP(A107,'Données projet'!$A$269:$I$289,2,0)</f>
        <v>#N/A</v>
      </c>
      <c r="EU107" s="33" t="e">
        <f>VLOOKUP(A107,'Données projet'!$A$269:$I$289,9,0)</f>
        <v>#N/A</v>
      </c>
      <c r="EV107" s="33">
        <f t="array" ref="EV107">INDEX(EU:EU,MIN(IF(ISNUMBER(EU107:EU303),ROW(EU107:EU303),"")))</f>
        <v>0</v>
      </c>
      <c r="EW107" s="33">
        <f t="shared" si="82"/>
        <v>0</v>
      </c>
      <c r="EX107" s="38" t="e">
        <f>EW107*VLOOKUP('Données projet'!$B$18,Paramètres!$A$1:$I$88,3,0)*VLOOKUP('Données projet'!$B$18,Paramètres!$A$1:$I$88,5,0)</f>
        <v>#N/A</v>
      </c>
      <c r="EY107" s="34" t="e">
        <f t="shared" si="83"/>
        <v>#N/A</v>
      </c>
      <c r="EZ107" s="44" t="e">
        <f t="shared" si="60"/>
        <v>#N/A</v>
      </c>
      <c r="FA107" s="36">
        <f>IF(ISNA(VLOOKUP(A107,'Données projet'!$A$269:$I$289,3,0)),0,VLOOKUP(A107,'Données projet'!$A$269:$I$289,3,0))</f>
        <v>0</v>
      </c>
      <c r="FB107" s="36">
        <f>IF(ISNA(VLOOKUP(A107,'Données projet'!$A$269:$I$289,4,0)),0,VLOOKUP(A107,'Données projet'!$A$269:$I$289,4,0))</f>
        <v>0</v>
      </c>
      <c r="FC107" s="37">
        <f>IF(ISNA(VLOOKUP(A107,'Données projet'!$A$269:$I$289,5,0)),0%,VLOOKUP(A107,'Données projet'!$A$269:$I$289,5,0)*VLOOKUP('Données projet'!$B$18,Paramètres!$A$1:$I$88,7,0))</f>
        <v>0</v>
      </c>
      <c r="FD107" s="37">
        <f>IF(ISNA(VLOOKUP(A107,'Données projet'!$A$269:$I$289,6,0)),0%,VLOOKUP(A107,'Données projet'!$A$269:$I$289,6,0)*VLOOKUP('Données projet'!$B$18,Paramètres!$A$1:$I$88,7,0))</f>
        <v>0</v>
      </c>
      <c r="FE107" s="37">
        <f>IF(ISNA(VLOOKUP(A107,'Données projet'!$A$269:$I$289,7,0)),0%,VLOOKUP(A107,'Données projet'!$A$269:$I$289,7,0))</f>
        <v>0</v>
      </c>
      <c r="FF107" s="45">
        <f>EXP(-LN(2)/35)*FF106+(1-EXP(-LN(2)/35))/(LN(2)/35)*FB107*FC107*VLOOKUP('Données projet'!$B$9,Paramètres!$A$1:$I$88,3,0)*0.475*44/12</f>
        <v>0</v>
      </c>
      <c r="FG107" s="45">
        <f>EXP(-LN(2)/25)*FG106+(1-EXP(-LN(2)/25))/(LN(2)/25)*Calculateur!FB107*Calculateur!FD107*VLOOKUP('Données projet'!$B$9,Paramètres!$A$1:$I$88,3,0)*0.475*44/12</f>
        <v>0</v>
      </c>
      <c r="FH107" s="45">
        <f>EXP(-LN(2)/2)*FH106+(1-EXP(-LN(2)/2))/(LN(2)/2)*FB107*FE107*VLOOKUP('Données projet'!$B$9,Paramètres!$A$1:$I$88,3,0)*0.475*44/12</f>
        <v>0</v>
      </c>
      <c r="FI107" s="46">
        <f t="shared" si="61"/>
        <v>0</v>
      </c>
    </row>
    <row r="108" spans="1:165" x14ac:dyDescent="0.25">
      <c r="A108" s="24">
        <f t="shared" si="62"/>
        <v>105</v>
      </c>
      <c r="B108" s="25">
        <f>IF('Scénario référence'!$N$1=1,5,0)</f>
        <v>0</v>
      </c>
      <c r="C108" s="40">
        <f>IF(OR('Scénario référence'!$N$1=2,'Scénario référence'!$N$1=4),C107+1*VLOOKUP('Scénario référence'!$G$14,Paramètres!$A$1:$I$88,3,0)*VLOOKUP('Scénario référence'!$G$14,Paramètres!$A$1:$I$88,5,0),IF(OR('Scénario référence'!$N$1=3,'Scénario référence'!$N$1=5),C107+0.5*VLOOKUP('Scénario référence'!$G$14,Paramètres!$A$1:$I$88,3,0)*VLOOKUP('Scénario référence'!$G$14,Paramètres!$A$1:$I$88,5,0),0))</f>
        <v>57.329999999999949</v>
      </c>
      <c r="D108" s="26">
        <f t="shared" si="63"/>
        <v>16.491431250436072</v>
      </c>
      <c r="E108" s="27">
        <f>IF('Scénario référence'!$N$1=1,B108*44/12,(C108+D108)*0.475*44/12)</f>
        <v>128.57232609450941</v>
      </c>
      <c r="F108" s="28">
        <f>VLOOKUP(A108,'Données projet'!$A$35:$I$55,2,0)</f>
        <v>305</v>
      </c>
      <c r="G108" s="28">
        <f>VLOOKUP(A108,'Données projet'!$A$35:$I$55,9,0)</f>
        <v>4.7</v>
      </c>
      <c r="H108" s="33">
        <f t="array" ref="H108">INDEX(G:G,MIN(IF(ISNUMBER(G108:G304),ROW(G108:G304),"")))</f>
        <v>4.7</v>
      </c>
      <c r="I108" s="28">
        <f t="shared" si="64"/>
        <v>304.99999999999955</v>
      </c>
      <c r="J108" s="41">
        <f>I108*VLOOKUP('Données projet'!$B$9,Paramètres!$A$1:$I$88,3,0)*VLOOKUP('Données projet'!$B$9,Paramètres!$A$1:$I$88,5,0)</f>
        <v>309.26999999999958</v>
      </c>
      <c r="K108" s="41">
        <f t="shared" si="65"/>
        <v>73.116356204710968</v>
      </c>
      <c r="L108" s="42">
        <f t="shared" si="42"/>
        <v>665.98957038987078</v>
      </c>
      <c r="M108" s="30">
        <f>IF(ISNA(VLOOKUP(A108,'Données projet'!$A$35:$I$55,3,0)),0,VLOOKUP(A108,'Données projet'!$A$35:$I$55,3,0))</f>
        <v>9</v>
      </c>
      <c r="N108" s="30">
        <f>IF(ISNA(VLOOKUP(A108,'Données projet'!$A$35:$I$55,4,0)),0,VLOOKUP(A108,'Données projet'!$A$35:$I$55,4,0))</f>
        <v>41</v>
      </c>
      <c r="O108" s="31">
        <f>IF(ISNA(VLOOKUP(A108,'Données projet'!$A$35:$I$55,5,0)),0%,VLOOKUP(A108,'Données projet'!$A$35:$I$55,5,0)*VLOOKUP('Données projet'!$B$9,Paramètres!$A$1:$I$88,7,0))</f>
        <v>0</v>
      </c>
      <c r="P108" s="31">
        <f>IF(ISNA(VLOOKUP(A108,'Données projet'!$A$35:$I$55,6,0)),0%,VLOOKUP(A108,'Données projet'!$A$35:$I$55,6,0)*VLOOKUP('Données projet'!$B$9,Paramètres!$A$1:$I$88,7,0))</f>
        <v>0</v>
      </c>
      <c r="Q108" s="31">
        <f>IF(ISNA(VLOOKUP(A108,'Données projet'!$A$35:$I$55,7,0)),0%,VLOOKUP(A108,'Données projet'!$A$35:$I$55,7,0))</f>
        <v>0</v>
      </c>
      <c r="R108" s="43">
        <f>EXP(-LN(2)/35)*R107+(1-EXP(-LN(2)/35))/(LN(2)/35)*N108*O108*VLOOKUP('Données projet'!$B$9,Paramètres!$A$1:$I$88,3,0)*0.475*44/12</f>
        <v>0</v>
      </c>
      <c r="S108" s="43">
        <f>EXP(-LN(2)/25)*S107+(1-EXP(-LN(2)/25))/(LN(2)/25)*Calculateur!N108*Calculateur!P108*VLOOKUP('Données projet'!$B$9,Paramètres!$A$1:$I$88,3,0)*0.475*44/12</f>
        <v>0</v>
      </c>
      <c r="T108" s="43">
        <f>EXP(-LN(2)/2)*T107+(1-EXP(-LN(2)/2))/(LN(2)/2)*N108*Q108*VLOOKUP('Données projet'!$B$9,Paramètres!$A$1:$I$88,3,0)*0.475*44/12</f>
        <v>0</v>
      </c>
      <c r="U108" s="43">
        <f t="shared" si="43"/>
        <v>0</v>
      </c>
      <c r="V108" s="32" t="e">
        <f>VLOOKUP(A108,'Données projet'!$A$61:$I$81,2,0)</f>
        <v>#N/A</v>
      </c>
      <c r="W108" s="33" t="e">
        <f>VLOOKUP(A108,'Données projet'!$A$61:$I$81,9,0)</f>
        <v>#N/A</v>
      </c>
      <c r="X108" s="33">
        <f t="array" ref="X108">INDEX(W:W,MIN(IF(ISNUMBER(W108:W304),ROW(W108:W304),"")))</f>
        <v>0</v>
      </c>
      <c r="Y108" s="33">
        <f t="shared" si="66"/>
        <v>0</v>
      </c>
      <c r="Z108" s="34" t="e">
        <f>Y108*VLOOKUP('Données projet'!$B$10,Paramètres!$A$1:$I$88,3,0)*VLOOKUP('Données projet'!$B$10,Paramètres!$A$1:$I$88,5,0)</f>
        <v>#N/A</v>
      </c>
      <c r="AA108" s="34" t="e">
        <f t="shared" si="67"/>
        <v>#N/A</v>
      </c>
      <c r="AB108" s="44" t="e">
        <f t="shared" si="44"/>
        <v>#N/A</v>
      </c>
      <c r="AC108" s="36">
        <f>IF(ISNA(VLOOKUP(A108,'Données projet'!$A$61:$I$81,3,0)),0,VLOOKUP(A108,'Données projet'!$A$61:$I$81,3,0))</f>
        <v>0</v>
      </c>
      <c r="AD108" s="36">
        <f>IF(ISNA(VLOOKUP(A108,'Données projet'!$A$61:$I$81,4,0)),0,VLOOKUP(A108,'Données projet'!$A$61:$I$81,4,0))</f>
        <v>0</v>
      </c>
      <c r="AE108" s="37">
        <f>IF(ISNA(VLOOKUP(A108,'Données projet'!$A$61:$I$81,5,0)),0%,VLOOKUP(A108,'Données projet'!$A$61:$I$81,5,0)*VLOOKUP('Données projet'!$B$10,Paramètres!$A$1:$I$88,7,0))</f>
        <v>0</v>
      </c>
      <c r="AF108" s="37">
        <f>IF(ISNA(VLOOKUP(A108,'Données projet'!$A$61:$I$81,6,0)),0%,VLOOKUP(A108,'Données projet'!$A$61:$I$81,6,0)*VLOOKUP('Données projet'!$B$10,Paramètres!$A$1:$I$88,7,0))</f>
        <v>0</v>
      </c>
      <c r="AG108" s="37">
        <f>IF(ISNA(VLOOKUP(A108,'Données projet'!$A$61:$I$81,7,0)),0%,VLOOKUP(A108,'Données projet'!$A$61:$I$81,7,0))</f>
        <v>0</v>
      </c>
      <c r="AH108" s="45">
        <f>EXP(-LN(2)/35)*AH107+(1-EXP(-LN(2)/35))/(LN(2)/35)*AD108*AE108*VLOOKUP('Données projet'!$B$9,Paramètres!$A$1:$I$88,3,0)*0.475*44/12</f>
        <v>0</v>
      </c>
      <c r="AI108" s="45">
        <f>EXP(-LN(2)/25)*AI107+(1-EXP(-LN(2)/25))/(LN(2)/25)*Calculateur!AD108*Calculateur!AF108*VLOOKUP('Données projet'!$B$9,Paramètres!$A$1:$I$88,3,0)*0.475*44/12</f>
        <v>0</v>
      </c>
      <c r="AJ108" s="45">
        <f>EXP(-LN(2)/2)*AJ107+(1-EXP(-LN(2)/2))/(LN(2)/2)*AD108*AG108*VLOOKUP('Données projet'!$B$9,Paramètres!$A$1:$I$88,3,0)*0.475*44/12</f>
        <v>0</v>
      </c>
      <c r="AK108" s="45">
        <f t="shared" si="45"/>
        <v>0</v>
      </c>
      <c r="AL108" s="32" t="e">
        <f>VLOOKUP(A108,'Données projet'!$A$87:$I$107,2,0)</f>
        <v>#N/A</v>
      </c>
      <c r="AM108" s="33" t="e">
        <f>VLOOKUP(A108,'Données projet'!$A$87:$I$107,9,0)</f>
        <v>#N/A</v>
      </c>
      <c r="AN108" s="33">
        <f t="array" ref="AN108">INDEX(AM:AM,MIN(IF(ISNUMBER(AM108:AM304),ROW(AM108:AM304),"")))</f>
        <v>0</v>
      </c>
      <c r="AO108" s="33">
        <f t="shared" si="68"/>
        <v>0</v>
      </c>
      <c r="AP108" s="34" t="e">
        <f>AO108*VLOOKUP('Données projet'!$B$11,Paramètres!$A$1:$I$88,3,0)*VLOOKUP('Données projet'!$B$11,Paramètres!$A$1:$I$88,5,0)</f>
        <v>#N/A</v>
      </c>
      <c r="AQ108" s="34" t="e">
        <f t="shared" si="69"/>
        <v>#N/A</v>
      </c>
      <c r="AR108" s="44" t="e">
        <f t="shared" si="46"/>
        <v>#N/A</v>
      </c>
      <c r="AS108" s="36">
        <f>IF(ISNA(VLOOKUP(A108,'Données projet'!$A$87:$I$107,3,0)),0,VLOOKUP(A108,'Données projet'!$A$87:$I$107,3,0))</f>
        <v>0</v>
      </c>
      <c r="AT108" s="36">
        <f>IF(ISNA(VLOOKUP(A108,'Données projet'!$A$87:$I$107,4,0)),0,VLOOKUP(A108,'Données projet'!$A$87:$I$107,4,0))</f>
        <v>0</v>
      </c>
      <c r="AU108" s="37">
        <f>IF(ISNA(VLOOKUP(A108,'Données projet'!$A$87:$I$107,5,0)),0%,VLOOKUP(A108,'Données projet'!$A$87:$I$107,5,0)*VLOOKUP('Données projet'!$B$11,Paramètres!$A$1:$I$88,7,0))</f>
        <v>0</v>
      </c>
      <c r="AV108" s="37">
        <f>IF(ISNA(VLOOKUP(A108,'Données projet'!$A$87:$I$107,6,0)),0%,VLOOKUP(A108,'Données projet'!$A$87:$I$107,6,0)*VLOOKUP('Données projet'!$B$11,Paramètres!$A$1:$I$88,7,0))</f>
        <v>0</v>
      </c>
      <c r="AW108" s="37">
        <f>IF(ISNA(VLOOKUP(A108,'Données projet'!$A$87:$I$107,7,0)),0%,VLOOKUP(A108,'Données projet'!$A$87:$I$107,7,0))</f>
        <v>0</v>
      </c>
      <c r="AX108" s="45">
        <f>EXP(-LN(2)/35)*AX107+(1-EXP(-LN(2)/35))/(LN(2)/35)*AT108*AU108*VLOOKUP('Données projet'!$B$9,Paramètres!$A$1:$I$88,3,0)*0.475*44/12</f>
        <v>0</v>
      </c>
      <c r="AY108" s="45">
        <f>EXP(-LN(2)/25)*AY107+(1-EXP(-LN(2)/25))/(LN(2)/25)*Calculateur!AT108*Calculateur!AV108*VLOOKUP('Données projet'!$B$9,Paramètres!$A$1:$I$88,3,0)*0.475*44/12</f>
        <v>0</v>
      </c>
      <c r="AZ108" s="45">
        <f>EXP(-LN(2)/2)*AZ107+(1-EXP(-LN(2)/2))/(LN(2)/2)*AT108*AW108*VLOOKUP('Données projet'!$B$9,Paramètres!$A$1:$I$88,3,0)*0.475*44/12</f>
        <v>0</v>
      </c>
      <c r="BA108" s="46">
        <f t="shared" si="47"/>
        <v>0</v>
      </c>
      <c r="BB108" s="32" t="e">
        <f>VLOOKUP(A108,'Données projet'!$A$113:$I$133,2,0)</f>
        <v>#N/A</v>
      </c>
      <c r="BC108" s="33" t="e">
        <f>VLOOKUP(A108,'Données projet'!$A$113:$I$133,9,0)</f>
        <v>#N/A</v>
      </c>
      <c r="BD108" s="33">
        <f t="array" ref="BD108">INDEX(BC:BC,MIN(IF(ISNUMBER(BC108:BC304),ROW(BC108:BC304),"")))</f>
        <v>0</v>
      </c>
      <c r="BE108" s="33">
        <f t="shared" si="70"/>
        <v>0</v>
      </c>
      <c r="BF108" s="34" t="e">
        <f>BE108*VLOOKUP('Données projet'!$B$12,Paramètres!$A$1:$I$88,3,0)*VLOOKUP('Données projet'!$B$12,Paramètres!$A$1:$I$88,5,0)</f>
        <v>#N/A</v>
      </c>
      <c r="BG108" s="34" t="e">
        <f t="shared" si="71"/>
        <v>#N/A</v>
      </c>
      <c r="BH108" s="44" t="e">
        <f t="shared" si="48"/>
        <v>#N/A</v>
      </c>
      <c r="BI108" s="36">
        <f>IF(ISNA(VLOOKUP(A108,'Données projet'!$A$113:$I$133,3,0)),0,VLOOKUP(A108,'Données projet'!$A$113:$I$133,3,0))</f>
        <v>0</v>
      </c>
      <c r="BJ108" s="36">
        <f>IF(ISNA(VLOOKUP(A108,'Données projet'!$A$113:$I$133,4,0)),0,VLOOKUP(A108,'Données projet'!$A$113:$I$133,4,0))</f>
        <v>0</v>
      </c>
      <c r="BK108" s="37">
        <f>IF(ISNA(VLOOKUP(A108,'Données projet'!$A$113:$I$133,5,0)),0%,VLOOKUP(A108,'Données projet'!$A$113:$I$133,5,0)*VLOOKUP('Données projet'!$B$12,Paramètres!$A$1:$I$88,7,0))</f>
        <v>0</v>
      </c>
      <c r="BL108" s="37">
        <f>IF(ISNA(VLOOKUP(A108,'Données projet'!$A$113:$I$133,6,0)),0%,VLOOKUP(A108,'Données projet'!$A$113:$I$133,6,0)*VLOOKUP('Données projet'!$B$12,Paramètres!$A$1:$I$88,7,0))</f>
        <v>0</v>
      </c>
      <c r="BM108" s="37">
        <f>IF(ISNA(VLOOKUP(A108,'Données projet'!$A$113:$I$133,7,0)),0%,VLOOKUP(A108,'Données projet'!$A$113:$I$133,7,0))</f>
        <v>0</v>
      </c>
      <c r="BN108" s="45">
        <f>EXP(-LN(2)/35)*BN107+(1-EXP(-LN(2)/35))/(LN(2)/35)*BJ108*BK108*VLOOKUP('Données projet'!$B$9,Paramètres!$A$1:$I$88,3,0)*0.475*44/12</f>
        <v>0</v>
      </c>
      <c r="BO108" s="45">
        <f>EXP(-LN(2)/25)*BO107+(1-EXP(-LN(2)/25))/(LN(2)/25)*Calculateur!BJ108*Calculateur!BL108*VLOOKUP('Données projet'!$B$9,Paramètres!$A$1:$I$88,3,0)*0.475*44/12</f>
        <v>0</v>
      </c>
      <c r="BP108" s="45">
        <f>EXP(-LN(2)/2)*BP107+(1-EXP(-LN(2)/2))/(LN(2)/2)*BJ108*BM108*VLOOKUP('Données projet'!$B$9,Paramètres!$A$1:$I$88,3,0)*0.475*44/12</f>
        <v>0</v>
      </c>
      <c r="BQ108" s="46">
        <f t="shared" si="49"/>
        <v>0</v>
      </c>
      <c r="BR108" s="32" t="e">
        <f>VLOOKUP(A108,'Données projet'!$A$139:$I$159,2,0)</f>
        <v>#N/A</v>
      </c>
      <c r="BS108" s="33" t="e">
        <f>VLOOKUP(A108,'Données projet'!$A$139:$I$159,9,0)</f>
        <v>#N/A</v>
      </c>
      <c r="BT108" s="33">
        <f t="array" ref="BT108">INDEX(BS:BS,MIN(IF(ISNUMBER(BS108:BS304),ROW(BS108:BS304),"")))</f>
        <v>0</v>
      </c>
      <c r="BU108" s="33">
        <f t="shared" si="72"/>
        <v>0</v>
      </c>
      <c r="BV108" s="38" t="e">
        <f>BU108*VLOOKUP('Données projet'!$B$13,Paramètres!$A$1:$I$88,3,0)*VLOOKUP('Données projet'!$B$13,Paramètres!$A$1:$I$88,5,0)</f>
        <v>#N/A</v>
      </c>
      <c r="BW108" s="34" t="e">
        <f t="shared" si="73"/>
        <v>#N/A</v>
      </c>
      <c r="BX108" s="44" t="e">
        <f t="shared" si="50"/>
        <v>#N/A</v>
      </c>
      <c r="BY108" s="36">
        <f>IF(ISNA(VLOOKUP(A108,'Données projet'!$A$139:$I$159,3,0)),0,VLOOKUP(A108,'Données projet'!$A$139:$I$159,3,0))</f>
        <v>0</v>
      </c>
      <c r="BZ108" s="36">
        <f>IF(ISNA(VLOOKUP(A108,'Données projet'!$A$139:$I$159,4,0)),0,VLOOKUP(A108,'Données projet'!$A$139:$I$159,4,0))</f>
        <v>0</v>
      </c>
      <c r="CA108" s="37">
        <f>IF(ISNA(VLOOKUP(A108,'Données projet'!$A$139:$I$159,5,0)),0%,VLOOKUP(A108,'Données projet'!$A$139:$I$159,5,0)*VLOOKUP('Données projet'!$B$13,Paramètres!$A$1:$I$88,7,0))</f>
        <v>0</v>
      </c>
      <c r="CB108" s="37">
        <f>IF(ISNA(VLOOKUP(A108,'Données projet'!$A$139:$I$159,6,0)),0%,VLOOKUP(A108,'Données projet'!$A$139:$I$159,6,0)*VLOOKUP('Données projet'!$B$13,Paramètres!$A$1:$I$88,7,0))</f>
        <v>0</v>
      </c>
      <c r="CC108" s="37">
        <f>IF(ISNA(VLOOKUP(A108,'Données projet'!$A$139:$I$159,7,0)),0%,VLOOKUP(A108,'Données projet'!$A$139:$I$159,7,0))</f>
        <v>0</v>
      </c>
      <c r="CD108" s="45">
        <f>EXP(-LN(2)/35)*CD107+(1-EXP(-LN(2)/35))/(LN(2)/35)*BZ108*CA108*VLOOKUP('Données projet'!$B$9,Paramètres!$A$1:$I$88,3,0)*0.475*44/12</f>
        <v>0</v>
      </c>
      <c r="CE108" s="45">
        <f>EXP(-LN(2)/25)*CE107+(1-EXP(-LN(2)/25))/(LN(2)/25)*Calculateur!BZ108*Calculateur!CB108*VLOOKUP('Données projet'!$B$9,Paramètres!$A$1:$I$88,3,0)*0.475*44/12</f>
        <v>0</v>
      </c>
      <c r="CF108" s="45">
        <f>EXP(-LN(2)/2)*CF107+(1-EXP(-LN(2)/2))/(LN(2)/2)*BZ108*CC108*VLOOKUP('Données projet'!$B$9,Paramètres!$A$1:$I$88,3,0)*0.475*44/12</f>
        <v>0</v>
      </c>
      <c r="CG108" s="46">
        <f t="shared" si="51"/>
        <v>0</v>
      </c>
      <c r="CH108" s="32" t="e">
        <f>VLOOKUP(A108,'Données projet'!$A$165:$I$185,2,0)</f>
        <v>#N/A</v>
      </c>
      <c r="CI108" s="33" t="e">
        <f>VLOOKUP(A108,'Données projet'!$A$165:$I$185,9,0)</f>
        <v>#N/A</v>
      </c>
      <c r="CJ108" s="33">
        <f t="array" ref="CJ108">INDEX(CI:CI,MIN(IF(ISNUMBER(CI108:CI304),ROW(CI108:CI304),"")))</f>
        <v>0</v>
      </c>
      <c r="CK108" s="33">
        <f t="shared" si="74"/>
        <v>0</v>
      </c>
      <c r="CL108" s="38" t="e">
        <f>CK108*VLOOKUP('Données projet'!$B$14,Paramètres!$A$1:$I$88,3,0)*VLOOKUP('Données projet'!$B$14,Paramètres!$A$1:$I$88,5,0)</f>
        <v>#N/A</v>
      </c>
      <c r="CM108" s="34" t="e">
        <f t="shared" si="75"/>
        <v>#N/A</v>
      </c>
      <c r="CN108" s="44" t="e">
        <f t="shared" si="52"/>
        <v>#N/A</v>
      </c>
      <c r="CO108" s="36">
        <f>IF(ISNA(VLOOKUP(A108,'Données projet'!$A$165:$I$185,3,0)),0,VLOOKUP(A108,'Données projet'!$A$165:$I$185,3,0))</f>
        <v>0</v>
      </c>
      <c r="CP108" s="36">
        <f>IF(ISNA(VLOOKUP(A108,'Données projet'!$A$165:$I$185,4,0)),0,VLOOKUP(A108,'Données projet'!$A$165:$I$185,4,0))</f>
        <v>0</v>
      </c>
      <c r="CQ108" s="37">
        <f>IF(ISNA(VLOOKUP(A108,'Données projet'!$A$165:$I$185,5,0)),0%,VLOOKUP(A108,'Données projet'!$A$165:$I$185,5,0)*VLOOKUP('Données projet'!$B$14,Paramètres!$A$1:$I$88,7,0))</f>
        <v>0</v>
      </c>
      <c r="CR108" s="37">
        <f>IF(ISNA(VLOOKUP(A108,'Données projet'!$A$165:$I$185,6,0)),0%,VLOOKUP(A108,'Données projet'!$A$165:$I$185,6,0)*VLOOKUP('Données projet'!$B$14,Paramètres!$A$1:$I$88,7,0))</f>
        <v>0</v>
      </c>
      <c r="CS108" s="37">
        <f>IF(ISNA(VLOOKUP(A108,'Données projet'!$A$165:$I$185,7,0)),0%,VLOOKUP(A108,'Données projet'!$A$165:$I$185,7,0))</f>
        <v>0</v>
      </c>
      <c r="CT108" s="45">
        <f>EXP(-LN(2)/35)*CT107+(1-EXP(-LN(2)/35))/(LN(2)/35)*CP108*CQ108*VLOOKUP('Données projet'!$B$9,Paramètres!$A$1:$I$88,3,0)*0.475*44/12</f>
        <v>0</v>
      </c>
      <c r="CU108" s="45">
        <f>EXP(-LN(2)/25)*CU107+(1-EXP(-LN(2)/25))/(LN(2)/25)*Calculateur!CP108*Calculateur!CR108*VLOOKUP('Données projet'!$B$9,Paramètres!$A$1:$I$88,3,0)*0.475*44/12</f>
        <v>0</v>
      </c>
      <c r="CV108" s="45">
        <f>EXP(-LN(2)/2)*CV107+(1-EXP(-LN(2)/2))/(LN(2)/2)*CP108*CS108*VLOOKUP('Données projet'!$B$9,Paramètres!$A$1:$I$88,3,0)*0.475*44/12</f>
        <v>0</v>
      </c>
      <c r="CW108" s="46">
        <f t="shared" si="53"/>
        <v>0</v>
      </c>
      <c r="CX108" s="32" t="e">
        <f>VLOOKUP(A108,'Données projet'!$A$191:$I$211,2,0)</f>
        <v>#N/A</v>
      </c>
      <c r="CY108" s="33" t="e">
        <f>VLOOKUP(A108,'Données projet'!$A$191:$I$211,9,0)</f>
        <v>#N/A</v>
      </c>
      <c r="CZ108" s="33">
        <f t="array" ref="CZ108">INDEX(CY:CY,MIN(IF(ISNUMBER(CY108:CY304),ROW(CY108:CY304),"")))</f>
        <v>0</v>
      </c>
      <c r="DA108" s="33">
        <f t="shared" si="76"/>
        <v>0</v>
      </c>
      <c r="DB108" s="38" t="e">
        <f>DA108*VLOOKUP('Données projet'!$B$15,Paramètres!$A$1:$I$88,3,0)*VLOOKUP('Données projet'!$B$15,Paramètres!$A$1:$I$88,5,0)</f>
        <v>#N/A</v>
      </c>
      <c r="DC108" s="34" t="e">
        <f t="shared" si="77"/>
        <v>#N/A</v>
      </c>
      <c r="DD108" s="44" t="e">
        <f t="shared" si="54"/>
        <v>#N/A</v>
      </c>
      <c r="DE108" s="36">
        <f>IF(ISNA(VLOOKUP(A108,'Données projet'!$A$191:$I$211,3,0)),0,VLOOKUP(A108,'Données projet'!$A$191:$I$211,3,0))</f>
        <v>0</v>
      </c>
      <c r="DF108" s="36">
        <f>IF(ISNA(VLOOKUP(A108,'Données projet'!$A$191:$I$211,4,0)),0,VLOOKUP(A108,'Données projet'!$A$191:$I$211,4,0))</f>
        <v>0</v>
      </c>
      <c r="DG108" s="37">
        <f>IF(ISNA(VLOOKUP(A108,'Données projet'!$A$191:$I$211,5,0)),0%,VLOOKUP(A108,'Données projet'!$A$191:$I$211,5,0)*VLOOKUP('Données projet'!$B$15,Paramètres!$A$1:$I$88,7,0))</f>
        <v>0</v>
      </c>
      <c r="DH108" s="37">
        <f>IF(ISNA(VLOOKUP(A108,'Données projet'!$A$191:$I$211,6,0)),0%,VLOOKUP(A108,'Données projet'!$A$191:$I$211,6,0)*VLOOKUP('Données projet'!$B$15,Paramètres!$A$1:$I$88,7,0))</f>
        <v>0</v>
      </c>
      <c r="DI108" s="37">
        <f>IF(ISNA(VLOOKUP(A108,'Données projet'!$A$191:$I$211,7,0)),0%,VLOOKUP(A108,'Données projet'!$A$191:$I$211,7,0))</f>
        <v>0</v>
      </c>
      <c r="DJ108" s="45">
        <f>EXP(-LN(2)/35)*DJ107+(1-EXP(-LN(2)/35))/(LN(2)/35)*DF108*DG108*VLOOKUP('Données projet'!$B$9,Paramètres!$A$1:$I$88,3,0)*0.475*44/12</f>
        <v>0</v>
      </c>
      <c r="DK108" s="45">
        <f>EXP(-LN(2)/25)*DK107+(1-EXP(-LN(2)/25))/(LN(2)/25)*Calculateur!DF108*Calculateur!DH108*VLOOKUP('Données projet'!$B$9,Paramètres!$A$1:$I$88,3,0)*0.475*44/12</f>
        <v>0</v>
      </c>
      <c r="DL108" s="45">
        <f>EXP(-LN(2)/2)*DL107+(1-EXP(-LN(2)/2))/(LN(2)/2)*DF108*DI108*VLOOKUP('Données projet'!$B$9,Paramètres!$A$1:$I$88,3,0)*0.475*44/12</f>
        <v>0</v>
      </c>
      <c r="DM108" s="46">
        <f t="shared" si="55"/>
        <v>0</v>
      </c>
      <c r="DN108" s="32" t="e">
        <f>VLOOKUP(A108,'Données projet'!$A$217:$I$237,2,0)</f>
        <v>#N/A</v>
      </c>
      <c r="DO108" s="33" t="e">
        <f>VLOOKUP(A108,'Données projet'!$A$217:$I$237,9,0)</f>
        <v>#N/A</v>
      </c>
      <c r="DP108" s="33">
        <f t="array" ref="DP108">INDEX(DO:DO,MIN(IF(ISNUMBER(DO108:DO304),ROW(DO108:DO304),"")))</f>
        <v>0</v>
      </c>
      <c r="DQ108" s="33">
        <f t="shared" si="78"/>
        <v>0</v>
      </c>
      <c r="DR108" s="38" t="e">
        <f>DQ108*VLOOKUP('Données projet'!$B$16,Paramètres!$A$1:$I$88,3,0)*VLOOKUP('Données projet'!$B$16,Paramètres!$A$1:$I$88,5,0)</f>
        <v>#N/A</v>
      </c>
      <c r="DS108" s="34" t="e">
        <f t="shared" si="79"/>
        <v>#N/A</v>
      </c>
      <c r="DT108" s="44" t="e">
        <f t="shared" si="56"/>
        <v>#N/A</v>
      </c>
      <c r="DU108" s="36">
        <f>IF(ISNA(VLOOKUP(A108,'Données projet'!$A$217:$I$237,3,0)),0,VLOOKUP(A108,'Données projet'!$A$217:$I$237,3,0))</f>
        <v>0</v>
      </c>
      <c r="DV108" s="36">
        <f>IF(ISNA(VLOOKUP(A108,'Données projet'!$A$217:$I$237,4,0)),0,VLOOKUP(A108,'Données projet'!$A$217:$I$237,4,0))</f>
        <v>0</v>
      </c>
      <c r="DW108" s="37">
        <f>IF(ISNA(VLOOKUP(A108,'Données projet'!$A$217:$I$237,5,0)),0%,VLOOKUP(A108,'Données projet'!$A$217:$I$237,5,0)*VLOOKUP('Données projet'!$B$16,Paramètres!$A$1:$I$88,7,0))</f>
        <v>0</v>
      </c>
      <c r="DX108" s="37">
        <f>IF(ISNA(VLOOKUP(A108,'Données projet'!$A$217:$I$237,6,0)),0%,VLOOKUP(A108,'Données projet'!$A$217:$I$237,6,0)*VLOOKUP('Données projet'!$B$16,Paramètres!$A$1:$I$88,7,0))</f>
        <v>0</v>
      </c>
      <c r="DY108" s="37">
        <f>IF(ISNA(VLOOKUP(A108,'Données projet'!$A$217:$I$237,7,0)),0%,VLOOKUP(A108,'Données projet'!$A$217:$I$237,7,0))</f>
        <v>0</v>
      </c>
      <c r="DZ108" s="45">
        <f>EXP(-LN(2)/35)*DZ107+(1-EXP(-LN(2)/35))/(LN(2)/35)*DV108*DW108*VLOOKUP('Données projet'!$B$9,Paramètres!$A$1:$I$88,3,0)*0.475*44/12</f>
        <v>0</v>
      </c>
      <c r="EA108" s="45">
        <f>EXP(-LN(2)/25)*EA107+(1-EXP(-LN(2)/25))/(LN(2)/25)*Calculateur!DV108*Calculateur!DX108*VLOOKUP('Données projet'!$B$9,Paramètres!$A$1:$I$88,3,0)*0.475*44/12</f>
        <v>0</v>
      </c>
      <c r="EB108" s="45">
        <f>EXP(-LN(2)/2)*EB107+(1-EXP(-LN(2)/2))/(LN(2)/2)*DV108*DY108*VLOOKUP('Données projet'!$B$9,Paramètres!$A$1:$I$88,3,0)*0.475*44/12</f>
        <v>0</v>
      </c>
      <c r="EC108" s="46">
        <f t="shared" si="57"/>
        <v>0</v>
      </c>
      <c r="ED108" s="32" t="e">
        <f>VLOOKUP(A108,'Données projet'!$A$243:$I$263,2,0)</f>
        <v>#N/A</v>
      </c>
      <c r="EE108" s="33" t="e">
        <f>VLOOKUP(A108,'Données projet'!$A$243:$I$263,9,0)</f>
        <v>#N/A</v>
      </c>
      <c r="EF108" s="33">
        <f t="array" ref="EF108">INDEX(EE:EE,MIN(IF(ISNUMBER(EE108:EE304),ROW(EE108:EE304),"")))</f>
        <v>0</v>
      </c>
      <c r="EG108" s="33">
        <f t="shared" si="80"/>
        <v>0</v>
      </c>
      <c r="EH108" s="38" t="e">
        <f>EG108*VLOOKUP('Données projet'!$B$17,Paramètres!$A$1:$I$88,3,0)*VLOOKUP('Données projet'!$B$17,Paramètres!$A$1:$I$88,5,0)</f>
        <v>#N/A</v>
      </c>
      <c r="EI108" s="34" t="e">
        <f t="shared" si="81"/>
        <v>#N/A</v>
      </c>
      <c r="EJ108" s="44" t="e">
        <f t="shared" si="58"/>
        <v>#N/A</v>
      </c>
      <c r="EK108" s="36">
        <f>IF(ISNA(VLOOKUP(A108,'Données projet'!$A$243:$I$263,3,0)),0,VLOOKUP(A108,'Données projet'!$A$243:$I$263,3,0))</f>
        <v>0</v>
      </c>
      <c r="EL108" s="36">
        <f>IF(ISNA(VLOOKUP(A108,'Données projet'!$A$243:$I$263,4,0)),0,VLOOKUP(A108,'Données projet'!$A$243:$I$263,4,0))</f>
        <v>0</v>
      </c>
      <c r="EM108" s="37">
        <f>IF(ISNA(VLOOKUP(A108,'Données projet'!$A$243:$I$263,5,0)),0%,VLOOKUP(A108,'Données projet'!$A$243:$I$263,5,0)*VLOOKUP('Données projet'!$B$17,Paramètres!$A$1:$I$88,7,0))</f>
        <v>0</v>
      </c>
      <c r="EN108" s="37">
        <f>IF(ISNA(VLOOKUP(A108,'Données projet'!$A$243:$I$263,6,0)),0%,VLOOKUP(A108,'Données projet'!$A$243:$I$263,6,0)*VLOOKUP('Données projet'!$B$17,Paramètres!$A$1:$I$88,7,0))</f>
        <v>0</v>
      </c>
      <c r="EO108" s="37">
        <f>IF(ISNA(VLOOKUP(A108,'Données projet'!$A$243:$I$263,7,0)),0%,VLOOKUP(A108,'Données projet'!$A$243:$I$263,7,0))</f>
        <v>0</v>
      </c>
      <c r="EP108" s="45">
        <f>EXP(-LN(2)/35)*EP107+(1-EXP(-LN(2)/35))/(LN(2)/35)*EL108*EM108*VLOOKUP('Données projet'!$B$9,Paramètres!$A$1:$I$88,3,0)*0.475*44/12</f>
        <v>0</v>
      </c>
      <c r="EQ108" s="45">
        <f>EXP(-LN(2)/25)*EQ107+(1-EXP(-LN(2)/25))/(LN(2)/25)*Calculateur!EL108*Calculateur!EN108*VLOOKUP('Données projet'!$B$9,Paramètres!$A$1:$I$88,3,0)*0.475*44/12</f>
        <v>0</v>
      </c>
      <c r="ER108" s="45">
        <f>EXP(-LN(2)/2)*ER107+(1-EXP(-LN(2)/2))/(LN(2)/2)*EL108*EO108*VLOOKUP('Données projet'!$B$9,Paramètres!$A$1:$I$88,3,0)*0.475*44/12</f>
        <v>0</v>
      </c>
      <c r="ES108" s="46">
        <f t="shared" si="59"/>
        <v>0</v>
      </c>
      <c r="ET108" s="32" t="e">
        <f>VLOOKUP(A108,'Données projet'!$A$269:$I$289,2,0)</f>
        <v>#N/A</v>
      </c>
      <c r="EU108" s="33" t="e">
        <f>VLOOKUP(A108,'Données projet'!$A$269:$I$289,9,0)</f>
        <v>#N/A</v>
      </c>
      <c r="EV108" s="33">
        <f t="array" ref="EV108">INDEX(EU:EU,MIN(IF(ISNUMBER(EU108:EU304),ROW(EU108:EU304),"")))</f>
        <v>0</v>
      </c>
      <c r="EW108" s="33">
        <f t="shared" si="82"/>
        <v>0</v>
      </c>
      <c r="EX108" s="38" t="e">
        <f>EW108*VLOOKUP('Données projet'!$B$18,Paramètres!$A$1:$I$88,3,0)*VLOOKUP('Données projet'!$B$18,Paramètres!$A$1:$I$88,5,0)</f>
        <v>#N/A</v>
      </c>
      <c r="EY108" s="34" t="e">
        <f t="shared" si="83"/>
        <v>#N/A</v>
      </c>
      <c r="EZ108" s="44" t="e">
        <f t="shared" si="60"/>
        <v>#N/A</v>
      </c>
      <c r="FA108" s="36">
        <f>IF(ISNA(VLOOKUP(A108,'Données projet'!$A$269:$I$289,3,0)),0,VLOOKUP(A108,'Données projet'!$A$269:$I$289,3,0))</f>
        <v>0</v>
      </c>
      <c r="FB108" s="36">
        <f>IF(ISNA(VLOOKUP(A108,'Données projet'!$A$269:$I$289,4,0)),0,VLOOKUP(A108,'Données projet'!$A$269:$I$289,4,0))</f>
        <v>0</v>
      </c>
      <c r="FC108" s="37">
        <f>IF(ISNA(VLOOKUP(A108,'Données projet'!$A$269:$I$289,5,0)),0%,VLOOKUP(A108,'Données projet'!$A$269:$I$289,5,0)*VLOOKUP('Données projet'!$B$18,Paramètres!$A$1:$I$88,7,0))</f>
        <v>0</v>
      </c>
      <c r="FD108" s="37">
        <f>IF(ISNA(VLOOKUP(A108,'Données projet'!$A$269:$I$289,6,0)),0%,VLOOKUP(A108,'Données projet'!$A$269:$I$289,6,0)*VLOOKUP('Données projet'!$B$18,Paramètres!$A$1:$I$88,7,0))</f>
        <v>0</v>
      </c>
      <c r="FE108" s="37">
        <f>IF(ISNA(VLOOKUP(A108,'Données projet'!$A$269:$I$289,7,0)),0%,VLOOKUP(A108,'Données projet'!$A$269:$I$289,7,0))</f>
        <v>0</v>
      </c>
      <c r="FF108" s="45">
        <f>EXP(-LN(2)/35)*FF107+(1-EXP(-LN(2)/35))/(LN(2)/35)*FB108*FC108*VLOOKUP('Données projet'!$B$9,Paramètres!$A$1:$I$88,3,0)*0.475*44/12</f>
        <v>0</v>
      </c>
      <c r="FG108" s="45">
        <f>EXP(-LN(2)/25)*FG107+(1-EXP(-LN(2)/25))/(LN(2)/25)*Calculateur!FB108*Calculateur!FD108*VLOOKUP('Données projet'!$B$9,Paramètres!$A$1:$I$88,3,0)*0.475*44/12</f>
        <v>0</v>
      </c>
      <c r="FH108" s="45">
        <f>EXP(-LN(2)/2)*FH107+(1-EXP(-LN(2)/2))/(LN(2)/2)*FB108*FE108*VLOOKUP('Données projet'!$B$9,Paramètres!$A$1:$I$88,3,0)*0.475*44/12</f>
        <v>0</v>
      </c>
      <c r="FI108" s="46">
        <f t="shared" si="61"/>
        <v>0</v>
      </c>
    </row>
    <row r="109" spans="1:165" x14ac:dyDescent="0.25">
      <c r="A109" s="24">
        <f t="shared" si="62"/>
        <v>106</v>
      </c>
      <c r="B109" s="25">
        <f>IF('Scénario référence'!$N$1=1,5,0)</f>
        <v>0</v>
      </c>
      <c r="C109" s="40">
        <f>IF(OR('Scénario référence'!$N$1=2,'Scénario référence'!$N$1=4),C108+1*VLOOKUP('Scénario référence'!$G$14,Paramètres!$A$1:$I$88,3,0)*VLOOKUP('Scénario référence'!$G$14,Paramètres!$A$1:$I$88,5,0),IF(OR('Scénario référence'!$N$1=3,'Scénario référence'!$N$1=5),C108+0.5*VLOOKUP('Scénario référence'!$G$14,Paramètres!$A$1:$I$88,3,0)*VLOOKUP('Scénario référence'!$G$14,Paramètres!$A$1:$I$88,5,0),0))</f>
        <v>57.875999999999948</v>
      </c>
      <c r="D109" s="26">
        <f t="shared" si="63"/>
        <v>16.630133918805559</v>
      </c>
      <c r="E109" s="27">
        <f>IF('Scénario référence'!$N$1=1,B109*44/12,(C109+D109)*0.475*44/12)</f>
        <v>129.76484990858626</v>
      </c>
      <c r="F109" s="28" t="e">
        <f>VLOOKUP(A109,'Données projet'!$A$35:$I$55,2,0)</f>
        <v>#N/A</v>
      </c>
      <c r="G109" s="28" t="e">
        <f>VLOOKUP(A109,'Données projet'!$A$35:$I$55,9,0)</f>
        <v>#N/A</v>
      </c>
      <c r="H109" s="33">
        <f t="array" ref="H109">INDEX(G:G,MIN(IF(ISNUMBER(G109:G305),ROW(G109:G305),"")))</f>
        <v>4</v>
      </c>
      <c r="I109" s="28">
        <f t="shared" si="64"/>
        <v>267.99999999999955</v>
      </c>
      <c r="J109" s="41">
        <f>I109*VLOOKUP('Données projet'!$B$9,Paramètres!$A$1:$I$88,3,0)*VLOOKUP('Données projet'!$B$9,Paramètres!$A$1:$I$88,5,0)</f>
        <v>271.75199999999955</v>
      </c>
      <c r="K109" s="41">
        <f t="shared" si="65"/>
        <v>65.22094782472486</v>
      </c>
      <c r="L109" s="42">
        <f t="shared" si="42"/>
        <v>586.89455079472839</v>
      </c>
      <c r="M109" s="30">
        <f>IF(ISNA(VLOOKUP(A109,'Données projet'!$A$35:$I$55,3,0)),0,VLOOKUP(A109,'Données projet'!$A$35:$I$55,3,0))</f>
        <v>0</v>
      </c>
      <c r="N109" s="30">
        <f>IF(ISNA(VLOOKUP(A109,'Données projet'!$A$35:$I$55,4,0)),0,VLOOKUP(A109,'Données projet'!$A$35:$I$55,4,0))</f>
        <v>0</v>
      </c>
      <c r="O109" s="31">
        <f>IF(ISNA(VLOOKUP(A109,'Données projet'!$A$35:$I$55,5,0)),0%,VLOOKUP(A109,'Données projet'!$A$35:$I$55,5,0)*VLOOKUP('Données projet'!$B$9,Paramètres!$A$1:$I$88,7,0))</f>
        <v>0</v>
      </c>
      <c r="P109" s="31">
        <f>IF(ISNA(VLOOKUP(A109,'Données projet'!$A$35:$I$55,6,0)),0%,VLOOKUP(A109,'Données projet'!$A$35:$I$55,6,0)*VLOOKUP('Données projet'!$B$9,Paramètres!$A$1:$I$88,7,0))</f>
        <v>0</v>
      </c>
      <c r="Q109" s="31">
        <f>IF(ISNA(VLOOKUP(A109,'Données projet'!$A$35:$I$55,7,0)),0%,VLOOKUP(A109,'Données projet'!$A$35:$I$55,7,0))</f>
        <v>0</v>
      </c>
      <c r="R109" s="43">
        <f>EXP(-LN(2)/35)*R108+(1-EXP(-LN(2)/35))/(LN(2)/35)*N109*O109*VLOOKUP('Données projet'!$B$9,Paramètres!$A$1:$I$88,3,0)*0.475*44/12</f>
        <v>0</v>
      </c>
      <c r="S109" s="43">
        <f>EXP(-LN(2)/25)*S108+(1-EXP(-LN(2)/25))/(LN(2)/25)*Calculateur!N109*Calculateur!P109*VLOOKUP('Données projet'!$B$9,Paramètres!$A$1:$I$88,3,0)*0.475*44/12</f>
        <v>0</v>
      </c>
      <c r="T109" s="43">
        <f>EXP(-LN(2)/2)*T108+(1-EXP(-LN(2)/2))/(LN(2)/2)*N109*Q109*VLOOKUP('Données projet'!$B$9,Paramètres!$A$1:$I$88,3,0)*0.475*44/12</f>
        <v>0</v>
      </c>
      <c r="U109" s="43">
        <f t="shared" si="43"/>
        <v>0</v>
      </c>
      <c r="V109" s="32" t="e">
        <f>VLOOKUP(A109,'Données projet'!$A$61:$I$81,2,0)</f>
        <v>#N/A</v>
      </c>
      <c r="W109" s="33" t="e">
        <f>VLOOKUP(A109,'Données projet'!$A$61:$I$81,9,0)</f>
        <v>#N/A</v>
      </c>
      <c r="X109" s="33">
        <f t="array" ref="X109">INDEX(W:W,MIN(IF(ISNUMBER(W109:W305),ROW(W109:W305),"")))</f>
        <v>0</v>
      </c>
      <c r="Y109" s="33">
        <f t="shared" si="66"/>
        <v>0</v>
      </c>
      <c r="Z109" s="34" t="e">
        <f>Y109*VLOOKUP('Données projet'!$B$10,Paramètres!$A$1:$I$88,3,0)*VLOOKUP('Données projet'!$B$10,Paramètres!$A$1:$I$88,5,0)</f>
        <v>#N/A</v>
      </c>
      <c r="AA109" s="34" t="e">
        <f t="shared" si="67"/>
        <v>#N/A</v>
      </c>
      <c r="AB109" s="44" t="e">
        <f t="shared" si="44"/>
        <v>#N/A</v>
      </c>
      <c r="AC109" s="36">
        <f>IF(ISNA(VLOOKUP(A109,'Données projet'!$A$61:$I$81,3,0)),0,VLOOKUP(A109,'Données projet'!$A$61:$I$81,3,0))</f>
        <v>0</v>
      </c>
      <c r="AD109" s="36">
        <f>IF(ISNA(VLOOKUP(A109,'Données projet'!$A$61:$I$81,4,0)),0,VLOOKUP(A109,'Données projet'!$A$61:$I$81,4,0))</f>
        <v>0</v>
      </c>
      <c r="AE109" s="37">
        <f>IF(ISNA(VLOOKUP(A109,'Données projet'!$A$61:$I$81,5,0)),0%,VLOOKUP(A109,'Données projet'!$A$61:$I$81,5,0)*VLOOKUP('Données projet'!$B$10,Paramètres!$A$1:$I$88,7,0))</f>
        <v>0</v>
      </c>
      <c r="AF109" s="37">
        <f>IF(ISNA(VLOOKUP(A109,'Données projet'!$A$61:$I$81,6,0)),0%,VLOOKUP(A109,'Données projet'!$A$61:$I$81,6,0)*VLOOKUP('Données projet'!$B$10,Paramètres!$A$1:$I$88,7,0))</f>
        <v>0</v>
      </c>
      <c r="AG109" s="37">
        <f>IF(ISNA(VLOOKUP(A109,'Données projet'!$A$61:$I$81,7,0)),0%,VLOOKUP(A109,'Données projet'!$A$61:$I$81,7,0))</f>
        <v>0</v>
      </c>
      <c r="AH109" s="45">
        <f>EXP(-LN(2)/35)*AH108+(1-EXP(-LN(2)/35))/(LN(2)/35)*AD109*AE109*VLOOKUP('Données projet'!$B$9,Paramètres!$A$1:$I$88,3,0)*0.475*44/12</f>
        <v>0</v>
      </c>
      <c r="AI109" s="45">
        <f>EXP(-LN(2)/25)*AI108+(1-EXP(-LN(2)/25))/(LN(2)/25)*Calculateur!AD109*Calculateur!AF109*VLOOKUP('Données projet'!$B$9,Paramètres!$A$1:$I$88,3,0)*0.475*44/12</f>
        <v>0</v>
      </c>
      <c r="AJ109" s="45">
        <f>EXP(-LN(2)/2)*AJ108+(1-EXP(-LN(2)/2))/(LN(2)/2)*AD109*AG109*VLOOKUP('Données projet'!$B$9,Paramètres!$A$1:$I$88,3,0)*0.475*44/12</f>
        <v>0</v>
      </c>
      <c r="AK109" s="45">
        <f t="shared" si="45"/>
        <v>0</v>
      </c>
      <c r="AL109" s="32" t="e">
        <f>VLOOKUP(A109,'Données projet'!$A$87:$I$107,2,0)</f>
        <v>#N/A</v>
      </c>
      <c r="AM109" s="33" t="e">
        <f>VLOOKUP(A109,'Données projet'!$A$87:$I$107,9,0)</f>
        <v>#N/A</v>
      </c>
      <c r="AN109" s="33">
        <f t="array" ref="AN109">INDEX(AM:AM,MIN(IF(ISNUMBER(AM109:AM305),ROW(AM109:AM305),"")))</f>
        <v>0</v>
      </c>
      <c r="AO109" s="33">
        <f t="shared" si="68"/>
        <v>0</v>
      </c>
      <c r="AP109" s="34" t="e">
        <f>AO109*VLOOKUP('Données projet'!$B$11,Paramètres!$A$1:$I$88,3,0)*VLOOKUP('Données projet'!$B$11,Paramètres!$A$1:$I$88,5,0)</f>
        <v>#N/A</v>
      </c>
      <c r="AQ109" s="34" t="e">
        <f t="shared" si="69"/>
        <v>#N/A</v>
      </c>
      <c r="AR109" s="44" t="e">
        <f t="shared" si="46"/>
        <v>#N/A</v>
      </c>
      <c r="AS109" s="36">
        <f>IF(ISNA(VLOOKUP(A109,'Données projet'!$A$87:$I$107,3,0)),0,VLOOKUP(A109,'Données projet'!$A$87:$I$107,3,0))</f>
        <v>0</v>
      </c>
      <c r="AT109" s="36">
        <f>IF(ISNA(VLOOKUP(A109,'Données projet'!$A$87:$I$107,4,0)),0,VLOOKUP(A109,'Données projet'!$A$87:$I$107,4,0))</f>
        <v>0</v>
      </c>
      <c r="AU109" s="37">
        <f>IF(ISNA(VLOOKUP(A109,'Données projet'!$A$87:$I$107,5,0)),0%,VLOOKUP(A109,'Données projet'!$A$87:$I$107,5,0)*VLOOKUP('Données projet'!$B$11,Paramètres!$A$1:$I$88,7,0))</f>
        <v>0</v>
      </c>
      <c r="AV109" s="37">
        <f>IF(ISNA(VLOOKUP(A109,'Données projet'!$A$87:$I$107,6,0)),0%,VLOOKUP(A109,'Données projet'!$A$87:$I$107,6,0)*VLOOKUP('Données projet'!$B$11,Paramètres!$A$1:$I$88,7,0))</f>
        <v>0</v>
      </c>
      <c r="AW109" s="37">
        <f>IF(ISNA(VLOOKUP(A109,'Données projet'!$A$87:$I$107,7,0)),0%,VLOOKUP(A109,'Données projet'!$A$87:$I$107,7,0))</f>
        <v>0</v>
      </c>
      <c r="AX109" s="45">
        <f>EXP(-LN(2)/35)*AX108+(1-EXP(-LN(2)/35))/(LN(2)/35)*AT109*AU109*VLOOKUP('Données projet'!$B$9,Paramètres!$A$1:$I$88,3,0)*0.475*44/12</f>
        <v>0</v>
      </c>
      <c r="AY109" s="45">
        <f>EXP(-LN(2)/25)*AY108+(1-EXP(-LN(2)/25))/(LN(2)/25)*Calculateur!AT109*Calculateur!AV109*VLOOKUP('Données projet'!$B$9,Paramètres!$A$1:$I$88,3,0)*0.475*44/12</f>
        <v>0</v>
      </c>
      <c r="AZ109" s="45">
        <f>EXP(-LN(2)/2)*AZ108+(1-EXP(-LN(2)/2))/(LN(2)/2)*AT109*AW109*VLOOKUP('Données projet'!$B$9,Paramètres!$A$1:$I$88,3,0)*0.475*44/12</f>
        <v>0</v>
      </c>
      <c r="BA109" s="46">
        <f t="shared" si="47"/>
        <v>0</v>
      </c>
      <c r="BB109" s="32" t="e">
        <f>VLOOKUP(A109,'Données projet'!$A$113:$I$133,2,0)</f>
        <v>#N/A</v>
      </c>
      <c r="BC109" s="33" t="e">
        <f>VLOOKUP(A109,'Données projet'!$A$113:$I$133,9,0)</f>
        <v>#N/A</v>
      </c>
      <c r="BD109" s="33">
        <f t="array" ref="BD109">INDEX(BC:BC,MIN(IF(ISNUMBER(BC109:BC305),ROW(BC109:BC305),"")))</f>
        <v>0</v>
      </c>
      <c r="BE109" s="33">
        <f t="shared" si="70"/>
        <v>0</v>
      </c>
      <c r="BF109" s="34" t="e">
        <f>BE109*VLOOKUP('Données projet'!$B$12,Paramètres!$A$1:$I$88,3,0)*VLOOKUP('Données projet'!$B$12,Paramètres!$A$1:$I$88,5,0)</f>
        <v>#N/A</v>
      </c>
      <c r="BG109" s="34" t="e">
        <f t="shared" si="71"/>
        <v>#N/A</v>
      </c>
      <c r="BH109" s="44" t="e">
        <f t="shared" si="48"/>
        <v>#N/A</v>
      </c>
      <c r="BI109" s="36">
        <f>IF(ISNA(VLOOKUP(A109,'Données projet'!$A$113:$I$133,3,0)),0,VLOOKUP(A109,'Données projet'!$A$113:$I$133,3,0))</f>
        <v>0</v>
      </c>
      <c r="BJ109" s="36">
        <f>IF(ISNA(VLOOKUP(A109,'Données projet'!$A$113:$I$133,4,0)),0,VLOOKUP(A109,'Données projet'!$A$113:$I$133,4,0))</f>
        <v>0</v>
      </c>
      <c r="BK109" s="37">
        <f>IF(ISNA(VLOOKUP(A109,'Données projet'!$A$113:$I$133,5,0)),0%,VLOOKUP(A109,'Données projet'!$A$113:$I$133,5,0)*VLOOKUP('Données projet'!$B$12,Paramètres!$A$1:$I$88,7,0))</f>
        <v>0</v>
      </c>
      <c r="BL109" s="37">
        <f>IF(ISNA(VLOOKUP(A109,'Données projet'!$A$113:$I$133,6,0)),0%,VLOOKUP(A109,'Données projet'!$A$113:$I$133,6,0)*VLOOKUP('Données projet'!$B$12,Paramètres!$A$1:$I$88,7,0))</f>
        <v>0</v>
      </c>
      <c r="BM109" s="37">
        <f>IF(ISNA(VLOOKUP(A109,'Données projet'!$A$113:$I$133,7,0)),0%,VLOOKUP(A109,'Données projet'!$A$113:$I$133,7,0))</f>
        <v>0</v>
      </c>
      <c r="BN109" s="45">
        <f>EXP(-LN(2)/35)*BN108+(1-EXP(-LN(2)/35))/(LN(2)/35)*BJ109*BK109*VLOOKUP('Données projet'!$B$9,Paramètres!$A$1:$I$88,3,0)*0.475*44/12</f>
        <v>0</v>
      </c>
      <c r="BO109" s="45">
        <f>EXP(-LN(2)/25)*BO108+(1-EXP(-LN(2)/25))/(LN(2)/25)*Calculateur!BJ109*Calculateur!BL109*VLOOKUP('Données projet'!$B$9,Paramètres!$A$1:$I$88,3,0)*0.475*44/12</f>
        <v>0</v>
      </c>
      <c r="BP109" s="45">
        <f>EXP(-LN(2)/2)*BP108+(1-EXP(-LN(2)/2))/(LN(2)/2)*BJ109*BM109*VLOOKUP('Données projet'!$B$9,Paramètres!$A$1:$I$88,3,0)*0.475*44/12</f>
        <v>0</v>
      </c>
      <c r="BQ109" s="46">
        <f t="shared" si="49"/>
        <v>0</v>
      </c>
      <c r="BR109" s="32" t="e">
        <f>VLOOKUP(A109,'Données projet'!$A$139:$I$159,2,0)</f>
        <v>#N/A</v>
      </c>
      <c r="BS109" s="33" t="e">
        <f>VLOOKUP(A109,'Données projet'!$A$139:$I$159,9,0)</f>
        <v>#N/A</v>
      </c>
      <c r="BT109" s="33">
        <f t="array" ref="BT109">INDEX(BS:BS,MIN(IF(ISNUMBER(BS109:BS305),ROW(BS109:BS305),"")))</f>
        <v>0</v>
      </c>
      <c r="BU109" s="33">
        <f t="shared" si="72"/>
        <v>0</v>
      </c>
      <c r="BV109" s="38" t="e">
        <f>BU109*VLOOKUP('Données projet'!$B$13,Paramètres!$A$1:$I$88,3,0)*VLOOKUP('Données projet'!$B$13,Paramètres!$A$1:$I$88,5,0)</f>
        <v>#N/A</v>
      </c>
      <c r="BW109" s="34" t="e">
        <f t="shared" si="73"/>
        <v>#N/A</v>
      </c>
      <c r="BX109" s="44" t="e">
        <f t="shared" si="50"/>
        <v>#N/A</v>
      </c>
      <c r="BY109" s="36">
        <f>IF(ISNA(VLOOKUP(A109,'Données projet'!$A$139:$I$159,3,0)),0,VLOOKUP(A109,'Données projet'!$A$139:$I$159,3,0))</f>
        <v>0</v>
      </c>
      <c r="BZ109" s="36">
        <f>IF(ISNA(VLOOKUP(A109,'Données projet'!$A$139:$I$159,4,0)),0,VLOOKUP(A109,'Données projet'!$A$139:$I$159,4,0))</f>
        <v>0</v>
      </c>
      <c r="CA109" s="37">
        <f>IF(ISNA(VLOOKUP(A109,'Données projet'!$A$139:$I$159,5,0)),0%,VLOOKUP(A109,'Données projet'!$A$139:$I$159,5,0)*VLOOKUP('Données projet'!$B$13,Paramètres!$A$1:$I$88,7,0))</f>
        <v>0</v>
      </c>
      <c r="CB109" s="37">
        <f>IF(ISNA(VLOOKUP(A109,'Données projet'!$A$139:$I$159,6,0)),0%,VLOOKUP(A109,'Données projet'!$A$139:$I$159,6,0)*VLOOKUP('Données projet'!$B$13,Paramètres!$A$1:$I$88,7,0))</f>
        <v>0</v>
      </c>
      <c r="CC109" s="37">
        <f>IF(ISNA(VLOOKUP(A109,'Données projet'!$A$139:$I$159,7,0)),0%,VLOOKUP(A109,'Données projet'!$A$139:$I$159,7,0))</f>
        <v>0</v>
      </c>
      <c r="CD109" s="45">
        <f>EXP(-LN(2)/35)*CD108+(1-EXP(-LN(2)/35))/(LN(2)/35)*BZ109*CA109*VLOOKUP('Données projet'!$B$9,Paramètres!$A$1:$I$88,3,0)*0.475*44/12</f>
        <v>0</v>
      </c>
      <c r="CE109" s="45">
        <f>EXP(-LN(2)/25)*CE108+(1-EXP(-LN(2)/25))/(LN(2)/25)*Calculateur!BZ109*Calculateur!CB109*VLOOKUP('Données projet'!$B$9,Paramètres!$A$1:$I$88,3,0)*0.475*44/12</f>
        <v>0</v>
      </c>
      <c r="CF109" s="45">
        <f>EXP(-LN(2)/2)*CF108+(1-EXP(-LN(2)/2))/(LN(2)/2)*BZ109*CC109*VLOOKUP('Données projet'!$B$9,Paramètres!$A$1:$I$88,3,0)*0.475*44/12</f>
        <v>0</v>
      </c>
      <c r="CG109" s="46">
        <f t="shared" si="51"/>
        <v>0</v>
      </c>
      <c r="CH109" s="32" t="e">
        <f>VLOOKUP(A109,'Données projet'!$A$165:$I$185,2,0)</f>
        <v>#N/A</v>
      </c>
      <c r="CI109" s="33" t="e">
        <f>VLOOKUP(A109,'Données projet'!$A$165:$I$185,9,0)</f>
        <v>#N/A</v>
      </c>
      <c r="CJ109" s="33">
        <f t="array" ref="CJ109">INDEX(CI:CI,MIN(IF(ISNUMBER(CI109:CI305),ROW(CI109:CI305),"")))</f>
        <v>0</v>
      </c>
      <c r="CK109" s="33">
        <f t="shared" si="74"/>
        <v>0</v>
      </c>
      <c r="CL109" s="38" t="e">
        <f>CK109*VLOOKUP('Données projet'!$B$14,Paramètres!$A$1:$I$88,3,0)*VLOOKUP('Données projet'!$B$14,Paramètres!$A$1:$I$88,5,0)</f>
        <v>#N/A</v>
      </c>
      <c r="CM109" s="34" t="e">
        <f t="shared" si="75"/>
        <v>#N/A</v>
      </c>
      <c r="CN109" s="44" t="e">
        <f t="shared" si="52"/>
        <v>#N/A</v>
      </c>
      <c r="CO109" s="36">
        <f>IF(ISNA(VLOOKUP(A109,'Données projet'!$A$165:$I$185,3,0)),0,VLOOKUP(A109,'Données projet'!$A$165:$I$185,3,0))</f>
        <v>0</v>
      </c>
      <c r="CP109" s="36">
        <f>IF(ISNA(VLOOKUP(A109,'Données projet'!$A$165:$I$185,4,0)),0,VLOOKUP(A109,'Données projet'!$A$165:$I$185,4,0))</f>
        <v>0</v>
      </c>
      <c r="CQ109" s="37">
        <f>IF(ISNA(VLOOKUP(A109,'Données projet'!$A$165:$I$185,5,0)),0%,VLOOKUP(A109,'Données projet'!$A$165:$I$185,5,0)*VLOOKUP('Données projet'!$B$14,Paramètres!$A$1:$I$88,7,0))</f>
        <v>0</v>
      </c>
      <c r="CR109" s="37">
        <f>IF(ISNA(VLOOKUP(A109,'Données projet'!$A$165:$I$185,6,0)),0%,VLOOKUP(A109,'Données projet'!$A$165:$I$185,6,0)*VLOOKUP('Données projet'!$B$14,Paramètres!$A$1:$I$88,7,0))</f>
        <v>0</v>
      </c>
      <c r="CS109" s="37">
        <f>IF(ISNA(VLOOKUP(A109,'Données projet'!$A$165:$I$185,7,0)),0%,VLOOKUP(A109,'Données projet'!$A$165:$I$185,7,0))</f>
        <v>0</v>
      </c>
      <c r="CT109" s="45">
        <f>EXP(-LN(2)/35)*CT108+(1-EXP(-LN(2)/35))/(LN(2)/35)*CP109*CQ109*VLOOKUP('Données projet'!$B$9,Paramètres!$A$1:$I$88,3,0)*0.475*44/12</f>
        <v>0</v>
      </c>
      <c r="CU109" s="45">
        <f>EXP(-LN(2)/25)*CU108+(1-EXP(-LN(2)/25))/(LN(2)/25)*Calculateur!CP109*Calculateur!CR109*VLOOKUP('Données projet'!$B$9,Paramètres!$A$1:$I$88,3,0)*0.475*44/12</f>
        <v>0</v>
      </c>
      <c r="CV109" s="45">
        <f>EXP(-LN(2)/2)*CV108+(1-EXP(-LN(2)/2))/(LN(2)/2)*CP109*CS109*VLOOKUP('Données projet'!$B$9,Paramètres!$A$1:$I$88,3,0)*0.475*44/12</f>
        <v>0</v>
      </c>
      <c r="CW109" s="46">
        <f t="shared" si="53"/>
        <v>0</v>
      </c>
      <c r="CX109" s="32" t="e">
        <f>VLOOKUP(A109,'Données projet'!$A$191:$I$211,2,0)</f>
        <v>#N/A</v>
      </c>
      <c r="CY109" s="33" t="e">
        <f>VLOOKUP(A109,'Données projet'!$A$191:$I$211,9,0)</f>
        <v>#N/A</v>
      </c>
      <c r="CZ109" s="33">
        <f t="array" ref="CZ109">INDEX(CY:CY,MIN(IF(ISNUMBER(CY109:CY305),ROW(CY109:CY305),"")))</f>
        <v>0</v>
      </c>
      <c r="DA109" s="33">
        <f t="shared" si="76"/>
        <v>0</v>
      </c>
      <c r="DB109" s="38" t="e">
        <f>DA109*VLOOKUP('Données projet'!$B$15,Paramètres!$A$1:$I$88,3,0)*VLOOKUP('Données projet'!$B$15,Paramètres!$A$1:$I$88,5,0)</f>
        <v>#N/A</v>
      </c>
      <c r="DC109" s="34" t="e">
        <f t="shared" si="77"/>
        <v>#N/A</v>
      </c>
      <c r="DD109" s="44" t="e">
        <f t="shared" si="54"/>
        <v>#N/A</v>
      </c>
      <c r="DE109" s="36">
        <f>IF(ISNA(VLOOKUP(A109,'Données projet'!$A$191:$I$211,3,0)),0,VLOOKUP(A109,'Données projet'!$A$191:$I$211,3,0))</f>
        <v>0</v>
      </c>
      <c r="DF109" s="36">
        <f>IF(ISNA(VLOOKUP(A109,'Données projet'!$A$191:$I$211,4,0)),0,VLOOKUP(A109,'Données projet'!$A$191:$I$211,4,0))</f>
        <v>0</v>
      </c>
      <c r="DG109" s="37">
        <f>IF(ISNA(VLOOKUP(A109,'Données projet'!$A$191:$I$211,5,0)),0%,VLOOKUP(A109,'Données projet'!$A$191:$I$211,5,0)*VLOOKUP('Données projet'!$B$15,Paramètres!$A$1:$I$88,7,0))</f>
        <v>0</v>
      </c>
      <c r="DH109" s="37">
        <f>IF(ISNA(VLOOKUP(A109,'Données projet'!$A$191:$I$211,6,0)),0%,VLOOKUP(A109,'Données projet'!$A$191:$I$211,6,0)*VLOOKUP('Données projet'!$B$15,Paramètres!$A$1:$I$88,7,0))</f>
        <v>0</v>
      </c>
      <c r="DI109" s="37">
        <f>IF(ISNA(VLOOKUP(A109,'Données projet'!$A$191:$I$211,7,0)),0%,VLOOKUP(A109,'Données projet'!$A$191:$I$211,7,0))</f>
        <v>0</v>
      </c>
      <c r="DJ109" s="45">
        <f>EXP(-LN(2)/35)*DJ108+(1-EXP(-LN(2)/35))/(LN(2)/35)*DF109*DG109*VLOOKUP('Données projet'!$B$9,Paramètres!$A$1:$I$88,3,0)*0.475*44/12</f>
        <v>0</v>
      </c>
      <c r="DK109" s="45">
        <f>EXP(-LN(2)/25)*DK108+(1-EXP(-LN(2)/25))/(LN(2)/25)*Calculateur!DF109*Calculateur!DH109*VLOOKUP('Données projet'!$B$9,Paramètres!$A$1:$I$88,3,0)*0.475*44/12</f>
        <v>0</v>
      </c>
      <c r="DL109" s="45">
        <f>EXP(-LN(2)/2)*DL108+(1-EXP(-LN(2)/2))/(LN(2)/2)*DF109*DI109*VLOOKUP('Données projet'!$B$9,Paramètres!$A$1:$I$88,3,0)*0.475*44/12</f>
        <v>0</v>
      </c>
      <c r="DM109" s="46">
        <f t="shared" si="55"/>
        <v>0</v>
      </c>
      <c r="DN109" s="32" t="e">
        <f>VLOOKUP(A109,'Données projet'!$A$217:$I$237,2,0)</f>
        <v>#N/A</v>
      </c>
      <c r="DO109" s="33" t="e">
        <f>VLOOKUP(A109,'Données projet'!$A$217:$I$237,9,0)</f>
        <v>#N/A</v>
      </c>
      <c r="DP109" s="33">
        <f t="array" ref="DP109">INDEX(DO:DO,MIN(IF(ISNUMBER(DO109:DO305),ROW(DO109:DO305),"")))</f>
        <v>0</v>
      </c>
      <c r="DQ109" s="33">
        <f t="shared" si="78"/>
        <v>0</v>
      </c>
      <c r="DR109" s="38" t="e">
        <f>DQ109*VLOOKUP('Données projet'!$B$16,Paramètres!$A$1:$I$88,3,0)*VLOOKUP('Données projet'!$B$16,Paramètres!$A$1:$I$88,5,0)</f>
        <v>#N/A</v>
      </c>
      <c r="DS109" s="34" t="e">
        <f t="shared" si="79"/>
        <v>#N/A</v>
      </c>
      <c r="DT109" s="44" t="e">
        <f t="shared" si="56"/>
        <v>#N/A</v>
      </c>
      <c r="DU109" s="36">
        <f>IF(ISNA(VLOOKUP(A109,'Données projet'!$A$217:$I$237,3,0)),0,VLOOKUP(A109,'Données projet'!$A$217:$I$237,3,0))</f>
        <v>0</v>
      </c>
      <c r="DV109" s="36">
        <f>IF(ISNA(VLOOKUP(A109,'Données projet'!$A$217:$I$237,4,0)),0,VLOOKUP(A109,'Données projet'!$A$217:$I$237,4,0))</f>
        <v>0</v>
      </c>
      <c r="DW109" s="37">
        <f>IF(ISNA(VLOOKUP(A109,'Données projet'!$A$217:$I$237,5,0)),0%,VLOOKUP(A109,'Données projet'!$A$217:$I$237,5,0)*VLOOKUP('Données projet'!$B$16,Paramètres!$A$1:$I$88,7,0))</f>
        <v>0</v>
      </c>
      <c r="DX109" s="37">
        <f>IF(ISNA(VLOOKUP(A109,'Données projet'!$A$217:$I$237,6,0)),0%,VLOOKUP(A109,'Données projet'!$A$217:$I$237,6,0)*VLOOKUP('Données projet'!$B$16,Paramètres!$A$1:$I$88,7,0))</f>
        <v>0</v>
      </c>
      <c r="DY109" s="37">
        <f>IF(ISNA(VLOOKUP(A109,'Données projet'!$A$217:$I$237,7,0)),0%,VLOOKUP(A109,'Données projet'!$A$217:$I$237,7,0))</f>
        <v>0</v>
      </c>
      <c r="DZ109" s="45">
        <f>EXP(-LN(2)/35)*DZ108+(1-EXP(-LN(2)/35))/(LN(2)/35)*DV109*DW109*VLOOKUP('Données projet'!$B$9,Paramètres!$A$1:$I$88,3,0)*0.475*44/12</f>
        <v>0</v>
      </c>
      <c r="EA109" s="45">
        <f>EXP(-LN(2)/25)*EA108+(1-EXP(-LN(2)/25))/(LN(2)/25)*Calculateur!DV109*Calculateur!DX109*VLOOKUP('Données projet'!$B$9,Paramètres!$A$1:$I$88,3,0)*0.475*44/12</f>
        <v>0</v>
      </c>
      <c r="EB109" s="45">
        <f>EXP(-LN(2)/2)*EB108+(1-EXP(-LN(2)/2))/(LN(2)/2)*DV109*DY109*VLOOKUP('Données projet'!$B$9,Paramètres!$A$1:$I$88,3,0)*0.475*44/12</f>
        <v>0</v>
      </c>
      <c r="EC109" s="46">
        <f t="shared" si="57"/>
        <v>0</v>
      </c>
      <c r="ED109" s="32" t="e">
        <f>VLOOKUP(A109,'Données projet'!$A$243:$I$263,2,0)</f>
        <v>#N/A</v>
      </c>
      <c r="EE109" s="33" t="e">
        <f>VLOOKUP(A109,'Données projet'!$A$243:$I$263,9,0)</f>
        <v>#N/A</v>
      </c>
      <c r="EF109" s="33">
        <f t="array" ref="EF109">INDEX(EE:EE,MIN(IF(ISNUMBER(EE109:EE305),ROW(EE109:EE305),"")))</f>
        <v>0</v>
      </c>
      <c r="EG109" s="33">
        <f t="shared" si="80"/>
        <v>0</v>
      </c>
      <c r="EH109" s="38" t="e">
        <f>EG109*VLOOKUP('Données projet'!$B$17,Paramètres!$A$1:$I$88,3,0)*VLOOKUP('Données projet'!$B$17,Paramètres!$A$1:$I$88,5,0)</f>
        <v>#N/A</v>
      </c>
      <c r="EI109" s="34" t="e">
        <f t="shared" si="81"/>
        <v>#N/A</v>
      </c>
      <c r="EJ109" s="44" t="e">
        <f t="shared" si="58"/>
        <v>#N/A</v>
      </c>
      <c r="EK109" s="36">
        <f>IF(ISNA(VLOOKUP(A109,'Données projet'!$A$243:$I$263,3,0)),0,VLOOKUP(A109,'Données projet'!$A$243:$I$263,3,0))</f>
        <v>0</v>
      </c>
      <c r="EL109" s="36">
        <f>IF(ISNA(VLOOKUP(A109,'Données projet'!$A$243:$I$263,4,0)),0,VLOOKUP(A109,'Données projet'!$A$243:$I$263,4,0))</f>
        <v>0</v>
      </c>
      <c r="EM109" s="37">
        <f>IF(ISNA(VLOOKUP(A109,'Données projet'!$A$243:$I$263,5,0)),0%,VLOOKUP(A109,'Données projet'!$A$243:$I$263,5,0)*VLOOKUP('Données projet'!$B$17,Paramètres!$A$1:$I$88,7,0))</f>
        <v>0</v>
      </c>
      <c r="EN109" s="37">
        <f>IF(ISNA(VLOOKUP(A109,'Données projet'!$A$243:$I$263,6,0)),0%,VLOOKUP(A109,'Données projet'!$A$243:$I$263,6,0)*VLOOKUP('Données projet'!$B$17,Paramètres!$A$1:$I$88,7,0))</f>
        <v>0</v>
      </c>
      <c r="EO109" s="37">
        <f>IF(ISNA(VLOOKUP(A109,'Données projet'!$A$243:$I$263,7,0)),0%,VLOOKUP(A109,'Données projet'!$A$243:$I$263,7,0))</f>
        <v>0</v>
      </c>
      <c r="EP109" s="45">
        <f>EXP(-LN(2)/35)*EP108+(1-EXP(-LN(2)/35))/(LN(2)/35)*EL109*EM109*VLOOKUP('Données projet'!$B$9,Paramètres!$A$1:$I$88,3,0)*0.475*44/12</f>
        <v>0</v>
      </c>
      <c r="EQ109" s="45">
        <f>EXP(-LN(2)/25)*EQ108+(1-EXP(-LN(2)/25))/(LN(2)/25)*Calculateur!EL109*Calculateur!EN109*VLOOKUP('Données projet'!$B$9,Paramètres!$A$1:$I$88,3,0)*0.475*44/12</f>
        <v>0</v>
      </c>
      <c r="ER109" s="45">
        <f>EXP(-LN(2)/2)*ER108+(1-EXP(-LN(2)/2))/(LN(2)/2)*EL109*EO109*VLOOKUP('Données projet'!$B$9,Paramètres!$A$1:$I$88,3,0)*0.475*44/12</f>
        <v>0</v>
      </c>
      <c r="ES109" s="46">
        <f t="shared" si="59"/>
        <v>0</v>
      </c>
      <c r="ET109" s="32" t="e">
        <f>VLOOKUP(A109,'Données projet'!$A$269:$I$289,2,0)</f>
        <v>#N/A</v>
      </c>
      <c r="EU109" s="33" t="e">
        <f>VLOOKUP(A109,'Données projet'!$A$269:$I$289,9,0)</f>
        <v>#N/A</v>
      </c>
      <c r="EV109" s="33">
        <f t="array" ref="EV109">INDEX(EU:EU,MIN(IF(ISNUMBER(EU109:EU305),ROW(EU109:EU305),"")))</f>
        <v>0</v>
      </c>
      <c r="EW109" s="33">
        <f t="shared" si="82"/>
        <v>0</v>
      </c>
      <c r="EX109" s="38" t="e">
        <f>EW109*VLOOKUP('Données projet'!$B$18,Paramètres!$A$1:$I$88,3,0)*VLOOKUP('Données projet'!$B$18,Paramètres!$A$1:$I$88,5,0)</f>
        <v>#N/A</v>
      </c>
      <c r="EY109" s="34" t="e">
        <f t="shared" si="83"/>
        <v>#N/A</v>
      </c>
      <c r="EZ109" s="44" t="e">
        <f t="shared" si="60"/>
        <v>#N/A</v>
      </c>
      <c r="FA109" s="36">
        <f>IF(ISNA(VLOOKUP(A109,'Données projet'!$A$269:$I$289,3,0)),0,VLOOKUP(A109,'Données projet'!$A$269:$I$289,3,0))</f>
        <v>0</v>
      </c>
      <c r="FB109" s="36">
        <f>IF(ISNA(VLOOKUP(A109,'Données projet'!$A$269:$I$289,4,0)),0,VLOOKUP(A109,'Données projet'!$A$269:$I$289,4,0))</f>
        <v>0</v>
      </c>
      <c r="FC109" s="37">
        <f>IF(ISNA(VLOOKUP(A109,'Données projet'!$A$269:$I$289,5,0)),0%,VLOOKUP(A109,'Données projet'!$A$269:$I$289,5,0)*VLOOKUP('Données projet'!$B$18,Paramètres!$A$1:$I$88,7,0))</f>
        <v>0</v>
      </c>
      <c r="FD109" s="37">
        <f>IF(ISNA(VLOOKUP(A109,'Données projet'!$A$269:$I$289,6,0)),0%,VLOOKUP(A109,'Données projet'!$A$269:$I$289,6,0)*VLOOKUP('Données projet'!$B$18,Paramètres!$A$1:$I$88,7,0))</f>
        <v>0</v>
      </c>
      <c r="FE109" s="37">
        <f>IF(ISNA(VLOOKUP(A109,'Données projet'!$A$269:$I$289,7,0)),0%,VLOOKUP(A109,'Données projet'!$A$269:$I$289,7,0))</f>
        <v>0</v>
      </c>
      <c r="FF109" s="45">
        <f>EXP(-LN(2)/35)*FF108+(1-EXP(-LN(2)/35))/(LN(2)/35)*FB109*FC109*VLOOKUP('Données projet'!$B$9,Paramètres!$A$1:$I$88,3,0)*0.475*44/12</f>
        <v>0</v>
      </c>
      <c r="FG109" s="45">
        <f>EXP(-LN(2)/25)*FG108+(1-EXP(-LN(2)/25))/(LN(2)/25)*Calculateur!FB109*Calculateur!FD109*VLOOKUP('Données projet'!$B$9,Paramètres!$A$1:$I$88,3,0)*0.475*44/12</f>
        <v>0</v>
      </c>
      <c r="FH109" s="45">
        <f>EXP(-LN(2)/2)*FH108+(1-EXP(-LN(2)/2))/(LN(2)/2)*FB109*FE109*VLOOKUP('Données projet'!$B$9,Paramètres!$A$1:$I$88,3,0)*0.475*44/12</f>
        <v>0</v>
      </c>
      <c r="FI109" s="46">
        <f t="shared" si="61"/>
        <v>0</v>
      </c>
    </row>
    <row r="110" spans="1:165" x14ac:dyDescent="0.25">
      <c r="A110" s="24">
        <f t="shared" si="62"/>
        <v>107</v>
      </c>
      <c r="B110" s="25">
        <f>IF('Scénario référence'!$N$1=1,5,0)</f>
        <v>0</v>
      </c>
      <c r="C110" s="40">
        <f>IF(OR('Scénario référence'!$N$1=2,'Scénario référence'!$N$1=4),C109+1*VLOOKUP('Scénario référence'!$G$14,Paramètres!$A$1:$I$88,3,0)*VLOOKUP('Scénario référence'!$G$14,Paramètres!$A$1:$I$88,5,0),IF(OR('Scénario référence'!$N$1=3,'Scénario référence'!$N$1=5),C109+0.5*VLOOKUP('Scénario référence'!$G$14,Paramètres!$A$1:$I$88,3,0)*VLOOKUP('Scénario référence'!$G$14,Paramètres!$A$1:$I$88,5,0),0))</f>
        <v>58.421999999999947</v>
      </c>
      <c r="D110" s="26">
        <f t="shared" si="63"/>
        <v>16.768684357151628</v>
      </c>
      <c r="E110" s="27">
        <f>IF('Scénario référence'!$N$1=1,B110*44/12,(C110+D110)*0.475*44/12)</f>
        <v>130.95710858870567</v>
      </c>
      <c r="F110" s="28" t="e">
        <f>VLOOKUP(A110,'Données projet'!$A$35:$I$55,2,0)</f>
        <v>#N/A</v>
      </c>
      <c r="G110" s="28" t="e">
        <f>VLOOKUP(A110,'Données projet'!$A$35:$I$55,9,0)</f>
        <v>#N/A</v>
      </c>
      <c r="H110" s="33">
        <f t="array" ref="H110">INDEX(G:G,MIN(IF(ISNUMBER(G110:G306),ROW(G110:G306),"")))</f>
        <v>4</v>
      </c>
      <c r="I110" s="28">
        <f t="shared" si="64"/>
        <v>271.99999999999955</v>
      </c>
      <c r="J110" s="41">
        <f>I110*VLOOKUP('Données projet'!$B$9,Paramètres!$A$1:$I$88,3,0)*VLOOKUP('Données projet'!$B$9,Paramètres!$A$1:$I$88,5,0)</f>
        <v>275.80799999999954</v>
      </c>
      <c r="K110" s="41">
        <f t="shared" si="65"/>
        <v>66.080342531440536</v>
      </c>
      <c r="L110" s="42">
        <f t="shared" si="42"/>
        <v>595.45552990892475</v>
      </c>
      <c r="M110" s="30">
        <f>IF(ISNA(VLOOKUP(A110,'Données projet'!$A$35:$I$55,3,0)),0,VLOOKUP(A110,'Données projet'!$A$35:$I$55,3,0))</f>
        <v>0</v>
      </c>
      <c r="N110" s="30">
        <f>IF(ISNA(VLOOKUP(A110,'Données projet'!$A$35:$I$55,4,0)),0,VLOOKUP(A110,'Données projet'!$A$35:$I$55,4,0))</f>
        <v>0</v>
      </c>
      <c r="O110" s="31">
        <f>IF(ISNA(VLOOKUP(A110,'Données projet'!$A$35:$I$55,5,0)),0%,VLOOKUP(A110,'Données projet'!$A$35:$I$55,5,0)*VLOOKUP('Données projet'!$B$9,Paramètres!$A$1:$I$88,7,0))</f>
        <v>0</v>
      </c>
      <c r="P110" s="31">
        <f>IF(ISNA(VLOOKUP(A110,'Données projet'!$A$35:$I$55,6,0)),0%,VLOOKUP(A110,'Données projet'!$A$35:$I$55,6,0)*VLOOKUP('Données projet'!$B$9,Paramètres!$A$1:$I$88,7,0))</f>
        <v>0</v>
      </c>
      <c r="Q110" s="31">
        <f>IF(ISNA(VLOOKUP(A110,'Données projet'!$A$35:$I$55,7,0)),0%,VLOOKUP(A110,'Données projet'!$A$35:$I$55,7,0))</f>
        <v>0</v>
      </c>
      <c r="R110" s="43">
        <f>EXP(-LN(2)/35)*R109+(1-EXP(-LN(2)/35))/(LN(2)/35)*N110*O110*VLOOKUP('Données projet'!$B$9,Paramètres!$A$1:$I$88,3,0)*0.475*44/12</f>
        <v>0</v>
      </c>
      <c r="S110" s="43">
        <f>EXP(-LN(2)/25)*S109+(1-EXP(-LN(2)/25))/(LN(2)/25)*Calculateur!N110*Calculateur!P110*VLOOKUP('Données projet'!$B$9,Paramètres!$A$1:$I$88,3,0)*0.475*44/12</f>
        <v>0</v>
      </c>
      <c r="T110" s="43">
        <f>EXP(-LN(2)/2)*T109+(1-EXP(-LN(2)/2))/(LN(2)/2)*N110*Q110*VLOOKUP('Données projet'!$B$9,Paramètres!$A$1:$I$88,3,0)*0.475*44/12</f>
        <v>0</v>
      </c>
      <c r="U110" s="43">
        <f t="shared" si="43"/>
        <v>0</v>
      </c>
      <c r="V110" s="32" t="e">
        <f>VLOOKUP(A110,'Données projet'!$A$61:$I$81,2,0)</f>
        <v>#N/A</v>
      </c>
      <c r="W110" s="33" t="e">
        <f>VLOOKUP(A110,'Données projet'!$A$61:$I$81,9,0)</f>
        <v>#N/A</v>
      </c>
      <c r="X110" s="33">
        <f t="array" ref="X110">INDEX(W:W,MIN(IF(ISNUMBER(W110:W306),ROW(W110:W306),"")))</f>
        <v>0</v>
      </c>
      <c r="Y110" s="33">
        <f t="shared" si="66"/>
        <v>0</v>
      </c>
      <c r="Z110" s="34" t="e">
        <f>Y110*VLOOKUP('Données projet'!$B$10,Paramètres!$A$1:$I$88,3,0)*VLOOKUP('Données projet'!$B$10,Paramètres!$A$1:$I$88,5,0)</f>
        <v>#N/A</v>
      </c>
      <c r="AA110" s="34" t="e">
        <f t="shared" si="67"/>
        <v>#N/A</v>
      </c>
      <c r="AB110" s="44" t="e">
        <f t="shared" si="44"/>
        <v>#N/A</v>
      </c>
      <c r="AC110" s="36">
        <f>IF(ISNA(VLOOKUP(A110,'Données projet'!$A$61:$I$81,3,0)),0,VLOOKUP(A110,'Données projet'!$A$61:$I$81,3,0))</f>
        <v>0</v>
      </c>
      <c r="AD110" s="36">
        <f>IF(ISNA(VLOOKUP(A110,'Données projet'!$A$61:$I$81,4,0)),0,VLOOKUP(A110,'Données projet'!$A$61:$I$81,4,0))</f>
        <v>0</v>
      </c>
      <c r="AE110" s="37">
        <f>IF(ISNA(VLOOKUP(A110,'Données projet'!$A$61:$I$81,5,0)),0%,VLOOKUP(A110,'Données projet'!$A$61:$I$81,5,0)*VLOOKUP('Données projet'!$B$10,Paramètres!$A$1:$I$88,7,0))</f>
        <v>0</v>
      </c>
      <c r="AF110" s="37">
        <f>IF(ISNA(VLOOKUP(A110,'Données projet'!$A$61:$I$81,6,0)),0%,VLOOKUP(A110,'Données projet'!$A$61:$I$81,6,0)*VLOOKUP('Données projet'!$B$10,Paramètres!$A$1:$I$88,7,0))</f>
        <v>0</v>
      </c>
      <c r="AG110" s="37">
        <f>IF(ISNA(VLOOKUP(A110,'Données projet'!$A$61:$I$81,7,0)),0%,VLOOKUP(A110,'Données projet'!$A$61:$I$81,7,0))</f>
        <v>0</v>
      </c>
      <c r="AH110" s="45">
        <f>EXP(-LN(2)/35)*AH109+(1-EXP(-LN(2)/35))/(LN(2)/35)*AD110*AE110*VLOOKUP('Données projet'!$B$9,Paramètres!$A$1:$I$88,3,0)*0.475*44/12</f>
        <v>0</v>
      </c>
      <c r="AI110" s="45">
        <f>EXP(-LN(2)/25)*AI109+(1-EXP(-LN(2)/25))/(LN(2)/25)*Calculateur!AD110*Calculateur!AF110*VLOOKUP('Données projet'!$B$9,Paramètres!$A$1:$I$88,3,0)*0.475*44/12</f>
        <v>0</v>
      </c>
      <c r="AJ110" s="45">
        <f>EXP(-LN(2)/2)*AJ109+(1-EXP(-LN(2)/2))/(LN(2)/2)*AD110*AG110*VLOOKUP('Données projet'!$B$9,Paramètres!$A$1:$I$88,3,0)*0.475*44/12</f>
        <v>0</v>
      </c>
      <c r="AK110" s="45">
        <f t="shared" si="45"/>
        <v>0</v>
      </c>
      <c r="AL110" s="32" t="e">
        <f>VLOOKUP(A110,'Données projet'!$A$87:$I$107,2,0)</f>
        <v>#N/A</v>
      </c>
      <c r="AM110" s="33" t="e">
        <f>VLOOKUP(A110,'Données projet'!$A$87:$I$107,9,0)</f>
        <v>#N/A</v>
      </c>
      <c r="AN110" s="33">
        <f t="array" ref="AN110">INDEX(AM:AM,MIN(IF(ISNUMBER(AM110:AM306),ROW(AM110:AM306),"")))</f>
        <v>0</v>
      </c>
      <c r="AO110" s="33">
        <f t="shared" si="68"/>
        <v>0</v>
      </c>
      <c r="AP110" s="34" t="e">
        <f>AO110*VLOOKUP('Données projet'!$B$11,Paramètres!$A$1:$I$88,3,0)*VLOOKUP('Données projet'!$B$11,Paramètres!$A$1:$I$88,5,0)</f>
        <v>#N/A</v>
      </c>
      <c r="AQ110" s="34" t="e">
        <f t="shared" si="69"/>
        <v>#N/A</v>
      </c>
      <c r="AR110" s="44" t="e">
        <f t="shared" si="46"/>
        <v>#N/A</v>
      </c>
      <c r="AS110" s="36">
        <f>IF(ISNA(VLOOKUP(A110,'Données projet'!$A$87:$I$107,3,0)),0,VLOOKUP(A110,'Données projet'!$A$87:$I$107,3,0))</f>
        <v>0</v>
      </c>
      <c r="AT110" s="36">
        <f>IF(ISNA(VLOOKUP(A110,'Données projet'!$A$87:$I$107,4,0)),0,VLOOKUP(A110,'Données projet'!$A$87:$I$107,4,0))</f>
        <v>0</v>
      </c>
      <c r="AU110" s="37">
        <f>IF(ISNA(VLOOKUP(A110,'Données projet'!$A$87:$I$107,5,0)),0%,VLOOKUP(A110,'Données projet'!$A$87:$I$107,5,0)*VLOOKUP('Données projet'!$B$11,Paramètres!$A$1:$I$88,7,0))</f>
        <v>0</v>
      </c>
      <c r="AV110" s="37">
        <f>IF(ISNA(VLOOKUP(A110,'Données projet'!$A$87:$I$107,6,0)),0%,VLOOKUP(A110,'Données projet'!$A$87:$I$107,6,0)*VLOOKUP('Données projet'!$B$11,Paramètres!$A$1:$I$88,7,0))</f>
        <v>0</v>
      </c>
      <c r="AW110" s="37">
        <f>IF(ISNA(VLOOKUP(A110,'Données projet'!$A$87:$I$107,7,0)),0%,VLOOKUP(A110,'Données projet'!$A$87:$I$107,7,0))</f>
        <v>0</v>
      </c>
      <c r="AX110" s="45">
        <f>EXP(-LN(2)/35)*AX109+(1-EXP(-LN(2)/35))/(LN(2)/35)*AT110*AU110*VLOOKUP('Données projet'!$B$9,Paramètres!$A$1:$I$88,3,0)*0.475*44/12</f>
        <v>0</v>
      </c>
      <c r="AY110" s="45">
        <f>EXP(-LN(2)/25)*AY109+(1-EXP(-LN(2)/25))/(LN(2)/25)*Calculateur!AT110*Calculateur!AV110*VLOOKUP('Données projet'!$B$9,Paramètres!$A$1:$I$88,3,0)*0.475*44/12</f>
        <v>0</v>
      </c>
      <c r="AZ110" s="45">
        <f>EXP(-LN(2)/2)*AZ109+(1-EXP(-LN(2)/2))/(LN(2)/2)*AT110*AW110*VLOOKUP('Données projet'!$B$9,Paramètres!$A$1:$I$88,3,0)*0.475*44/12</f>
        <v>0</v>
      </c>
      <c r="BA110" s="46">
        <f t="shared" si="47"/>
        <v>0</v>
      </c>
      <c r="BB110" s="32" t="e">
        <f>VLOOKUP(A110,'Données projet'!$A$113:$I$133,2,0)</f>
        <v>#N/A</v>
      </c>
      <c r="BC110" s="33" t="e">
        <f>VLOOKUP(A110,'Données projet'!$A$113:$I$133,9,0)</f>
        <v>#N/A</v>
      </c>
      <c r="BD110" s="33">
        <f t="array" ref="BD110">INDEX(BC:BC,MIN(IF(ISNUMBER(BC110:BC306),ROW(BC110:BC306),"")))</f>
        <v>0</v>
      </c>
      <c r="BE110" s="33">
        <f t="shared" si="70"/>
        <v>0</v>
      </c>
      <c r="BF110" s="34" t="e">
        <f>BE110*VLOOKUP('Données projet'!$B$12,Paramètres!$A$1:$I$88,3,0)*VLOOKUP('Données projet'!$B$12,Paramètres!$A$1:$I$88,5,0)</f>
        <v>#N/A</v>
      </c>
      <c r="BG110" s="34" t="e">
        <f t="shared" si="71"/>
        <v>#N/A</v>
      </c>
      <c r="BH110" s="44" t="e">
        <f t="shared" si="48"/>
        <v>#N/A</v>
      </c>
      <c r="BI110" s="36">
        <f>IF(ISNA(VLOOKUP(A110,'Données projet'!$A$113:$I$133,3,0)),0,VLOOKUP(A110,'Données projet'!$A$113:$I$133,3,0))</f>
        <v>0</v>
      </c>
      <c r="BJ110" s="36">
        <f>IF(ISNA(VLOOKUP(A110,'Données projet'!$A$113:$I$133,4,0)),0,VLOOKUP(A110,'Données projet'!$A$113:$I$133,4,0))</f>
        <v>0</v>
      </c>
      <c r="BK110" s="37">
        <f>IF(ISNA(VLOOKUP(A110,'Données projet'!$A$113:$I$133,5,0)),0%,VLOOKUP(A110,'Données projet'!$A$113:$I$133,5,0)*VLOOKUP('Données projet'!$B$12,Paramètres!$A$1:$I$88,7,0))</f>
        <v>0</v>
      </c>
      <c r="BL110" s="37">
        <f>IF(ISNA(VLOOKUP(A110,'Données projet'!$A$113:$I$133,6,0)),0%,VLOOKUP(A110,'Données projet'!$A$113:$I$133,6,0)*VLOOKUP('Données projet'!$B$12,Paramètres!$A$1:$I$88,7,0))</f>
        <v>0</v>
      </c>
      <c r="BM110" s="37">
        <f>IF(ISNA(VLOOKUP(A110,'Données projet'!$A$113:$I$133,7,0)),0%,VLOOKUP(A110,'Données projet'!$A$113:$I$133,7,0))</f>
        <v>0</v>
      </c>
      <c r="BN110" s="45">
        <f>EXP(-LN(2)/35)*BN109+(1-EXP(-LN(2)/35))/(LN(2)/35)*BJ110*BK110*VLOOKUP('Données projet'!$B$9,Paramètres!$A$1:$I$88,3,0)*0.475*44/12</f>
        <v>0</v>
      </c>
      <c r="BO110" s="45">
        <f>EXP(-LN(2)/25)*BO109+(1-EXP(-LN(2)/25))/(LN(2)/25)*Calculateur!BJ110*Calculateur!BL110*VLOOKUP('Données projet'!$B$9,Paramètres!$A$1:$I$88,3,0)*0.475*44/12</f>
        <v>0</v>
      </c>
      <c r="BP110" s="45">
        <f>EXP(-LN(2)/2)*BP109+(1-EXP(-LN(2)/2))/(LN(2)/2)*BJ110*BM110*VLOOKUP('Données projet'!$B$9,Paramètres!$A$1:$I$88,3,0)*0.475*44/12</f>
        <v>0</v>
      </c>
      <c r="BQ110" s="46">
        <f t="shared" si="49"/>
        <v>0</v>
      </c>
      <c r="BR110" s="32" t="e">
        <f>VLOOKUP(A110,'Données projet'!$A$139:$I$159,2,0)</f>
        <v>#N/A</v>
      </c>
      <c r="BS110" s="33" t="e">
        <f>VLOOKUP(A110,'Données projet'!$A$139:$I$159,9,0)</f>
        <v>#N/A</v>
      </c>
      <c r="BT110" s="33">
        <f t="array" ref="BT110">INDEX(BS:BS,MIN(IF(ISNUMBER(BS110:BS306),ROW(BS110:BS306),"")))</f>
        <v>0</v>
      </c>
      <c r="BU110" s="33">
        <f t="shared" si="72"/>
        <v>0</v>
      </c>
      <c r="BV110" s="38" t="e">
        <f>BU110*VLOOKUP('Données projet'!$B$13,Paramètres!$A$1:$I$88,3,0)*VLOOKUP('Données projet'!$B$13,Paramètres!$A$1:$I$88,5,0)</f>
        <v>#N/A</v>
      </c>
      <c r="BW110" s="34" t="e">
        <f t="shared" si="73"/>
        <v>#N/A</v>
      </c>
      <c r="BX110" s="44" t="e">
        <f t="shared" si="50"/>
        <v>#N/A</v>
      </c>
      <c r="BY110" s="36">
        <f>IF(ISNA(VLOOKUP(A110,'Données projet'!$A$139:$I$159,3,0)),0,VLOOKUP(A110,'Données projet'!$A$139:$I$159,3,0))</f>
        <v>0</v>
      </c>
      <c r="BZ110" s="36">
        <f>IF(ISNA(VLOOKUP(A110,'Données projet'!$A$139:$I$159,4,0)),0,VLOOKUP(A110,'Données projet'!$A$139:$I$159,4,0))</f>
        <v>0</v>
      </c>
      <c r="CA110" s="37">
        <f>IF(ISNA(VLOOKUP(A110,'Données projet'!$A$139:$I$159,5,0)),0%,VLOOKUP(A110,'Données projet'!$A$139:$I$159,5,0)*VLOOKUP('Données projet'!$B$13,Paramètres!$A$1:$I$88,7,0))</f>
        <v>0</v>
      </c>
      <c r="CB110" s="37">
        <f>IF(ISNA(VLOOKUP(A110,'Données projet'!$A$139:$I$159,6,0)),0%,VLOOKUP(A110,'Données projet'!$A$139:$I$159,6,0)*VLOOKUP('Données projet'!$B$13,Paramètres!$A$1:$I$88,7,0))</f>
        <v>0</v>
      </c>
      <c r="CC110" s="37">
        <f>IF(ISNA(VLOOKUP(A110,'Données projet'!$A$139:$I$159,7,0)),0%,VLOOKUP(A110,'Données projet'!$A$139:$I$159,7,0))</f>
        <v>0</v>
      </c>
      <c r="CD110" s="45">
        <f>EXP(-LN(2)/35)*CD109+(1-EXP(-LN(2)/35))/(LN(2)/35)*BZ110*CA110*VLOOKUP('Données projet'!$B$9,Paramètres!$A$1:$I$88,3,0)*0.475*44/12</f>
        <v>0</v>
      </c>
      <c r="CE110" s="45">
        <f>EXP(-LN(2)/25)*CE109+(1-EXP(-LN(2)/25))/(LN(2)/25)*Calculateur!BZ110*Calculateur!CB110*VLOOKUP('Données projet'!$B$9,Paramètres!$A$1:$I$88,3,0)*0.475*44/12</f>
        <v>0</v>
      </c>
      <c r="CF110" s="45">
        <f>EXP(-LN(2)/2)*CF109+(1-EXP(-LN(2)/2))/(LN(2)/2)*BZ110*CC110*VLOOKUP('Données projet'!$B$9,Paramètres!$A$1:$I$88,3,0)*0.475*44/12</f>
        <v>0</v>
      </c>
      <c r="CG110" s="46">
        <f t="shared" si="51"/>
        <v>0</v>
      </c>
      <c r="CH110" s="32" t="e">
        <f>VLOOKUP(A110,'Données projet'!$A$165:$I$185,2,0)</f>
        <v>#N/A</v>
      </c>
      <c r="CI110" s="33" t="e">
        <f>VLOOKUP(A110,'Données projet'!$A$165:$I$185,9,0)</f>
        <v>#N/A</v>
      </c>
      <c r="CJ110" s="33">
        <f t="array" ref="CJ110">INDEX(CI:CI,MIN(IF(ISNUMBER(CI110:CI306),ROW(CI110:CI306),"")))</f>
        <v>0</v>
      </c>
      <c r="CK110" s="33">
        <f t="shared" si="74"/>
        <v>0</v>
      </c>
      <c r="CL110" s="38" t="e">
        <f>CK110*VLOOKUP('Données projet'!$B$14,Paramètres!$A$1:$I$88,3,0)*VLOOKUP('Données projet'!$B$14,Paramètres!$A$1:$I$88,5,0)</f>
        <v>#N/A</v>
      </c>
      <c r="CM110" s="34" t="e">
        <f t="shared" si="75"/>
        <v>#N/A</v>
      </c>
      <c r="CN110" s="44" t="e">
        <f t="shared" si="52"/>
        <v>#N/A</v>
      </c>
      <c r="CO110" s="36">
        <f>IF(ISNA(VLOOKUP(A110,'Données projet'!$A$165:$I$185,3,0)),0,VLOOKUP(A110,'Données projet'!$A$165:$I$185,3,0))</f>
        <v>0</v>
      </c>
      <c r="CP110" s="36">
        <f>IF(ISNA(VLOOKUP(A110,'Données projet'!$A$165:$I$185,4,0)),0,VLOOKUP(A110,'Données projet'!$A$165:$I$185,4,0))</f>
        <v>0</v>
      </c>
      <c r="CQ110" s="37">
        <f>IF(ISNA(VLOOKUP(A110,'Données projet'!$A$165:$I$185,5,0)),0%,VLOOKUP(A110,'Données projet'!$A$165:$I$185,5,0)*VLOOKUP('Données projet'!$B$14,Paramètres!$A$1:$I$88,7,0))</f>
        <v>0</v>
      </c>
      <c r="CR110" s="37">
        <f>IF(ISNA(VLOOKUP(A110,'Données projet'!$A$165:$I$185,6,0)),0%,VLOOKUP(A110,'Données projet'!$A$165:$I$185,6,0)*VLOOKUP('Données projet'!$B$14,Paramètres!$A$1:$I$88,7,0))</f>
        <v>0</v>
      </c>
      <c r="CS110" s="37">
        <f>IF(ISNA(VLOOKUP(A110,'Données projet'!$A$165:$I$185,7,0)),0%,VLOOKUP(A110,'Données projet'!$A$165:$I$185,7,0))</f>
        <v>0</v>
      </c>
      <c r="CT110" s="45">
        <f>EXP(-LN(2)/35)*CT109+(1-EXP(-LN(2)/35))/(LN(2)/35)*CP110*CQ110*VLOOKUP('Données projet'!$B$9,Paramètres!$A$1:$I$88,3,0)*0.475*44/12</f>
        <v>0</v>
      </c>
      <c r="CU110" s="45">
        <f>EXP(-LN(2)/25)*CU109+(1-EXP(-LN(2)/25))/(LN(2)/25)*Calculateur!CP110*Calculateur!CR110*VLOOKUP('Données projet'!$B$9,Paramètres!$A$1:$I$88,3,0)*0.475*44/12</f>
        <v>0</v>
      </c>
      <c r="CV110" s="45">
        <f>EXP(-LN(2)/2)*CV109+(1-EXP(-LN(2)/2))/(LN(2)/2)*CP110*CS110*VLOOKUP('Données projet'!$B$9,Paramètres!$A$1:$I$88,3,0)*0.475*44/12</f>
        <v>0</v>
      </c>
      <c r="CW110" s="46">
        <f t="shared" si="53"/>
        <v>0</v>
      </c>
      <c r="CX110" s="32" t="e">
        <f>VLOOKUP(A110,'Données projet'!$A$191:$I$211,2,0)</f>
        <v>#N/A</v>
      </c>
      <c r="CY110" s="33" t="e">
        <f>VLOOKUP(A110,'Données projet'!$A$191:$I$211,9,0)</f>
        <v>#N/A</v>
      </c>
      <c r="CZ110" s="33">
        <f t="array" ref="CZ110">INDEX(CY:CY,MIN(IF(ISNUMBER(CY110:CY306),ROW(CY110:CY306),"")))</f>
        <v>0</v>
      </c>
      <c r="DA110" s="33">
        <f t="shared" si="76"/>
        <v>0</v>
      </c>
      <c r="DB110" s="38" t="e">
        <f>DA110*VLOOKUP('Données projet'!$B$15,Paramètres!$A$1:$I$88,3,0)*VLOOKUP('Données projet'!$B$15,Paramètres!$A$1:$I$88,5,0)</f>
        <v>#N/A</v>
      </c>
      <c r="DC110" s="34" t="e">
        <f t="shared" si="77"/>
        <v>#N/A</v>
      </c>
      <c r="DD110" s="44" t="e">
        <f t="shared" si="54"/>
        <v>#N/A</v>
      </c>
      <c r="DE110" s="36">
        <f>IF(ISNA(VLOOKUP(A110,'Données projet'!$A$191:$I$211,3,0)),0,VLOOKUP(A110,'Données projet'!$A$191:$I$211,3,0))</f>
        <v>0</v>
      </c>
      <c r="DF110" s="36">
        <f>IF(ISNA(VLOOKUP(A110,'Données projet'!$A$191:$I$211,4,0)),0,VLOOKUP(A110,'Données projet'!$A$191:$I$211,4,0))</f>
        <v>0</v>
      </c>
      <c r="DG110" s="37">
        <f>IF(ISNA(VLOOKUP(A110,'Données projet'!$A$191:$I$211,5,0)),0%,VLOOKUP(A110,'Données projet'!$A$191:$I$211,5,0)*VLOOKUP('Données projet'!$B$15,Paramètres!$A$1:$I$88,7,0))</f>
        <v>0</v>
      </c>
      <c r="DH110" s="37">
        <f>IF(ISNA(VLOOKUP(A110,'Données projet'!$A$191:$I$211,6,0)),0%,VLOOKUP(A110,'Données projet'!$A$191:$I$211,6,0)*VLOOKUP('Données projet'!$B$15,Paramètres!$A$1:$I$88,7,0))</f>
        <v>0</v>
      </c>
      <c r="DI110" s="37">
        <f>IF(ISNA(VLOOKUP(A110,'Données projet'!$A$191:$I$211,7,0)),0%,VLOOKUP(A110,'Données projet'!$A$191:$I$211,7,0))</f>
        <v>0</v>
      </c>
      <c r="DJ110" s="45">
        <f>EXP(-LN(2)/35)*DJ109+(1-EXP(-LN(2)/35))/(LN(2)/35)*DF110*DG110*VLOOKUP('Données projet'!$B$9,Paramètres!$A$1:$I$88,3,0)*0.475*44/12</f>
        <v>0</v>
      </c>
      <c r="DK110" s="45">
        <f>EXP(-LN(2)/25)*DK109+(1-EXP(-LN(2)/25))/(LN(2)/25)*Calculateur!DF110*Calculateur!DH110*VLOOKUP('Données projet'!$B$9,Paramètres!$A$1:$I$88,3,0)*0.475*44/12</f>
        <v>0</v>
      </c>
      <c r="DL110" s="45">
        <f>EXP(-LN(2)/2)*DL109+(1-EXP(-LN(2)/2))/(LN(2)/2)*DF110*DI110*VLOOKUP('Données projet'!$B$9,Paramètres!$A$1:$I$88,3,0)*0.475*44/12</f>
        <v>0</v>
      </c>
      <c r="DM110" s="46">
        <f t="shared" si="55"/>
        <v>0</v>
      </c>
      <c r="DN110" s="32" t="e">
        <f>VLOOKUP(A110,'Données projet'!$A$217:$I$237,2,0)</f>
        <v>#N/A</v>
      </c>
      <c r="DO110" s="33" t="e">
        <f>VLOOKUP(A110,'Données projet'!$A$217:$I$237,9,0)</f>
        <v>#N/A</v>
      </c>
      <c r="DP110" s="33">
        <f t="array" ref="DP110">INDEX(DO:DO,MIN(IF(ISNUMBER(DO110:DO306),ROW(DO110:DO306),"")))</f>
        <v>0</v>
      </c>
      <c r="DQ110" s="33">
        <f t="shared" si="78"/>
        <v>0</v>
      </c>
      <c r="DR110" s="38" t="e">
        <f>DQ110*VLOOKUP('Données projet'!$B$16,Paramètres!$A$1:$I$88,3,0)*VLOOKUP('Données projet'!$B$16,Paramètres!$A$1:$I$88,5,0)</f>
        <v>#N/A</v>
      </c>
      <c r="DS110" s="34" t="e">
        <f t="shared" si="79"/>
        <v>#N/A</v>
      </c>
      <c r="DT110" s="44" t="e">
        <f t="shared" si="56"/>
        <v>#N/A</v>
      </c>
      <c r="DU110" s="36">
        <f>IF(ISNA(VLOOKUP(A110,'Données projet'!$A$217:$I$237,3,0)),0,VLOOKUP(A110,'Données projet'!$A$217:$I$237,3,0))</f>
        <v>0</v>
      </c>
      <c r="DV110" s="36">
        <f>IF(ISNA(VLOOKUP(A110,'Données projet'!$A$217:$I$237,4,0)),0,VLOOKUP(A110,'Données projet'!$A$217:$I$237,4,0))</f>
        <v>0</v>
      </c>
      <c r="DW110" s="37">
        <f>IF(ISNA(VLOOKUP(A110,'Données projet'!$A$217:$I$237,5,0)),0%,VLOOKUP(A110,'Données projet'!$A$217:$I$237,5,0)*VLOOKUP('Données projet'!$B$16,Paramètres!$A$1:$I$88,7,0))</f>
        <v>0</v>
      </c>
      <c r="DX110" s="37">
        <f>IF(ISNA(VLOOKUP(A110,'Données projet'!$A$217:$I$237,6,0)),0%,VLOOKUP(A110,'Données projet'!$A$217:$I$237,6,0)*VLOOKUP('Données projet'!$B$16,Paramètres!$A$1:$I$88,7,0))</f>
        <v>0</v>
      </c>
      <c r="DY110" s="37">
        <f>IF(ISNA(VLOOKUP(A110,'Données projet'!$A$217:$I$237,7,0)),0%,VLOOKUP(A110,'Données projet'!$A$217:$I$237,7,0))</f>
        <v>0</v>
      </c>
      <c r="DZ110" s="45">
        <f>EXP(-LN(2)/35)*DZ109+(1-EXP(-LN(2)/35))/(LN(2)/35)*DV110*DW110*VLOOKUP('Données projet'!$B$9,Paramètres!$A$1:$I$88,3,0)*0.475*44/12</f>
        <v>0</v>
      </c>
      <c r="EA110" s="45">
        <f>EXP(-LN(2)/25)*EA109+(1-EXP(-LN(2)/25))/(LN(2)/25)*Calculateur!DV110*Calculateur!DX110*VLOOKUP('Données projet'!$B$9,Paramètres!$A$1:$I$88,3,0)*0.475*44/12</f>
        <v>0</v>
      </c>
      <c r="EB110" s="45">
        <f>EXP(-LN(2)/2)*EB109+(1-EXP(-LN(2)/2))/(LN(2)/2)*DV110*DY110*VLOOKUP('Données projet'!$B$9,Paramètres!$A$1:$I$88,3,0)*0.475*44/12</f>
        <v>0</v>
      </c>
      <c r="EC110" s="46">
        <f t="shared" si="57"/>
        <v>0</v>
      </c>
      <c r="ED110" s="32" t="e">
        <f>VLOOKUP(A110,'Données projet'!$A$243:$I$263,2,0)</f>
        <v>#N/A</v>
      </c>
      <c r="EE110" s="33" t="e">
        <f>VLOOKUP(A110,'Données projet'!$A$243:$I$263,9,0)</f>
        <v>#N/A</v>
      </c>
      <c r="EF110" s="33">
        <f t="array" ref="EF110">INDEX(EE:EE,MIN(IF(ISNUMBER(EE110:EE306),ROW(EE110:EE306),"")))</f>
        <v>0</v>
      </c>
      <c r="EG110" s="33">
        <f t="shared" si="80"/>
        <v>0</v>
      </c>
      <c r="EH110" s="38" t="e">
        <f>EG110*VLOOKUP('Données projet'!$B$17,Paramètres!$A$1:$I$88,3,0)*VLOOKUP('Données projet'!$B$17,Paramètres!$A$1:$I$88,5,0)</f>
        <v>#N/A</v>
      </c>
      <c r="EI110" s="34" t="e">
        <f t="shared" si="81"/>
        <v>#N/A</v>
      </c>
      <c r="EJ110" s="44" t="e">
        <f t="shared" si="58"/>
        <v>#N/A</v>
      </c>
      <c r="EK110" s="36">
        <f>IF(ISNA(VLOOKUP(A110,'Données projet'!$A$243:$I$263,3,0)),0,VLOOKUP(A110,'Données projet'!$A$243:$I$263,3,0))</f>
        <v>0</v>
      </c>
      <c r="EL110" s="36">
        <f>IF(ISNA(VLOOKUP(A110,'Données projet'!$A$243:$I$263,4,0)),0,VLOOKUP(A110,'Données projet'!$A$243:$I$263,4,0))</f>
        <v>0</v>
      </c>
      <c r="EM110" s="37">
        <f>IF(ISNA(VLOOKUP(A110,'Données projet'!$A$243:$I$263,5,0)),0%,VLOOKUP(A110,'Données projet'!$A$243:$I$263,5,0)*VLOOKUP('Données projet'!$B$17,Paramètres!$A$1:$I$88,7,0))</f>
        <v>0</v>
      </c>
      <c r="EN110" s="37">
        <f>IF(ISNA(VLOOKUP(A110,'Données projet'!$A$243:$I$263,6,0)),0%,VLOOKUP(A110,'Données projet'!$A$243:$I$263,6,0)*VLOOKUP('Données projet'!$B$17,Paramètres!$A$1:$I$88,7,0))</f>
        <v>0</v>
      </c>
      <c r="EO110" s="37">
        <f>IF(ISNA(VLOOKUP(A110,'Données projet'!$A$243:$I$263,7,0)),0%,VLOOKUP(A110,'Données projet'!$A$243:$I$263,7,0))</f>
        <v>0</v>
      </c>
      <c r="EP110" s="45">
        <f>EXP(-LN(2)/35)*EP109+(1-EXP(-LN(2)/35))/(LN(2)/35)*EL110*EM110*VLOOKUP('Données projet'!$B$9,Paramètres!$A$1:$I$88,3,0)*0.475*44/12</f>
        <v>0</v>
      </c>
      <c r="EQ110" s="45">
        <f>EXP(-LN(2)/25)*EQ109+(1-EXP(-LN(2)/25))/(LN(2)/25)*Calculateur!EL110*Calculateur!EN110*VLOOKUP('Données projet'!$B$9,Paramètres!$A$1:$I$88,3,0)*0.475*44/12</f>
        <v>0</v>
      </c>
      <c r="ER110" s="45">
        <f>EXP(-LN(2)/2)*ER109+(1-EXP(-LN(2)/2))/(LN(2)/2)*EL110*EO110*VLOOKUP('Données projet'!$B$9,Paramètres!$A$1:$I$88,3,0)*0.475*44/12</f>
        <v>0</v>
      </c>
      <c r="ES110" s="46">
        <f t="shared" si="59"/>
        <v>0</v>
      </c>
      <c r="ET110" s="32" t="e">
        <f>VLOOKUP(A110,'Données projet'!$A$269:$I$289,2,0)</f>
        <v>#N/A</v>
      </c>
      <c r="EU110" s="33" t="e">
        <f>VLOOKUP(A110,'Données projet'!$A$269:$I$289,9,0)</f>
        <v>#N/A</v>
      </c>
      <c r="EV110" s="33">
        <f t="array" ref="EV110">INDEX(EU:EU,MIN(IF(ISNUMBER(EU110:EU306),ROW(EU110:EU306),"")))</f>
        <v>0</v>
      </c>
      <c r="EW110" s="33">
        <f t="shared" si="82"/>
        <v>0</v>
      </c>
      <c r="EX110" s="38" t="e">
        <f>EW110*VLOOKUP('Données projet'!$B$18,Paramètres!$A$1:$I$88,3,0)*VLOOKUP('Données projet'!$B$18,Paramètres!$A$1:$I$88,5,0)</f>
        <v>#N/A</v>
      </c>
      <c r="EY110" s="34" t="e">
        <f t="shared" si="83"/>
        <v>#N/A</v>
      </c>
      <c r="EZ110" s="44" t="e">
        <f t="shared" si="60"/>
        <v>#N/A</v>
      </c>
      <c r="FA110" s="36">
        <f>IF(ISNA(VLOOKUP(A110,'Données projet'!$A$269:$I$289,3,0)),0,VLOOKUP(A110,'Données projet'!$A$269:$I$289,3,0))</f>
        <v>0</v>
      </c>
      <c r="FB110" s="36">
        <f>IF(ISNA(VLOOKUP(A110,'Données projet'!$A$269:$I$289,4,0)),0,VLOOKUP(A110,'Données projet'!$A$269:$I$289,4,0))</f>
        <v>0</v>
      </c>
      <c r="FC110" s="37">
        <f>IF(ISNA(VLOOKUP(A110,'Données projet'!$A$269:$I$289,5,0)),0%,VLOOKUP(A110,'Données projet'!$A$269:$I$289,5,0)*VLOOKUP('Données projet'!$B$18,Paramètres!$A$1:$I$88,7,0))</f>
        <v>0</v>
      </c>
      <c r="FD110" s="37">
        <f>IF(ISNA(VLOOKUP(A110,'Données projet'!$A$269:$I$289,6,0)),0%,VLOOKUP(A110,'Données projet'!$A$269:$I$289,6,0)*VLOOKUP('Données projet'!$B$18,Paramètres!$A$1:$I$88,7,0))</f>
        <v>0</v>
      </c>
      <c r="FE110" s="37">
        <f>IF(ISNA(VLOOKUP(A110,'Données projet'!$A$269:$I$289,7,0)),0%,VLOOKUP(A110,'Données projet'!$A$269:$I$289,7,0))</f>
        <v>0</v>
      </c>
      <c r="FF110" s="45">
        <f>EXP(-LN(2)/35)*FF109+(1-EXP(-LN(2)/35))/(LN(2)/35)*FB110*FC110*VLOOKUP('Données projet'!$B$9,Paramètres!$A$1:$I$88,3,0)*0.475*44/12</f>
        <v>0</v>
      </c>
      <c r="FG110" s="45">
        <f>EXP(-LN(2)/25)*FG109+(1-EXP(-LN(2)/25))/(LN(2)/25)*Calculateur!FB110*Calculateur!FD110*VLOOKUP('Données projet'!$B$9,Paramètres!$A$1:$I$88,3,0)*0.475*44/12</f>
        <v>0</v>
      </c>
      <c r="FH110" s="45">
        <f>EXP(-LN(2)/2)*FH109+(1-EXP(-LN(2)/2))/(LN(2)/2)*FB110*FE110*VLOOKUP('Données projet'!$B$9,Paramètres!$A$1:$I$88,3,0)*0.475*44/12</f>
        <v>0</v>
      </c>
      <c r="FI110" s="46">
        <f t="shared" si="61"/>
        <v>0</v>
      </c>
    </row>
    <row r="111" spans="1:165" x14ac:dyDescent="0.25">
      <c r="A111" s="24">
        <f t="shared" si="62"/>
        <v>108</v>
      </c>
      <c r="B111" s="25">
        <f>IF('Scénario référence'!$N$1=1,5,0)</f>
        <v>0</v>
      </c>
      <c r="C111" s="40">
        <f>IF(OR('Scénario référence'!$N$1=2,'Scénario référence'!$N$1=4),C110+1*VLOOKUP('Scénario référence'!$G$14,Paramètres!$A$1:$I$88,3,0)*VLOOKUP('Scénario référence'!$G$14,Paramètres!$A$1:$I$88,5,0),IF(OR('Scénario référence'!$N$1=3,'Scénario référence'!$N$1=5),C110+0.5*VLOOKUP('Scénario référence'!$G$14,Paramètres!$A$1:$I$88,3,0)*VLOOKUP('Scénario référence'!$G$14,Paramètres!$A$1:$I$88,5,0),0))</f>
        <v>58.967999999999947</v>
      </c>
      <c r="D111" s="26">
        <f t="shared" si="63"/>
        <v>16.907084152971102</v>
      </c>
      <c r="E111" s="27">
        <f>IF('Scénario référence'!$N$1=1,B111*44/12,(C111+D111)*0.475*44/12)</f>
        <v>132.1491048997579</v>
      </c>
      <c r="F111" s="28" t="e">
        <f>VLOOKUP(A111,'Données projet'!$A$35:$I$55,2,0)</f>
        <v>#N/A</v>
      </c>
      <c r="G111" s="28" t="e">
        <f>VLOOKUP(A111,'Données projet'!$A$35:$I$55,9,0)</f>
        <v>#N/A</v>
      </c>
      <c r="H111" s="33">
        <f t="array" ref="H111">INDEX(G:G,MIN(IF(ISNUMBER(G111:G307),ROW(G111:G307),"")))</f>
        <v>4</v>
      </c>
      <c r="I111" s="28">
        <f t="shared" si="64"/>
        <v>275.99999999999955</v>
      </c>
      <c r="J111" s="41">
        <f>I111*VLOOKUP('Données projet'!$B$9,Paramètres!$A$1:$I$88,3,0)*VLOOKUP('Données projet'!$B$9,Paramètres!$A$1:$I$88,5,0)</f>
        <v>279.86399999999958</v>
      </c>
      <c r="K111" s="41">
        <f t="shared" si="65"/>
        <v>66.93826735896495</v>
      </c>
      <c r="L111" s="42">
        <f t="shared" si="42"/>
        <v>604.01394898352987</v>
      </c>
      <c r="M111" s="30">
        <f>IF(ISNA(VLOOKUP(A111,'Données projet'!$A$35:$I$55,3,0)),0,VLOOKUP(A111,'Données projet'!$A$35:$I$55,3,0))</f>
        <v>0</v>
      </c>
      <c r="N111" s="30">
        <f>IF(ISNA(VLOOKUP(A111,'Données projet'!$A$35:$I$55,4,0)),0,VLOOKUP(A111,'Données projet'!$A$35:$I$55,4,0))</f>
        <v>0</v>
      </c>
      <c r="O111" s="31">
        <f>IF(ISNA(VLOOKUP(A111,'Données projet'!$A$35:$I$55,5,0)),0%,VLOOKUP(A111,'Données projet'!$A$35:$I$55,5,0)*VLOOKUP('Données projet'!$B$9,Paramètres!$A$1:$I$88,7,0))</f>
        <v>0</v>
      </c>
      <c r="P111" s="31">
        <f>IF(ISNA(VLOOKUP(A111,'Données projet'!$A$35:$I$55,6,0)),0%,VLOOKUP(A111,'Données projet'!$A$35:$I$55,6,0)*VLOOKUP('Données projet'!$B$9,Paramètres!$A$1:$I$88,7,0))</f>
        <v>0</v>
      </c>
      <c r="Q111" s="31">
        <f>IF(ISNA(VLOOKUP(A111,'Données projet'!$A$35:$I$55,7,0)),0%,VLOOKUP(A111,'Données projet'!$A$35:$I$55,7,0))</f>
        <v>0</v>
      </c>
      <c r="R111" s="43">
        <f>EXP(-LN(2)/35)*R110+(1-EXP(-LN(2)/35))/(LN(2)/35)*N111*O111*VLOOKUP('Données projet'!$B$9,Paramètres!$A$1:$I$88,3,0)*0.475*44/12</f>
        <v>0</v>
      </c>
      <c r="S111" s="43">
        <f>EXP(-LN(2)/25)*S110+(1-EXP(-LN(2)/25))/(LN(2)/25)*Calculateur!N111*Calculateur!P111*VLOOKUP('Données projet'!$B$9,Paramètres!$A$1:$I$88,3,0)*0.475*44/12</f>
        <v>0</v>
      </c>
      <c r="T111" s="43">
        <f>EXP(-LN(2)/2)*T110+(1-EXP(-LN(2)/2))/(LN(2)/2)*N111*Q111*VLOOKUP('Données projet'!$B$9,Paramètres!$A$1:$I$88,3,0)*0.475*44/12</f>
        <v>0</v>
      </c>
      <c r="U111" s="43">
        <f t="shared" si="43"/>
        <v>0</v>
      </c>
      <c r="V111" s="32" t="e">
        <f>VLOOKUP(A111,'Données projet'!$A$61:$I$81,2,0)</f>
        <v>#N/A</v>
      </c>
      <c r="W111" s="33" t="e">
        <f>VLOOKUP(A111,'Données projet'!$A$61:$I$81,9,0)</f>
        <v>#N/A</v>
      </c>
      <c r="X111" s="33">
        <f t="array" ref="X111">INDEX(W:W,MIN(IF(ISNUMBER(W111:W307),ROW(W111:W307),"")))</f>
        <v>0</v>
      </c>
      <c r="Y111" s="33">
        <f t="shared" si="66"/>
        <v>0</v>
      </c>
      <c r="Z111" s="34" t="e">
        <f>Y111*VLOOKUP('Données projet'!$B$10,Paramètres!$A$1:$I$88,3,0)*VLOOKUP('Données projet'!$B$10,Paramètres!$A$1:$I$88,5,0)</f>
        <v>#N/A</v>
      </c>
      <c r="AA111" s="34" t="e">
        <f t="shared" si="67"/>
        <v>#N/A</v>
      </c>
      <c r="AB111" s="44" t="e">
        <f t="shared" si="44"/>
        <v>#N/A</v>
      </c>
      <c r="AC111" s="36">
        <f>IF(ISNA(VLOOKUP(A111,'Données projet'!$A$61:$I$81,3,0)),0,VLOOKUP(A111,'Données projet'!$A$61:$I$81,3,0))</f>
        <v>0</v>
      </c>
      <c r="AD111" s="36">
        <f>IF(ISNA(VLOOKUP(A111,'Données projet'!$A$61:$I$81,4,0)),0,VLOOKUP(A111,'Données projet'!$A$61:$I$81,4,0))</f>
        <v>0</v>
      </c>
      <c r="AE111" s="37">
        <f>IF(ISNA(VLOOKUP(A111,'Données projet'!$A$61:$I$81,5,0)),0%,VLOOKUP(A111,'Données projet'!$A$61:$I$81,5,0)*VLOOKUP('Données projet'!$B$10,Paramètres!$A$1:$I$88,7,0))</f>
        <v>0</v>
      </c>
      <c r="AF111" s="37">
        <f>IF(ISNA(VLOOKUP(A111,'Données projet'!$A$61:$I$81,6,0)),0%,VLOOKUP(A111,'Données projet'!$A$61:$I$81,6,0)*VLOOKUP('Données projet'!$B$10,Paramètres!$A$1:$I$88,7,0))</f>
        <v>0</v>
      </c>
      <c r="AG111" s="37">
        <f>IF(ISNA(VLOOKUP(A111,'Données projet'!$A$61:$I$81,7,0)),0%,VLOOKUP(A111,'Données projet'!$A$61:$I$81,7,0))</f>
        <v>0</v>
      </c>
      <c r="AH111" s="45">
        <f>EXP(-LN(2)/35)*AH110+(1-EXP(-LN(2)/35))/(LN(2)/35)*AD111*AE111*VLOOKUP('Données projet'!$B$9,Paramètres!$A$1:$I$88,3,0)*0.475*44/12</f>
        <v>0</v>
      </c>
      <c r="AI111" s="45">
        <f>EXP(-LN(2)/25)*AI110+(1-EXP(-LN(2)/25))/(LN(2)/25)*Calculateur!AD111*Calculateur!AF111*VLOOKUP('Données projet'!$B$9,Paramètres!$A$1:$I$88,3,0)*0.475*44/12</f>
        <v>0</v>
      </c>
      <c r="AJ111" s="45">
        <f>EXP(-LN(2)/2)*AJ110+(1-EXP(-LN(2)/2))/(LN(2)/2)*AD111*AG111*VLOOKUP('Données projet'!$B$9,Paramètres!$A$1:$I$88,3,0)*0.475*44/12</f>
        <v>0</v>
      </c>
      <c r="AK111" s="45">
        <f t="shared" si="45"/>
        <v>0</v>
      </c>
      <c r="AL111" s="32" t="e">
        <f>VLOOKUP(A111,'Données projet'!$A$87:$I$107,2,0)</f>
        <v>#N/A</v>
      </c>
      <c r="AM111" s="33" t="e">
        <f>VLOOKUP(A111,'Données projet'!$A$87:$I$107,9,0)</f>
        <v>#N/A</v>
      </c>
      <c r="AN111" s="33">
        <f t="array" ref="AN111">INDEX(AM:AM,MIN(IF(ISNUMBER(AM111:AM307),ROW(AM111:AM307),"")))</f>
        <v>0</v>
      </c>
      <c r="AO111" s="33">
        <f t="shared" si="68"/>
        <v>0</v>
      </c>
      <c r="AP111" s="34" t="e">
        <f>AO111*VLOOKUP('Données projet'!$B$11,Paramètres!$A$1:$I$88,3,0)*VLOOKUP('Données projet'!$B$11,Paramètres!$A$1:$I$88,5,0)</f>
        <v>#N/A</v>
      </c>
      <c r="AQ111" s="34" t="e">
        <f t="shared" si="69"/>
        <v>#N/A</v>
      </c>
      <c r="AR111" s="44" t="e">
        <f t="shared" si="46"/>
        <v>#N/A</v>
      </c>
      <c r="AS111" s="36">
        <f>IF(ISNA(VLOOKUP(A111,'Données projet'!$A$87:$I$107,3,0)),0,VLOOKUP(A111,'Données projet'!$A$87:$I$107,3,0))</f>
        <v>0</v>
      </c>
      <c r="AT111" s="36">
        <f>IF(ISNA(VLOOKUP(A111,'Données projet'!$A$87:$I$107,4,0)),0,VLOOKUP(A111,'Données projet'!$A$87:$I$107,4,0))</f>
        <v>0</v>
      </c>
      <c r="AU111" s="37">
        <f>IF(ISNA(VLOOKUP(A111,'Données projet'!$A$87:$I$107,5,0)),0%,VLOOKUP(A111,'Données projet'!$A$87:$I$107,5,0)*VLOOKUP('Données projet'!$B$11,Paramètres!$A$1:$I$88,7,0))</f>
        <v>0</v>
      </c>
      <c r="AV111" s="37">
        <f>IF(ISNA(VLOOKUP(A111,'Données projet'!$A$87:$I$107,6,0)),0%,VLOOKUP(A111,'Données projet'!$A$87:$I$107,6,0)*VLOOKUP('Données projet'!$B$11,Paramètres!$A$1:$I$88,7,0))</f>
        <v>0</v>
      </c>
      <c r="AW111" s="37">
        <f>IF(ISNA(VLOOKUP(A111,'Données projet'!$A$87:$I$107,7,0)),0%,VLOOKUP(A111,'Données projet'!$A$87:$I$107,7,0))</f>
        <v>0</v>
      </c>
      <c r="AX111" s="45">
        <f>EXP(-LN(2)/35)*AX110+(1-EXP(-LN(2)/35))/(LN(2)/35)*AT111*AU111*VLOOKUP('Données projet'!$B$9,Paramètres!$A$1:$I$88,3,0)*0.475*44/12</f>
        <v>0</v>
      </c>
      <c r="AY111" s="45">
        <f>EXP(-LN(2)/25)*AY110+(1-EXP(-LN(2)/25))/(LN(2)/25)*Calculateur!AT111*Calculateur!AV111*VLOOKUP('Données projet'!$B$9,Paramètres!$A$1:$I$88,3,0)*0.475*44/12</f>
        <v>0</v>
      </c>
      <c r="AZ111" s="45">
        <f>EXP(-LN(2)/2)*AZ110+(1-EXP(-LN(2)/2))/(LN(2)/2)*AT111*AW111*VLOOKUP('Données projet'!$B$9,Paramètres!$A$1:$I$88,3,0)*0.475*44/12</f>
        <v>0</v>
      </c>
      <c r="BA111" s="46">
        <f t="shared" si="47"/>
        <v>0</v>
      </c>
      <c r="BB111" s="32" t="e">
        <f>VLOOKUP(A111,'Données projet'!$A$113:$I$133,2,0)</f>
        <v>#N/A</v>
      </c>
      <c r="BC111" s="33" t="e">
        <f>VLOOKUP(A111,'Données projet'!$A$113:$I$133,9,0)</f>
        <v>#N/A</v>
      </c>
      <c r="BD111" s="33">
        <f t="array" ref="BD111">INDEX(BC:BC,MIN(IF(ISNUMBER(BC111:BC307),ROW(BC111:BC307),"")))</f>
        <v>0</v>
      </c>
      <c r="BE111" s="33">
        <f t="shared" si="70"/>
        <v>0</v>
      </c>
      <c r="BF111" s="34" t="e">
        <f>BE111*VLOOKUP('Données projet'!$B$12,Paramètres!$A$1:$I$88,3,0)*VLOOKUP('Données projet'!$B$12,Paramètres!$A$1:$I$88,5,0)</f>
        <v>#N/A</v>
      </c>
      <c r="BG111" s="34" t="e">
        <f t="shared" si="71"/>
        <v>#N/A</v>
      </c>
      <c r="BH111" s="44" t="e">
        <f t="shared" si="48"/>
        <v>#N/A</v>
      </c>
      <c r="BI111" s="36">
        <f>IF(ISNA(VLOOKUP(A111,'Données projet'!$A$113:$I$133,3,0)),0,VLOOKUP(A111,'Données projet'!$A$113:$I$133,3,0))</f>
        <v>0</v>
      </c>
      <c r="BJ111" s="36">
        <f>IF(ISNA(VLOOKUP(A111,'Données projet'!$A$113:$I$133,4,0)),0,VLOOKUP(A111,'Données projet'!$A$113:$I$133,4,0))</f>
        <v>0</v>
      </c>
      <c r="BK111" s="37">
        <f>IF(ISNA(VLOOKUP(A111,'Données projet'!$A$113:$I$133,5,0)),0%,VLOOKUP(A111,'Données projet'!$A$113:$I$133,5,0)*VLOOKUP('Données projet'!$B$12,Paramètres!$A$1:$I$88,7,0))</f>
        <v>0</v>
      </c>
      <c r="BL111" s="37">
        <f>IF(ISNA(VLOOKUP(A111,'Données projet'!$A$113:$I$133,6,0)),0%,VLOOKUP(A111,'Données projet'!$A$113:$I$133,6,0)*VLOOKUP('Données projet'!$B$12,Paramètres!$A$1:$I$88,7,0))</f>
        <v>0</v>
      </c>
      <c r="BM111" s="37">
        <f>IF(ISNA(VLOOKUP(A111,'Données projet'!$A$113:$I$133,7,0)),0%,VLOOKUP(A111,'Données projet'!$A$113:$I$133,7,0))</f>
        <v>0</v>
      </c>
      <c r="BN111" s="45">
        <f>EXP(-LN(2)/35)*BN110+(1-EXP(-LN(2)/35))/(LN(2)/35)*BJ111*BK111*VLOOKUP('Données projet'!$B$9,Paramètres!$A$1:$I$88,3,0)*0.475*44/12</f>
        <v>0</v>
      </c>
      <c r="BO111" s="45">
        <f>EXP(-LN(2)/25)*BO110+(1-EXP(-LN(2)/25))/(LN(2)/25)*Calculateur!BJ111*Calculateur!BL111*VLOOKUP('Données projet'!$B$9,Paramètres!$A$1:$I$88,3,0)*0.475*44/12</f>
        <v>0</v>
      </c>
      <c r="BP111" s="45">
        <f>EXP(-LN(2)/2)*BP110+(1-EXP(-LN(2)/2))/(LN(2)/2)*BJ111*BM111*VLOOKUP('Données projet'!$B$9,Paramètres!$A$1:$I$88,3,0)*0.475*44/12</f>
        <v>0</v>
      </c>
      <c r="BQ111" s="46">
        <f t="shared" si="49"/>
        <v>0</v>
      </c>
      <c r="BR111" s="32" t="e">
        <f>VLOOKUP(A111,'Données projet'!$A$139:$I$159,2,0)</f>
        <v>#N/A</v>
      </c>
      <c r="BS111" s="33" t="e">
        <f>VLOOKUP(A111,'Données projet'!$A$139:$I$159,9,0)</f>
        <v>#N/A</v>
      </c>
      <c r="BT111" s="33">
        <f t="array" ref="BT111">INDEX(BS:BS,MIN(IF(ISNUMBER(BS111:BS307),ROW(BS111:BS307),"")))</f>
        <v>0</v>
      </c>
      <c r="BU111" s="33">
        <f t="shared" si="72"/>
        <v>0</v>
      </c>
      <c r="BV111" s="38" t="e">
        <f>BU111*VLOOKUP('Données projet'!$B$13,Paramètres!$A$1:$I$88,3,0)*VLOOKUP('Données projet'!$B$13,Paramètres!$A$1:$I$88,5,0)</f>
        <v>#N/A</v>
      </c>
      <c r="BW111" s="34" t="e">
        <f t="shared" si="73"/>
        <v>#N/A</v>
      </c>
      <c r="BX111" s="44" t="e">
        <f t="shared" si="50"/>
        <v>#N/A</v>
      </c>
      <c r="BY111" s="36">
        <f>IF(ISNA(VLOOKUP(A111,'Données projet'!$A$139:$I$159,3,0)),0,VLOOKUP(A111,'Données projet'!$A$139:$I$159,3,0))</f>
        <v>0</v>
      </c>
      <c r="BZ111" s="36">
        <f>IF(ISNA(VLOOKUP(A111,'Données projet'!$A$139:$I$159,4,0)),0,VLOOKUP(A111,'Données projet'!$A$139:$I$159,4,0))</f>
        <v>0</v>
      </c>
      <c r="CA111" s="37">
        <f>IF(ISNA(VLOOKUP(A111,'Données projet'!$A$139:$I$159,5,0)),0%,VLOOKUP(A111,'Données projet'!$A$139:$I$159,5,0)*VLOOKUP('Données projet'!$B$13,Paramètres!$A$1:$I$88,7,0))</f>
        <v>0</v>
      </c>
      <c r="CB111" s="37">
        <f>IF(ISNA(VLOOKUP(A111,'Données projet'!$A$139:$I$159,6,0)),0%,VLOOKUP(A111,'Données projet'!$A$139:$I$159,6,0)*VLOOKUP('Données projet'!$B$13,Paramètres!$A$1:$I$88,7,0))</f>
        <v>0</v>
      </c>
      <c r="CC111" s="37">
        <f>IF(ISNA(VLOOKUP(A111,'Données projet'!$A$139:$I$159,7,0)),0%,VLOOKUP(A111,'Données projet'!$A$139:$I$159,7,0))</f>
        <v>0</v>
      </c>
      <c r="CD111" s="45">
        <f>EXP(-LN(2)/35)*CD110+(1-EXP(-LN(2)/35))/(LN(2)/35)*BZ111*CA111*VLOOKUP('Données projet'!$B$9,Paramètres!$A$1:$I$88,3,0)*0.475*44/12</f>
        <v>0</v>
      </c>
      <c r="CE111" s="45">
        <f>EXP(-LN(2)/25)*CE110+(1-EXP(-LN(2)/25))/(LN(2)/25)*Calculateur!BZ111*Calculateur!CB111*VLOOKUP('Données projet'!$B$9,Paramètres!$A$1:$I$88,3,0)*0.475*44/12</f>
        <v>0</v>
      </c>
      <c r="CF111" s="45">
        <f>EXP(-LN(2)/2)*CF110+(1-EXP(-LN(2)/2))/(LN(2)/2)*BZ111*CC111*VLOOKUP('Données projet'!$B$9,Paramètres!$A$1:$I$88,3,0)*0.475*44/12</f>
        <v>0</v>
      </c>
      <c r="CG111" s="46">
        <f t="shared" si="51"/>
        <v>0</v>
      </c>
      <c r="CH111" s="32" t="e">
        <f>VLOOKUP(A111,'Données projet'!$A$165:$I$185,2,0)</f>
        <v>#N/A</v>
      </c>
      <c r="CI111" s="33" t="e">
        <f>VLOOKUP(A111,'Données projet'!$A$165:$I$185,9,0)</f>
        <v>#N/A</v>
      </c>
      <c r="CJ111" s="33">
        <f t="array" ref="CJ111">INDEX(CI:CI,MIN(IF(ISNUMBER(CI111:CI307),ROW(CI111:CI307),"")))</f>
        <v>0</v>
      </c>
      <c r="CK111" s="33">
        <f t="shared" si="74"/>
        <v>0</v>
      </c>
      <c r="CL111" s="38" t="e">
        <f>CK111*VLOOKUP('Données projet'!$B$14,Paramètres!$A$1:$I$88,3,0)*VLOOKUP('Données projet'!$B$14,Paramètres!$A$1:$I$88,5,0)</f>
        <v>#N/A</v>
      </c>
      <c r="CM111" s="34" t="e">
        <f t="shared" si="75"/>
        <v>#N/A</v>
      </c>
      <c r="CN111" s="44" t="e">
        <f t="shared" si="52"/>
        <v>#N/A</v>
      </c>
      <c r="CO111" s="36">
        <f>IF(ISNA(VLOOKUP(A111,'Données projet'!$A$165:$I$185,3,0)),0,VLOOKUP(A111,'Données projet'!$A$165:$I$185,3,0))</f>
        <v>0</v>
      </c>
      <c r="CP111" s="36">
        <f>IF(ISNA(VLOOKUP(A111,'Données projet'!$A$165:$I$185,4,0)),0,VLOOKUP(A111,'Données projet'!$A$165:$I$185,4,0))</f>
        <v>0</v>
      </c>
      <c r="CQ111" s="37">
        <f>IF(ISNA(VLOOKUP(A111,'Données projet'!$A$165:$I$185,5,0)),0%,VLOOKUP(A111,'Données projet'!$A$165:$I$185,5,0)*VLOOKUP('Données projet'!$B$14,Paramètres!$A$1:$I$88,7,0))</f>
        <v>0</v>
      </c>
      <c r="CR111" s="37">
        <f>IF(ISNA(VLOOKUP(A111,'Données projet'!$A$165:$I$185,6,0)),0%,VLOOKUP(A111,'Données projet'!$A$165:$I$185,6,0)*VLOOKUP('Données projet'!$B$14,Paramètres!$A$1:$I$88,7,0))</f>
        <v>0</v>
      </c>
      <c r="CS111" s="37">
        <f>IF(ISNA(VLOOKUP(A111,'Données projet'!$A$165:$I$185,7,0)),0%,VLOOKUP(A111,'Données projet'!$A$165:$I$185,7,0))</f>
        <v>0</v>
      </c>
      <c r="CT111" s="45">
        <f>EXP(-LN(2)/35)*CT110+(1-EXP(-LN(2)/35))/(LN(2)/35)*CP111*CQ111*VLOOKUP('Données projet'!$B$9,Paramètres!$A$1:$I$88,3,0)*0.475*44/12</f>
        <v>0</v>
      </c>
      <c r="CU111" s="45">
        <f>EXP(-LN(2)/25)*CU110+(1-EXP(-LN(2)/25))/(LN(2)/25)*Calculateur!CP111*Calculateur!CR111*VLOOKUP('Données projet'!$B$9,Paramètres!$A$1:$I$88,3,0)*0.475*44/12</f>
        <v>0</v>
      </c>
      <c r="CV111" s="45">
        <f>EXP(-LN(2)/2)*CV110+(1-EXP(-LN(2)/2))/(LN(2)/2)*CP111*CS111*VLOOKUP('Données projet'!$B$9,Paramètres!$A$1:$I$88,3,0)*0.475*44/12</f>
        <v>0</v>
      </c>
      <c r="CW111" s="46">
        <f t="shared" si="53"/>
        <v>0</v>
      </c>
      <c r="CX111" s="32" t="e">
        <f>VLOOKUP(A111,'Données projet'!$A$191:$I$211,2,0)</f>
        <v>#N/A</v>
      </c>
      <c r="CY111" s="33" t="e">
        <f>VLOOKUP(A111,'Données projet'!$A$191:$I$211,9,0)</f>
        <v>#N/A</v>
      </c>
      <c r="CZ111" s="33">
        <f t="array" ref="CZ111">INDEX(CY:CY,MIN(IF(ISNUMBER(CY111:CY307),ROW(CY111:CY307),"")))</f>
        <v>0</v>
      </c>
      <c r="DA111" s="33">
        <f t="shared" si="76"/>
        <v>0</v>
      </c>
      <c r="DB111" s="38" t="e">
        <f>DA111*VLOOKUP('Données projet'!$B$15,Paramètres!$A$1:$I$88,3,0)*VLOOKUP('Données projet'!$B$15,Paramètres!$A$1:$I$88,5,0)</f>
        <v>#N/A</v>
      </c>
      <c r="DC111" s="34" t="e">
        <f t="shared" si="77"/>
        <v>#N/A</v>
      </c>
      <c r="DD111" s="44" t="e">
        <f t="shared" si="54"/>
        <v>#N/A</v>
      </c>
      <c r="DE111" s="36">
        <f>IF(ISNA(VLOOKUP(A111,'Données projet'!$A$191:$I$211,3,0)),0,VLOOKUP(A111,'Données projet'!$A$191:$I$211,3,0))</f>
        <v>0</v>
      </c>
      <c r="DF111" s="36">
        <f>IF(ISNA(VLOOKUP(A111,'Données projet'!$A$191:$I$211,4,0)),0,VLOOKUP(A111,'Données projet'!$A$191:$I$211,4,0))</f>
        <v>0</v>
      </c>
      <c r="DG111" s="37">
        <f>IF(ISNA(VLOOKUP(A111,'Données projet'!$A$191:$I$211,5,0)),0%,VLOOKUP(A111,'Données projet'!$A$191:$I$211,5,0)*VLOOKUP('Données projet'!$B$15,Paramètres!$A$1:$I$88,7,0))</f>
        <v>0</v>
      </c>
      <c r="DH111" s="37">
        <f>IF(ISNA(VLOOKUP(A111,'Données projet'!$A$191:$I$211,6,0)),0%,VLOOKUP(A111,'Données projet'!$A$191:$I$211,6,0)*VLOOKUP('Données projet'!$B$15,Paramètres!$A$1:$I$88,7,0))</f>
        <v>0</v>
      </c>
      <c r="DI111" s="37">
        <f>IF(ISNA(VLOOKUP(A111,'Données projet'!$A$191:$I$211,7,0)),0%,VLOOKUP(A111,'Données projet'!$A$191:$I$211,7,0))</f>
        <v>0</v>
      </c>
      <c r="DJ111" s="45">
        <f>EXP(-LN(2)/35)*DJ110+(1-EXP(-LN(2)/35))/(LN(2)/35)*DF111*DG111*VLOOKUP('Données projet'!$B$9,Paramètres!$A$1:$I$88,3,0)*0.475*44/12</f>
        <v>0</v>
      </c>
      <c r="DK111" s="45">
        <f>EXP(-LN(2)/25)*DK110+(1-EXP(-LN(2)/25))/(LN(2)/25)*Calculateur!DF111*Calculateur!DH111*VLOOKUP('Données projet'!$B$9,Paramètres!$A$1:$I$88,3,0)*0.475*44/12</f>
        <v>0</v>
      </c>
      <c r="DL111" s="45">
        <f>EXP(-LN(2)/2)*DL110+(1-EXP(-LN(2)/2))/(LN(2)/2)*DF111*DI111*VLOOKUP('Données projet'!$B$9,Paramètres!$A$1:$I$88,3,0)*0.475*44/12</f>
        <v>0</v>
      </c>
      <c r="DM111" s="46">
        <f t="shared" si="55"/>
        <v>0</v>
      </c>
      <c r="DN111" s="32" t="e">
        <f>VLOOKUP(A111,'Données projet'!$A$217:$I$237,2,0)</f>
        <v>#N/A</v>
      </c>
      <c r="DO111" s="33" t="e">
        <f>VLOOKUP(A111,'Données projet'!$A$217:$I$237,9,0)</f>
        <v>#N/A</v>
      </c>
      <c r="DP111" s="33">
        <f t="array" ref="DP111">INDEX(DO:DO,MIN(IF(ISNUMBER(DO111:DO307),ROW(DO111:DO307),"")))</f>
        <v>0</v>
      </c>
      <c r="DQ111" s="33">
        <f t="shared" si="78"/>
        <v>0</v>
      </c>
      <c r="DR111" s="38" t="e">
        <f>DQ111*VLOOKUP('Données projet'!$B$16,Paramètres!$A$1:$I$88,3,0)*VLOOKUP('Données projet'!$B$16,Paramètres!$A$1:$I$88,5,0)</f>
        <v>#N/A</v>
      </c>
      <c r="DS111" s="34" t="e">
        <f t="shared" si="79"/>
        <v>#N/A</v>
      </c>
      <c r="DT111" s="44" t="e">
        <f t="shared" si="56"/>
        <v>#N/A</v>
      </c>
      <c r="DU111" s="36">
        <f>IF(ISNA(VLOOKUP(A111,'Données projet'!$A$217:$I$237,3,0)),0,VLOOKUP(A111,'Données projet'!$A$217:$I$237,3,0))</f>
        <v>0</v>
      </c>
      <c r="DV111" s="36">
        <f>IF(ISNA(VLOOKUP(A111,'Données projet'!$A$217:$I$237,4,0)),0,VLOOKUP(A111,'Données projet'!$A$217:$I$237,4,0))</f>
        <v>0</v>
      </c>
      <c r="DW111" s="37">
        <f>IF(ISNA(VLOOKUP(A111,'Données projet'!$A$217:$I$237,5,0)),0%,VLOOKUP(A111,'Données projet'!$A$217:$I$237,5,0)*VLOOKUP('Données projet'!$B$16,Paramètres!$A$1:$I$88,7,0))</f>
        <v>0</v>
      </c>
      <c r="DX111" s="37">
        <f>IF(ISNA(VLOOKUP(A111,'Données projet'!$A$217:$I$237,6,0)),0%,VLOOKUP(A111,'Données projet'!$A$217:$I$237,6,0)*VLOOKUP('Données projet'!$B$16,Paramètres!$A$1:$I$88,7,0))</f>
        <v>0</v>
      </c>
      <c r="DY111" s="37">
        <f>IF(ISNA(VLOOKUP(A111,'Données projet'!$A$217:$I$237,7,0)),0%,VLOOKUP(A111,'Données projet'!$A$217:$I$237,7,0))</f>
        <v>0</v>
      </c>
      <c r="DZ111" s="45">
        <f>EXP(-LN(2)/35)*DZ110+(1-EXP(-LN(2)/35))/(LN(2)/35)*DV111*DW111*VLOOKUP('Données projet'!$B$9,Paramètres!$A$1:$I$88,3,0)*0.475*44/12</f>
        <v>0</v>
      </c>
      <c r="EA111" s="45">
        <f>EXP(-LN(2)/25)*EA110+(1-EXP(-LN(2)/25))/(LN(2)/25)*Calculateur!DV111*Calculateur!DX111*VLOOKUP('Données projet'!$B$9,Paramètres!$A$1:$I$88,3,0)*0.475*44/12</f>
        <v>0</v>
      </c>
      <c r="EB111" s="45">
        <f>EXP(-LN(2)/2)*EB110+(1-EXP(-LN(2)/2))/(LN(2)/2)*DV111*DY111*VLOOKUP('Données projet'!$B$9,Paramètres!$A$1:$I$88,3,0)*0.475*44/12</f>
        <v>0</v>
      </c>
      <c r="EC111" s="46">
        <f t="shared" si="57"/>
        <v>0</v>
      </c>
      <c r="ED111" s="32" t="e">
        <f>VLOOKUP(A111,'Données projet'!$A$243:$I$263,2,0)</f>
        <v>#N/A</v>
      </c>
      <c r="EE111" s="33" t="e">
        <f>VLOOKUP(A111,'Données projet'!$A$243:$I$263,9,0)</f>
        <v>#N/A</v>
      </c>
      <c r="EF111" s="33">
        <f t="array" ref="EF111">INDEX(EE:EE,MIN(IF(ISNUMBER(EE111:EE307),ROW(EE111:EE307),"")))</f>
        <v>0</v>
      </c>
      <c r="EG111" s="33">
        <f t="shared" si="80"/>
        <v>0</v>
      </c>
      <c r="EH111" s="38" t="e">
        <f>EG111*VLOOKUP('Données projet'!$B$17,Paramètres!$A$1:$I$88,3,0)*VLOOKUP('Données projet'!$B$17,Paramètres!$A$1:$I$88,5,0)</f>
        <v>#N/A</v>
      </c>
      <c r="EI111" s="34" t="e">
        <f t="shared" si="81"/>
        <v>#N/A</v>
      </c>
      <c r="EJ111" s="44" t="e">
        <f t="shared" si="58"/>
        <v>#N/A</v>
      </c>
      <c r="EK111" s="36">
        <f>IF(ISNA(VLOOKUP(A111,'Données projet'!$A$243:$I$263,3,0)),0,VLOOKUP(A111,'Données projet'!$A$243:$I$263,3,0))</f>
        <v>0</v>
      </c>
      <c r="EL111" s="36">
        <f>IF(ISNA(VLOOKUP(A111,'Données projet'!$A$243:$I$263,4,0)),0,VLOOKUP(A111,'Données projet'!$A$243:$I$263,4,0))</f>
        <v>0</v>
      </c>
      <c r="EM111" s="37">
        <f>IF(ISNA(VLOOKUP(A111,'Données projet'!$A$243:$I$263,5,0)),0%,VLOOKUP(A111,'Données projet'!$A$243:$I$263,5,0)*VLOOKUP('Données projet'!$B$17,Paramètres!$A$1:$I$88,7,0))</f>
        <v>0</v>
      </c>
      <c r="EN111" s="37">
        <f>IF(ISNA(VLOOKUP(A111,'Données projet'!$A$243:$I$263,6,0)),0%,VLOOKUP(A111,'Données projet'!$A$243:$I$263,6,0)*VLOOKUP('Données projet'!$B$17,Paramètres!$A$1:$I$88,7,0))</f>
        <v>0</v>
      </c>
      <c r="EO111" s="37">
        <f>IF(ISNA(VLOOKUP(A111,'Données projet'!$A$243:$I$263,7,0)),0%,VLOOKUP(A111,'Données projet'!$A$243:$I$263,7,0))</f>
        <v>0</v>
      </c>
      <c r="EP111" s="45">
        <f>EXP(-LN(2)/35)*EP110+(1-EXP(-LN(2)/35))/(LN(2)/35)*EL111*EM111*VLOOKUP('Données projet'!$B$9,Paramètres!$A$1:$I$88,3,0)*0.475*44/12</f>
        <v>0</v>
      </c>
      <c r="EQ111" s="45">
        <f>EXP(-LN(2)/25)*EQ110+(1-EXP(-LN(2)/25))/(LN(2)/25)*Calculateur!EL111*Calculateur!EN111*VLOOKUP('Données projet'!$B$9,Paramètres!$A$1:$I$88,3,0)*0.475*44/12</f>
        <v>0</v>
      </c>
      <c r="ER111" s="45">
        <f>EXP(-LN(2)/2)*ER110+(1-EXP(-LN(2)/2))/(LN(2)/2)*EL111*EO111*VLOOKUP('Données projet'!$B$9,Paramètres!$A$1:$I$88,3,0)*0.475*44/12</f>
        <v>0</v>
      </c>
      <c r="ES111" s="46">
        <f t="shared" si="59"/>
        <v>0</v>
      </c>
      <c r="ET111" s="32" t="e">
        <f>VLOOKUP(A111,'Données projet'!$A$269:$I$289,2,0)</f>
        <v>#N/A</v>
      </c>
      <c r="EU111" s="33" t="e">
        <f>VLOOKUP(A111,'Données projet'!$A$269:$I$289,9,0)</f>
        <v>#N/A</v>
      </c>
      <c r="EV111" s="33">
        <f t="array" ref="EV111">INDEX(EU:EU,MIN(IF(ISNUMBER(EU111:EU307),ROW(EU111:EU307),"")))</f>
        <v>0</v>
      </c>
      <c r="EW111" s="33">
        <f t="shared" si="82"/>
        <v>0</v>
      </c>
      <c r="EX111" s="38" t="e">
        <f>EW111*VLOOKUP('Données projet'!$B$18,Paramètres!$A$1:$I$88,3,0)*VLOOKUP('Données projet'!$B$18,Paramètres!$A$1:$I$88,5,0)</f>
        <v>#N/A</v>
      </c>
      <c r="EY111" s="34" t="e">
        <f t="shared" si="83"/>
        <v>#N/A</v>
      </c>
      <c r="EZ111" s="44" t="e">
        <f t="shared" si="60"/>
        <v>#N/A</v>
      </c>
      <c r="FA111" s="36">
        <f>IF(ISNA(VLOOKUP(A111,'Données projet'!$A$269:$I$289,3,0)),0,VLOOKUP(A111,'Données projet'!$A$269:$I$289,3,0))</f>
        <v>0</v>
      </c>
      <c r="FB111" s="36">
        <f>IF(ISNA(VLOOKUP(A111,'Données projet'!$A$269:$I$289,4,0)),0,VLOOKUP(A111,'Données projet'!$A$269:$I$289,4,0))</f>
        <v>0</v>
      </c>
      <c r="FC111" s="37">
        <f>IF(ISNA(VLOOKUP(A111,'Données projet'!$A$269:$I$289,5,0)),0%,VLOOKUP(A111,'Données projet'!$A$269:$I$289,5,0)*VLOOKUP('Données projet'!$B$18,Paramètres!$A$1:$I$88,7,0))</f>
        <v>0</v>
      </c>
      <c r="FD111" s="37">
        <f>IF(ISNA(VLOOKUP(A111,'Données projet'!$A$269:$I$289,6,0)),0%,VLOOKUP(A111,'Données projet'!$A$269:$I$289,6,0)*VLOOKUP('Données projet'!$B$18,Paramètres!$A$1:$I$88,7,0))</f>
        <v>0</v>
      </c>
      <c r="FE111" s="37">
        <f>IF(ISNA(VLOOKUP(A111,'Données projet'!$A$269:$I$289,7,0)),0%,VLOOKUP(A111,'Données projet'!$A$269:$I$289,7,0))</f>
        <v>0</v>
      </c>
      <c r="FF111" s="45">
        <f>EXP(-LN(2)/35)*FF110+(1-EXP(-LN(2)/35))/(LN(2)/35)*FB111*FC111*VLOOKUP('Données projet'!$B$9,Paramètres!$A$1:$I$88,3,0)*0.475*44/12</f>
        <v>0</v>
      </c>
      <c r="FG111" s="45">
        <f>EXP(-LN(2)/25)*FG110+(1-EXP(-LN(2)/25))/(LN(2)/25)*Calculateur!FB111*Calculateur!FD111*VLOOKUP('Données projet'!$B$9,Paramètres!$A$1:$I$88,3,0)*0.475*44/12</f>
        <v>0</v>
      </c>
      <c r="FH111" s="45">
        <f>EXP(-LN(2)/2)*FH110+(1-EXP(-LN(2)/2))/(LN(2)/2)*FB111*FE111*VLOOKUP('Données projet'!$B$9,Paramètres!$A$1:$I$88,3,0)*0.475*44/12</f>
        <v>0</v>
      </c>
      <c r="FI111" s="46">
        <f t="shared" si="61"/>
        <v>0</v>
      </c>
    </row>
    <row r="112" spans="1:165" x14ac:dyDescent="0.25">
      <c r="A112" s="24">
        <f t="shared" si="62"/>
        <v>109</v>
      </c>
      <c r="B112" s="25">
        <f>IF('Scénario référence'!$N$1=1,5,0)</f>
        <v>0</v>
      </c>
      <c r="C112" s="40">
        <f>IF(OR('Scénario référence'!$N$1=2,'Scénario référence'!$N$1=4),C111+1*VLOOKUP('Scénario référence'!$G$14,Paramètres!$A$1:$I$88,3,0)*VLOOKUP('Scénario référence'!$G$14,Paramètres!$A$1:$I$88,5,0),IF(OR('Scénario référence'!$N$1=3,'Scénario référence'!$N$1=5),C111+0.5*VLOOKUP('Scénario référence'!$G$14,Paramètres!$A$1:$I$88,3,0)*VLOOKUP('Scénario référence'!$G$14,Paramètres!$A$1:$I$88,5,0),0))</f>
        <v>59.513999999999946</v>
      </c>
      <c r="D112" s="26">
        <f t="shared" si="63"/>
        <v>17.045334862667175</v>
      </c>
      <c r="E112" s="27">
        <f>IF('Scénario référence'!$N$1=1,B112*44/12,(C112+D112)*0.475*44/12)</f>
        <v>133.34084155247857</v>
      </c>
      <c r="F112" s="28" t="e">
        <f>VLOOKUP(A112,'Données projet'!$A$35:$I$55,2,0)</f>
        <v>#N/A</v>
      </c>
      <c r="G112" s="28" t="e">
        <f>VLOOKUP(A112,'Données projet'!$A$35:$I$55,9,0)</f>
        <v>#N/A</v>
      </c>
      <c r="H112" s="33">
        <f t="array" ref="H112">INDEX(G:G,MIN(IF(ISNUMBER(G112:G308),ROW(G112:G308),"")))</f>
        <v>4</v>
      </c>
      <c r="I112" s="28">
        <f t="shared" si="64"/>
        <v>279.99999999999955</v>
      </c>
      <c r="J112" s="41">
        <f>I112*VLOOKUP('Données projet'!$B$9,Paramètres!$A$1:$I$88,3,0)*VLOOKUP('Données projet'!$B$9,Paramètres!$A$1:$I$88,5,0)</f>
        <v>283.91999999999956</v>
      </c>
      <c r="K112" s="41">
        <f t="shared" si="65"/>
        <v>67.794746071143507</v>
      </c>
      <c r="L112" s="42">
        <f t="shared" si="42"/>
        <v>612.56984940724078</v>
      </c>
      <c r="M112" s="30">
        <f>IF(ISNA(VLOOKUP(A112,'Données projet'!$A$35:$I$55,3,0)),0,VLOOKUP(A112,'Données projet'!$A$35:$I$55,3,0))</f>
        <v>0</v>
      </c>
      <c r="N112" s="30">
        <f>IF(ISNA(VLOOKUP(A112,'Données projet'!$A$35:$I$55,4,0)),0,VLOOKUP(A112,'Données projet'!$A$35:$I$55,4,0))</f>
        <v>0</v>
      </c>
      <c r="O112" s="31">
        <f>IF(ISNA(VLOOKUP(A112,'Données projet'!$A$35:$I$55,5,0)),0%,VLOOKUP(A112,'Données projet'!$A$35:$I$55,5,0)*VLOOKUP('Données projet'!$B$9,Paramètres!$A$1:$I$88,7,0))</f>
        <v>0</v>
      </c>
      <c r="P112" s="31">
        <f>IF(ISNA(VLOOKUP(A112,'Données projet'!$A$35:$I$55,6,0)),0%,VLOOKUP(A112,'Données projet'!$A$35:$I$55,6,0)*VLOOKUP('Données projet'!$B$9,Paramètres!$A$1:$I$88,7,0))</f>
        <v>0</v>
      </c>
      <c r="Q112" s="31">
        <f>IF(ISNA(VLOOKUP(A112,'Données projet'!$A$35:$I$55,7,0)),0%,VLOOKUP(A112,'Données projet'!$A$35:$I$55,7,0))</f>
        <v>0</v>
      </c>
      <c r="R112" s="43">
        <f>EXP(-LN(2)/35)*R111+(1-EXP(-LN(2)/35))/(LN(2)/35)*N112*O112*VLOOKUP('Données projet'!$B$9,Paramètres!$A$1:$I$88,3,0)*0.475*44/12</f>
        <v>0</v>
      </c>
      <c r="S112" s="43">
        <f>EXP(-LN(2)/25)*S111+(1-EXP(-LN(2)/25))/(LN(2)/25)*Calculateur!N112*Calculateur!P112*VLOOKUP('Données projet'!$B$9,Paramètres!$A$1:$I$88,3,0)*0.475*44/12</f>
        <v>0</v>
      </c>
      <c r="T112" s="43">
        <f>EXP(-LN(2)/2)*T111+(1-EXP(-LN(2)/2))/(LN(2)/2)*N112*Q112*VLOOKUP('Données projet'!$B$9,Paramètres!$A$1:$I$88,3,0)*0.475*44/12</f>
        <v>0</v>
      </c>
      <c r="U112" s="43">
        <f t="shared" si="43"/>
        <v>0</v>
      </c>
      <c r="V112" s="32" t="e">
        <f>VLOOKUP(A112,'Données projet'!$A$61:$I$81,2,0)</f>
        <v>#N/A</v>
      </c>
      <c r="W112" s="33" t="e">
        <f>VLOOKUP(A112,'Données projet'!$A$61:$I$81,9,0)</f>
        <v>#N/A</v>
      </c>
      <c r="X112" s="33">
        <f t="array" ref="X112">INDEX(W:W,MIN(IF(ISNUMBER(W112:W308),ROW(W112:W308),"")))</f>
        <v>0</v>
      </c>
      <c r="Y112" s="33">
        <f t="shared" si="66"/>
        <v>0</v>
      </c>
      <c r="Z112" s="34" t="e">
        <f>Y112*VLOOKUP('Données projet'!$B$10,Paramètres!$A$1:$I$88,3,0)*VLOOKUP('Données projet'!$B$10,Paramètres!$A$1:$I$88,5,0)</f>
        <v>#N/A</v>
      </c>
      <c r="AA112" s="34" t="e">
        <f t="shared" si="67"/>
        <v>#N/A</v>
      </c>
      <c r="AB112" s="44" t="e">
        <f t="shared" si="44"/>
        <v>#N/A</v>
      </c>
      <c r="AC112" s="36">
        <f>IF(ISNA(VLOOKUP(A112,'Données projet'!$A$61:$I$81,3,0)),0,VLOOKUP(A112,'Données projet'!$A$61:$I$81,3,0))</f>
        <v>0</v>
      </c>
      <c r="AD112" s="36">
        <f>IF(ISNA(VLOOKUP(A112,'Données projet'!$A$61:$I$81,4,0)),0,VLOOKUP(A112,'Données projet'!$A$61:$I$81,4,0))</f>
        <v>0</v>
      </c>
      <c r="AE112" s="37">
        <f>IF(ISNA(VLOOKUP(A112,'Données projet'!$A$61:$I$81,5,0)),0%,VLOOKUP(A112,'Données projet'!$A$61:$I$81,5,0)*VLOOKUP('Données projet'!$B$10,Paramètres!$A$1:$I$88,7,0))</f>
        <v>0</v>
      </c>
      <c r="AF112" s="37">
        <f>IF(ISNA(VLOOKUP(A112,'Données projet'!$A$61:$I$81,6,0)),0%,VLOOKUP(A112,'Données projet'!$A$61:$I$81,6,0)*VLOOKUP('Données projet'!$B$10,Paramètres!$A$1:$I$88,7,0))</f>
        <v>0</v>
      </c>
      <c r="AG112" s="37">
        <f>IF(ISNA(VLOOKUP(A112,'Données projet'!$A$61:$I$81,7,0)),0%,VLOOKUP(A112,'Données projet'!$A$61:$I$81,7,0))</f>
        <v>0</v>
      </c>
      <c r="AH112" s="45">
        <f>EXP(-LN(2)/35)*AH111+(1-EXP(-LN(2)/35))/(LN(2)/35)*AD112*AE112*VLOOKUP('Données projet'!$B$9,Paramètres!$A$1:$I$88,3,0)*0.475*44/12</f>
        <v>0</v>
      </c>
      <c r="AI112" s="45">
        <f>EXP(-LN(2)/25)*AI111+(1-EXP(-LN(2)/25))/(LN(2)/25)*Calculateur!AD112*Calculateur!AF112*VLOOKUP('Données projet'!$B$9,Paramètres!$A$1:$I$88,3,0)*0.475*44/12</f>
        <v>0</v>
      </c>
      <c r="AJ112" s="45">
        <f>EXP(-LN(2)/2)*AJ111+(1-EXP(-LN(2)/2))/(LN(2)/2)*AD112*AG112*VLOOKUP('Données projet'!$B$9,Paramètres!$A$1:$I$88,3,0)*0.475*44/12</f>
        <v>0</v>
      </c>
      <c r="AK112" s="45">
        <f t="shared" si="45"/>
        <v>0</v>
      </c>
      <c r="AL112" s="32" t="e">
        <f>VLOOKUP(A112,'Données projet'!$A$87:$I$107,2,0)</f>
        <v>#N/A</v>
      </c>
      <c r="AM112" s="33" t="e">
        <f>VLOOKUP(A112,'Données projet'!$A$87:$I$107,9,0)</f>
        <v>#N/A</v>
      </c>
      <c r="AN112" s="33">
        <f t="array" ref="AN112">INDEX(AM:AM,MIN(IF(ISNUMBER(AM112:AM308),ROW(AM112:AM308),"")))</f>
        <v>0</v>
      </c>
      <c r="AO112" s="33">
        <f t="shared" si="68"/>
        <v>0</v>
      </c>
      <c r="AP112" s="34" t="e">
        <f>AO112*VLOOKUP('Données projet'!$B$11,Paramètres!$A$1:$I$88,3,0)*VLOOKUP('Données projet'!$B$11,Paramètres!$A$1:$I$88,5,0)</f>
        <v>#N/A</v>
      </c>
      <c r="AQ112" s="34" t="e">
        <f t="shared" si="69"/>
        <v>#N/A</v>
      </c>
      <c r="AR112" s="44" t="e">
        <f t="shared" si="46"/>
        <v>#N/A</v>
      </c>
      <c r="AS112" s="36">
        <f>IF(ISNA(VLOOKUP(A112,'Données projet'!$A$87:$I$107,3,0)),0,VLOOKUP(A112,'Données projet'!$A$87:$I$107,3,0))</f>
        <v>0</v>
      </c>
      <c r="AT112" s="36">
        <f>IF(ISNA(VLOOKUP(A112,'Données projet'!$A$87:$I$107,4,0)),0,VLOOKUP(A112,'Données projet'!$A$87:$I$107,4,0))</f>
        <v>0</v>
      </c>
      <c r="AU112" s="37">
        <f>IF(ISNA(VLOOKUP(A112,'Données projet'!$A$87:$I$107,5,0)),0%,VLOOKUP(A112,'Données projet'!$A$87:$I$107,5,0)*VLOOKUP('Données projet'!$B$11,Paramètres!$A$1:$I$88,7,0))</f>
        <v>0</v>
      </c>
      <c r="AV112" s="37">
        <f>IF(ISNA(VLOOKUP(A112,'Données projet'!$A$87:$I$107,6,0)),0%,VLOOKUP(A112,'Données projet'!$A$87:$I$107,6,0)*VLOOKUP('Données projet'!$B$11,Paramètres!$A$1:$I$88,7,0))</f>
        <v>0</v>
      </c>
      <c r="AW112" s="37">
        <f>IF(ISNA(VLOOKUP(A112,'Données projet'!$A$87:$I$107,7,0)),0%,VLOOKUP(A112,'Données projet'!$A$87:$I$107,7,0))</f>
        <v>0</v>
      </c>
      <c r="AX112" s="45">
        <f>EXP(-LN(2)/35)*AX111+(1-EXP(-LN(2)/35))/(LN(2)/35)*AT112*AU112*VLOOKUP('Données projet'!$B$9,Paramètres!$A$1:$I$88,3,0)*0.475*44/12</f>
        <v>0</v>
      </c>
      <c r="AY112" s="45">
        <f>EXP(-LN(2)/25)*AY111+(1-EXP(-LN(2)/25))/(LN(2)/25)*Calculateur!AT112*Calculateur!AV112*VLOOKUP('Données projet'!$B$9,Paramètres!$A$1:$I$88,3,0)*0.475*44/12</f>
        <v>0</v>
      </c>
      <c r="AZ112" s="45">
        <f>EXP(-LN(2)/2)*AZ111+(1-EXP(-LN(2)/2))/(LN(2)/2)*AT112*AW112*VLOOKUP('Données projet'!$B$9,Paramètres!$A$1:$I$88,3,0)*0.475*44/12</f>
        <v>0</v>
      </c>
      <c r="BA112" s="46">
        <f t="shared" si="47"/>
        <v>0</v>
      </c>
      <c r="BB112" s="32" t="e">
        <f>VLOOKUP(A112,'Données projet'!$A$113:$I$133,2,0)</f>
        <v>#N/A</v>
      </c>
      <c r="BC112" s="33" t="e">
        <f>VLOOKUP(A112,'Données projet'!$A$113:$I$133,9,0)</f>
        <v>#N/A</v>
      </c>
      <c r="BD112" s="33">
        <f t="array" ref="BD112">INDEX(BC:BC,MIN(IF(ISNUMBER(BC112:BC308),ROW(BC112:BC308),"")))</f>
        <v>0</v>
      </c>
      <c r="BE112" s="33">
        <f t="shared" si="70"/>
        <v>0</v>
      </c>
      <c r="BF112" s="34" t="e">
        <f>BE112*VLOOKUP('Données projet'!$B$12,Paramètres!$A$1:$I$88,3,0)*VLOOKUP('Données projet'!$B$12,Paramètres!$A$1:$I$88,5,0)</f>
        <v>#N/A</v>
      </c>
      <c r="BG112" s="34" t="e">
        <f t="shared" si="71"/>
        <v>#N/A</v>
      </c>
      <c r="BH112" s="44" t="e">
        <f t="shared" si="48"/>
        <v>#N/A</v>
      </c>
      <c r="BI112" s="36">
        <f>IF(ISNA(VLOOKUP(A112,'Données projet'!$A$113:$I$133,3,0)),0,VLOOKUP(A112,'Données projet'!$A$113:$I$133,3,0))</f>
        <v>0</v>
      </c>
      <c r="BJ112" s="36">
        <f>IF(ISNA(VLOOKUP(A112,'Données projet'!$A$113:$I$133,4,0)),0,VLOOKUP(A112,'Données projet'!$A$113:$I$133,4,0))</f>
        <v>0</v>
      </c>
      <c r="BK112" s="37">
        <f>IF(ISNA(VLOOKUP(A112,'Données projet'!$A$113:$I$133,5,0)),0%,VLOOKUP(A112,'Données projet'!$A$113:$I$133,5,0)*VLOOKUP('Données projet'!$B$12,Paramètres!$A$1:$I$88,7,0))</f>
        <v>0</v>
      </c>
      <c r="BL112" s="37">
        <f>IF(ISNA(VLOOKUP(A112,'Données projet'!$A$113:$I$133,6,0)),0%,VLOOKUP(A112,'Données projet'!$A$113:$I$133,6,0)*VLOOKUP('Données projet'!$B$12,Paramètres!$A$1:$I$88,7,0))</f>
        <v>0</v>
      </c>
      <c r="BM112" s="37">
        <f>IF(ISNA(VLOOKUP(A112,'Données projet'!$A$113:$I$133,7,0)),0%,VLOOKUP(A112,'Données projet'!$A$113:$I$133,7,0))</f>
        <v>0</v>
      </c>
      <c r="BN112" s="45">
        <f>EXP(-LN(2)/35)*BN111+(1-EXP(-LN(2)/35))/(LN(2)/35)*BJ112*BK112*VLOOKUP('Données projet'!$B$9,Paramètres!$A$1:$I$88,3,0)*0.475*44/12</f>
        <v>0</v>
      </c>
      <c r="BO112" s="45">
        <f>EXP(-LN(2)/25)*BO111+(1-EXP(-LN(2)/25))/(LN(2)/25)*Calculateur!BJ112*Calculateur!BL112*VLOOKUP('Données projet'!$B$9,Paramètres!$A$1:$I$88,3,0)*0.475*44/12</f>
        <v>0</v>
      </c>
      <c r="BP112" s="45">
        <f>EXP(-LN(2)/2)*BP111+(1-EXP(-LN(2)/2))/(LN(2)/2)*BJ112*BM112*VLOOKUP('Données projet'!$B$9,Paramètres!$A$1:$I$88,3,0)*0.475*44/12</f>
        <v>0</v>
      </c>
      <c r="BQ112" s="46">
        <f t="shared" si="49"/>
        <v>0</v>
      </c>
      <c r="BR112" s="32" t="e">
        <f>VLOOKUP(A112,'Données projet'!$A$139:$I$159,2,0)</f>
        <v>#N/A</v>
      </c>
      <c r="BS112" s="33" t="e">
        <f>VLOOKUP(A112,'Données projet'!$A$139:$I$159,9,0)</f>
        <v>#N/A</v>
      </c>
      <c r="BT112" s="33">
        <f t="array" ref="BT112">INDEX(BS:BS,MIN(IF(ISNUMBER(BS112:BS308),ROW(BS112:BS308),"")))</f>
        <v>0</v>
      </c>
      <c r="BU112" s="33">
        <f t="shared" si="72"/>
        <v>0</v>
      </c>
      <c r="BV112" s="38" t="e">
        <f>BU112*VLOOKUP('Données projet'!$B$13,Paramètres!$A$1:$I$88,3,0)*VLOOKUP('Données projet'!$B$13,Paramètres!$A$1:$I$88,5,0)</f>
        <v>#N/A</v>
      </c>
      <c r="BW112" s="34" t="e">
        <f t="shared" si="73"/>
        <v>#N/A</v>
      </c>
      <c r="BX112" s="44" t="e">
        <f t="shared" si="50"/>
        <v>#N/A</v>
      </c>
      <c r="BY112" s="36">
        <f>IF(ISNA(VLOOKUP(A112,'Données projet'!$A$139:$I$159,3,0)),0,VLOOKUP(A112,'Données projet'!$A$139:$I$159,3,0))</f>
        <v>0</v>
      </c>
      <c r="BZ112" s="36">
        <f>IF(ISNA(VLOOKUP(A112,'Données projet'!$A$139:$I$159,4,0)),0,VLOOKUP(A112,'Données projet'!$A$139:$I$159,4,0))</f>
        <v>0</v>
      </c>
      <c r="CA112" s="37">
        <f>IF(ISNA(VLOOKUP(A112,'Données projet'!$A$139:$I$159,5,0)),0%,VLOOKUP(A112,'Données projet'!$A$139:$I$159,5,0)*VLOOKUP('Données projet'!$B$13,Paramètres!$A$1:$I$88,7,0))</f>
        <v>0</v>
      </c>
      <c r="CB112" s="37">
        <f>IF(ISNA(VLOOKUP(A112,'Données projet'!$A$139:$I$159,6,0)),0%,VLOOKUP(A112,'Données projet'!$A$139:$I$159,6,0)*VLOOKUP('Données projet'!$B$13,Paramètres!$A$1:$I$88,7,0))</f>
        <v>0</v>
      </c>
      <c r="CC112" s="37">
        <f>IF(ISNA(VLOOKUP(A112,'Données projet'!$A$139:$I$159,7,0)),0%,VLOOKUP(A112,'Données projet'!$A$139:$I$159,7,0))</f>
        <v>0</v>
      </c>
      <c r="CD112" s="45">
        <f>EXP(-LN(2)/35)*CD111+(1-EXP(-LN(2)/35))/(LN(2)/35)*BZ112*CA112*VLOOKUP('Données projet'!$B$9,Paramètres!$A$1:$I$88,3,0)*0.475*44/12</f>
        <v>0</v>
      </c>
      <c r="CE112" s="45">
        <f>EXP(-LN(2)/25)*CE111+(1-EXP(-LN(2)/25))/(LN(2)/25)*Calculateur!BZ112*Calculateur!CB112*VLOOKUP('Données projet'!$B$9,Paramètres!$A$1:$I$88,3,0)*0.475*44/12</f>
        <v>0</v>
      </c>
      <c r="CF112" s="45">
        <f>EXP(-LN(2)/2)*CF111+(1-EXP(-LN(2)/2))/(LN(2)/2)*BZ112*CC112*VLOOKUP('Données projet'!$B$9,Paramètres!$A$1:$I$88,3,0)*0.475*44/12</f>
        <v>0</v>
      </c>
      <c r="CG112" s="46">
        <f t="shared" si="51"/>
        <v>0</v>
      </c>
      <c r="CH112" s="32" t="e">
        <f>VLOOKUP(A112,'Données projet'!$A$165:$I$185,2,0)</f>
        <v>#N/A</v>
      </c>
      <c r="CI112" s="33" t="e">
        <f>VLOOKUP(A112,'Données projet'!$A$165:$I$185,9,0)</f>
        <v>#N/A</v>
      </c>
      <c r="CJ112" s="33">
        <f t="array" ref="CJ112">INDEX(CI:CI,MIN(IF(ISNUMBER(CI112:CI308),ROW(CI112:CI308),"")))</f>
        <v>0</v>
      </c>
      <c r="CK112" s="33">
        <f t="shared" si="74"/>
        <v>0</v>
      </c>
      <c r="CL112" s="38" t="e">
        <f>CK112*VLOOKUP('Données projet'!$B$14,Paramètres!$A$1:$I$88,3,0)*VLOOKUP('Données projet'!$B$14,Paramètres!$A$1:$I$88,5,0)</f>
        <v>#N/A</v>
      </c>
      <c r="CM112" s="34" t="e">
        <f t="shared" si="75"/>
        <v>#N/A</v>
      </c>
      <c r="CN112" s="44" t="e">
        <f t="shared" si="52"/>
        <v>#N/A</v>
      </c>
      <c r="CO112" s="36">
        <f>IF(ISNA(VLOOKUP(A112,'Données projet'!$A$165:$I$185,3,0)),0,VLOOKUP(A112,'Données projet'!$A$165:$I$185,3,0))</f>
        <v>0</v>
      </c>
      <c r="CP112" s="36">
        <f>IF(ISNA(VLOOKUP(A112,'Données projet'!$A$165:$I$185,4,0)),0,VLOOKUP(A112,'Données projet'!$A$165:$I$185,4,0))</f>
        <v>0</v>
      </c>
      <c r="CQ112" s="37">
        <f>IF(ISNA(VLOOKUP(A112,'Données projet'!$A$165:$I$185,5,0)),0%,VLOOKUP(A112,'Données projet'!$A$165:$I$185,5,0)*VLOOKUP('Données projet'!$B$14,Paramètres!$A$1:$I$88,7,0))</f>
        <v>0</v>
      </c>
      <c r="CR112" s="37">
        <f>IF(ISNA(VLOOKUP(A112,'Données projet'!$A$165:$I$185,6,0)),0%,VLOOKUP(A112,'Données projet'!$A$165:$I$185,6,0)*VLOOKUP('Données projet'!$B$14,Paramètres!$A$1:$I$88,7,0))</f>
        <v>0</v>
      </c>
      <c r="CS112" s="37">
        <f>IF(ISNA(VLOOKUP(A112,'Données projet'!$A$165:$I$185,7,0)),0%,VLOOKUP(A112,'Données projet'!$A$165:$I$185,7,0))</f>
        <v>0</v>
      </c>
      <c r="CT112" s="45">
        <f>EXP(-LN(2)/35)*CT111+(1-EXP(-LN(2)/35))/(LN(2)/35)*CP112*CQ112*VLOOKUP('Données projet'!$B$9,Paramètres!$A$1:$I$88,3,0)*0.475*44/12</f>
        <v>0</v>
      </c>
      <c r="CU112" s="45">
        <f>EXP(-LN(2)/25)*CU111+(1-EXP(-LN(2)/25))/(LN(2)/25)*Calculateur!CP112*Calculateur!CR112*VLOOKUP('Données projet'!$B$9,Paramètres!$A$1:$I$88,3,0)*0.475*44/12</f>
        <v>0</v>
      </c>
      <c r="CV112" s="45">
        <f>EXP(-LN(2)/2)*CV111+(1-EXP(-LN(2)/2))/(LN(2)/2)*CP112*CS112*VLOOKUP('Données projet'!$B$9,Paramètres!$A$1:$I$88,3,0)*0.475*44/12</f>
        <v>0</v>
      </c>
      <c r="CW112" s="46">
        <f t="shared" si="53"/>
        <v>0</v>
      </c>
      <c r="CX112" s="32" t="e">
        <f>VLOOKUP(A112,'Données projet'!$A$191:$I$211,2,0)</f>
        <v>#N/A</v>
      </c>
      <c r="CY112" s="33" t="e">
        <f>VLOOKUP(A112,'Données projet'!$A$191:$I$211,9,0)</f>
        <v>#N/A</v>
      </c>
      <c r="CZ112" s="33">
        <f t="array" ref="CZ112">INDEX(CY:CY,MIN(IF(ISNUMBER(CY112:CY308),ROW(CY112:CY308),"")))</f>
        <v>0</v>
      </c>
      <c r="DA112" s="33">
        <f t="shared" si="76"/>
        <v>0</v>
      </c>
      <c r="DB112" s="38" t="e">
        <f>DA112*VLOOKUP('Données projet'!$B$15,Paramètres!$A$1:$I$88,3,0)*VLOOKUP('Données projet'!$B$15,Paramètres!$A$1:$I$88,5,0)</f>
        <v>#N/A</v>
      </c>
      <c r="DC112" s="34" t="e">
        <f t="shared" si="77"/>
        <v>#N/A</v>
      </c>
      <c r="DD112" s="44" t="e">
        <f t="shared" si="54"/>
        <v>#N/A</v>
      </c>
      <c r="DE112" s="36">
        <f>IF(ISNA(VLOOKUP(A112,'Données projet'!$A$191:$I$211,3,0)),0,VLOOKUP(A112,'Données projet'!$A$191:$I$211,3,0))</f>
        <v>0</v>
      </c>
      <c r="DF112" s="36">
        <f>IF(ISNA(VLOOKUP(A112,'Données projet'!$A$191:$I$211,4,0)),0,VLOOKUP(A112,'Données projet'!$A$191:$I$211,4,0))</f>
        <v>0</v>
      </c>
      <c r="DG112" s="37">
        <f>IF(ISNA(VLOOKUP(A112,'Données projet'!$A$191:$I$211,5,0)),0%,VLOOKUP(A112,'Données projet'!$A$191:$I$211,5,0)*VLOOKUP('Données projet'!$B$15,Paramètres!$A$1:$I$88,7,0))</f>
        <v>0</v>
      </c>
      <c r="DH112" s="37">
        <f>IF(ISNA(VLOOKUP(A112,'Données projet'!$A$191:$I$211,6,0)),0%,VLOOKUP(A112,'Données projet'!$A$191:$I$211,6,0)*VLOOKUP('Données projet'!$B$15,Paramètres!$A$1:$I$88,7,0))</f>
        <v>0</v>
      </c>
      <c r="DI112" s="37">
        <f>IF(ISNA(VLOOKUP(A112,'Données projet'!$A$191:$I$211,7,0)),0%,VLOOKUP(A112,'Données projet'!$A$191:$I$211,7,0))</f>
        <v>0</v>
      </c>
      <c r="DJ112" s="45">
        <f>EXP(-LN(2)/35)*DJ111+(1-EXP(-LN(2)/35))/(LN(2)/35)*DF112*DG112*VLOOKUP('Données projet'!$B$9,Paramètres!$A$1:$I$88,3,0)*0.475*44/12</f>
        <v>0</v>
      </c>
      <c r="DK112" s="45">
        <f>EXP(-LN(2)/25)*DK111+(1-EXP(-LN(2)/25))/(LN(2)/25)*Calculateur!DF112*Calculateur!DH112*VLOOKUP('Données projet'!$B$9,Paramètres!$A$1:$I$88,3,0)*0.475*44/12</f>
        <v>0</v>
      </c>
      <c r="DL112" s="45">
        <f>EXP(-LN(2)/2)*DL111+(1-EXP(-LN(2)/2))/(LN(2)/2)*DF112*DI112*VLOOKUP('Données projet'!$B$9,Paramètres!$A$1:$I$88,3,0)*0.475*44/12</f>
        <v>0</v>
      </c>
      <c r="DM112" s="46">
        <f t="shared" si="55"/>
        <v>0</v>
      </c>
      <c r="DN112" s="32" t="e">
        <f>VLOOKUP(A112,'Données projet'!$A$217:$I$237,2,0)</f>
        <v>#N/A</v>
      </c>
      <c r="DO112" s="33" t="e">
        <f>VLOOKUP(A112,'Données projet'!$A$217:$I$237,9,0)</f>
        <v>#N/A</v>
      </c>
      <c r="DP112" s="33">
        <f t="array" ref="DP112">INDEX(DO:DO,MIN(IF(ISNUMBER(DO112:DO308),ROW(DO112:DO308),"")))</f>
        <v>0</v>
      </c>
      <c r="DQ112" s="33">
        <f t="shared" si="78"/>
        <v>0</v>
      </c>
      <c r="DR112" s="38" t="e">
        <f>DQ112*VLOOKUP('Données projet'!$B$16,Paramètres!$A$1:$I$88,3,0)*VLOOKUP('Données projet'!$B$16,Paramètres!$A$1:$I$88,5,0)</f>
        <v>#N/A</v>
      </c>
      <c r="DS112" s="34" t="e">
        <f t="shared" si="79"/>
        <v>#N/A</v>
      </c>
      <c r="DT112" s="44" t="e">
        <f t="shared" si="56"/>
        <v>#N/A</v>
      </c>
      <c r="DU112" s="36">
        <f>IF(ISNA(VLOOKUP(A112,'Données projet'!$A$217:$I$237,3,0)),0,VLOOKUP(A112,'Données projet'!$A$217:$I$237,3,0))</f>
        <v>0</v>
      </c>
      <c r="DV112" s="36">
        <f>IF(ISNA(VLOOKUP(A112,'Données projet'!$A$217:$I$237,4,0)),0,VLOOKUP(A112,'Données projet'!$A$217:$I$237,4,0))</f>
        <v>0</v>
      </c>
      <c r="DW112" s="37">
        <f>IF(ISNA(VLOOKUP(A112,'Données projet'!$A$217:$I$237,5,0)),0%,VLOOKUP(A112,'Données projet'!$A$217:$I$237,5,0)*VLOOKUP('Données projet'!$B$16,Paramètres!$A$1:$I$88,7,0))</f>
        <v>0</v>
      </c>
      <c r="DX112" s="37">
        <f>IF(ISNA(VLOOKUP(A112,'Données projet'!$A$217:$I$237,6,0)),0%,VLOOKUP(A112,'Données projet'!$A$217:$I$237,6,0)*VLOOKUP('Données projet'!$B$16,Paramètres!$A$1:$I$88,7,0))</f>
        <v>0</v>
      </c>
      <c r="DY112" s="37">
        <f>IF(ISNA(VLOOKUP(A112,'Données projet'!$A$217:$I$237,7,0)),0%,VLOOKUP(A112,'Données projet'!$A$217:$I$237,7,0))</f>
        <v>0</v>
      </c>
      <c r="DZ112" s="45">
        <f>EXP(-LN(2)/35)*DZ111+(1-EXP(-LN(2)/35))/(LN(2)/35)*DV112*DW112*VLOOKUP('Données projet'!$B$9,Paramètres!$A$1:$I$88,3,0)*0.475*44/12</f>
        <v>0</v>
      </c>
      <c r="EA112" s="45">
        <f>EXP(-LN(2)/25)*EA111+(1-EXP(-LN(2)/25))/(LN(2)/25)*Calculateur!DV112*Calculateur!DX112*VLOOKUP('Données projet'!$B$9,Paramètres!$A$1:$I$88,3,0)*0.475*44/12</f>
        <v>0</v>
      </c>
      <c r="EB112" s="45">
        <f>EXP(-LN(2)/2)*EB111+(1-EXP(-LN(2)/2))/(LN(2)/2)*DV112*DY112*VLOOKUP('Données projet'!$B$9,Paramètres!$A$1:$I$88,3,0)*0.475*44/12</f>
        <v>0</v>
      </c>
      <c r="EC112" s="46">
        <f t="shared" si="57"/>
        <v>0</v>
      </c>
      <c r="ED112" s="32" t="e">
        <f>VLOOKUP(A112,'Données projet'!$A$243:$I$263,2,0)</f>
        <v>#N/A</v>
      </c>
      <c r="EE112" s="33" t="e">
        <f>VLOOKUP(A112,'Données projet'!$A$243:$I$263,9,0)</f>
        <v>#N/A</v>
      </c>
      <c r="EF112" s="33">
        <f t="array" ref="EF112">INDEX(EE:EE,MIN(IF(ISNUMBER(EE112:EE308),ROW(EE112:EE308),"")))</f>
        <v>0</v>
      </c>
      <c r="EG112" s="33">
        <f t="shared" si="80"/>
        <v>0</v>
      </c>
      <c r="EH112" s="38" t="e">
        <f>EG112*VLOOKUP('Données projet'!$B$17,Paramètres!$A$1:$I$88,3,0)*VLOOKUP('Données projet'!$B$17,Paramètres!$A$1:$I$88,5,0)</f>
        <v>#N/A</v>
      </c>
      <c r="EI112" s="34" t="e">
        <f t="shared" si="81"/>
        <v>#N/A</v>
      </c>
      <c r="EJ112" s="44" t="e">
        <f t="shared" si="58"/>
        <v>#N/A</v>
      </c>
      <c r="EK112" s="36">
        <f>IF(ISNA(VLOOKUP(A112,'Données projet'!$A$243:$I$263,3,0)),0,VLOOKUP(A112,'Données projet'!$A$243:$I$263,3,0))</f>
        <v>0</v>
      </c>
      <c r="EL112" s="36">
        <f>IF(ISNA(VLOOKUP(A112,'Données projet'!$A$243:$I$263,4,0)),0,VLOOKUP(A112,'Données projet'!$A$243:$I$263,4,0))</f>
        <v>0</v>
      </c>
      <c r="EM112" s="37">
        <f>IF(ISNA(VLOOKUP(A112,'Données projet'!$A$243:$I$263,5,0)),0%,VLOOKUP(A112,'Données projet'!$A$243:$I$263,5,0)*VLOOKUP('Données projet'!$B$17,Paramètres!$A$1:$I$88,7,0))</f>
        <v>0</v>
      </c>
      <c r="EN112" s="37">
        <f>IF(ISNA(VLOOKUP(A112,'Données projet'!$A$243:$I$263,6,0)),0%,VLOOKUP(A112,'Données projet'!$A$243:$I$263,6,0)*VLOOKUP('Données projet'!$B$17,Paramètres!$A$1:$I$88,7,0))</f>
        <v>0</v>
      </c>
      <c r="EO112" s="37">
        <f>IF(ISNA(VLOOKUP(A112,'Données projet'!$A$243:$I$263,7,0)),0%,VLOOKUP(A112,'Données projet'!$A$243:$I$263,7,0))</f>
        <v>0</v>
      </c>
      <c r="EP112" s="45">
        <f>EXP(-LN(2)/35)*EP111+(1-EXP(-LN(2)/35))/(LN(2)/35)*EL112*EM112*VLOOKUP('Données projet'!$B$9,Paramètres!$A$1:$I$88,3,0)*0.475*44/12</f>
        <v>0</v>
      </c>
      <c r="EQ112" s="45">
        <f>EXP(-LN(2)/25)*EQ111+(1-EXP(-LN(2)/25))/(LN(2)/25)*Calculateur!EL112*Calculateur!EN112*VLOOKUP('Données projet'!$B$9,Paramètres!$A$1:$I$88,3,0)*0.475*44/12</f>
        <v>0</v>
      </c>
      <c r="ER112" s="45">
        <f>EXP(-LN(2)/2)*ER111+(1-EXP(-LN(2)/2))/(LN(2)/2)*EL112*EO112*VLOOKUP('Données projet'!$B$9,Paramètres!$A$1:$I$88,3,0)*0.475*44/12</f>
        <v>0</v>
      </c>
      <c r="ES112" s="46">
        <f t="shared" si="59"/>
        <v>0</v>
      </c>
      <c r="ET112" s="32" t="e">
        <f>VLOOKUP(A112,'Données projet'!$A$269:$I$289,2,0)</f>
        <v>#N/A</v>
      </c>
      <c r="EU112" s="33" t="e">
        <f>VLOOKUP(A112,'Données projet'!$A$269:$I$289,9,0)</f>
        <v>#N/A</v>
      </c>
      <c r="EV112" s="33">
        <f t="array" ref="EV112">INDEX(EU:EU,MIN(IF(ISNUMBER(EU112:EU308),ROW(EU112:EU308),"")))</f>
        <v>0</v>
      </c>
      <c r="EW112" s="33">
        <f t="shared" si="82"/>
        <v>0</v>
      </c>
      <c r="EX112" s="38" t="e">
        <f>EW112*VLOOKUP('Données projet'!$B$18,Paramètres!$A$1:$I$88,3,0)*VLOOKUP('Données projet'!$B$18,Paramètres!$A$1:$I$88,5,0)</f>
        <v>#N/A</v>
      </c>
      <c r="EY112" s="34" t="e">
        <f t="shared" si="83"/>
        <v>#N/A</v>
      </c>
      <c r="EZ112" s="44" t="e">
        <f t="shared" si="60"/>
        <v>#N/A</v>
      </c>
      <c r="FA112" s="36">
        <f>IF(ISNA(VLOOKUP(A112,'Données projet'!$A$269:$I$289,3,0)),0,VLOOKUP(A112,'Données projet'!$A$269:$I$289,3,0))</f>
        <v>0</v>
      </c>
      <c r="FB112" s="36">
        <f>IF(ISNA(VLOOKUP(A112,'Données projet'!$A$269:$I$289,4,0)),0,VLOOKUP(A112,'Données projet'!$A$269:$I$289,4,0))</f>
        <v>0</v>
      </c>
      <c r="FC112" s="37">
        <f>IF(ISNA(VLOOKUP(A112,'Données projet'!$A$269:$I$289,5,0)),0%,VLOOKUP(A112,'Données projet'!$A$269:$I$289,5,0)*VLOOKUP('Données projet'!$B$18,Paramètres!$A$1:$I$88,7,0))</f>
        <v>0</v>
      </c>
      <c r="FD112" s="37">
        <f>IF(ISNA(VLOOKUP(A112,'Données projet'!$A$269:$I$289,6,0)),0%,VLOOKUP(A112,'Données projet'!$A$269:$I$289,6,0)*VLOOKUP('Données projet'!$B$18,Paramètres!$A$1:$I$88,7,0))</f>
        <v>0</v>
      </c>
      <c r="FE112" s="37">
        <f>IF(ISNA(VLOOKUP(A112,'Données projet'!$A$269:$I$289,7,0)),0%,VLOOKUP(A112,'Données projet'!$A$269:$I$289,7,0))</f>
        <v>0</v>
      </c>
      <c r="FF112" s="45">
        <f>EXP(-LN(2)/35)*FF111+(1-EXP(-LN(2)/35))/(LN(2)/35)*FB112*FC112*VLOOKUP('Données projet'!$B$9,Paramètres!$A$1:$I$88,3,0)*0.475*44/12</f>
        <v>0</v>
      </c>
      <c r="FG112" s="45">
        <f>EXP(-LN(2)/25)*FG111+(1-EXP(-LN(2)/25))/(LN(2)/25)*Calculateur!FB112*Calculateur!FD112*VLOOKUP('Données projet'!$B$9,Paramètres!$A$1:$I$88,3,0)*0.475*44/12</f>
        <v>0</v>
      </c>
      <c r="FH112" s="45">
        <f>EXP(-LN(2)/2)*FH111+(1-EXP(-LN(2)/2))/(LN(2)/2)*FB112*FE112*VLOOKUP('Données projet'!$B$9,Paramètres!$A$1:$I$88,3,0)*0.475*44/12</f>
        <v>0</v>
      </c>
      <c r="FI112" s="46">
        <f t="shared" si="61"/>
        <v>0</v>
      </c>
    </row>
    <row r="113" spans="1:165" x14ac:dyDescent="0.25">
      <c r="A113" s="24">
        <f t="shared" si="62"/>
        <v>110</v>
      </c>
      <c r="B113" s="25">
        <f>IF('Scénario référence'!$N$1=1,5,0)</f>
        <v>0</v>
      </c>
      <c r="C113" s="40">
        <f>IF(OR('Scénario référence'!$N$1=2,'Scénario référence'!$N$1=4),C112+1*VLOOKUP('Scénario référence'!$G$14,Paramètres!$A$1:$I$88,3,0)*VLOOKUP('Scénario référence'!$G$14,Paramètres!$A$1:$I$88,5,0),IF(OR('Scénario référence'!$N$1=3,'Scénario référence'!$N$1=5),C112+0.5*VLOOKUP('Scénario référence'!$G$14,Paramètres!$A$1:$I$88,3,0)*VLOOKUP('Scénario référence'!$G$14,Paramètres!$A$1:$I$88,5,0),0))</f>
        <v>60.059999999999945</v>
      </c>
      <c r="D113" s="26">
        <f t="shared" si="63"/>
        <v>17.183438012437954</v>
      </c>
      <c r="E113" s="27">
        <f>IF('Scénario référence'!$N$1=1,B113*44/12,(C113+D113)*0.475*44/12)</f>
        <v>134.53232120499601</v>
      </c>
      <c r="F113" s="28" t="e">
        <f>VLOOKUP(A113,'Données projet'!$A$35:$I$55,2,0)</f>
        <v>#N/A</v>
      </c>
      <c r="G113" s="28" t="e">
        <f>VLOOKUP(A113,'Données projet'!$A$35:$I$55,9,0)</f>
        <v>#N/A</v>
      </c>
      <c r="H113" s="33">
        <f t="array" ref="H113">INDEX(G:G,MIN(IF(ISNUMBER(G113:G309),ROW(G113:G309),"")))</f>
        <v>4</v>
      </c>
      <c r="I113" s="28">
        <f t="shared" si="64"/>
        <v>283.99999999999955</v>
      </c>
      <c r="J113" s="41">
        <f>I113*VLOOKUP('Données projet'!$B$9,Paramètres!$A$1:$I$88,3,0)*VLOOKUP('Données projet'!$B$9,Paramètres!$A$1:$I$88,5,0)</f>
        <v>287.97599999999954</v>
      </c>
      <c r="K113" s="41">
        <f t="shared" si="65"/>
        <v>68.649801713863027</v>
      </c>
      <c r="L113" s="42">
        <f t="shared" si="42"/>
        <v>621.12327131831069</v>
      </c>
      <c r="M113" s="30">
        <f>IF(ISNA(VLOOKUP(A113,'Données projet'!$A$35:$I$55,3,0)),0,VLOOKUP(A113,'Données projet'!$A$35:$I$55,3,0))</f>
        <v>0</v>
      </c>
      <c r="N113" s="30">
        <f>IF(ISNA(VLOOKUP(A113,'Données projet'!$A$35:$I$55,4,0)),0,VLOOKUP(A113,'Données projet'!$A$35:$I$55,4,0))</f>
        <v>0</v>
      </c>
      <c r="O113" s="31">
        <f>IF(ISNA(VLOOKUP(A113,'Données projet'!$A$35:$I$55,5,0)),0%,VLOOKUP(A113,'Données projet'!$A$35:$I$55,5,0)*VLOOKUP('Données projet'!$B$9,Paramètres!$A$1:$I$88,7,0))</f>
        <v>0</v>
      </c>
      <c r="P113" s="31">
        <f>IF(ISNA(VLOOKUP(A113,'Données projet'!$A$35:$I$55,6,0)),0%,VLOOKUP(A113,'Données projet'!$A$35:$I$55,6,0)*VLOOKUP('Données projet'!$B$9,Paramètres!$A$1:$I$88,7,0))</f>
        <v>0</v>
      </c>
      <c r="Q113" s="31">
        <f>IF(ISNA(VLOOKUP(A113,'Données projet'!$A$35:$I$55,7,0)),0%,VLOOKUP(A113,'Données projet'!$A$35:$I$55,7,0))</f>
        <v>0</v>
      </c>
      <c r="R113" s="43">
        <f>EXP(-LN(2)/35)*R112+(1-EXP(-LN(2)/35))/(LN(2)/35)*N113*O113*VLOOKUP('Données projet'!$B$9,Paramètres!$A$1:$I$88,3,0)*0.475*44/12</f>
        <v>0</v>
      </c>
      <c r="S113" s="43">
        <f>EXP(-LN(2)/25)*S112+(1-EXP(-LN(2)/25))/(LN(2)/25)*Calculateur!N113*Calculateur!P113*VLOOKUP('Données projet'!$B$9,Paramètres!$A$1:$I$88,3,0)*0.475*44/12</f>
        <v>0</v>
      </c>
      <c r="T113" s="43">
        <f>EXP(-LN(2)/2)*T112+(1-EXP(-LN(2)/2))/(LN(2)/2)*N113*Q113*VLOOKUP('Données projet'!$B$9,Paramètres!$A$1:$I$88,3,0)*0.475*44/12</f>
        <v>0</v>
      </c>
      <c r="U113" s="43">
        <f t="shared" si="43"/>
        <v>0</v>
      </c>
      <c r="V113" s="32" t="e">
        <f>VLOOKUP(A113,'Données projet'!$A$61:$I$81,2,0)</f>
        <v>#N/A</v>
      </c>
      <c r="W113" s="33" t="e">
        <f>VLOOKUP(A113,'Données projet'!$A$61:$I$81,9,0)</f>
        <v>#N/A</v>
      </c>
      <c r="X113" s="33">
        <f t="array" ref="X113">INDEX(W:W,MIN(IF(ISNUMBER(W113:W309),ROW(W113:W309),"")))</f>
        <v>0</v>
      </c>
      <c r="Y113" s="33">
        <f t="shared" si="66"/>
        <v>0</v>
      </c>
      <c r="Z113" s="34" t="e">
        <f>Y113*VLOOKUP('Données projet'!$B$10,Paramètres!$A$1:$I$88,3,0)*VLOOKUP('Données projet'!$B$10,Paramètres!$A$1:$I$88,5,0)</f>
        <v>#N/A</v>
      </c>
      <c r="AA113" s="34" t="e">
        <f t="shared" si="67"/>
        <v>#N/A</v>
      </c>
      <c r="AB113" s="44" t="e">
        <f t="shared" si="44"/>
        <v>#N/A</v>
      </c>
      <c r="AC113" s="36">
        <f>IF(ISNA(VLOOKUP(A113,'Données projet'!$A$61:$I$81,3,0)),0,VLOOKUP(A113,'Données projet'!$A$61:$I$81,3,0))</f>
        <v>0</v>
      </c>
      <c r="AD113" s="36">
        <f>IF(ISNA(VLOOKUP(A113,'Données projet'!$A$61:$I$81,4,0)),0,VLOOKUP(A113,'Données projet'!$A$61:$I$81,4,0))</f>
        <v>0</v>
      </c>
      <c r="AE113" s="37">
        <f>IF(ISNA(VLOOKUP(A113,'Données projet'!$A$61:$I$81,5,0)),0%,VLOOKUP(A113,'Données projet'!$A$61:$I$81,5,0)*VLOOKUP('Données projet'!$B$10,Paramètres!$A$1:$I$88,7,0))</f>
        <v>0</v>
      </c>
      <c r="AF113" s="37">
        <f>IF(ISNA(VLOOKUP(A113,'Données projet'!$A$61:$I$81,6,0)),0%,VLOOKUP(A113,'Données projet'!$A$61:$I$81,6,0)*VLOOKUP('Données projet'!$B$10,Paramètres!$A$1:$I$88,7,0))</f>
        <v>0</v>
      </c>
      <c r="AG113" s="37">
        <f>IF(ISNA(VLOOKUP(A113,'Données projet'!$A$61:$I$81,7,0)),0%,VLOOKUP(A113,'Données projet'!$A$61:$I$81,7,0))</f>
        <v>0</v>
      </c>
      <c r="AH113" s="45">
        <f>EXP(-LN(2)/35)*AH112+(1-EXP(-LN(2)/35))/(LN(2)/35)*AD113*AE113*VLOOKUP('Données projet'!$B$9,Paramètres!$A$1:$I$88,3,0)*0.475*44/12</f>
        <v>0</v>
      </c>
      <c r="AI113" s="45">
        <f>EXP(-LN(2)/25)*AI112+(1-EXP(-LN(2)/25))/(LN(2)/25)*Calculateur!AD113*Calculateur!AF113*VLOOKUP('Données projet'!$B$9,Paramètres!$A$1:$I$88,3,0)*0.475*44/12</f>
        <v>0</v>
      </c>
      <c r="AJ113" s="45">
        <f>EXP(-LN(2)/2)*AJ112+(1-EXP(-LN(2)/2))/(LN(2)/2)*AD113*AG113*VLOOKUP('Données projet'!$B$9,Paramètres!$A$1:$I$88,3,0)*0.475*44/12</f>
        <v>0</v>
      </c>
      <c r="AK113" s="45">
        <f t="shared" si="45"/>
        <v>0</v>
      </c>
      <c r="AL113" s="32" t="e">
        <f>VLOOKUP(A113,'Données projet'!$A$87:$I$107,2,0)</f>
        <v>#N/A</v>
      </c>
      <c r="AM113" s="33" t="e">
        <f>VLOOKUP(A113,'Données projet'!$A$87:$I$107,9,0)</f>
        <v>#N/A</v>
      </c>
      <c r="AN113" s="33">
        <f t="array" ref="AN113">INDEX(AM:AM,MIN(IF(ISNUMBER(AM113:AM309),ROW(AM113:AM309),"")))</f>
        <v>0</v>
      </c>
      <c r="AO113" s="33">
        <f t="shared" si="68"/>
        <v>0</v>
      </c>
      <c r="AP113" s="34" t="e">
        <f>AO113*VLOOKUP('Données projet'!$B$11,Paramètres!$A$1:$I$88,3,0)*VLOOKUP('Données projet'!$B$11,Paramètres!$A$1:$I$88,5,0)</f>
        <v>#N/A</v>
      </c>
      <c r="AQ113" s="34" t="e">
        <f t="shared" si="69"/>
        <v>#N/A</v>
      </c>
      <c r="AR113" s="44" t="e">
        <f t="shared" si="46"/>
        <v>#N/A</v>
      </c>
      <c r="AS113" s="36">
        <f>IF(ISNA(VLOOKUP(A113,'Données projet'!$A$87:$I$107,3,0)),0,VLOOKUP(A113,'Données projet'!$A$87:$I$107,3,0))</f>
        <v>0</v>
      </c>
      <c r="AT113" s="36">
        <f>IF(ISNA(VLOOKUP(A113,'Données projet'!$A$87:$I$107,4,0)),0,VLOOKUP(A113,'Données projet'!$A$87:$I$107,4,0))</f>
        <v>0</v>
      </c>
      <c r="AU113" s="37">
        <f>IF(ISNA(VLOOKUP(A113,'Données projet'!$A$87:$I$107,5,0)),0%,VLOOKUP(A113,'Données projet'!$A$87:$I$107,5,0)*VLOOKUP('Données projet'!$B$11,Paramètres!$A$1:$I$88,7,0))</f>
        <v>0</v>
      </c>
      <c r="AV113" s="37">
        <f>IF(ISNA(VLOOKUP(A113,'Données projet'!$A$87:$I$107,6,0)),0%,VLOOKUP(A113,'Données projet'!$A$87:$I$107,6,0)*VLOOKUP('Données projet'!$B$11,Paramètres!$A$1:$I$88,7,0))</f>
        <v>0</v>
      </c>
      <c r="AW113" s="37">
        <f>IF(ISNA(VLOOKUP(A113,'Données projet'!$A$87:$I$107,7,0)),0%,VLOOKUP(A113,'Données projet'!$A$87:$I$107,7,0))</f>
        <v>0</v>
      </c>
      <c r="AX113" s="45">
        <f>EXP(-LN(2)/35)*AX112+(1-EXP(-LN(2)/35))/(LN(2)/35)*AT113*AU113*VLOOKUP('Données projet'!$B$9,Paramètres!$A$1:$I$88,3,0)*0.475*44/12</f>
        <v>0</v>
      </c>
      <c r="AY113" s="45">
        <f>EXP(-LN(2)/25)*AY112+(1-EXP(-LN(2)/25))/(LN(2)/25)*Calculateur!AT113*Calculateur!AV113*VLOOKUP('Données projet'!$B$9,Paramètres!$A$1:$I$88,3,0)*0.475*44/12</f>
        <v>0</v>
      </c>
      <c r="AZ113" s="45">
        <f>EXP(-LN(2)/2)*AZ112+(1-EXP(-LN(2)/2))/(LN(2)/2)*AT113*AW113*VLOOKUP('Données projet'!$B$9,Paramètres!$A$1:$I$88,3,0)*0.475*44/12</f>
        <v>0</v>
      </c>
      <c r="BA113" s="46">
        <f t="shared" si="47"/>
        <v>0</v>
      </c>
      <c r="BB113" s="32" t="e">
        <f>VLOOKUP(A113,'Données projet'!$A$113:$I$133,2,0)</f>
        <v>#N/A</v>
      </c>
      <c r="BC113" s="33" t="e">
        <f>VLOOKUP(A113,'Données projet'!$A$113:$I$133,9,0)</f>
        <v>#N/A</v>
      </c>
      <c r="BD113" s="33">
        <f t="array" ref="BD113">INDEX(BC:BC,MIN(IF(ISNUMBER(BC113:BC309),ROW(BC113:BC309),"")))</f>
        <v>0</v>
      </c>
      <c r="BE113" s="33">
        <f t="shared" si="70"/>
        <v>0</v>
      </c>
      <c r="BF113" s="34" t="e">
        <f>BE113*VLOOKUP('Données projet'!$B$12,Paramètres!$A$1:$I$88,3,0)*VLOOKUP('Données projet'!$B$12,Paramètres!$A$1:$I$88,5,0)</f>
        <v>#N/A</v>
      </c>
      <c r="BG113" s="34" t="e">
        <f t="shared" si="71"/>
        <v>#N/A</v>
      </c>
      <c r="BH113" s="44" t="e">
        <f t="shared" si="48"/>
        <v>#N/A</v>
      </c>
      <c r="BI113" s="36">
        <f>IF(ISNA(VLOOKUP(A113,'Données projet'!$A$113:$I$133,3,0)),0,VLOOKUP(A113,'Données projet'!$A$113:$I$133,3,0))</f>
        <v>0</v>
      </c>
      <c r="BJ113" s="36">
        <f>IF(ISNA(VLOOKUP(A113,'Données projet'!$A$113:$I$133,4,0)),0,VLOOKUP(A113,'Données projet'!$A$113:$I$133,4,0))</f>
        <v>0</v>
      </c>
      <c r="BK113" s="37">
        <f>IF(ISNA(VLOOKUP(A113,'Données projet'!$A$113:$I$133,5,0)),0%,VLOOKUP(A113,'Données projet'!$A$113:$I$133,5,0)*VLOOKUP('Données projet'!$B$12,Paramètres!$A$1:$I$88,7,0))</f>
        <v>0</v>
      </c>
      <c r="BL113" s="37">
        <f>IF(ISNA(VLOOKUP(A113,'Données projet'!$A$113:$I$133,6,0)),0%,VLOOKUP(A113,'Données projet'!$A$113:$I$133,6,0)*VLOOKUP('Données projet'!$B$12,Paramètres!$A$1:$I$88,7,0))</f>
        <v>0</v>
      </c>
      <c r="BM113" s="37">
        <f>IF(ISNA(VLOOKUP(A113,'Données projet'!$A$113:$I$133,7,0)),0%,VLOOKUP(A113,'Données projet'!$A$113:$I$133,7,0))</f>
        <v>0</v>
      </c>
      <c r="BN113" s="45">
        <f>EXP(-LN(2)/35)*BN112+(1-EXP(-LN(2)/35))/(LN(2)/35)*BJ113*BK113*VLOOKUP('Données projet'!$B$9,Paramètres!$A$1:$I$88,3,0)*0.475*44/12</f>
        <v>0</v>
      </c>
      <c r="BO113" s="45">
        <f>EXP(-LN(2)/25)*BO112+(1-EXP(-LN(2)/25))/(LN(2)/25)*Calculateur!BJ113*Calculateur!BL113*VLOOKUP('Données projet'!$B$9,Paramètres!$A$1:$I$88,3,0)*0.475*44/12</f>
        <v>0</v>
      </c>
      <c r="BP113" s="45">
        <f>EXP(-LN(2)/2)*BP112+(1-EXP(-LN(2)/2))/(LN(2)/2)*BJ113*BM113*VLOOKUP('Données projet'!$B$9,Paramètres!$A$1:$I$88,3,0)*0.475*44/12</f>
        <v>0</v>
      </c>
      <c r="BQ113" s="46">
        <f t="shared" si="49"/>
        <v>0</v>
      </c>
      <c r="BR113" s="32" t="e">
        <f>VLOOKUP(A113,'Données projet'!$A$139:$I$159,2,0)</f>
        <v>#N/A</v>
      </c>
      <c r="BS113" s="33" t="e">
        <f>VLOOKUP(A113,'Données projet'!$A$139:$I$159,9,0)</f>
        <v>#N/A</v>
      </c>
      <c r="BT113" s="33">
        <f t="array" ref="BT113">INDEX(BS:BS,MIN(IF(ISNUMBER(BS113:BS309),ROW(BS113:BS309),"")))</f>
        <v>0</v>
      </c>
      <c r="BU113" s="33">
        <f t="shared" si="72"/>
        <v>0</v>
      </c>
      <c r="BV113" s="38" t="e">
        <f>BU113*VLOOKUP('Données projet'!$B$13,Paramètres!$A$1:$I$88,3,0)*VLOOKUP('Données projet'!$B$13,Paramètres!$A$1:$I$88,5,0)</f>
        <v>#N/A</v>
      </c>
      <c r="BW113" s="34" t="e">
        <f t="shared" si="73"/>
        <v>#N/A</v>
      </c>
      <c r="BX113" s="44" t="e">
        <f t="shared" si="50"/>
        <v>#N/A</v>
      </c>
      <c r="BY113" s="36">
        <f>IF(ISNA(VLOOKUP(A113,'Données projet'!$A$139:$I$159,3,0)),0,VLOOKUP(A113,'Données projet'!$A$139:$I$159,3,0))</f>
        <v>0</v>
      </c>
      <c r="BZ113" s="36">
        <f>IF(ISNA(VLOOKUP(A113,'Données projet'!$A$139:$I$159,4,0)),0,VLOOKUP(A113,'Données projet'!$A$139:$I$159,4,0))</f>
        <v>0</v>
      </c>
      <c r="CA113" s="37">
        <f>IF(ISNA(VLOOKUP(A113,'Données projet'!$A$139:$I$159,5,0)),0%,VLOOKUP(A113,'Données projet'!$A$139:$I$159,5,0)*VLOOKUP('Données projet'!$B$13,Paramètres!$A$1:$I$88,7,0))</f>
        <v>0</v>
      </c>
      <c r="CB113" s="37">
        <f>IF(ISNA(VLOOKUP(A113,'Données projet'!$A$139:$I$159,6,0)),0%,VLOOKUP(A113,'Données projet'!$A$139:$I$159,6,0)*VLOOKUP('Données projet'!$B$13,Paramètres!$A$1:$I$88,7,0))</f>
        <v>0</v>
      </c>
      <c r="CC113" s="37">
        <f>IF(ISNA(VLOOKUP(A113,'Données projet'!$A$139:$I$159,7,0)),0%,VLOOKUP(A113,'Données projet'!$A$139:$I$159,7,0))</f>
        <v>0</v>
      </c>
      <c r="CD113" s="45">
        <f>EXP(-LN(2)/35)*CD112+(1-EXP(-LN(2)/35))/(LN(2)/35)*BZ113*CA113*VLOOKUP('Données projet'!$B$9,Paramètres!$A$1:$I$88,3,0)*0.475*44/12</f>
        <v>0</v>
      </c>
      <c r="CE113" s="45">
        <f>EXP(-LN(2)/25)*CE112+(1-EXP(-LN(2)/25))/(LN(2)/25)*Calculateur!BZ113*Calculateur!CB113*VLOOKUP('Données projet'!$B$9,Paramètres!$A$1:$I$88,3,0)*0.475*44/12</f>
        <v>0</v>
      </c>
      <c r="CF113" s="45">
        <f>EXP(-LN(2)/2)*CF112+(1-EXP(-LN(2)/2))/(LN(2)/2)*BZ113*CC113*VLOOKUP('Données projet'!$B$9,Paramètres!$A$1:$I$88,3,0)*0.475*44/12</f>
        <v>0</v>
      </c>
      <c r="CG113" s="46">
        <f t="shared" si="51"/>
        <v>0</v>
      </c>
      <c r="CH113" s="32" t="e">
        <f>VLOOKUP(A113,'Données projet'!$A$165:$I$185,2,0)</f>
        <v>#N/A</v>
      </c>
      <c r="CI113" s="33" t="e">
        <f>VLOOKUP(A113,'Données projet'!$A$165:$I$185,9,0)</f>
        <v>#N/A</v>
      </c>
      <c r="CJ113" s="33">
        <f t="array" ref="CJ113">INDEX(CI:CI,MIN(IF(ISNUMBER(CI113:CI309),ROW(CI113:CI309),"")))</f>
        <v>0</v>
      </c>
      <c r="CK113" s="33">
        <f t="shared" si="74"/>
        <v>0</v>
      </c>
      <c r="CL113" s="38" t="e">
        <f>CK113*VLOOKUP('Données projet'!$B$14,Paramètres!$A$1:$I$88,3,0)*VLOOKUP('Données projet'!$B$14,Paramètres!$A$1:$I$88,5,0)</f>
        <v>#N/A</v>
      </c>
      <c r="CM113" s="34" t="e">
        <f t="shared" si="75"/>
        <v>#N/A</v>
      </c>
      <c r="CN113" s="44" t="e">
        <f t="shared" si="52"/>
        <v>#N/A</v>
      </c>
      <c r="CO113" s="36">
        <f>IF(ISNA(VLOOKUP(A113,'Données projet'!$A$165:$I$185,3,0)),0,VLOOKUP(A113,'Données projet'!$A$165:$I$185,3,0))</f>
        <v>0</v>
      </c>
      <c r="CP113" s="36">
        <f>IF(ISNA(VLOOKUP(A113,'Données projet'!$A$165:$I$185,4,0)),0,VLOOKUP(A113,'Données projet'!$A$165:$I$185,4,0))</f>
        <v>0</v>
      </c>
      <c r="CQ113" s="37">
        <f>IF(ISNA(VLOOKUP(A113,'Données projet'!$A$165:$I$185,5,0)),0%,VLOOKUP(A113,'Données projet'!$A$165:$I$185,5,0)*VLOOKUP('Données projet'!$B$14,Paramètres!$A$1:$I$88,7,0))</f>
        <v>0</v>
      </c>
      <c r="CR113" s="37">
        <f>IF(ISNA(VLOOKUP(A113,'Données projet'!$A$165:$I$185,6,0)),0%,VLOOKUP(A113,'Données projet'!$A$165:$I$185,6,0)*VLOOKUP('Données projet'!$B$14,Paramètres!$A$1:$I$88,7,0))</f>
        <v>0</v>
      </c>
      <c r="CS113" s="37">
        <f>IF(ISNA(VLOOKUP(A113,'Données projet'!$A$165:$I$185,7,0)),0%,VLOOKUP(A113,'Données projet'!$A$165:$I$185,7,0))</f>
        <v>0</v>
      </c>
      <c r="CT113" s="45">
        <f>EXP(-LN(2)/35)*CT112+(1-EXP(-LN(2)/35))/(LN(2)/35)*CP113*CQ113*VLOOKUP('Données projet'!$B$9,Paramètres!$A$1:$I$88,3,0)*0.475*44/12</f>
        <v>0</v>
      </c>
      <c r="CU113" s="45">
        <f>EXP(-LN(2)/25)*CU112+(1-EXP(-LN(2)/25))/(LN(2)/25)*Calculateur!CP113*Calculateur!CR113*VLOOKUP('Données projet'!$B$9,Paramètres!$A$1:$I$88,3,0)*0.475*44/12</f>
        <v>0</v>
      </c>
      <c r="CV113" s="45">
        <f>EXP(-LN(2)/2)*CV112+(1-EXP(-LN(2)/2))/(LN(2)/2)*CP113*CS113*VLOOKUP('Données projet'!$B$9,Paramètres!$A$1:$I$88,3,0)*0.475*44/12</f>
        <v>0</v>
      </c>
      <c r="CW113" s="46">
        <f t="shared" si="53"/>
        <v>0</v>
      </c>
      <c r="CX113" s="32" t="e">
        <f>VLOOKUP(A113,'Données projet'!$A$191:$I$211,2,0)</f>
        <v>#N/A</v>
      </c>
      <c r="CY113" s="33" t="e">
        <f>VLOOKUP(A113,'Données projet'!$A$191:$I$211,9,0)</f>
        <v>#N/A</v>
      </c>
      <c r="CZ113" s="33">
        <f t="array" ref="CZ113">INDEX(CY:CY,MIN(IF(ISNUMBER(CY113:CY309),ROW(CY113:CY309),"")))</f>
        <v>0</v>
      </c>
      <c r="DA113" s="33">
        <f t="shared" si="76"/>
        <v>0</v>
      </c>
      <c r="DB113" s="38" t="e">
        <f>DA113*VLOOKUP('Données projet'!$B$15,Paramètres!$A$1:$I$88,3,0)*VLOOKUP('Données projet'!$B$15,Paramètres!$A$1:$I$88,5,0)</f>
        <v>#N/A</v>
      </c>
      <c r="DC113" s="34" t="e">
        <f t="shared" si="77"/>
        <v>#N/A</v>
      </c>
      <c r="DD113" s="44" t="e">
        <f t="shared" si="54"/>
        <v>#N/A</v>
      </c>
      <c r="DE113" s="36">
        <f>IF(ISNA(VLOOKUP(A113,'Données projet'!$A$191:$I$211,3,0)),0,VLOOKUP(A113,'Données projet'!$A$191:$I$211,3,0))</f>
        <v>0</v>
      </c>
      <c r="DF113" s="36">
        <f>IF(ISNA(VLOOKUP(A113,'Données projet'!$A$191:$I$211,4,0)),0,VLOOKUP(A113,'Données projet'!$A$191:$I$211,4,0))</f>
        <v>0</v>
      </c>
      <c r="DG113" s="37">
        <f>IF(ISNA(VLOOKUP(A113,'Données projet'!$A$191:$I$211,5,0)),0%,VLOOKUP(A113,'Données projet'!$A$191:$I$211,5,0)*VLOOKUP('Données projet'!$B$15,Paramètres!$A$1:$I$88,7,0))</f>
        <v>0</v>
      </c>
      <c r="DH113" s="37">
        <f>IF(ISNA(VLOOKUP(A113,'Données projet'!$A$191:$I$211,6,0)),0%,VLOOKUP(A113,'Données projet'!$A$191:$I$211,6,0)*VLOOKUP('Données projet'!$B$15,Paramètres!$A$1:$I$88,7,0))</f>
        <v>0</v>
      </c>
      <c r="DI113" s="37">
        <f>IF(ISNA(VLOOKUP(A113,'Données projet'!$A$191:$I$211,7,0)),0%,VLOOKUP(A113,'Données projet'!$A$191:$I$211,7,0))</f>
        <v>0</v>
      </c>
      <c r="DJ113" s="45">
        <f>EXP(-LN(2)/35)*DJ112+(1-EXP(-LN(2)/35))/(LN(2)/35)*DF113*DG113*VLOOKUP('Données projet'!$B$9,Paramètres!$A$1:$I$88,3,0)*0.475*44/12</f>
        <v>0</v>
      </c>
      <c r="DK113" s="45">
        <f>EXP(-LN(2)/25)*DK112+(1-EXP(-LN(2)/25))/(LN(2)/25)*Calculateur!DF113*Calculateur!DH113*VLOOKUP('Données projet'!$B$9,Paramètres!$A$1:$I$88,3,0)*0.475*44/12</f>
        <v>0</v>
      </c>
      <c r="DL113" s="45">
        <f>EXP(-LN(2)/2)*DL112+(1-EXP(-LN(2)/2))/(LN(2)/2)*DF113*DI113*VLOOKUP('Données projet'!$B$9,Paramètres!$A$1:$I$88,3,0)*0.475*44/12</f>
        <v>0</v>
      </c>
      <c r="DM113" s="46">
        <f t="shared" si="55"/>
        <v>0</v>
      </c>
      <c r="DN113" s="32" t="e">
        <f>VLOOKUP(A113,'Données projet'!$A$217:$I$237,2,0)</f>
        <v>#N/A</v>
      </c>
      <c r="DO113" s="33" t="e">
        <f>VLOOKUP(A113,'Données projet'!$A$217:$I$237,9,0)</f>
        <v>#N/A</v>
      </c>
      <c r="DP113" s="33">
        <f t="array" ref="DP113">INDEX(DO:DO,MIN(IF(ISNUMBER(DO113:DO309),ROW(DO113:DO309),"")))</f>
        <v>0</v>
      </c>
      <c r="DQ113" s="33">
        <f t="shared" si="78"/>
        <v>0</v>
      </c>
      <c r="DR113" s="38" t="e">
        <f>DQ113*VLOOKUP('Données projet'!$B$16,Paramètres!$A$1:$I$88,3,0)*VLOOKUP('Données projet'!$B$16,Paramètres!$A$1:$I$88,5,0)</f>
        <v>#N/A</v>
      </c>
      <c r="DS113" s="34" t="e">
        <f t="shared" si="79"/>
        <v>#N/A</v>
      </c>
      <c r="DT113" s="44" t="e">
        <f t="shared" si="56"/>
        <v>#N/A</v>
      </c>
      <c r="DU113" s="36">
        <f>IF(ISNA(VLOOKUP(A113,'Données projet'!$A$217:$I$237,3,0)),0,VLOOKUP(A113,'Données projet'!$A$217:$I$237,3,0))</f>
        <v>0</v>
      </c>
      <c r="DV113" s="36">
        <f>IF(ISNA(VLOOKUP(A113,'Données projet'!$A$217:$I$237,4,0)),0,VLOOKUP(A113,'Données projet'!$A$217:$I$237,4,0))</f>
        <v>0</v>
      </c>
      <c r="DW113" s="37">
        <f>IF(ISNA(VLOOKUP(A113,'Données projet'!$A$217:$I$237,5,0)),0%,VLOOKUP(A113,'Données projet'!$A$217:$I$237,5,0)*VLOOKUP('Données projet'!$B$16,Paramètres!$A$1:$I$88,7,0))</f>
        <v>0</v>
      </c>
      <c r="DX113" s="37">
        <f>IF(ISNA(VLOOKUP(A113,'Données projet'!$A$217:$I$237,6,0)),0%,VLOOKUP(A113,'Données projet'!$A$217:$I$237,6,0)*VLOOKUP('Données projet'!$B$16,Paramètres!$A$1:$I$88,7,0))</f>
        <v>0</v>
      </c>
      <c r="DY113" s="37">
        <f>IF(ISNA(VLOOKUP(A113,'Données projet'!$A$217:$I$237,7,0)),0%,VLOOKUP(A113,'Données projet'!$A$217:$I$237,7,0))</f>
        <v>0</v>
      </c>
      <c r="DZ113" s="45">
        <f>EXP(-LN(2)/35)*DZ112+(1-EXP(-LN(2)/35))/(LN(2)/35)*DV113*DW113*VLOOKUP('Données projet'!$B$9,Paramètres!$A$1:$I$88,3,0)*0.475*44/12</f>
        <v>0</v>
      </c>
      <c r="EA113" s="45">
        <f>EXP(-LN(2)/25)*EA112+(1-EXP(-LN(2)/25))/(LN(2)/25)*Calculateur!DV113*Calculateur!DX113*VLOOKUP('Données projet'!$B$9,Paramètres!$A$1:$I$88,3,0)*0.475*44/12</f>
        <v>0</v>
      </c>
      <c r="EB113" s="45">
        <f>EXP(-LN(2)/2)*EB112+(1-EXP(-LN(2)/2))/(LN(2)/2)*DV113*DY113*VLOOKUP('Données projet'!$B$9,Paramètres!$A$1:$I$88,3,0)*0.475*44/12</f>
        <v>0</v>
      </c>
      <c r="EC113" s="46">
        <f t="shared" si="57"/>
        <v>0</v>
      </c>
      <c r="ED113" s="32" t="e">
        <f>VLOOKUP(A113,'Données projet'!$A$243:$I$263,2,0)</f>
        <v>#N/A</v>
      </c>
      <c r="EE113" s="33" t="e">
        <f>VLOOKUP(A113,'Données projet'!$A$243:$I$263,9,0)</f>
        <v>#N/A</v>
      </c>
      <c r="EF113" s="33">
        <f t="array" ref="EF113">INDEX(EE:EE,MIN(IF(ISNUMBER(EE113:EE309),ROW(EE113:EE309),"")))</f>
        <v>0</v>
      </c>
      <c r="EG113" s="33">
        <f t="shared" si="80"/>
        <v>0</v>
      </c>
      <c r="EH113" s="38" t="e">
        <f>EG113*VLOOKUP('Données projet'!$B$17,Paramètres!$A$1:$I$88,3,0)*VLOOKUP('Données projet'!$B$17,Paramètres!$A$1:$I$88,5,0)</f>
        <v>#N/A</v>
      </c>
      <c r="EI113" s="34" t="e">
        <f t="shared" si="81"/>
        <v>#N/A</v>
      </c>
      <c r="EJ113" s="44" t="e">
        <f t="shared" si="58"/>
        <v>#N/A</v>
      </c>
      <c r="EK113" s="36">
        <f>IF(ISNA(VLOOKUP(A113,'Données projet'!$A$243:$I$263,3,0)),0,VLOOKUP(A113,'Données projet'!$A$243:$I$263,3,0))</f>
        <v>0</v>
      </c>
      <c r="EL113" s="36">
        <f>IF(ISNA(VLOOKUP(A113,'Données projet'!$A$243:$I$263,4,0)),0,VLOOKUP(A113,'Données projet'!$A$243:$I$263,4,0))</f>
        <v>0</v>
      </c>
      <c r="EM113" s="37">
        <f>IF(ISNA(VLOOKUP(A113,'Données projet'!$A$243:$I$263,5,0)),0%,VLOOKUP(A113,'Données projet'!$A$243:$I$263,5,0)*VLOOKUP('Données projet'!$B$17,Paramètres!$A$1:$I$88,7,0))</f>
        <v>0</v>
      </c>
      <c r="EN113" s="37">
        <f>IF(ISNA(VLOOKUP(A113,'Données projet'!$A$243:$I$263,6,0)),0%,VLOOKUP(A113,'Données projet'!$A$243:$I$263,6,0)*VLOOKUP('Données projet'!$B$17,Paramètres!$A$1:$I$88,7,0))</f>
        <v>0</v>
      </c>
      <c r="EO113" s="37">
        <f>IF(ISNA(VLOOKUP(A113,'Données projet'!$A$243:$I$263,7,0)),0%,VLOOKUP(A113,'Données projet'!$A$243:$I$263,7,0))</f>
        <v>0</v>
      </c>
      <c r="EP113" s="45">
        <f>EXP(-LN(2)/35)*EP112+(1-EXP(-LN(2)/35))/(LN(2)/35)*EL113*EM113*VLOOKUP('Données projet'!$B$9,Paramètres!$A$1:$I$88,3,0)*0.475*44/12</f>
        <v>0</v>
      </c>
      <c r="EQ113" s="45">
        <f>EXP(-LN(2)/25)*EQ112+(1-EXP(-LN(2)/25))/(LN(2)/25)*Calculateur!EL113*Calculateur!EN113*VLOOKUP('Données projet'!$B$9,Paramètres!$A$1:$I$88,3,0)*0.475*44/12</f>
        <v>0</v>
      </c>
      <c r="ER113" s="45">
        <f>EXP(-LN(2)/2)*ER112+(1-EXP(-LN(2)/2))/(LN(2)/2)*EL113*EO113*VLOOKUP('Données projet'!$B$9,Paramètres!$A$1:$I$88,3,0)*0.475*44/12</f>
        <v>0</v>
      </c>
      <c r="ES113" s="46">
        <f t="shared" si="59"/>
        <v>0</v>
      </c>
      <c r="ET113" s="32" t="e">
        <f>VLOOKUP(A113,'Données projet'!$A$269:$I$289,2,0)</f>
        <v>#N/A</v>
      </c>
      <c r="EU113" s="33" t="e">
        <f>VLOOKUP(A113,'Données projet'!$A$269:$I$289,9,0)</f>
        <v>#N/A</v>
      </c>
      <c r="EV113" s="33">
        <f t="array" ref="EV113">INDEX(EU:EU,MIN(IF(ISNUMBER(EU113:EU309),ROW(EU113:EU309),"")))</f>
        <v>0</v>
      </c>
      <c r="EW113" s="33">
        <f t="shared" si="82"/>
        <v>0</v>
      </c>
      <c r="EX113" s="38" t="e">
        <f>EW113*VLOOKUP('Données projet'!$B$18,Paramètres!$A$1:$I$88,3,0)*VLOOKUP('Données projet'!$B$18,Paramètres!$A$1:$I$88,5,0)</f>
        <v>#N/A</v>
      </c>
      <c r="EY113" s="34" t="e">
        <f t="shared" si="83"/>
        <v>#N/A</v>
      </c>
      <c r="EZ113" s="44" t="e">
        <f t="shared" si="60"/>
        <v>#N/A</v>
      </c>
      <c r="FA113" s="36">
        <f>IF(ISNA(VLOOKUP(A113,'Données projet'!$A$269:$I$289,3,0)),0,VLOOKUP(A113,'Données projet'!$A$269:$I$289,3,0))</f>
        <v>0</v>
      </c>
      <c r="FB113" s="36">
        <f>IF(ISNA(VLOOKUP(A113,'Données projet'!$A$269:$I$289,4,0)),0,VLOOKUP(A113,'Données projet'!$A$269:$I$289,4,0))</f>
        <v>0</v>
      </c>
      <c r="FC113" s="37">
        <f>IF(ISNA(VLOOKUP(A113,'Données projet'!$A$269:$I$289,5,0)),0%,VLOOKUP(A113,'Données projet'!$A$269:$I$289,5,0)*VLOOKUP('Données projet'!$B$18,Paramètres!$A$1:$I$88,7,0))</f>
        <v>0</v>
      </c>
      <c r="FD113" s="37">
        <f>IF(ISNA(VLOOKUP(A113,'Données projet'!$A$269:$I$289,6,0)),0%,VLOOKUP(A113,'Données projet'!$A$269:$I$289,6,0)*VLOOKUP('Données projet'!$B$18,Paramètres!$A$1:$I$88,7,0))</f>
        <v>0</v>
      </c>
      <c r="FE113" s="37">
        <f>IF(ISNA(VLOOKUP(A113,'Données projet'!$A$269:$I$289,7,0)),0%,VLOOKUP(A113,'Données projet'!$A$269:$I$289,7,0))</f>
        <v>0</v>
      </c>
      <c r="FF113" s="45">
        <f>EXP(-LN(2)/35)*FF112+(1-EXP(-LN(2)/35))/(LN(2)/35)*FB113*FC113*VLOOKUP('Données projet'!$B$9,Paramètres!$A$1:$I$88,3,0)*0.475*44/12</f>
        <v>0</v>
      </c>
      <c r="FG113" s="45">
        <f>EXP(-LN(2)/25)*FG112+(1-EXP(-LN(2)/25))/(LN(2)/25)*Calculateur!FB113*Calculateur!FD113*VLOOKUP('Données projet'!$B$9,Paramètres!$A$1:$I$88,3,0)*0.475*44/12</f>
        <v>0</v>
      </c>
      <c r="FH113" s="45">
        <f>EXP(-LN(2)/2)*FH112+(1-EXP(-LN(2)/2))/(LN(2)/2)*FB113*FE113*VLOOKUP('Données projet'!$B$9,Paramètres!$A$1:$I$88,3,0)*0.475*44/12</f>
        <v>0</v>
      </c>
      <c r="FI113" s="46">
        <f t="shared" si="61"/>
        <v>0</v>
      </c>
    </row>
    <row r="114" spans="1:165" x14ac:dyDescent="0.25">
      <c r="A114" s="24">
        <f t="shared" si="62"/>
        <v>111</v>
      </c>
      <c r="B114" s="25">
        <f>IF('Scénario référence'!$N$1=1,5,0)</f>
        <v>0</v>
      </c>
      <c r="C114" s="40">
        <f>IF(OR('Scénario référence'!$N$1=2,'Scénario référence'!$N$1=4),C113+1*VLOOKUP('Scénario référence'!$G$14,Paramètres!$A$1:$I$88,3,0)*VLOOKUP('Scénario référence'!$G$14,Paramètres!$A$1:$I$88,5,0),IF(OR('Scénario référence'!$N$1=3,'Scénario référence'!$N$1=5),C113+0.5*VLOOKUP('Scénario référence'!$G$14,Paramètres!$A$1:$I$88,3,0)*VLOOKUP('Scénario référence'!$G$14,Paramètres!$A$1:$I$88,5,0),0))</f>
        <v>60.605999999999945</v>
      </c>
      <c r="D114" s="26">
        <f t="shared" si="63"/>
        <v>17.32139509913188</v>
      </c>
      <c r="E114" s="27">
        <f>IF('Scénario référence'!$N$1=1,B114*44/12,(C114+D114)*0.475*44/12)</f>
        <v>135.72354646432126</v>
      </c>
      <c r="F114" s="28" t="e">
        <f>VLOOKUP(A114,'Données projet'!$A$35:$I$55,2,0)</f>
        <v>#N/A</v>
      </c>
      <c r="G114" s="28" t="e">
        <f>VLOOKUP(A114,'Données projet'!$A$35:$I$55,9,0)</f>
        <v>#N/A</v>
      </c>
      <c r="H114" s="33">
        <f t="array" ref="H114">INDEX(G:G,MIN(IF(ISNUMBER(G114:G310),ROW(G114:G310),"")))</f>
        <v>4</v>
      </c>
      <c r="I114" s="28">
        <f t="shared" si="64"/>
        <v>287.99999999999955</v>
      </c>
      <c r="J114" s="41">
        <f>I114*VLOOKUP('Données projet'!$B$9,Paramètres!$A$1:$I$88,3,0)*VLOOKUP('Données projet'!$B$9,Paramètres!$A$1:$I$88,5,0)</f>
        <v>292.03199999999953</v>
      </c>
      <c r="K114" s="41">
        <f t="shared" si="65"/>
        <v>69.503456646543185</v>
      </c>
      <c r="L114" s="42">
        <f t="shared" si="42"/>
        <v>629.67425365939516</v>
      </c>
      <c r="M114" s="30">
        <f>IF(ISNA(VLOOKUP(A114,'Données projet'!$A$35:$I$55,3,0)),0,VLOOKUP(A114,'Données projet'!$A$35:$I$55,3,0))</f>
        <v>0</v>
      </c>
      <c r="N114" s="30">
        <f>IF(ISNA(VLOOKUP(A114,'Données projet'!$A$35:$I$55,4,0)),0,VLOOKUP(A114,'Données projet'!$A$35:$I$55,4,0))</f>
        <v>0</v>
      </c>
      <c r="O114" s="31">
        <f>IF(ISNA(VLOOKUP(A114,'Données projet'!$A$35:$I$55,5,0)),0%,VLOOKUP(A114,'Données projet'!$A$35:$I$55,5,0)*VLOOKUP('Données projet'!$B$9,Paramètres!$A$1:$I$88,7,0))</f>
        <v>0</v>
      </c>
      <c r="P114" s="31">
        <f>IF(ISNA(VLOOKUP(A114,'Données projet'!$A$35:$I$55,6,0)),0%,VLOOKUP(A114,'Données projet'!$A$35:$I$55,6,0)*VLOOKUP('Données projet'!$B$9,Paramètres!$A$1:$I$88,7,0))</f>
        <v>0</v>
      </c>
      <c r="Q114" s="31">
        <f>IF(ISNA(VLOOKUP(A114,'Données projet'!$A$35:$I$55,7,0)),0%,VLOOKUP(A114,'Données projet'!$A$35:$I$55,7,0))</f>
        <v>0</v>
      </c>
      <c r="R114" s="43">
        <f>EXP(-LN(2)/35)*R113+(1-EXP(-LN(2)/35))/(LN(2)/35)*N114*O114*VLOOKUP('Données projet'!$B$9,Paramètres!$A$1:$I$88,3,0)*0.475*44/12</f>
        <v>0</v>
      </c>
      <c r="S114" s="43">
        <f>EXP(-LN(2)/25)*S113+(1-EXP(-LN(2)/25))/(LN(2)/25)*Calculateur!N114*Calculateur!P114*VLOOKUP('Données projet'!$B$9,Paramètres!$A$1:$I$88,3,0)*0.475*44/12</f>
        <v>0</v>
      </c>
      <c r="T114" s="43">
        <f>EXP(-LN(2)/2)*T113+(1-EXP(-LN(2)/2))/(LN(2)/2)*N114*Q114*VLOOKUP('Données projet'!$B$9,Paramètres!$A$1:$I$88,3,0)*0.475*44/12</f>
        <v>0</v>
      </c>
      <c r="U114" s="43">
        <f t="shared" si="43"/>
        <v>0</v>
      </c>
      <c r="V114" s="32" t="e">
        <f>VLOOKUP(A114,'Données projet'!$A$61:$I$81,2,0)</f>
        <v>#N/A</v>
      </c>
      <c r="W114" s="33" t="e">
        <f>VLOOKUP(A114,'Données projet'!$A$61:$I$81,9,0)</f>
        <v>#N/A</v>
      </c>
      <c r="X114" s="33">
        <f t="array" ref="X114">INDEX(W:W,MIN(IF(ISNUMBER(W114:W310),ROW(W114:W310),"")))</f>
        <v>0</v>
      </c>
      <c r="Y114" s="33">
        <f t="shared" si="66"/>
        <v>0</v>
      </c>
      <c r="Z114" s="34" t="e">
        <f>Y114*VLOOKUP('Données projet'!$B$10,Paramètres!$A$1:$I$88,3,0)*VLOOKUP('Données projet'!$B$10,Paramètres!$A$1:$I$88,5,0)</f>
        <v>#N/A</v>
      </c>
      <c r="AA114" s="34" t="e">
        <f t="shared" si="67"/>
        <v>#N/A</v>
      </c>
      <c r="AB114" s="44" t="e">
        <f t="shared" si="44"/>
        <v>#N/A</v>
      </c>
      <c r="AC114" s="36">
        <f>IF(ISNA(VLOOKUP(A114,'Données projet'!$A$61:$I$81,3,0)),0,VLOOKUP(A114,'Données projet'!$A$61:$I$81,3,0))</f>
        <v>0</v>
      </c>
      <c r="AD114" s="36">
        <f>IF(ISNA(VLOOKUP(A114,'Données projet'!$A$61:$I$81,4,0)),0,VLOOKUP(A114,'Données projet'!$A$61:$I$81,4,0))</f>
        <v>0</v>
      </c>
      <c r="AE114" s="37">
        <f>IF(ISNA(VLOOKUP(A114,'Données projet'!$A$61:$I$81,5,0)),0%,VLOOKUP(A114,'Données projet'!$A$61:$I$81,5,0)*VLOOKUP('Données projet'!$B$10,Paramètres!$A$1:$I$88,7,0))</f>
        <v>0</v>
      </c>
      <c r="AF114" s="37">
        <f>IF(ISNA(VLOOKUP(A114,'Données projet'!$A$61:$I$81,6,0)),0%,VLOOKUP(A114,'Données projet'!$A$61:$I$81,6,0)*VLOOKUP('Données projet'!$B$10,Paramètres!$A$1:$I$88,7,0))</f>
        <v>0</v>
      </c>
      <c r="AG114" s="37">
        <f>IF(ISNA(VLOOKUP(A114,'Données projet'!$A$61:$I$81,7,0)),0%,VLOOKUP(A114,'Données projet'!$A$61:$I$81,7,0))</f>
        <v>0</v>
      </c>
      <c r="AH114" s="45">
        <f>EXP(-LN(2)/35)*AH113+(1-EXP(-LN(2)/35))/(LN(2)/35)*AD114*AE114*VLOOKUP('Données projet'!$B$9,Paramètres!$A$1:$I$88,3,0)*0.475*44/12</f>
        <v>0</v>
      </c>
      <c r="AI114" s="45">
        <f>EXP(-LN(2)/25)*AI113+(1-EXP(-LN(2)/25))/(LN(2)/25)*Calculateur!AD114*Calculateur!AF114*VLOOKUP('Données projet'!$B$9,Paramètres!$A$1:$I$88,3,0)*0.475*44/12</f>
        <v>0</v>
      </c>
      <c r="AJ114" s="45">
        <f>EXP(-LN(2)/2)*AJ113+(1-EXP(-LN(2)/2))/(LN(2)/2)*AD114*AG114*VLOOKUP('Données projet'!$B$9,Paramètres!$A$1:$I$88,3,0)*0.475*44/12</f>
        <v>0</v>
      </c>
      <c r="AK114" s="45">
        <f t="shared" si="45"/>
        <v>0</v>
      </c>
      <c r="AL114" s="32" t="e">
        <f>VLOOKUP(A114,'Données projet'!$A$87:$I$107,2,0)</f>
        <v>#N/A</v>
      </c>
      <c r="AM114" s="33" t="e">
        <f>VLOOKUP(A114,'Données projet'!$A$87:$I$107,9,0)</f>
        <v>#N/A</v>
      </c>
      <c r="AN114" s="33">
        <f t="array" ref="AN114">INDEX(AM:AM,MIN(IF(ISNUMBER(AM114:AM310),ROW(AM114:AM310),"")))</f>
        <v>0</v>
      </c>
      <c r="AO114" s="33">
        <f t="shared" si="68"/>
        <v>0</v>
      </c>
      <c r="AP114" s="34" t="e">
        <f>AO114*VLOOKUP('Données projet'!$B$11,Paramètres!$A$1:$I$88,3,0)*VLOOKUP('Données projet'!$B$11,Paramètres!$A$1:$I$88,5,0)</f>
        <v>#N/A</v>
      </c>
      <c r="AQ114" s="34" t="e">
        <f t="shared" si="69"/>
        <v>#N/A</v>
      </c>
      <c r="AR114" s="44" t="e">
        <f t="shared" si="46"/>
        <v>#N/A</v>
      </c>
      <c r="AS114" s="36">
        <f>IF(ISNA(VLOOKUP(A114,'Données projet'!$A$87:$I$107,3,0)),0,VLOOKUP(A114,'Données projet'!$A$87:$I$107,3,0))</f>
        <v>0</v>
      </c>
      <c r="AT114" s="36">
        <f>IF(ISNA(VLOOKUP(A114,'Données projet'!$A$87:$I$107,4,0)),0,VLOOKUP(A114,'Données projet'!$A$87:$I$107,4,0))</f>
        <v>0</v>
      </c>
      <c r="AU114" s="37">
        <f>IF(ISNA(VLOOKUP(A114,'Données projet'!$A$87:$I$107,5,0)),0%,VLOOKUP(A114,'Données projet'!$A$87:$I$107,5,0)*VLOOKUP('Données projet'!$B$11,Paramètres!$A$1:$I$88,7,0))</f>
        <v>0</v>
      </c>
      <c r="AV114" s="37">
        <f>IF(ISNA(VLOOKUP(A114,'Données projet'!$A$87:$I$107,6,0)),0%,VLOOKUP(A114,'Données projet'!$A$87:$I$107,6,0)*VLOOKUP('Données projet'!$B$11,Paramètres!$A$1:$I$88,7,0))</f>
        <v>0</v>
      </c>
      <c r="AW114" s="37">
        <f>IF(ISNA(VLOOKUP(A114,'Données projet'!$A$87:$I$107,7,0)),0%,VLOOKUP(A114,'Données projet'!$A$87:$I$107,7,0))</f>
        <v>0</v>
      </c>
      <c r="AX114" s="45">
        <f>EXP(-LN(2)/35)*AX113+(1-EXP(-LN(2)/35))/(LN(2)/35)*AT114*AU114*VLOOKUP('Données projet'!$B$9,Paramètres!$A$1:$I$88,3,0)*0.475*44/12</f>
        <v>0</v>
      </c>
      <c r="AY114" s="45">
        <f>EXP(-LN(2)/25)*AY113+(1-EXP(-LN(2)/25))/(LN(2)/25)*Calculateur!AT114*Calculateur!AV114*VLOOKUP('Données projet'!$B$9,Paramètres!$A$1:$I$88,3,0)*0.475*44/12</f>
        <v>0</v>
      </c>
      <c r="AZ114" s="45">
        <f>EXP(-LN(2)/2)*AZ113+(1-EXP(-LN(2)/2))/(LN(2)/2)*AT114*AW114*VLOOKUP('Données projet'!$B$9,Paramètres!$A$1:$I$88,3,0)*0.475*44/12</f>
        <v>0</v>
      </c>
      <c r="BA114" s="46">
        <f t="shared" si="47"/>
        <v>0</v>
      </c>
      <c r="BB114" s="32" t="e">
        <f>VLOOKUP(A114,'Données projet'!$A$113:$I$133,2,0)</f>
        <v>#N/A</v>
      </c>
      <c r="BC114" s="33" t="e">
        <f>VLOOKUP(A114,'Données projet'!$A$113:$I$133,9,0)</f>
        <v>#N/A</v>
      </c>
      <c r="BD114" s="33">
        <f t="array" ref="BD114">INDEX(BC:BC,MIN(IF(ISNUMBER(BC114:BC310),ROW(BC114:BC310),"")))</f>
        <v>0</v>
      </c>
      <c r="BE114" s="33">
        <f t="shared" si="70"/>
        <v>0</v>
      </c>
      <c r="BF114" s="34" t="e">
        <f>BE114*VLOOKUP('Données projet'!$B$12,Paramètres!$A$1:$I$88,3,0)*VLOOKUP('Données projet'!$B$12,Paramètres!$A$1:$I$88,5,0)</f>
        <v>#N/A</v>
      </c>
      <c r="BG114" s="34" t="e">
        <f t="shared" si="71"/>
        <v>#N/A</v>
      </c>
      <c r="BH114" s="44" t="e">
        <f t="shared" si="48"/>
        <v>#N/A</v>
      </c>
      <c r="BI114" s="36">
        <f>IF(ISNA(VLOOKUP(A114,'Données projet'!$A$113:$I$133,3,0)),0,VLOOKUP(A114,'Données projet'!$A$113:$I$133,3,0))</f>
        <v>0</v>
      </c>
      <c r="BJ114" s="36">
        <f>IF(ISNA(VLOOKUP(A114,'Données projet'!$A$113:$I$133,4,0)),0,VLOOKUP(A114,'Données projet'!$A$113:$I$133,4,0))</f>
        <v>0</v>
      </c>
      <c r="BK114" s="37">
        <f>IF(ISNA(VLOOKUP(A114,'Données projet'!$A$113:$I$133,5,0)),0%,VLOOKUP(A114,'Données projet'!$A$113:$I$133,5,0)*VLOOKUP('Données projet'!$B$12,Paramètres!$A$1:$I$88,7,0))</f>
        <v>0</v>
      </c>
      <c r="BL114" s="37">
        <f>IF(ISNA(VLOOKUP(A114,'Données projet'!$A$113:$I$133,6,0)),0%,VLOOKUP(A114,'Données projet'!$A$113:$I$133,6,0)*VLOOKUP('Données projet'!$B$12,Paramètres!$A$1:$I$88,7,0))</f>
        <v>0</v>
      </c>
      <c r="BM114" s="37">
        <f>IF(ISNA(VLOOKUP(A114,'Données projet'!$A$113:$I$133,7,0)),0%,VLOOKUP(A114,'Données projet'!$A$113:$I$133,7,0))</f>
        <v>0</v>
      </c>
      <c r="BN114" s="45">
        <f>EXP(-LN(2)/35)*BN113+(1-EXP(-LN(2)/35))/(LN(2)/35)*BJ114*BK114*VLOOKUP('Données projet'!$B$9,Paramètres!$A$1:$I$88,3,0)*0.475*44/12</f>
        <v>0</v>
      </c>
      <c r="BO114" s="45">
        <f>EXP(-LN(2)/25)*BO113+(1-EXP(-LN(2)/25))/(LN(2)/25)*Calculateur!BJ114*Calculateur!BL114*VLOOKUP('Données projet'!$B$9,Paramètres!$A$1:$I$88,3,0)*0.475*44/12</f>
        <v>0</v>
      </c>
      <c r="BP114" s="45">
        <f>EXP(-LN(2)/2)*BP113+(1-EXP(-LN(2)/2))/(LN(2)/2)*BJ114*BM114*VLOOKUP('Données projet'!$B$9,Paramètres!$A$1:$I$88,3,0)*0.475*44/12</f>
        <v>0</v>
      </c>
      <c r="BQ114" s="46">
        <f t="shared" si="49"/>
        <v>0</v>
      </c>
      <c r="BR114" s="32" t="e">
        <f>VLOOKUP(A114,'Données projet'!$A$139:$I$159,2,0)</f>
        <v>#N/A</v>
      </c>
      <c r="BS114" s="33" t="e">
        <f>VLOOKUP(A114,'Données projet'!$A$139:$I$159,9,0)</f>
        <v>#N/A</v>
      </c>
      <c r="BT114" s="33">
        <f t="array" ref="BT114">INDEX(BS:BS,MIN(IF(ISNUMBER(BS114:BS310),ROW(BS114:BS310),"")))</f>
        <v>0</v>
      </c>
      <c r="BU114" s="33">
        <f t="shared" si="72"/>
        <v>0</v>
      </c>
      <c r="BV114" s="38" t="e">
        <f>BU114*VLOOKUP('Données projet'!$B$13,Paramètres!$A$1:$I$88,3,0)*VLOOKUP('Données projet'!$B$13,Paramètres!$A$1:$I$88,5,0)</f>
        <v>#N/A</v>
      </c>
      <c r="BW114" s="34" t="e">
        <f t="shared" si="73"/>
        <v>#N/A</v>
      </c>
      <c r="BX114" s="44" t="e">
        <f t="shared" si="50"/>
        <v>#N/A</v>
      </c>
      <c r="BY114" s="36">
        <f>IF(ISNA(VLOOKUP(A114,'Données projet'!$A$139:$I$159,3,0)),0,VLOOKUP(A114,'Données projet'!$A$139:$I$159,3,0))</f>
        <v>0</v>
      </c>
      <c r="BZ114" s="36">
        <f>IF(ISNA(VLOOKUP(A114,'Données projet'!$A$139:$I$159,4,0)),0,VLOOKUP(A114,'Données projet'!$A$139:$I$159,4,0))</f>
        <v>0</v>
      </c>
      <c r="CA114" s="37">
        <f>IF(ISNA(VLOOKUP(A114,'Données projet'!$A$139:$I$159,5,0)),0%,VLOOKUP(A114,'Données projet'!$A$139:$I$159,5,0)*VLOOKUP('Données projet'!$B$13,Paramètres!$A$1:$I$88,7,0))</f>
        <v>0</v>
      </c>
      <c r="CB114" s="37">
        <f>IF(ISNA(VLOOKUP(A114,'Données projet'!$A$139:$I$159,6,0)),0%,VLOOKUP(A114,'Données projet'!$A$139:$I$159,6,0)*VLOOKUP('Données projet'!$B$13,Paramètres!$A$1:$I$88,7,0))</f>
        <v>0</v>
      </c>
      <c r="CC114" s="37">
        <f>IF(ISNA(VLOOKUP(A114,'Données projet'!$A$139:$I$159,7,0)),0%,VLOOKUP(A114,'Données projet'!$A$139:$I$159,7,0))</f>
        <v>0</v>
      </c>
      <c r="CD114" s="45">
        <f>EXP(-LN(2)/35)*CD113+(1-EXP(-LN(2)/35))/(LN(2)/35)*BZ114*CA114*VLOOKUP('Données projet'!$B$9,Paramètres!$A$1:$I$88,3,0)*0.475*44/12</f>
        <v>0</v>
      </c>
      <c r="CE114" s="45">
        <f>EXP(-LN(2)/25)*CE113+(1-EXP(-LN(2)/25))/(LN(2)/25)*Calculateur!BZ114*Calculateur!CB114*VLOOKUP('Données projet'!$B$9,Paramètres!$A$1:$I$88,3,0)*0.475*44/12</f>
        <v>0</v>
      </c>
      <c r="CF114" s="45">
        <f>EXP(-LN(2)/2)*CF113+(1-EXP(-LN(2)/2))/(LN(2)/2)*BZ114*CC114*VLOOKUP('Données projet'!$B$9,Paramètres!$A$1:$I$88,3,0)*0.475*44/12</f>
        <v>0</v>
      </c>
      <c r="CG114" s="46">
        <f t="shared" si="51"/>
        <v>0</v>
      </c>
      <c r="CH114" s="32" t="e">
        <f>VLOOKUP(A114,'Données projet'!$A$165:$I$185,2,0)</f>
        <v>#N/A</v>
      </c>
      <c r="CI114" s="33" t="e">
        <f>VLOOKUP(A114,'Données projet'!$A$165:$I$185,9,0)</f>
        <v>#N/A</v>
      </c>
      <c r="CJ114" s="33">
        <f t="array" ref="CJ114">INDEX(CI:CI,MIN(IF(ISNUMBER(CI114:CI310),ROW(CI114:CI310),"")))</f>
        <v>0</v>
      </c>
      <c r="CK114" s="33">
        <f t="shared" si="74"/>
        <v>0</v>
      </c>
      <c r="CL114" s="38" t="e">
        <f>CK114*VLOOKUP('Données projet'!$B$14,Paramètres!$A$1:$I$88,3,0)*VLOOKUP('Données projet'!$B$14,Paramètres!$A$1:$I$88,5,0)</f>
        <v>#N/A</v>
      </c>
      <c r="CM114" s="34" t="e">
        <f t="shared" si="75"/>
        <v>#N/A</v>
      </c>
      <c r="CN114" s="44" t="e">
        <f t="shared" si="52"/>
        <v>#N/A</v>
      </c>
      <c r="CO114" s="36">
        <f>IF(ISNA(VLOOKUP(A114,'Données projet'!$A$165:$I$185,3,0)),0,VLOOKUP(A114,'Données projet'!$A$165:$I$185,3,0))</f>
        <v>0</v>
      </c>
      <c r="CP114" s="36">
        <f>IF(ISNA(VLOOKUP(A114,'Données projet'!$A$165:$I$185,4,0)),0,VLOOKUP(A114,'Données projet'!$A$165:$I$185,4,0))</f>
        <v>0</v>
      </c>
      <c r="CQ114" s="37">
        <f>IF(ISNA(VLOOKUP(A114,'Données projet'!$A$165:$I$185,5,0)),0%,VLOOKUP(A114,'Données projet'!$A$165:$I$185,5,0)*VLOOKUP('Données projet'!$B$14,Paramètres!$A$1:$I$88,7,0))</f>
        <v>0</v>
      </c>
      <c r="CR114" s="37">
        <f>IF(ISNA(VLOOKUP(A114,'Données projet'!$A$165:$I$185,6,0)),0%,VLOOKUP(A114,'Données projet'!$A$165:$I$185,6,0)*VLOOKUP('Données projet'!$B$14,Paramètres!$A$1:$I$88,7,0))</f>
        <v>0</v>
      </c>
      <c r="CS114" s="37">
        <f>IF(ISNA(VLOOKUP(A114,'Données projet'!$A$165:$I$185,7,0)),0%,VLOOKUP(A114,'Données projet'!$A$165:$I$185,7,0))</f>
        <v>0</v>
      </c>
      <c r="CT114" s="45">
        <f>EXP(-LN(2)/35)*CT113+(1-EXP(-LN(2)/35))/(LN(2)/35)*CP114*CQ114*VLOOKUP('Données projet'!$B$9,Paramètres!$A$1:$I$88,3,0)*0.475*44/12</f>
        <v>0</v>
      </c>
      <c r="CU114" s="45">
        <f>EXP(-LN(2)/25)*CU113+(1-EXP(-LN(2)/25))/(LN(2)/25)*Calculateur!CP114*Calculateur!CR114*VLOOKUP('Données projet'!$B$9,Paramètres!$A$1:$I$88,3,0)*0.475*44/12</f>
        <v>0</v>
      </c>
      <c r="CV114" s="45">
        <f>EXP(-LN(2)/2)*CV113+(1-EXP(-LN(2)/2))/(LN(2)/2)*CP114*CS114*VLOOKUP('Données projet'!$B$9,Paramètres!$A$1:$I$88,3,0)*0.475*44/12</f>
        <v>0</v>
      </c>
      <c r="CW114" s="46">
        <f t="shared" si="53"/>
        <v>0</v>
      </c>
      <c r="CX114" s="32" t="e">
        <f>VLOOKUP(A114,'Données projet'!$A$191:$I$211,2,0)</f>
        <v>#N/A</v>
      </c>
      <c r="CY114" s="33" t="e">
        <f>VLOOKUP(A114,'Données projet'!$A$191:$I$211,9,0)</f>
        <v>#N/A</v>
      </c>
      <c r="CZ114" s="33">
        <f t="array" ref="CZ114">INDEX(CY:CY,MIN(IF(ISNUMBER(CY114:CY310),ROW(CY114:CY310),"")))</f>
        <v>0</v>
      </c>
      <c r="DA114" s="33">
        <f t="shared" si="76"/>
        <v>0</v>
      </c>
      <c r="DB114" s="38" t="e">
        <f>DA114*VLOOKUP('Données projet'!$B$15,Paramètres!$A$1:$I$88,3,0)*VLOOKUP('Données projet'!$B$15,Paramètres!$A$1:$I$88,5,0)</f>
        <v>#N/A</v>
      </c>
      <c r="DC114" s="34" t="e">
        <f t="shared" si="77"/>
        <v>#N/A</v>
      </c>
      <c r="DD114" s="44" t="e">
        <f t="shared" si="54"/>
        <v>#N/A</v>
      </c>
      <c r="DE114" s="36">
        <f>IF(ISNA(VLOOKUP(A114,'Données projet'!$A$191:$I$211,3,0)),0,VLOOKUP(A114,'Données projet'!$A$191:$I$211,3,0))</f>
        <v>0</v>
      </c>
      <c r="DF114" s="36">
        <f>IF(ISNA(VLOOKUP(A114,'Données projet'!$A$191:$I$211,4,0)),0,VLOOKUP(A114,'Données projet'!$A$191:$I$211,4,0))</f>
        <v>0</v>
      </c>
      <c r="DG114" s="37">
        <f>IF(ISNA(VLOOKUP(A114,'Données projet'!$A$191:$I$211,5,0)),0%,VLOOKUP(A114,'Données projet'!$A$191:$I$211,5,0)*VLOOKUP('Données projet'!$B$15,Paramètres!$A$1:$I$88,7,0))</f>
        <v>0</v>
      </c>
      <c r="DH114" s="37">
        <f>IF(ISNA(VLOOKUP(A114,'Données projet'!$A$191:$I$211,6,0)),0%,VLOOKUP(A114,'Données projet'!$A$191:$I$211,6,0)*VLOOKUP('Données projet'!$B$15,Paramètres!$A$1:$I$88,7,0))</f>
        <v>0</v>
      </c>
      <c r="DI114" s="37">
        <f>IF(ISNA(VLOOKUP(A114,'Données projet'!$A$191:$I$211,7,0)),0%,VLOOKUP(A114,'Données projet'!$A$191:$I$211,7,0))</f>
        <v>0</v>
      </c>
      <c r="DJ114" s="45">
        <f>EXP(-LN(2)/35)*DJ113+(1-EXP(-LN(2)/35))/(LN(2)/35)*DF114*DG114*VLOOKUP('Données projet'!$B$9,Paramètres!$A$1:$I$88,3,0)*0.475*44/12</f>
        <v>0</v>
      </c>
      <c r="DK114" s="45">
        <f>EXP(-LN(2)/25)*DK113+(1-EXP(-LN(2)/25))/(LN(2)/25)*Calculateur!DF114*Calculateur!DH114*VLOOKUP('Données projet'!$B$9,Paramètres!$A$1:$I$88,3,0)*0.475*44/12</f>
        <v>0</v>
      </c>
      <c r="DL114" s="45">
        <f>EXP(-LN(2)/2)*DL113+(1-EXP(-LN(2)/2))/(LN(2)/2)*DF114*DI114*VLOOKUP('Données projet'!$B$9,Paramètres!$A$1:$I$88,3,0)*0.475*44/12</f>
        <v>0</v>
      </c>
      <c r="DM114" s="46">
        <f t="shared" si="55"/>
        <v>0</v>
      </c>
      <c r="DN114" s="32" t="e">
        <f>VLOOKUP(A114,'Données projet'!$A$217:$I$237,2,0)</f>
        <v>#N/A</v>
      </c>
      <c r="DO114" s="33" t="e">
        <f>VLOOKUP(A114,'Données projet'!$A$217:$I$237,9,0)</f>
        <v>#N/A</v>
      </c>
      <c r="DP114" s="33">
        <f t="array" ref="DP114">INDEX(DO:DO,MIN(IF(ISNUMBER(DO114:DO310),ROW(DO114:DO310),"")))</f>
        <v>0</v>
      </c>
      <c r="DQ114" s="33">
        <f t="shared" si="78"/>
        <v>0</v>
      </c>
      <c r="DR114" s="38" t="e">
        <f>DQ114*VLOOKUP('Données projet'!$B$16,Paramètres!$A$1:$I$88,3,0)*VLOOKUP('Données projet'!$B$16,Paramètres!$A$1:$I$88,5,0)</f>
        <v>#N/A</v>
      </c>
      <c r="DS114" s="34" t="e">
        <f t="shared" si="79"/>
        <v>#N/A</v>
      </c>
      <c r="DT114" s="44" t="e">
        <f t="shared" si="56"/>
        <v>#N/A</v>
      </c>
      <c r="DU114" s="36">
        <f>IF(ISNA(VLOOKUP(A114,'Données projet'!$A$217:$I$237,3,0)),0,VLOOKUP(A114,'Données projet'!$A$217:$I$237,3,0))</f>
        <v>0</v>
      </c>
      <c r="DV114" s="36">
        <f>IF(ISNA(VLOOKUP(A114,'Données projet'!$A$217:$I$237,4,0)),0,VLOOKUP(A114,'Données projet'!$A$217:$I$237,4,0))</f>
        <v>0</v>
      </c>
      <c r="DW114" s="37">
        <f>IF(ISNA(VLOOKUP(A114,'Données projet'!$A$217:$I$237,5,0)),0%,VLOOKUP(A114,'Données projet'!$A$217:$I$237,5,0)*VLOOKUP('Données projet'!$B$16,Paramètres!$A$1:$I$88,7,0))</f>
        <v>0</v>
      </c>
      <c r="DX114" s="37">
        <f>IF(ISNA(VLOOKUP(A114,'Données projet'!$A$217:$I$237,6,0)),0%,VLOOKUP(A114,'Données projet'!$A$217:$I$237,6,0)*VLOOKUP('Données projet'!$B$16,Paramètres!$A$1:$I$88,7,0))</f>
        <v>0</v>
      </c>
      <c r="DY114" s="37">
        <f>IF(ISNA(VLOOKUP(A114,'Données projet'!$A$217:$I$237,7,0)),0%,VLOOKUP(A114,'Données projet'!$A$217:$I$237,7,0))</f>
        <v>0</v>
      </c>
      <c r="DZ114" s="45">
        <f>EXP(-LN(2)/35)*DZ113+(1-EXP(-LN(2)/35))/(LN(2)/35)*DV114*DW114*VLOOKUP('Données projet'!$B$9,Paramètres!$A$1:$I$88,3,0)*0.475*44/12</f>
        <v>0</v>
      </c>
      <c r="EA114" s="45">
        <f>EXP(-LN(2)/25)*EA113+(1-EXP(-LN(2)/25))/(LN(2)/25)*Calculateur!DV114*Calculateur!DX114*VLOOKUP('Données projet'!$B$9,Paramètres!$A$1:$I$88,3,0)*0.475*44/12</f>
        <v>0</v>
      </c>
      <c r="EB114" s="45">
        <f>EXP(-LN(2)/2)*EB113+(1-EXP(-LN(2)/2))/(LN(2)/2)*DV114*DY114*VLOOKUP('Données projet'!$B$9,Paramètres!$A$1:$I$88,3,0)*0.475*44/12</f>
        <v>0</v>
      </c>
      <c r="EC114" s="46">
        <f t="shared" si="57"/>
        <v>0</v>
      </c>
      <c r="ED114" s="32" t="e">
        <f>VLOOKUP(A114,'Données projet'!$A$243:$I$263,2,0)</f>
        <v>#N/A</v>
      </c>
      <c r="EE114" s="33" t="e">
        <f>VLOOKUP(A114,'Données projet'!$A$243:$I$263,9,0)</f>
        <v>#N/A</v>
      </c>
      <c r="EF114" s="33">
        <f t="array" ref="EF114">INDEX(EE:EE,MIN(IF(ISNUMBER(EE114:EE310),ROW(EE114:EE310),"")))</f>
        <v>0</v>
      </c>
      <c r="EG114" s="33">
        <f t="shared" si="80"/>
        <v>0</v>
      </c>
      <c r="EH114" s="38" t="e">
        <f>EG114*VLOOKUP('Données projet'!$B$17,Paramètres!$A$1:$I$88,3,0)*VLOOKUP('Données projet'!$B$17,Paramètres!$A$1:$I$88,5,0)</f>
        <v>#N/A</v>
      </c>
      <c r="EI114" s="34" t="e">
        <f t="shared" si="81"/>
        <v>#N/A</v>
      </c>
      <c r="EJ114" s="44" t="e">
        <f t="shared" si="58"/>
        <v>#N/A</v>
      </c>
      <c r="EK114" s="36">
        <f>IF(ISNA(VLOOKUP(A114,'Données projet'!$A$243:$I$263,3,0)),0,VLOOKUP(A114,'Données projet'!$A$243:$I$263,3,0))</f>
        <v>0</v>
      </c>
      <c r="EL114" s="36">
        <f>IF(ISNA(VLOOKUP(A114,'Données projet'!$A$243:$I$263,4,0)),0,VLOOKUP(A114,'Données projet'!$A$243:$I$263,4,0))</f>
        <v>0</v>
      </c>
      <c r="EM114" s="37">
        <f>IF(ISNA(VLOOKUP(A114,'Données projet'!$A$243:$I$263,5,0)),0%,VLOOKUP(A114,'Données projet'!$A$243:$I$263,5,0)*VLOOKUP('Données projet'!$B$17,Paramètres!$A$1:$I$88,7,0))</f>
        <v>0</v>
      </c>
      <c r="EN114" s="37">
        <f>IF(ISNA(VLOOKUP(A114,'Données projet'!$A$243:$I$263,6,0)),0%,VLOOKUP(A114,'Données projet'!$A$243:$I$263,6,0)*VLOOKUP('Données projet'!$B$17,Paramètres!$A$1:$I$88,7,0))</f>
        <v>0</v>
      </c>
      <c r="EO114" s="37">
        <f>IF(ISNA(VLOOKUP(A114,'Données projet'!$A$243:$I$263,7,0)),0%,VLOOKUP(A114,'Données projet'!$A$243:$I$263,7,0))</f>
        <v>0</v>
      </c>
      <c r="EP114" s="45">
        <f>EXP(-LN(2)/35)*EP113+(1-EXP(-LN(2)/35))/(LN(2)/35)*EL114*EM114*VLOOKUP('Données projet'!$B$9,Paramètres!$A$1:$I$88,3,0)*0.475*44/12</f>
        <v>0</v>
      </c>
      <c r="EQ114" s="45">
        <f>EXP(-LN(2)/25)*EQ113+(1-EXP(-LN(2)/25))/(LN(2)/25)*Calculateur!EL114*Calculateur!EN114*VLOOKUP('Données projet'!$B$9,Paramètres!$A$1:$I$88,3,0)*0.475*44/12</f>
        <v>0</v>
      </c>
      <c r="ER114" s="45">
        <f>EXP(-LN(2)/2)*ER113+(1-EXP(-LN(2)/2))/(LN(2)/2)*EL114*EO114*VLOOKUP('Données projet'!$B$9,Paramètres!$A$1:$I$88,3,0)*0.475*44/12</f>
        <v>0</v>
      </c>
      <c r="ES114" s="46">
        <f t="shared" si="59"/>
        <v>0</v>
      </c>
      <c r="ET114" s="32" t="e">
        <f>VLOOKUP(A114,'Données projet'!$A$269:$I$289,2,0)</f>
        <v>#N/A</v>
      </c>
      <c r="EU114" s="33" t="e">
        <f>VLOOKUP(A114,'Données projet'!$A$269:$I$289,9,0)</f>
        <v>#N/A</v>
      </c>
      <c r="EV114" s="33">
        <f t="array" ref="EV114">INDEX(EU:EU,MIN(IF(ISNUMBER(EU114:EU310),ROW(EU114:EU310),"")))</f>
        <v>0</v>
      </c>
      <c r="EW114" s="33">
        <f t="shared" si="82"/>
        <v>0</v>
      </c>
      <c r="EX114" s="38" t="e">
        <f>EW114*VLOOKUP('Données projet'!$B$18,Paramètres!$A$1:$I$88,3,0)*VLOOKUP('Données projet'!$B$18,Paramètres!$A$1:$I$88,5,0)</f>
        <v>#N/A</v>
      </c>
      <c r="EY114" s="34" t="e">
        <f t="shared" si="83"/>
        <v>#N/A</v>
      </c>
      <c r="EZ114" s="44" t="e">
        <f t="shared" si="60"/>
        <v>#N/A</v>
      </c>
      <c r="FA114" s="36">
        <f>IF(ISNA(VLOOKUP(A114,'Données projet'!$A$269:$I$289,3,0)),0,VLOOKUP(A114,'Données projet'!$A$269:$I$289,3,0))</f>
        <v>0</v>
      </c>
      <c r="FB114" s="36">
        <f>IF(ISNA(VLOOKUP(A114,'Données projet'!$A$269:$I$289,4,0)),0,VLOOKUP(A114,'Données projet'!$A$269:$I$289,4,0))</f>
        <v>0</v>
      </c>
      <c r="FC114" s="37">
        <f>IF(ISNA(VLOOKUP(A114,'Données projet'!$A$269:$I$289,5,0)),0%,VLOOKUP(A114,'Données projet'!$A$269:$I$289,5,0)*VLOOKUP('Données projet'!$B$18,Paramètres!$A$1:$I$88,7,0))</f>
        <v>0</v>
      </c>
      <c r="FD114" s="37">
        <f>IF(ISNA(VLOOKUP(A114,'Données projet'!$A$269:$I$289,6,0)),0%,VLOOKUP(A114,'Données projet'!$A$269:$I$289,6,0)*VLOOKUP('Données projet'!$B$18,Paramètres!$A$1:$I$88,7,0))</f>
        <v>0</v>
      </c>
      <c r="FE114" s="37">
        <f>IF(ISNA(VLOOKUP(A114,'Données projet'!$A$269:$I$289,7,0)),0%,VLOOKUP(A114,'Données projet'!$A$269:$I$289,7,0))</f>
        <v>0</v>
      </c>
      <c r="FF114" s="45">
        <f>EXP(-LN(2)/35)*FF113+(1-EXP(-LN(2)/35))/(LN(2)/35)*FB114*FC114*VLOOKUP('Données projet'!$B$9,Paramètres!$A$1:$I$88,3,0)*0.475*44/12</f>
        <v>0</v>
      </c>
      <c r="FG114" s="45">
        <f>EXP(-LN(2)/25)*FG113+(1-EXP(-LN(2)/25))/(LN(2)/25)*Calculateur!FB114*Calculateur!FD114*VLOOKUP('Données projet'!$B$9,Paramètres!$A$1:$I$88,3,0)*0.475*44/12</f>
        <v>0</v>
      </c>
      <c r="FH114" s="45">
        <f>EXP(-LN(2)/2)*FH113+(1-EXP(-LN(2)/2))/(LN(2)/2)*FB114*FE114*VLOOKUP('Données projet'!$B$9,Paramètres!$A$1:$I$88,3,0)*0.475*44/12</f>
        <v>0</v>
      </c>
      <c r="FI114" s="46">
        <f t="shared" si="61"/>
        <v>0</v>
      </c>
    </row>
    <row r="115" spans="1:165" x14ac:dyDescent="0.25">
      <c r="A115" s="24">
        <f t="shared" si="62"/>
        <v>112</v>
      </c>
      <c r="B115" s="25">
        <f>IF('Scénario référence'!$N$1=1,5,0)</f>
        <v>0</v>
      </c>
      <c r="C115" s="40">
        <f>IF(OR('Scénario référence'!$N$1=2,'Scénario référence'!$N$1=4),C114+1*VLOOKUP('Scénario référence'!$G$14,Paramètres!$A$1:$I$88,3,0)*VLOOKUP('Scénario référence'!$G$14,Paramètres!$A$1:$I$88,5,0),IF(OR('Scénario référence'!$N$1=3,'Scénario référence'!$N$1=5),C114+0.5*VLOOKUP('Scénario référence'!$G$14,Paramètres!$A$1:$I$88,3,0)*VLOOKUP('Scénario référence'!$G$14,Paramètres!$A$1:$I$88,5,0),0))</f>
        <v>61.151999999999944</v>
      </c>
      <c r="D115" s="26">
        <f t="shared" si="63"/>
        <v>17.459207591071241</v>
      </c>
      <c r="E115" s="27">
        <f>IF('Scénario référence'!$N$1=1,B115*44/12,(C115+D115)*0.475*44/12)</f>
        <v>136.91451988778229</v>
      </c>
      <c r="F115" s="28" t="e">
        <f>VLOOKUP(A115,'Données projet'!$A$35:$I$55,2,0)</f>
        <v>#N/A</v>
      </c>
      <c r="G115" s="28" t="e">
        <f>VLOOKUP(A115,'Données projet'!$A$35:$I$55,9,0)</f>
        <v>#N/A</v>
      </c>
      <c r="H115" s="33">
        <f t="array" ref="H115">INDEX(G:G,MIN(IF(ISNUMBER(G115:G311),ROW(G115:G311),"")))</f>
        <v>4</v>
      </c>
      <c r="I115" s="28">
        <f t="shared" si="64"/>
        <v>291.99999999999955</v>
      </c>
      <c r="J115" s="41">
        <f>I115*VLOOKUP('Données projet'!$B$9,Paramètres!$A$1:$I$88,3,0)*VLOOKUP('Données projet'!$B$9,Paramètres!$A$1:$I$88,5,0)</f>
        <v>296.08799999999957</v>
      </c>
      <c r="K115" s="41">
        <f t="shared" si="65"/>
        <v>70.35573257182898</v>
      </c>
      <c r="L115" s="42">
        <f t="shared" si="42"/>
        <v>638.22283422926796</v>
      </c>
      <c r="M115" s="30">
        <f>IF(ISNA(VLOOKUP(A115,'Données projet'!$A$35:$I$55,3,0)),0,VLOOKUP(A115,'Données projet'!$A$35:$I$55,3,0))</f>
        <v>0</v>
      </c>
      <c r="N115" s="30">
        <f>IF(ISNA(VLOOKUP(A115,'Données projet'!$A$35:$I$55,4,0)),0,VLOOKUP(A115,'Données projet'!$A$35:$I$55,4,0))</f>
        <v>0</v>
      </c>
      <c r="O115" s="31">
        <f>IF(ISNA(VLOOKUP(A115,'Données projet'!$A$35:$I$55,5,0)),0%,VLOOKUP(A115,'Données projet'!$A$35:$I$55,5,0)*VLOOKUP('Données projet'!$B$9,Paramètres!$A$1:$I$88,7,0))</f>
        <v>0</v>
      </c>
      <c r="P115" s="31">
        <f>IF(ISNA(VLOOKUP(A115,'Données projet'!$A$35:$I$55,6,0)),0%,VLOOKUP(A115,'Données projet'!$A$35:$I$55,6,0)*VLOOKUP('Données projet'!$B$9,Paramètres!$A$1:$I$88,7,0))</f>
        <v>0</v>
      </c>
      <c r="Q115" s="31">
        <f>IF(ISNA(VLOOKUP(A115,'Données projet'!$A$35:$I$55,7,0)),0%,VLOOKUP(A115,'Données projet'!$A$35:$I$55,7,0))</f>
        <v>0</v>
      </c>
      <c r="R115" s="43">
        <f>EXP(-LN(2)/35)*R114+(1-EXP(-LN(2)/35))/(LN(2)/35)*N115*O115*VLOOKUP('Données projet'!$B$9,Paramètres!$A$1:$I$88,3,0)*0.475*44/12</f>
        <v>0</v>
      </c>
      <c r="S115" s="43">
        <f>EXP(-LN(2)/25)*S114+(1-EXP(-LN(2)/25))/(LN(2)/25)*Calculateur!N115*Calculateur!P115*VLOOKUP('Données projet'!$B$9,Paramètres!$A$1:$I$88,3,0)*0.475*44/12</f>
        <v>0</v>
      </c>
      <c r="T115" s="43">
        <f>EXP(-LN(2)/2)*T114+(1-EXP(-LN(2)/2))/(LN(2)/2)*N115*Q115*VLOOKUP('Données projet'!$B$9,Paramètres!$A$1:$I$88,3,0)*0.475*44/12</f>
        <v>0</v>
      </c>
      <c r="U115" s="43">
        <f t="shared" si="43"/>
        <v>0</v>
      </c>
      <c r="V115" s="32" t="e">
        <f>VLOOKUP(A115,'Données projet'!$A$61:$I$81,2,0)</f>
        <v>#N/A</v>
      </c>
      <c r="W115" s="33" t="e">
        <f>VLOOKUP(A115,'Données projet'!$A$61:$I$81,9,0)</f>
        <v>#N/A</v>
      </c>
      <c r="X115" s="33">
        <f t="array" ref="X115">INDEX(W:W,MIN(IF(ISNUMBER(W115:W311),ROW(W115:W311),"")))</f>
        <v>0</v>
      </c>
      <c r="Y115" s="33">
        <f t="shared" si="66"/>
        <v>0</v>
      </c>
      <c r="Z115" s="34" t="e">
        <f>Y115*VLOOKUP('Données projet'!$B$10,Paramètres!$A$1:$I$88,3,0)*VLOOKUP('Données projet'!$B$10,Paramètres!$A$1:$I$88,5,0)</f>
        <v>#N/A</v>
      </c>
      <c r="AA115" s="34" t="e">
        <f t="shared" si="67"/>
        <v>#N/A</v>
      </c>
      <c r="AB115" s="44" t="e">
        <f t="shared" si="44"/>
        <v>#N/A</v>
      </c>
      <c r="AC115" s="36">
        <f>IF(ISNA(VLOOKUP(A115,'Données projet'!$A$61:$I$81,3,0)),0,VLOOKUP(A115,'Données projet'!$A$61:$I$81,3,0))</f>
        <v>0</v>
      </c>
      <c r="AD115" s="36">
        <f>IF(ISNA(VLOOKUP(A115,'Données projet'!$A$61:$I$81,4,0)),0,VLOOKUP(A115,'Données projet'!$A$61:$I$81,4,0))</f>
        <v>0</v>
      </c>
      <c r="AE115" s="37">
        <f>IF(ISNA(VLOOKUP(A115,'Données projet'!$A$61:$I$81,5,0)),0%,VLOOKUP(A115,'Données projet'!$A$61:$I$81,5,0)*VLOOKUP('Données projet'!$B$10,Paramètres!$A$1:$I$88,7,0))</f>
        <v>0</v>
      </c>
      <c r="AF115" s="37">
        <f>IF(ISNA(VLOOKUP(A115,'Données projet'!$A$61:$I$81,6,0)),0%,VLOOKUP(A115,'Données projet'!$A$61:$I$81,6,0)*VLOOKUP('Données projet'!$B$10,Paramètres!$A$1:$I$88,7,0))</f>
        <v>0</v>
      </c>
      <c r="AG115" s="37">
        <f>IF(ISNA(VLOOKUP(A115,'Données projet'!$A$61:$I$81,7,0)),0%,VLOOKUP(A115,'Données projet'!$A$61:$I$81,7,0))</f>
        <v>0</v>
      </c>
      <c r="AH115" s="45">
        <f>EXP(-LN(2)/35)*AH114+(1-EXP(-LN(2)/35))/(LN(2)/35)*AD115*AE115*VLOOKUP('Données projet'!$B$9,Paramètres!$A$1:$I$88,3,0)*0.475*44/12</f>
        <v>0</v>
      </c>
      <c r="AI115" s="45">
        <f>EXP(-LN(2)/25)*AI114+(1-EXP(-LN(2)/25))/(LN(2)/25)*Calculateur!AD115*Calculateur!AF115*VLOOKUP('Données projet'!$B$9,Paramètres!$A$1:$I$88,3,0)*0.475*44/12</f>
        <v>0</v>
      </c>
      <c r="AJ115" s="45">
        <f>EXP(-LN(2)/2)*AJ114+(1-EXP(-LN(2)/2))/(LN(2)/2)*AD115*AG115*VLOOKUP('Données projet'!$B$9,Paramètres!$A$1:$I$88,3,0)*0.475*44/12</f>
        <v>0</v>
      </c>
      <c r="AK115" s="45">
        <f t="shared" si="45"/>
        <v>0</v>
      </c>
      <c r="AL115" s="32" t="e">
        <f>VLOOKUP(A115,'Données projet'!$A$87:$I$107,2,0)</f>
        <v>#N/A</v>
      </c>
      <c r="AM115" s="33" t="e">
        <f>VLOOKUP(A115,'Données projet'!$A$87:$I$107,9,0)</f>
        <v>#N/A</v>
      </c>
      <c r="AN115" s="33">
        <f t="array" ref="AN115">INDEX(AM:AM,MIN(IF(ISNUMBER(AM115:AM311),ROW(AM115:AM311),"")))</f>
        <v>0</v>
      </c>
      <c r="AO115" s="33">
        <f t="shared" si="68"/>
        <v>0</v>
      </c>
      <c r="AP115" s="34" t="e">
        <f>AO115*VLOOKUP('Données projet'!$B$11,Paramètres!$A$1:$I$88,3,0)*VLOOKUP('Données projet'!$B$11,Paramètres!$A$1:$I$88,5,0)</f>
        <v>#N/A</v>
      </c>
      <c r="AQ115" s="34" t="e">
        <f t="shared" si="69"/>
        <v>#N/A</v>
      </c>
      <c r="AR115" s="44" t="e">
        <f t="shared" si="46"/>
        <v>#N/A</v>
      </c>
      <c r="AS115" s="36">
        <f>IF(ISNA(VLOOKUP(A115,'Données projet'!$A$87:$I$107,3,0)),0,VLOOKUP(A115,'Données projet'!$A$87:$I$107,3,0))</f>
        <v>0</v>
      </c>
      <c r="AT115" s="36">
        <f>IF(ISNA(VLOOKUP(A115,'Données projet'!$A$87:$I$107,4,0)),0,VLOOKUP(A115,'Données projet'!$A$87:$I$107,4,0))</f>
        <v>0</v>
      </c>
      <c r="AU115" s="37">
        <f>IF(ISNA(VLOOKUP(A115,'Données projet'!$A$87:$I$107,5,0)),0%,VLOOKUP(A115,'Données projet'!$A$87:$I$107,5,0)*VLOOKUP('Données projet'!$B$11,Paramètres!$A$1:$I$88,7,0))</f>
        <v>0</v>
      </c>
      <c r="AV115" s="37">
        <f>IF(ISNA(VLOOKUP(A115,'Données projet'!$A$87:$I$107,6,0)),0%,VLOOKUP(A115,'Données projet'!$A$87:$I$107,6,0)*VLOOKUP('Données projet'!$B$11,Paramètres!$A$1:$I$88,7,0))</f>
        <v>0</v>
      </c>
      <c r="AW115" s="37">
        <f>IF(ISNA(VLOOKUP(A115,'Données projet'!$A$87:$I$107,7,0)),0%,VLOOKUP(A115,'Données projet'!$A$87:$I$107,7,0))</f>
        <v>0</v>
      </c>
      <c r="AX115" s="45">
        <f>EXP(-LN(2)/35)*AX114+(1-EXP(-LN(2)/35))/(LN(2)/35)*AT115*AU115*VLOOKUP('Données projet'!$B$9,Paramètres!$A$1:$I$88,3,0)*0.475*44/12</f>
        <v>0</v>
      </c>
      <c r="AY115" s="45">
        <f>EXP(-LN(2)/25)*AY114+(1-EXP(-LN(2)/25))/(LN(2)/25)*Calculateur!AT115*Calculateur!AV115*VLOOKUP('Données projet'!$B$9,Paramètres!$A$1:$I$88,3,0)*0.475*44/12</f>
        <v>0</v>
      </c>
      <c r="AZ115" s="45">
        <f>EXP(-LN(2)/2)*AZ114+(1-EXP(-LN(2)/2))/(LN(2)/2)*AT115*AW115*VLOOKUP('Données projet'!$B$9,Paramètres!$A$1:$I$88,3,0)*0.475*44/12</f>
        <v>0</v>
      </c>
      <c r="BA115" s="46">
        <f t="shared" si="47"/>
        <v>0</v>
      </c>
      <c r="BB115" s="32" t="e">
        <f>VLOOKUP(A115,'Données projet'!$A$113:$I$133,2,0)</f>
        <v>#N/A</v>
      </c>
      <c r="BC115" s="33" t="e">
        <f>VLOOKUP(A115,'Données projet'!$A$113:$I$133,9,0)</f>
        <v>#N/A</v>
      </c>
      <c r="BD115" s="33">
        <f t="array" ref="BD115">INDEX(BC:BC,MIN(IF(ISNUMBER(BC115:BC311),ROW(BC115:BC311),"")))</f>
        <v>0</v>
      </c>
      <c r="BE115" s="33">
        <f t="shared" si="70"/>
        <v>0</v>
      </c>
      <c r="BF115" s="34" t="e">
        <f>BE115*VLOOKUP('Données projet'!$B$12,Paramètres!$A$1:$I$88,3,0)*VLOOKUP('Données projet'!$B$12,Paramètres!$A$1:$I$88,5,0)</f>
        <v>#N/A</v>
      </c>
      <c r="BG115" s="34" t="e">
        <f t="shared" si="71"/>
        <v>#N/A</v>
      </c>
      <c r="BH115" s="44" t="e">
        <f t="shared" si="48"/>
        <v>#N/A</v>
      </c>
      <c r="BI115" s="36">
        <f>IF(ISNA(VLOOKUP(A115,'Données projet'!$A$113:$I$133,3,0)),0,VLOOKUP(A115,'Données projet'!$A$113:$I$133,3,0))</f>
        <v>0</v>
      </c>
      <c r="BJ115" s="36">
        <f>IF(ISNA(VLOOKUP(A115,'Données projet'!$A$113:$I$133,4,0)),0,VLOOKUP(A115,'Données projet'!$A$113:$I$133,4,0))</f>
        <v>0</v>
      </c>
      <c r="BK115" s="37">
        <f>IF(ISNA(VLOOKUP(A115,'Données projet'!$A$113:$I$133,5,0)),0%,VLOOKUP(A115,'Données projet'!$A$113:$I$133,5,0)*VLOOKUP('Données projet'!$B$12,Paramètres!$A$1:$I$88,7,0))</f>
        <v>0</v>
      </c>
      <c r="BL115" s="37">
        <f>IF(ISNA(VLOOKUP(A115,'Données projet'!$A$113:$I$133,6,0)),0%,VLOOKUP(A115,'Données projet'!$A$113:$I$133,6,0)*VLOOKUP('Données projet'!$B$12,Paramètres!$A$1:$I$88,7,0))</f>
        <v>0</v>
      </c>
      <c r="BM115" s="37">
        <f>IF(ISNA(VLOOKUP(A115,'Données projet'!$A$113:$I$133,7,0)),0%,VLOOKUP(A115,'Données projet'!$A$113:$I$133,7,0))</f>
        <v>0</v>
      </c>
      <c r="BN115" s="45">
        <f>EXP(-LN(2)/35)*BN114+(1-EXP(-LN(2)/35))/(LN(2)/35)*BJ115*BK115*VLOOKUP('Données projet'!$B$9,Paramètres!$A$1:$I$88,3,0)*0.475*44/12</f>
        <v>0</v>
      </c>
      <c r="BO115" s="45">
        <f>EXP(-LN(2)/25)*BO114+(1-EXP(-LN(2)/25))/(LN(2)/25)*Calculateur!BJ115*Calculateur!BL115*VLOOKUP('Données projet'!$B$9,Paramètres!$A$1:$I$88,3,0)*0.475*44/12</f>
        <v>0</v>
      </c>
      <c r="BP115" s="45">
        <f>EXP(-LN(2)/2)*BP114+(1-EXP(-LN(2)/2))/(LN(2)/2)*BJ115*BM115*VLOOKUP('Données projet'!$B$9,Paramètres!$A$1:$I$88,3,0)*0.475*44/12</f>
        <v>0</v>
      </c>
      <c r="BQ115" s="46">
        <f t="shared" si="49"/>
        <v>0</v>
      </c>
      <c r="BR115" s="32" t="e">
        <f>VLOOKUP(A115,'Données projet'!$A$139:$I$159,2,0)</f>
        <v>#N/A</v>
      </c>
      <c r="BS115" s="33" t="e">
        <f>VLOOKUP(A115,'Données projet'!$A$139:$I$159,9,0)</f>
        <v>#N/A</v>
      </c>
      <c r="BT115" s="33">
        <f t="array" ref="BT115">INDEX(BS:BS,MIN(IF(ISNUMBER(BS115:BS311),ROW(BS115:BS311),"")))</f>
        <v>0</v>
      </c>
      <c r="BU115" s="33">
        <f t="shared" si="72"/>
        <v>0</v>
      </c>
      <c r="BV115" s="38" t="e">
        <f>BU115*VLOOKUP('Données projet'!$B$13,Paramètres!$A$1:$I$88,3,0)*VLOOKUP('Données projet'!$B$13,Paramètres!$A$1:$I$88,5,0)</f>
        <v>#N/A</v>
      </c>
      <c r="BW115" s="34" t="e">
        <f t="shared" si="73"/>
        <v>#N/A</v>
      </c>
      <c r="BX115" s="44" t="e">
        <f t="shared" si="50"/>
        <v>#N/A</v>
      </c>
      <c r="BY115" s="36">
        <f>IF(ISNA(VLOOKUP(A115,'Données projet'!$A$139:$I$159,3,0)),0,VLOOKUP(A115,'Données projet'!$A$139:$I$159,3,0))</f>
        <v>0</v>
      </c>
      <c r="BZ115" s="36">
        <f>IF(ISNA(VLOOKUP(A115,'Données projet'!$A$139:$I$159,4,0)),0,VLOOKUP(A115,'Données projet'!$A$139:$I$159,4,0))</f>
        <v>0</v>
      </c>
      <c r="CA115" s="37">
        <f>IF(ISNA(VLOOKUP(A115,'Données projet'!$A$139:$I$159,5,0)),0%,VLOOKUP(A115,'Données projet'!$A$139:$I$159,5,0)*VLOOKUP('Données projet'!$B$13,Paramètres!$A$1:$I$88,7,0))</f>
        <v>0</v>
      </c>
      <c r="CB115" s="37">
        <f>IF(ISNA(VLOOKUP(A115,'Données projet'!$A$139:$I$159,6,0)),0%,VLOOKUP(A115,'Données projet'!$A$139:$I$159,6,0)*VLOOKUP('Données projet'!$B$13,Paramètres!$A$1:$I$88,7,0))</f>
        <v>0</v>
      </c>
      <c r="CC115" s="37">
        <f>IF(ISNA(VLOOKUP(A115,'Données projet'!$A$139:$I$159,7,0)),0%,VLOOKUP(A115,'Données projet'!$A$139:$I$159,7,0))</f>
        <v>0</v>
      </c>
      <c r="CD115" s="45">
        <f>EXP(-LN(2)/35)*CD114+(1-EXP(-LN(2)/35))/(LN(2)/35)*BZ115*CA115*VLOOKUP('Données projet'!$B$9,Paramètres!$A$1:$I$88,3,0)*0.475*44/12</f>
        <v>0</v>
      </c>
      <c r="CE115" s="45">
        <f>EXP(-LN(2)/25)*CE114+(1-EXP(-LN(2)/25))/(LN(2)/25)*Calculateur!BZ115*Calculateur!CB115*VLOOKUP('Données projet'!$B$9,Paramètres!$A$1:$I$88,3,0)*0.475*44/12</f>
        <v>0</v>
      </c>
      <c r="CF115" s="45">
        <f>EXP(-LN(2)/2)*CF114+(1-EXP(-LN(2)/2))/(LN(2)/2)*BZ115*CC115*VLOOKUP('Données projet'!$B$9,Paramètres!$A$1:$I$88,3,0)*0.475*44/12</f>
        <v>0</v>
      </c>
      <c r="CG115" s="46">
        <f t="shared" si="51"/>
        <v>0</v>
      </c>
      <c r="CH115" s="32" t="e">
        <f>VLOOKUP(A115,'Données projet'!$A$165:$I$185,2,0)</f>
        <v>#N/A</v>
      </c>
      <c r="CI115" s="33" t="e">
        <f>VLOOKUP(A115,'Données projet'!$A$165:$I$185,9,0)</f>
        <v>#N/A</v>
      </c>
      <c r="CJ115" s="33">
        <f t="array" ref="CJ115">INDEX(CI:CI,MIN(IF(ISNUMBER(CI115:CI311),ROW(CI115:CI311),"")))</f>
        <v>0</v>
      </c>
      <c r="CK115" s="33">
        <f t="shared" si="74"/>
        <v>0</v>
      </c>
      <c r="CL115" s="38" t="e">
        <f>CK115*VLOOKUP('Données projet'!$B$14,Paramètres!$A$1:$I$88,3,0)*VLOOKUP('Données projet'!$B$14,Paramètres!$A$1:$I$88,5,0)</f>
        <v>#N/A</v>
      </c>
      <c r="CM115" s="34" t="e">
        <f t="shared" si="75"/>
        <v>#N/A</v>
      </c>
      <c r="CN115" s="44" t="e">
        <f t="shared" si="52"/>
        <v>#N/A</v>
      </c>
      <c r="CO115" s="36">
        <f>IF(ISNA(VLOOKUP(A115,'Données projet'!$A$165:$I$185,3,0)),0,VLOOKUP(A115,'Données projet'!$A$165:$I$185,3,0))</f>
        <v>0</v>
      </c>
      <c r="CP115" s="36">
        <f>IF(ISNA(VLOOKUP(A115,'Données projet'!$A$165:$I$185,4,0)),0,VLOOKUP(A115,'Données projet'!$A$165:$I$185,4,0))</f>
        <v>0</v>
      </c>
      <c r="CQ115" s="37">
        <f>IF(ISNA(VLOOKUP(A115,'Données projet'!$A$165:$I$185,5,0)),0%,VLOOKUP(A115,'Données projet'!$A$165:$I$185,5,0)*VLOOKUP('Données projet'!$B$14,Paramètres!$A$1:$I$88,7,0))</f>
        <v>0</v>
      </c>
      <c r="CR115" s="37">
        <f>IF(ISNA(VLOOKUP(A115,'Données projet'!$A$165:$I$185,6,0)),0%,VLOOKUP(A115,'Données projet'!$A$165:$I$185,6,0)*VLOOKUP('Données projet'!$B$14,Paramètres!$A$1:$I$88,7,0))</f>
        <v>0</v>
      </c>
      <c r="CS115" s="37">
        <f>IF(ISNA(VLOOKUP(A115,'Données projet'!$A$165:$I$185,7,0)),0%,VLOOKUP(A115,'Données projet'!$A$165:$I$185,7,0))</f>
        <v>0</v>
      </c>
      <c r="CT115" s="45">
        <f>EXP(-LN(2)/35)*CT114+(1-EXP(-LN(2)/35))/(LN(2)/35)*CP115*CQ115*VLOOKUP('Données projet'!$B$9,Paramètres!$A$1:$I$88,3,0)*0.475*44/12</f>
        <v>0</v>
      </c>
      <c r="CU115" s="45">
        <f>EXP(-LN(2)/25)*CU114+(1-EXP(-LN(2)/25))/(LN(2)/25)*Calculateur!CP115*Calculateur!CR115*VLOOKUP('Données projet'!$B$9,Paramètres!$A$1:$I$88,3,0)*0.475*44/12</f>
        <v>0</v>
      </c>
      <c r="CV115" s="45">
        <f>EXP(-LN(2)/2)*CV114+(1-EXP(-LN(2)/2))/(LN(2)/2)*CP115*CS115*VLOOKUP('Données projet'!$B$9,Paramètres!$A$1:$I$88,3,0)*0.475*44/12</f>
        <v>0</v>
      </c>
      <c r="CW115" s="46">
        <f t="shared" si="53"/>
        <v>0</v>
      </c>
      <c r="CX115" s="32" t="e">
        <f>VLOOKUP(A115,'Données projet'!$A$191:$I$211,2,0)</f>
        <v>#N/A</v>
      </c>
      <c r="CY115" s="33" t="e">
        <f>VLOOKUP(A115,'Données projet'!$A$191:$I$211,9,0)</f>
        <v>#N/A</v>
      </c>
      <c r="CZ115" s="33">
        <f t="array" ref="CZ115">INDEX(CY:CY,MIN(IF(ISNUMBER(CY115:CY311),ROW(CY115:CY311),"")))</f>
        <v>0</v>
      </c>
      <c r="DA115" s="33">
        <f t="shared" si="76"/>
        <v>0</v>
      </c>
      <c r="DB115" s="38" t="e">
        <f>DA115*VLOOKUP('Données projet'!$B$15,Paramètres!$A$1:$I$88,3,0)*VLOOKUP('Données projet'!$B$15,Paramètres!$A$1:$I$88,5,0)</f>
        <v>#N/A</v>
      </c>
      <c r="DC115" s="34" t="e">
        <f t="shared" si="77"/>
        <v>#N/A</v>
      </c>
      <c r="DD115" s="44" t="e">
        <f t="shared" si="54"/>
        <v>#N/A</v>
      </c>
      <c r="DE115" s="36">
        <f>IF(ISNA(VLOOKUP(A115,'Données projet'!$A$191:$I$211,3,0)),0,VLOOKUP(A115,'Données projet'!$A$191:$I$211,3,0))</f>
        <v>0</v>
      </c>
      <c r="DF115" s="36">
        <f>IF(ISNA(VLOOKUP(A115,'Données projet'!$A$191:$I$211,4,0)),0,VLOOKUP(A115,'Données projet'!$A$191:$I$211,4,0))</f>
        <v>0</v>
      </c>
      <c r="DG115" s="37">
        <f>IF(ISNA(VLOOKUP(A115,'Données projet'!$A$191:$I$211,5,0)),0%,VLOOKUP(A115,'Données projet'!$A$191:$I$211,5,0)*VLOOKUP('Données projet'!$B$15,Paramètres!$A$1:$I$88,7,0))</f>
        <v>0</v>
      </c>
      <c r="DH115" s="37">
        <f>IF(ISNA(VLOOKUP(A115,'Données projet'!$A$191:$I$211,6,0)),0%,VLOOKUP(A115,'Données projet'!$A$191:$I$211,6,0)*VLOOKUP('Données projet'!$B$15,Paramètres!$A$1:$I$88,7,0))</f>
        <v>0</v>
      </c>
      <c r="DI115" s="37">
        <f>IF(ISNA(VLOOKUP(A115,'Données projet'!$A$191:$I$211,7,0)),0%,VLOOKUP(A115,'Données projet'!$A$191:$I$211,7,0))</f>
        <v>0</v>
      </c>
      <c r="DJ115" s="45">
        <f>EXP(-LN(2)/35)*DJ114+(1-EXP(-LN(2)/35))/(LN(2)/35)*DF115*DG115*VLOOKUP('Données projet'!$B$9,Paramètres!$A$1:$I$88,3,0)*0.475*44/12</f>
        <v>0</v>
      </c>
      <c r="DK115" s="45">
        <f>EXP(-LN(2)/25)*DK114+(1-EXP(-LN(2)/25))/(LN(2)/25)*Calculateur!DF115*Calculateur!DH115*VLOOKUP('Données projet'!$B$9,Paramètres!$A$1:$I$88,3,0)*0.475*44/12</f>
        <v>0</v>
      </c>
      <c r="DL115" s="45">
        <f>EXP(-LN(2)/2)*DL114+(1-EXP(-LN(2)/2))/(LN(2)/2)*DF115*DI115*VLOOKUP('Données projet'!$B$9,Paramètres!$A$1:$I$88,3,0)*0.475*44/12</f>
        <v>0</v>
      </c>
      <c r="DM115" s="46">
        <f t="shared" si="55"/>
        <v>0</v>
      </c>
      <c r="DN115" s="32" t="e">
        <f>VLOOKUP(A115,'Données projet'!$A$217:$I$237,2,0)</f>
        <v>#N/A</v>
      </c>
      <c r="DO115" s="33" t="e">
        <f>VLOOKUP(A115,'Données projet'!$A$217:$I$237,9,0)</f>
        <v>#N/A</v>
      </c>
      <c r="DP115" s="33">
        <f t="array" ref="DP115">INDEX(DO:DO,MIN(IF(ISNUMBER(DO115:DO311),ROW(DO115:DO311),"")))</f>
        <v>0</v>
      </c>
      <c r="DQ115" s="33">
        <f t="shared" si="78"/>
        <v>0</v>
      </c>
      <c r="DR115" s="38" t="e">
        <f>DQ115*VLOOKUP('Données projet'!$B$16,Paramètres!$A$1:$I$88,3,0)*VLOOKUP('Données projet'!$B$16,Paramètres!$A$1:$I$88,5,0)</f>
        <v>#N/A</v>
      </c>
      <c r="DS115" s="34" t="e">
        <f t="shared" si="79"/>
        <v>#N/A</v>
      </c>
      <c r="DT115" s="44" t="e">
        <f t="shared" si="56"/>
        <v>#N/A</v>
      </c>
      <c r="DU115" s="36">
        <f>IF(ISNA(VLOOKUP(A115,'Données projet'!$A$217:$I$237,3,0)),0,VLOOKUP(A115,'Données projet'!$A$217:$I$237,3,0))</f>
        <v>0</v>
      </c>
      <c r="DV115" s="36">
        <f>IF(ISNA(VLOOKUP(A115,'Données projet'!$A$217:$I$237,4,0)),0,VLOOKUP(A115,'Données projet'!$A$217:$I$237,4,0))</f>
        <v>0</v>
      </c>
      <c r="DW115" s="37">
        <f>IF(ISNA(VLOOKUP(A115,'Données projet'!$A$217:$I$237,5,0)),0%,VLOOKUP(A115,'Données projet'!$A$217:$I$237,5,0)*VLOOKUP('Données projet'!$B$16,Paramètres!$A$1:$I$88,7,0))</f>
        <v>0</v>
      </c>
      <c r="DX115" s="37">
        <f>IF(ISNA(VLOOKUP(A115,'Données projet'!$A$217:$I$237,6,0)),0%,VLOOKUP(A115,'Données projet'!$A$217:$I$237,6,0)*VLOOKUP('Données projet'!$B$16,Paramètres!$A$1:$I$88,7,0))</f>
        <v>0</v>
      </c>
      <c r="DY115" s="37">
        <f>IF(ISNA(VLOOKUP(A115,'Données projet'!$A$217:$I$237,7,0)),0%,VLOOKUP(A115,'Données projet'!$A$217:$I$237,7,0))</f>
        <v>0</v>
      </c>
      <c r="DZ115" s="45">
        <f>EXP(-LN(2)/35)*DZ114+(1-EXP(-LN(2)/35))/(LN(2)/35)*DV115*DW115*VLOOKUP('Données projet'!$B$9,Paramètres!$A$1:$I$88,3,0)*0.475*44/12</f>
        <v>0</v>
      </c>
      <c r="EA115" s="45">
        <f>EXP(-LN(2)/25)*EA114+(1-EXP(-LN(2)/25))/(LN(2)/25)*Calculateur!DV115*Calculateur!DX115*VLOOKUP('Données projet'!$B$9,Paramètres!$A$1:$I$88,3,0)*0.475*44/12</f>
        <v>0</v>
      </c>
      <c r="EB115" s="45">
        <f>EXP(-LN(2)/2)*EB114+(1-EXP(-LN(2)/2))/(LN(2)/2)*DV115*DY115*VLOOKUP('Données projet'!$B$9,Paramètres!$A$1:$I$88,3,0)*0.475*44/12</f>
        <v>0</v>
      </c>
      <c r="EC115" s="46">
        <f t="shared" si="57"/>
        <v>0</v>
      </c>
      <c r="ED115" s="32" t="e">
        <f>VLOOKUP(A115,'Données projet'!$A$243:$I$263,2,0)</f>
        <v>#N/A</v>
      </c>
      <c r="EE115" s="33" t="e">
        <f>VLOOKUP(A115,'Données projet'!$A$243:$I$263,9,0)</f>
        <v>#N/A</v>
      </c>
      <c r="EF115" s="33">
        <f t="array" ref="EF115">INDEX(EE:EE,MIN(IF(ISNUMBER(EE115:EE311),ROW(EE115:EE311),"")))</f>
        <v>0</v>
      </c>
      <c r="EG115" s="33">
        <f t="shared" si="80"/>
        <v>0</v>
      </c>
      <c r="EH115" s="38" t="e">
        <f>EG115*VLOOKUP('Données projet'!$B$17,Paramètres!$A$1:$I$88,3,0)*VLOOKUP('Données projet'!$B$17,Paramètres!$A$1:$I$88,5,0)</f>
        <v>#N/A</v>
      </c>
      <c r="EI115" s="34" t="e">
        <f t="shared" si="81"/>
        <v>#N/A</v>
      </c>
      <c r="EJ115" s="44" t="e">
        <f t="shared" si="58"/>
        <v>#N/A</v>
      </c>
      <c r="EK115" s="36">
        <f>IF(ISNA(VLOOKUP(A115,'Données projet'!$A$243:$I$263,3,0)),0,VLOOKUP(A115,'Données projet'!$A$243:$I$263,3,0))</f>
        <v>0</v>
      </c>
      <c r="EL115" s="36">
        <f>IF(ISNA(VLOOKUP(A115,'Données projet'!$A$243:$I$263,4,0)),0,VLOOKUP(A115,'Données projet'!$A$243:$I$263,4,0))</f>
        <v>0</v>
      </c>
      <c r="EM115" s="37">
        <f>IF(ISNA(VLOOKUP(A115,'Données projet'!$A$243:$I$263,5,0)),0%,VLOOKUP(A115,'Données projet'!$A$243:$I$263,5,0)*VLOOKUP('Données projet'!$B$17,Paramètres!$A$1:$I$88,7,0))</f>
        <v>0</v>
      </c>
      <c r="EN115" s="37">
        <f>IF(ISNA(VLOOKUP(A115,'Données projet'!$A$243:$I$263,6,0)),0%,VLOOKUP(A115,'Données projet'!$A$243:$I$263,6,0)*VLOOKUP('Données projet'!$B$17,Paramètres!$A$1:$I$88,7,0))</f>
        <v>0</v>
      </c>
      <c r="EO115" s="37">
        <f>IF(ISNA(VLOOKUP(A115,'Données projet'!$A$243:$I$263,7,0)),0%,VLOOKUP(A115,'Données projet'!$A$243:$I$263,7,0))</f>
        <v>0</v>
      </c>
      <c r="EP115" s="45">
        <f>EXP(-LN(2)/35)*EP114+(1-EXP(-LN(2)/35))/(LN(2)/35)*EL115*EM115*VLOOKUP('Données projet'!$B$9,Paramètres!$A$1:$I$88,3,0)*0.475*44/12</f>
        <v>0</v>
      </c>
      <c r="EQ115" s="45">
        <f>EXP(-LN(2)/25)*EQ114+(1-EXP(-LN(2)/25))/(LN(2)/25)*Calculateur!EL115*Calculateur!EN115*VLOOKUP('Données projet'!$B$9,Paramètres!$A$1:$I$88,3,0)*0.475*44/12</f>
        <v>0</v>
      </c>
      <c r="ER115" s="45">
        <f>EXP(-LN(2)/2)*ER114+(1-EXP(-LN(2)/2))/(LN(2)/2)*EL115*EO115*VLOOKUP('Données projet'!$B$9,Paramètres!$A$1:$I$88,3,0)*0.475*44/12</f>
        <v>0</v>
      </c>
      <c r="ES115" s="46">
        <f t="shared" si="59"/>
        <v>0</v>
      </c>
      <c r="ET115" s="32" t="e">
        <f>VLOOKUP(A115,'Données projet'!$A$269:$I$289,2,0)</f>
        <v>#N/A</v>
      </c>
      <c r="EU115" s="33" t="e">
        <f>VLOOKUP(A115,'Données projet'!$A$269:$I$289,9,0)</f>
        <v>#N/A</v>
      </c>
      <c r="EV115" s="33">
        <f t="array" ref="EV115">INDEX(EU:EU,MIN(IF(ISNUMBER(EU115:EU311),ROW(EU115:EU311),"")))</f>
        <v>0</v>
      </c>
      <c r="EW115" s="33">
        <f t="shared" si="82"/>
        <v>0</v>
      </c>
      <c r="EX115" s="38" t="e">
        <f>EW115*VLOOKUP('Données projet'!$B$18,Paramètres!$A$1:$I$88,3,0)*VLOOKUP('Données projet'!$B$18,Paramètres!$A$1:$I$88,5,0)</f>
        <v>#N/A</v>
      </c>
      <c r="EY115" s="34" t="e">
        <f t="shared" si="83"/>
        <v>#N/A</v>
      </c>
      <c r="EZ115" s="44" t="e">
        <f t="shared" si="60"/>
        <v>#N/A</v>
      </c>
      <c r="FA115" s="36">
        <f>IF(ISNA(VLOOKUP(A115,'Données projet'!$A$269:$I$289,3,0)),0,VLOOKUP(A115,'Données projet'!$A$269:$I$289,3,0))</f>
        <v>0</v>
      </c>
      <c r="FB115" s="36">
        <f>IF(ISNA(VLOOKUP(A115,'Données projet'!$A$269:$I$289,4,0)),0,VLOOKUP(A115,'Données projet'!$A$269:$I$289,4,0))</f>
        <v>0</v>
      </c>
      <c r="FC115" s="37">
        <f>IF(ISNA(VLOOKUP(A115,'Données projet'!$A$269:$I$289,5,0)),0%,VLOOKUP(A115,'Données projet'!$A$269:$I$289,5,0)*VLOOKUP('Données projet'!$B$18,Paramètres!$A$1:$I$88,7,0))</f>
        <v>0</v>
      </c>
      <c r="FD115" s="37">
        <f>IF(ISNA(VLOOKUP(A115,'Données projet'!$A$269:$I$289,6,0)),0%,VLOOKUP(A115,'Données projet'!$A$269:$I$289,6,0)*VLOOKUP('Données projet'!$B$18,Paramètres!$A$1:$I$88,7,0))</f>
        <v>0</v>
      </c>
      <c r="FE115" s="37">
        <f>IF(ISNA(VLOOKUP(A115,'Données projet'!$A$269:$I$289,7,0)),0%,VLOOKUP(A115,'Données projet'!$A$269:$I$289,7,0))</f>
        <v>0</v>
      </c>
      <c r="FF115" s="45">
        <f>EXP(-LN(2)/35)*FF114+(1-EXP(-LN(2)/35))/(LN(2)/35)*FB115*FC115*VLOOKUP('Données projet'!$B$9,Paramètres!$A$1:$I$88,3,0)*0.475*44/12</f>
        <v>0</v>
      </c>
      <c r="FG115" s="45">
        <f>EXP(-LN(2)/25)*FG114+(1-EXP(-LN(2)/25))/(LN(2)/25)*Calculateur!FB115*Calculateur!FD115*VLOOKUP('Données projet'!$B$9,Paramètres!$A$1:$I$88,3,0)*0.475*44/12</f>
        <v>0</v>
      </c>
      <c r="FH115" s="45">
        <f>EXP(-LN(2)/2)*FH114+(1-EXP(-LN(2)/2))/(LN(2)/2)*FB115*FE115*VLOOKUP('Données projet'!$B$9,Paramètres!$A$1:$I$88,3,0)*0.475*44/12</f>
        <v>0</v>
      </c>
      <c r="FI115" s="46">
        <f t="shared" si="61"/>
        <v>0</v>
      </c>
    </row>
    <row r="116" spans="1:165" x14ac:dyDescent="0.25">
      <c r="A116" s="24">
        <f t="shared" si="62"/>
        <v>113</v>
      </c>
      <c r="B116" s="25">
        <f>IF('Scénario référence'!$N$1=1,5,0)</f>
        <v>0</v>
      </c>
      <c r="C116" s="40">
        <f>IF(OR('Scénario référence'!$N$1=2,'Scénario référence'!$N$1=4),C115+1*VLOOKUP('Scénario référence'!$G$14,Paramètres!$A$1:$I$88,3,0)*VLOOKUP('Scénario référence'!$G$14,Paramètres!$A$1:$I$88,5,0),IF(OR('Scénario référence'!$N$1=3,'Scénario référence'!$N$1=5),C115+0.5*VLOOKUP('Scénario référence'!$G$14,Paramètres!$A$1:$I$88,3,0)*VLOOKUP('Scénario référence'!$G$14,Paramètres!$A$1:$I$88,5,0),0))</f>
        <v>61.697999999999944</v>
      </c>
      <c r="D116" s="26">
        <f t="shared" si="63"/>
        <v>17.596876928845635</v>
      </c>
      <c r="E116" s="27">
        <f>IF('Scénario référence'!$N$1=1,B116*44/12,(C116+D116)*0.475*44/12)</f>
        <v>138.10524398440603</v>
      </c>
      <c r="F116" s="28" t="e">
        <f>VLOOKUP(A116,'Données projet'!$A$35:$I$55,2,0)</f>
        <v>#N/A</v>
      </c>
      <c r="G116" s="28" t="e">
        <f>VLOOKUP(A116,'Données projet'!$A$35:$I$55,9,0)</f>
        <v>#N/A</v>
      </c>
      <c r="H116" s="33">
        <f t="array" ref="H116">INDEX(G:G,MIN(IF(ISNUMBER(G116:G312),ROW(G116:G312),"")))</f>
        <v>4</v>
      </c>
      <c r="I116" s="28">
        <f t="shared" si="64"/>
        <v>295.99999999999955</v>
      </c>
      <c r="J116" s="41">
        <f>I116*VLOOKUP('Données projet'!$B$9,Paramètres!$A$1:$I$88,3,0)*VLOOKUP('Données projet'!$B$9,Paramètres!$A$1:$I$88,5,0)</f>
        <v>300.14399999999955</v>
      </c>
      <c r="K116" s="41">
        <f t="shared" si="65"/>
        <v>71.206650563609799</v>
      </c>
      <c r="L116" s="42">
        <f t="shared" si="42"/>
        <v>646.76904973161959</v>
      </c>
      <c r="M116" s="30">
        <f>IF(ISNA(VLOOKUP(A116,'Données projet'!$A$35:$I$55,3,0)),0,VLOOKUP(A116,'Données projet'!$A$35:$I$55,3,0))</f>
        <v>0</v>
      </c>
      <c r="N116" s="30">
        <f>IF(ISNA(VLOOKUP(A116,'Données projet'!$A$35:$I$55,4,0)),0,VLOOKUP(A116,'Données projet'!$A$35:$I$55,4,0))</f>
        <v>0</v>
      </c>
      <c r="O116" s="31">
        <f>IF(ISNA(VLOOKUP(A116,'Données projet'!$A$35:$I$55,5,0)),0%,VLOOKUP(A116,'Données projet'!$A$35:$I$55,5,0)*VLOOKUP('Données projet'!$B$9,Paramètres!$A$1:$I$88,7,0))</f>
        <v>0</v>
      </c>
      <c r="P116" s="31">
        <f>IF(ISNA(VLOOKUP(A116,'Données projet'!$A$35:$I$55,6,0)),0%,VLOOKUP(A116,'Données projet'!$A$35:$I$55,6,0)*VLOOKUP('Données projet'!$B$9,Paramètres!$A$1:$I$88,7,0))</f>
        <v>0</v>
      </c>
      <c r="Q116" s="31">
        <f>IF(ISNA(VLOOKUP(A116,'Données projet'!$A$35:$I$55,7,0)),0%,VLOOKUP(A116,'Données projet'!$A$35:$I$55,7,0))</f>
        <v>0</v>
      </c>
      <c r="R116" s="43">
        <f>EXP(-LN(2)/35)*R115+(1-EXP(-LN(2)/35))/(LN(2)/35)*N116*O116*VLOOKUP('Données projet'!$B$9,Paramètres!$A$1:$I$88,3,0)*0.475*44/12</f>
        <v>0</v>
      </c>
      <c r="S116" s="43">
        <f>EXP(-LN(2)/25)*S115+(1-EXP(-LN(2)/25))/(LN(2)/25)*Calculateur!N116*Calculateur!P116*VLOOKUP('Données projet'!$B$9,Paramètres!$A$1:$I$88,3,0)*0.475*44/12</f>
        <v>0</v>
      </c>
      <c r="T116" s="43">
        <f>EXP(-LN(2)/2)*T115+(1-EXP(-LN(2)/2))/(LN(2)/2)*N116*Q116*VLOOKUP('Données projet'!$B$9,Paramètres!$A$1:$I$88,3,0)*0.475*44/12</f>
        <v>0</v>
      </c>
      <c r="U116" s="43">
        <f t="shared" si="43"/>
        <v>0</v>
      </c>
      <c r="V116" s="32" t="e">
        <f>VLOOKUP(A116,'Données projet'!$A$61:$I$81,2,0)</f>
        <v>#N/A</v>
      </c>
      <c r="W116" s="33" t="e">
        <f>VLOOKUP(A116,'Données projet'!$A$61:$I$81,9,0)</f>
        <v>#N/A</v>
      </c>
      <c r="X116" s="33">
        <f t="array" ref="X116">INDEX(W:W,MIN(IF(ISNUMBER(W116:W312),ROW(W116:W312),"")))</f>
        <v>0</v>
      </c>
      <c r="Y116" s="33">
        <f t="shared" si="66"/>
        <v>0</v>
      </c>
      <c r="Z116" s="34" t="e">
        <f>Y116*VLOOKUP('Données projet'!$B$10,Paramètres!$A$1:$I$88,3,0)*VLOOKUP('Données projet'!$B$10,Paramètres!$A$1:$I$88,5,0)</f>
        <v>#N/A</v>
      </c>
      <c r="AA116" s="34" t="e">
        <f t="shared" si="67"/>
        <v>#N/A</v>
      </c>
      <c r="AB116" s="44" t="e">
        <f t="shared" si="44"/>
        <v>#N/A</v>
      </c>
      <c r="AC116" s="36">
        <f>IF(ISNA(VLOOKUP(A116,'Données projet'!$A$61:$I$81,3,0)),0,VLOOKUP(A116,'Données projet'!$A$61:$I$81,3,0))</f>
        <v>0</v>
      </c>
      <c r="AD116" s="36">
        <f>IF(ISNA(VLOOKUP(A116,'Données projet'!$A$61:$I$81,4,0)),0,VLOOKUP(A116,'Données projet'!$A$61:$I$81,4,0))</f>
        <v>0</v>
      </c>
      <c r="AE116" s="37">
        <f>IF(ISNA(VLOOKUP(A116,'Données projet'!$A$61:$I$81,5,0)),0%,VLOOKUP(A116,'Données projet'!$A$61:$I$81,5,0)*VLOOKUP('Données projet'!$B$10,Paramètres!$A$1:$I$88,7,0))</f>
        <v>0</v>
      </c>
      <c r="AF116" s="37">
        <f>IF(ISNA(VLOOKUP(A116,'Données projet'!$A$61:$I$81,6,0)),0%,VLOOKUP(A116,'Données projet'!$A$61:$I$81,6,0)*VLOOKUP('Données projet'!$B$10,Paramètres!$A$1:$I$88,7,0))</f>
        <v>0</v>
      </c>
      <c r="AG116" s="37">
        <f>IF(ISNA(VLOOKUP(A116,'Données projet'!$A$61:$I$81,7,0)),0%,VLOOKUP(A116,'Données projet'!$A$61:$I$81,7,0))</f>
        <v>0</v>
      </c>
      <c r="AH116" s="45">
        <f>EXP(-LN(2)/35)*AH115+(1-EXP(-LN(2)/35))/(LN(2)/35)*AD116*AE116*VLOOKUP('Données projet'!$B$9,Paramètres!$A$1:$I$88,3,0)*0.475*44/12</f>
        <v>0</v>
      </c>
      <c r="AI116" s="45">
        <f>EXP(-LN(2)/25)*AI115+(1-EXP(-LN(2)/25))/(LN(2)/25)*Calculateur!AD116*Calculateur!AF116*VLOOKUP('Données projet'!$B$9,Paramètres!$A$1:$I$88,3,0)*0.475*44/12</f>
        <v>0</v>
      </c>
      <c r="AJ116" s="45">
        <f>EXP(-LN(2)/2)*AJ115+(1-EXP(-LN(2)/2))/(LN(2)/2)*AD116*AG116*VLOOKUP('Données projet'!$B$9,Paramètres!$A$1:$I$88,3,0)*0.475*44/12</f>
        <v>0</v>
      </c>
      <c r="AK116" s="45">
        <f t="shared" si="45"/>
        <v>0</v>
      </c>
      <c r="AL116" s="32" t="e">
        <f>VLOOKUP(A116,'Données projet'!$A$87:$I$107,2,0)</f>
        <v>#N/A</v>
      </c>
      <c r="AM116" s="33" t="e">
        <f>VLOOKUP(A116,'Données projet'!$A$87:$I$107,9,0)</f>
        <v>#N/A</v>
      </c>
      <c r="AN116" s="33">
        <f t="array" ref="AN116">INDEX(AM:AM,MIN(IF(ISNUMBER(AM116:AM312),ROW(AM116:AM312),"")))</f>
        <v>0</v>
      </c>
      <c r="AO116" s="33">
        <f t="shared" si="68"/>
        <v>0</v>
      </c>
      <c r="AP116" s="34" t="e">
        <f>AO116*VLOOKUP('Données projet'!$B$11,Paramètres!$A$1:$I$88,3,0)*VLOOKUP('Données projet'!$B$11,Paramètres!$A$1:$I$88,5,0)</f>
        <v>#N/A</v>
      </c>
      <c r="AQ116" s="34" t="e">
        <f t="shared" si="69"/>
        <v>#N/A</v>
      </c>
      <c r="AR116" s="44" t="e">
        <f t="shared" si="46"/>
        <v>#N/A</v>
      </c>
      <c r="AS116" s="36">
        <f>IF(ISNA(VLOOKUP(A116,'Données projet'!$A$87:$I$107,3,0)),0,VLOOKUP(A116,'Données projet'!$A$87:$I$107,3,0))</f>
        <v>0</v>
      </c>
      <c r="AT116" s="36">
        <f>IF(ISNA(VLOOKUP(A116,'Données projet'!$A$87:$I$107,4,0)),0,VLOOKUP(A116,'Données projet'!$A$87:$I$107,4,0))</f>
        <v>0</v>
      </c>
      <c r="AU116" s="37">
        <f>IF(ISNA(VLOOKUP(A116,'Données projet'!$A$87:$I$107,5,0)),0%,VLOOKUP(A116,'Données projet'!$A$87:$I$107,5,0)*VLOOKUP('Données projet'!$B$11,Paramètres!$A$1:$I$88,7,0))</f>
        <v>0</v>
      </c>
      <c r="AV116" s="37">
        <f>IF(ISNA(VLOOKUP(A116,'Données projet'!$A$87:$I$107,6,0)),0%,VLOOKUP(A116,'Données projet'!$A$87:$I$107,6,0)*VLOOKUP('Données projet'!$B$11,Paramètres!$A$1:$I$88,7,0))</f>
        <v>0</v>
      </c>
      <c r="AW116" s="37">
        <f>IF(ISNA(VLOOKUP(A116,'Données projet'!$A$87:$I$107,7,0)),0%,VLOOKUP(A116,'Données projet'!$A$87:$I$107,7,0))</f>
        <v>0</v>
      </c>
      <c r="AX116" s="45">
        <f>EXP(-LN(2)/35)*AX115+(1-EXP(-LN(2)/35))/(LN(2)/35)*AT116*AU116*VLOOKUP('Données projet'!$B$9,Paramètres!$A$1:$I$88,3,0)*0.475*44/12</f>
        <v>0</v>
      </c>
      <c r="AY116" s="45">
        <f>EXP(-LN(2)/25)*AY115+(1-EXP(-LN(2)/25))/(LN(2)/25)*Calculateur!AT116*Calculateur!AV116*VLOOKUP('Données projet'!$B$9,Paramètres!$A$1:$I$88,3,0)*0.475*44/12</f>
        <v>0</v>
      </c>
      <c r="AZ116" s="45">
        <f>EXP(-LN(2)/2)*AZ115+(1-EXP(-LN(2)/2))/(LN(2)/2)*AT116*AW116*VLOOKUP('Données projet'!$B$9,Paramètres!$A$1:$I$88,3,0)*0.475*44/12</f>
        <v>0</v>
      </c>
      <c r="BA116" s="46">
        <f t="shared" si="47"/>
        <v>0</v>
      </c>
      <c r="BB116" s="32" t="e">
        <f>VLOOKUP(A116,'Données projet'!$A$113:$I$133,2,0)</f>
        <v>#N/A</v>
      </c>
      <c r="BC116" s="33" t="e">
        <f>VLOOKUP(A116,'Données projet'!$A$113:$I$133,9,0)</f>
        <v>#N/A</v>
      </c>
      <c r="BD116" s="33">
        <f t="array" ref="BD116">INDEX(BC:BC,MIN(IF(ISNUMBER(BC116:BC312),ROW(BC116:BC312),"")))</f>
        <v>0</v>
      </c>
      <c r="BE116" s="33">
        <f t="shared" si="70"/>
        <v>0</v>
      </c>
      <c r="BF116" s="34" t="e">
        <f>BE116*VLOOKUP('Données projet'!$B$12,Paramètres!$A$1:$I$88,3,0)*VLOOKUP('Données projet'!$B$12,Paramètres!$A$1:$I$88,5,0)</f>
        <v>#N/A</v>
      </c>
      <c r="BG116" s="34" t="e">
        <f t="shared" si="71"/>
        <v>#N/A</v>
      </c>
      <c r="BH116" s="44" t="e">
        <f t="shared" si="48"/>
        <v>#N/A</v>
      </c>
      <c r="BI116" s="36">
        <f>IF(ISNA(VLOOKUP(A116,'Données projet'!$A$113:$I$133,3,0)),0,VLOOKUP(A116,'Données projet'!$A$113:$I$133,3,0))</f>
        <v>0</v>
      </c>
      <c r="BJ116" s="36">
        <f>IF(ISNA(VLOOKUP(A116,'Données projet'!$A$113:$I$133,4,0)),0,VLOOKUP(A116,'Données projet'!$A$113:$I$133,4,0))</f>
        <v>0</v>
      </c>
      <c r="BK116" s="37">
        <f>IF(ISNA(VLOOKUP(A116,'Données projet'!$A$113:$I$133,5,0)),0%,VLOOKUP(A116,'Données projet'!$A$113:$I$133,5,0)*VLOOKUP('Données projet'!$B$12,Paramètres!$A$1:$I$88,7,0))</f>
        <v>0</v>
      </c>
      <c r="BL116" s="37">
        <f>IF(ISNA(VLOOKUP(A116,'Données projet'!$A$113:$I$133,6,0)),0%,VLOOKUP(A116,'Données projet'!$A$113:$I$133,6,0)*VLOOKUP('Données projet'!$B$12,Paramètres!$A$1:$I$88,7,0))</f>
        <v>0</v>
      </c>
      <c r="BM116" s="37">
        <f>IF(ISNA(VLOOKUP(A116,'Données projet'!$A$113:$I$133,7,0)),0%,VLOOKUP(A116,'Données projet'!$A$113:$I$133,7,0))</f>
        <v>0</v>
      </c>
      <c r="BN116" s="45">
        <f>EXP(-LN(2)/35)*BN115+(1-EXP(-LN(2)/35))/(LN(2)/35)*BJ116*BK116*VLOOKUP('Données projet'!$B$9,Paramètres!$A$1:$I$88,3,0)*0.475*44/12</f>
        <v>0</v>
      </c>
      <c r="BO116" s="45">
        <f>EXP(-LN(2)/25)*BO115+(1-EXP(-LN(2)/25))/(LN(2)/25)*Calculateur!BJ116*Calculateur!BL116*VLOOKUP('Données projet'!$B$9,Paramètres!$A$1:$I$88,3,0)*0.475*44/12</f>
        <v>0</v>
      </c>
      <c r="BP116" s="45">
        <f>EXP(-LN(2)/2)*BP115+(1-EXP(-LN(2)/2))/(LN(2)/2)*BJ116*BM116*VLOOKUP('Données projet'!$B$9,Paramètres!$A$1:$I$88,3,0)*0.475*44/12</f>
        <v>0</v>
      </c>
      <c r="BQ116" s="46">
        <f t="shared" si="49"/>
        <v>0</v>
      </c>
      <c r="BR116" s="32" t="e">
        <f>VLOOKUP(A116,'Données projet'!$A$139:$I$159,2,0)</f>
        <v>#N/A</v>
      </c>
      <c r="BS116" s="33" t="e">
        <f>VLOOKUP(A116,'Données projet'!$A$139:$I$159,9,0)</f>
        <v>#N/A</v>
      </c>
      <c r="BT116" s="33">
        <f t="array" ref="BT116">INDEX(BS:BS,MIN(IF(ISNUMBER(BS116:BS312),ROW(BS116:BS312),"")))</f>
        <v>0</v>
      </c>
      <c r="BU116" s="33">
        <f t="shared" si="72"/>
        <v>0</v>
      </c>
      <c r="BV116" s="38" t="e">
        <f>BU116*VLOOKUP('Données projet'!$B$13,Paramètres!$A$1:$I$88,3,0)*VLOOKUP('Données projet'!$B$13,Paramètres!$A$1:$I$88,5,0)</f>
        <v>#N/A</v>
      </c>
      <c r="BW116" s="34" t="e">
        <f t="shared" si="73"/>
        <v>#N/A</v>
      </c>
      <c r="BX116" s="44" t="e">
        <f t="shared" si="50"/>
        <v>#N/A</v>
      </c>
      <c r="BY116" s="36">
        <f>IF(ISNA(VLOOKUP(A116,'Données projet'!$A$139:$I$159,3,0)),0,VLOOKUP(A116,'Données projet'!$A$139:$I$159,3,0))</f>
        <v>0</v>
      </c>
      <c r="BZ116" s="36">
        <f>IF(ISNA(VLOOKUP(A116,'Données projet'!$A$139:$I$159,4,0)),0,VLOOKUP(A116,'Données projet'!$A$139:$I$159,4,0))</f>
        <v>0</v>
      </c>
      <c r="CA116" s="37">
        <f>IF(ISNA(VLOOKUP(A116,'Données projet'!$A$139:$I$159,5,0)),0%,VLOOKUP(A116,'Données projet'!$A$139:$I$159,5,0)*VLOOKUP('Données projet'!$B$13,Paramètres!$A$1:$I$88,7,0))</f>
        <v>0</v>
      </c>
      <c r="CB116" s="37">
        <f>IF(ISNA(VLOOKUP(A116,'Données projet'!$A$139:$I$159,6,0)),0%,VLOOKUP(A116,'Données projet'!$A$139:$I$159,6,0)*VLOOKUP('Données projet'!$B$13,Paramètres!$A$1:$I$88,7,0))</f>
        <v>0</v>
      </c>
      <c r="CC116" s="37">
        <f>IF(ISNA(VLOOKUP(A116,'Données projet'!$A$139:$I$159,7,0)),0%,VLOOKUP(A116,'Données projet'!$A$139:$I$159,7,0))</f>
        <v>0</v>
      </c>
      <c r="CD116" s="45">
        <f>EXP(-LN(2)/35)*CD115+(1-EXP(-LN(2)/35))/(LN(2)/35)*BZ116*CA116*VLOOKUP('Données projet'!$B$9,Paramètres!$A$1:$I$88,3,0)*0.475*44/12</f>
        <v>0</v>
      </c>
      <c r="CE116" s="45">
        <f>EXP(-LN(2)/25)*CE115+(1-EXP(-LN(2)/25))/(LN(2)/25)*Calculateur!BZ116*Calculateur!CB116*VLOOKUP('Données projet'!$B$9,Paramètres!$A$1:$I$88,3,0)*0.475*44/12</f>
        <v>0</v>
      </c>
      <c r="CF116" s="45">
        <f>EXP(-LN(2)/2)*CF115+(1-EXP(-LN(2)/2))/(LN(2)/2)*BZ116*CC116*VLOOKUP('Données projet'!$B$9,Paramètres!$A$1:$I$88,3,0)*0.475*44/12</f>
        <v>0</v>
      </c>
      <c r="CG116" s="46">
        <f t="shared" si="51"/>
        <v>0</v>
      </c>
      <c r="CH116" s="32" t="e">
        <f>VLOOKUP(A116,'Données projet'!$A$165:$I$185,2,0)</f>
        <v>#N/A</v>
      </c>
      <c r="CI116" s="33" t="e">
        <f>VLOOKUP(A116,'Données projet'!$A$165:$I$185,9,0)</f>
        <v>#N/A</v>
      </c>
      <c r="CJ116" s="33">
        <f t="array" ref="CJ116">INDEX(CI:CI,MIN(IF(ISNUMBER(CI116:CI312),ROW(CI116:CI312),"")))</f>
        <v>0</v>
      </c>
      <c r="CK116" s="33">
        <f t="shared" si="74"/>
        <v>0</v>
      </c>
      <c r="CL116" s="38" t="e">
        <f>CK116*VLOOKUP('Données projet'!$B$14,Paramètres!$A$1:$I$88,3,0)*VLOOKUP('Données projet'!$B$14,Paramètres!$A$1:$I$88,5,0)</f>
        <v>#N/A</v>
      </c>
      <c r="CM116" s="34" t="e">
        <f t="shared" si="75"/>
        <v>#N/A</v>
      </c>
      <c r="CN116" s="44" t="e">
        <f t="shared" si="52"/>
        <v>#N/A</v>
      </c>
      <c r="CO116" s="36">
        <f>IF(ISNA(VLOOKUP(A116,'Données projet'!$A$165:$I$185,3,0)),0,VLOOKUP(A116,'Données projet'!$A$165:$I$185,3,0))</f>
        <v>0</v>
      </c>
      <c r="CP116" s="36">
        <f>IF(ISNA(VLOOKUP(A116,'Données projet'!$A$165:$I$185,4,0)),0,VLOOKUP(A116,'Données projet'!$A$165:$I$185,4,0))</f>
        <v>0</v>
      </c>
      <c r="CQ116" s="37">
        <f>IF(ISNA(VLOOKUP(A116,'Données projet'!$A$165:$I$185,5,0)),0%,VLOOKUP(A116,'Données projet'!$A$165:$I$185,5,0)*VLOOKUP('Données projet'!$B$14,Paramètres!$A$1:$I$88,7,0))</f>
        <v>0</v>
      </c>
      <c r="CR116" s="37">
        <f>IF(ISNA(VLOOKUP(A116,'Données projet'!$A$165:$I$185,6,0)),0%,VLOOKUP(A116,'Données projet'!$A$165:$I$185,6,0)*VLOOKUP('Données projet'!$B$14,Paramètres!$A$1:$I$88,7,0))</f>
        <v>0</v>
      </c>
      <c r="CS116" s="37">
        <f>IF(ISNA(VLOOKUP(A116,'Données projet'!$A$165:$I$185,7,0)),0%,VLOOKUP(A116,'Données projet'!$A$165:$I$185,7,0))</f>
        <v>0</v>
      </c>
      <c r="CT116" s="45">
        <f>EXP(-LN(2)/35)*CT115+(1-EXP(-LN(2)/35))/(LN(2)/35)*CP116*CQ116*VLOOKUP('Données projet'!$B$9,Paramètres!$A$1:$I$88,3,0)*0.475*44/12</f>
        <v>0</v>
      </c>
      <c r="CU116" s="45">
        <f>EXP(-LN(2)/25)*CU115+(1-EXP(-LN(2)/25))/(LN(2)/25)*Calculateur!CP116*Calculateur!CR116*VLOOKUP('Données projet'!$B$9,Paramètres!$A$1:$I$88,3,0)*0.475*44/12</f>
        <v>0</v>
      </c>
      <c r="CV116" s="45">
        <f>EXP(-LN(2)/2)*CV115+(1-EXP(-LN(2)/2))/(LN(2)/2)*CP116*CS116*VLOOKUP('Données projet'!$B$9,Paramètres!$A$1:$I$88,3,0)*0.475*44/12</f>
        <v>0</v>
      </c>
      <c r="CW116" s="46">
        <f t="shared" si="53"/>
        <v>0</v>
      </c>
      <c r="CX116" s="32" t="e">
        <f>VLOOKUP(A116,'Données projet'!$A$191:$I$211,2,0)</f>
        <v>#N/A</v>
      </c>
      <c r="CY116" s="33" t="e">
        <f>VLOOKUP(A116,'Données projet'!$A$191:$I$211,9,0)</f>
        <v>#N/A</v>
      </c>
      <c r="CZ116" s="33">
        <f t="array" ref="CZ116">INDEX(CY:CY,MIN(IF(ISNUMBER(CY116:CY312),ROW(CY116:CY312),"")))</f>
        <v>0</v>
      </c>
      <c r="DA116" s="33">
        <f t="shared" si="76"/>
        <v>0</v>
      </c>
      <c r="DB116" s="38" t="e">
        <f>DA116*VLOOKUP('Données projet'!$B$15,Paramètres!$A$1:$I$88,3,0)*VLOOKUP('Données projet'!$B$15,Paramètres!$A$1:$I$88,5,0)</f>
        <v>#N/A</v>
      </c>
      <c r="DC116" s="34" t="e">
        <f t="shared" si="77"/>
        <v>#N/A</v>
      </c>
      <c r="DD116" s="44" t="e">
        <f t="shared" si="54"/>
        <v>#N/A</v>
      </c>
      <c r="DE116" s="36">
        <f>IF(ISNA(VLOOKUP(A116,'Données projet'!$A$191:$I$211,3,0)),0,VLOOKUP(A116,'Données projet'!$A$191:$I$211,3,0))</f>
        <v>0</v>
      </c>
      <c r="DF116" s="36">
        <f>IF(ISNA(VLOOKUP(A116,'Données projet'!$A$191:$I$211,4,0)),0,VLOOKUP(A116,'Données projet'!$A$191:$I$211,4,0))</f>
        <v>0</v>
      </c>
      <c r="DG116" s="37">
        <f>IF(ISNA(VLOOKUP(A116,'Données projet'!$A$191:$I$211,5,0)),0%,VLOOKUP(A116,'Données projet'!$A$191:$I$211,5,0)*VLOOKUP('Données projet'!$B$15,Paramètres!$A$1:$I$88,7,0))</f>
        <v>0</v>
      </c>
      <c r="DH116" s="37">
        <f>IF(ISNA(VLOOKUP(A116,'Données projet'!$A$191:$I$211,6,0)),0%,VLOOKUP(A116,'Données projet'!$A$191:$I$211,6,0)*VLOOKUP('Données projet'!$B$15,Paramètres!$A$1:$I$88,7,0))</f>
        <v>0</v>
      </c>
      <c r="DI116" s="37">
        <f>IF(ISNA(VLOOKUP(A116,'Données projet'!$A$191:$I$211,7,0)),0%,VLOOKUP(A116,'Données projet'!$A$191:$I$211,7,0))</f>
        <v>0</v>
      </c>
      <c r="DJ116" s="45">
        <f>EXP(-LN(2)/35)*DJ115+(1-EXP(-LN(2)/35))/(LN(2)/35)*DF116*DG116*VLOOKUP('Données projet'!$B$9,Paramètres!$A$1:$I$88,3,0)*0.475*44/12</f>
        <v>0</v>
      </c>
      <c r="DK116" s="45">
        <f>EXP(-LN(2)/25)*DK115+(1-EXP(-LN(2)/25))/(LN(2)/25)*Calculateur!DF116*Calculateur!DH116*VLOOKUP('Données projet'!$B$9,Paramètres!$A$1:$I$88,3,0)*0.475*44/12</f>
        <v>0</v>
      </c>
      <c r="DL116" s="45">
        <f>EXP(-LN(2)/2)*DL115+(1-EXP(-LN(2)/2))/(LN(2)/2)*DF116*DI116*VLOOKUP('Données projet'!$B$9,Paramètres!$A$1:$I$88,3,0)*0.475*44/12</f>
        <v>0</v>
      </c>
      <c r="DM116" s="46">
        <f t="shared" si="55"/>
        <v>0</v>
      </c>
      <c r="DN116" s="32" t="e">
        <f>VLOOKUP(A116,'Données projet'!$A$217:$I$237,2,0)</f>
        <v>#N/A</v>
      </c>
      <c r="DO116" s="33" t="e">
        <f>VLOOKUP(A116,'Données projet'!$A$217:$I$237,9,0)</f>
        <v>#N/A</v>
      </c>
      <c r="DP116" s="33">
        <f t="array" ref="DP116">INDEX(DO:DO,MIN(IF(ISNUMBER(DO116:DO312),ROW(DO116:DO312),"")))</f>
        <v>0</v>
      </c>
      <c r="DQ116" s="33">
        <f t="shared" si="78"/>
        <v>0</v>
      </c>
      <c r="DR116" s="38" t="e">
        <f>DQ116*VLOOKUP('Données projet'!$B$16,Paramètres!$A$1:$I$88,3,0)*VLOOKUP('Données projet'!$B$16,Paramètres!$A$1:$I$88,5,0)</f>
        <v>#N/A</v>
      </c>
      <c r="DS116" s="34" t="e">
        <f t="shared" si="79"/>
        <v>#N/A</v>
      </c>
      <c r="DT116" s="44" t="e">
        <f t="shared" si="56"/>
        <v>#N/A</v>
      </c>
      <c r="DU116" s="36">
        <f>IF(ISNA(VLOOKUP(A116,'Données projet'!$A$217:$I$237,3,0)),0,VLOOKUP(A116,'Données projet'!$A$217:$I$237,3,0))</f>
        <v>0</v>
      </c>
      <c r="DV116" s="36">
        <f>IF(ISNA(VLOOKUP(A116,'Données projet'!$A$217:$I$237,4,0)),0,VLOOKUP(A116,'Données projet'!$A$217:$I$237,4,0))</f>
        <v>0</v>
      </c>
      <c r="DW116" s="37">
        <f>IF(ISNA(VLOOKUP(A116,'Données projet'!$A$217:$I$237,5,0)),0%,VLOOKUP(A116,'Données projet'!$A$217:$I$237,5,0)*VLOOKUP('Données projet'!$B$16,Paramètres!$A$1:$I$88,7,0))</f>
        <v>0</v>
      </c>
      <c r="DX116" s="37">
        <f>IF(ISNA(VLOOKUP(A116,'Données projet'!$A$217:$I$237,6,0)),0%,VLOOKUP(A116,'Données projet'!$A$217:$I$237,6,0)*VLOOKUP('Données projet'!$B$16,Paramètres!$A$1:$I$88,7,0))</f>
        <v>0</v>
      </c>
      <c r="DY116" s="37">
        <f>IF(ISNA(VLOOKUP(A116,'Données projet'!$A$217:$I$237,7,0)),0%,VLOOKUP(A116,'Données projet'!$A$217:$I$237,7,0))</f>
        <v>0</v>
      </c>
      <c r="DZ116" s="45">
        <f>EXP(-LN(2)/35)*DZ115+(1-EXP(-LN(2)/35))/(LN(2)/35)*DV116*DW116*VLOOKUP('Données projet'!$B$9,Paramètres!$A$1:$I$88,3,0)*0.475*44/12</f>
        <v>0</v>
      </c>
      <c r="EA116" s="45">
        <f>EXP(-LN(2)/25)*EA115+(1-EXP(-LN(2)/25))/(LN(2)/25)*Calculateur!DV116*Calculateur!DX116*VLOOKUP('Données projet'!$B$9,Paramètres!$A$1:$I$88,3,0)*0.475*44/12</f>
        <v>0</v>
      </c>
      <c r="EB116" s="45">
        <f>EXP(-LN(2)/2)*EB115+(1-EXP(-LN(2)/2))/(LN(2)/2)*DV116*DY116*VLOOKUP('Données projet'!$B$9,Paramètres!$A$1:$I$88,3,0)*0.475*44/12</f>
        <v>0</v>
      </c>
      <c r="EC116" s="46">
        <f t="shared" si="57"/>
        <v>0</v>
      </c>
      <c r="ED116" s="32" t="e">
        <f>VLOOKUP(A116,'Données projet'!$A$243:$I$263,2,0)</f>
        <v>#N/A</v>
      </c>
      <c r="EE116" s="33" t="e">
        <f>VLOOKUP(A116,'Données projet'!$A$243:$I$263,9,0)</f>
        <v>#N/A</v>
      </c>
      <c r="EF116" s="33">
        <f t="array" ref="EF116">INDEX(EE:EE,MIN(IF(ISNUMBER(EE116:EE312),ROW(EE116:EE312),"")))</f>
        <v>0</v>
      </c>
      <c r="EG116" s="33">
        <f t="shared" si="80"/>
        <v>0</v>
      </c>
      <c r="EH116" s="38" t="e">
        <f>EG116*VLOOKUP('Données projet'!$B$17,Paramètres!$A$1:$I$88,3,0)*VLOOKUP('Données projet'!$B$17,Paramètres!$A$1:$I$88,5,0)</f>
        <v>#N/A</v>
      </c>
      <c r="EI116" s="34" t="e">
        <f t="shared" si="81"/>
        <v>#N/A</v>
      </c>
      <c r="EJ116" s="44" t="e">
        <f t="shared" si="58"/>
        <v>#N/A</v>
      </c>
      <c r="EK116" s="36">
        <f>IF(ISNA(VLOOKUP(A116,'Données projet'!$A$243:$I$263,3,0)),0,VLOOKUP(A116,'Données projet'!$A$243:$I$263,3,0))</f>
        <v>0</v>
      </c>
      <c r="EL116" s="36">
        <f>IF(ISNA(VLOOKUP(A116,'Données projet'!$A$243:$I$263,4,0)),0,VLOOKUP(A116,'Données projet'!$A$243:$I$263,4,0))</f>
        <v>0</v>
      </c>
      <c r="EM116" s="37">
        <f>IF(ISNA(VLOOKUP(A116,'Données projet'!$A$243:$I$263,5,0)),0%,VLOOKUP(A116,'Données projet'!$A$243:$I$263,5,0)*VLOOKUP('Données projet'!$B$17,Paramètres!$A$1:$I$88,7,0))</f>
        <v>0</v>
      </c>
      <c r="EN116" s="37">
        <f>IF(ISNA(VLOOKUP(A116,'Données projet'!$A$243:$I$263,6,0)),0%,VLOOKUP(A116,'Données projet'!$A$243:$I$263,6,0)*VLOOKUP('Données projet'!$B$17,Paramètres!$A$1:$I$88,7,0))</f>
        <v>0</v>
      </c>
      <c r="EO116" s="37">
        <f>IF(ISNA(VLOOKUP(A116,'Données projet'!$A$243:$I$263,7,0)),0%,VLOOKUP(A116,'Données projet'!$A$243:$I$263,7,0))</f>
        <v>0</v>
      </c>
      <c r="EP116" s="45">
        <f>EXP(-LN(2)/35)*EP115+(1-EXP(-LN(2)/35))/(LN(2)/35)*EL116*EM116*VLOOKUP('Données projet'!$B$9,Paramètres!$A$1:$I$88,3,0)*0.475*44/12</f>
        <v>0</v>
      </c>
      <c r="EQ116" s="45">
        <f>EXP(-LN(2)/25)*EQ115+(1-EXP(-LN(2)/25))/(LN(2)/25)*Calculateur!EL116*Calculateur!EN116*VLOOKUP('Données projet'!$B$9,Paramètres!$A$1:$I$88,3,0)*0.475*44/12</f>
        <v>0</v>
      </c>
      <c r="ER116" s="45">
        <f>EXP(-LN(2)/2)*ER115+(1-EXP(-LN(2)/2))/(LN(2)/2)*EL116*EO116*VLOOKUP('Données projet'!$B$9,Paramètres!$A$1:$I$88,3,0)*0.475*44/12</f>
        <v>0</v>
      </c>
      <c r="ES116" s="46">
        <f t="shared" si="59"/>
        <v>0</v>
      </c>
      <c r="ET116" s="32" t="e">
        <f>VLOOKUP(A116,'Données projet'!$A$269:$I$289,2,0)</f>
        <v>#N/A</v>
      </c>
      <c r="EU116" s="33" t="e">
        <f>VLOOKUP(A116,'Données projet'!$A$269:$I$289,9,0)</f>
        <v>#N/A</v>
      </c>
      <c r="EV116" s="33">
        <f t="array" ref="EV116">INDEX(EU:EU,MIN(IF(ISNUMBER(EU116:EU312),ROW(EU116:EU312),"")))</f>
        <v>0</v>
      </c>
      <c r="EW116" s="33">
        <f t="shared" si="82"/>
        <v>0</v>
      </c>
      <c r="EX116" s="38" t="e">
        <f>EW116*VLOOKUP('Données projet'!$B$18,Paramètres!$A$1:$I$88,3,0)*VLOOKUP('Données projet'!$B$18,Paramètres!$A$1:$I$88,5,0)</f>
        <v>#N/A</v>
      </c>
      <c r="EY116" s="34" t="e">
        <f t="shared" si="83"/>
        <v>#N/A</v>
      </c>
      <c r="EZ116" s="44" t="e">
        <f t="shared" si="60"/>
        <v>#N/A</v>
      </c>
      <c r="FA116" s="36">
        <f>IF(ISNA(VLOOKUP(A116,'Données projet'!$A$269:$I$289,3,0)),0,VLOOKUP(A116,'Données projet'!$A$269:$I$289,3,0))</f>
        <v>0</v>
      </c>
      <c r="FB116" s="36">
        <f>IF(ISNA(VLOOKUP(A116,'Données projet'!$A$269:$I$289,4,0)),0,VLOOKUP(A116,'Données projet'!$A$269:$I$289,4,0))</f>
        <v>0</v>
      </c>
      <c r="FC116" s="37">
        <f>IF(ISNA(VLOOKUP(A116,'Données projet'!$A$269:$I$289,5,0)),0%,VLOOKUP(A116,'Données projet'!$A$269:$I$289,5,0)*VLOOKUP('Données projet'!$B$18,Paramètres!$A$1:$I$88,7,0))</f>
        <v>0</v>
      </c>
      <c r="FD116" s="37">
        <f>IF(ISNA(VLOOKUP(A116,'Données projet'!$A$269:$I$289,6,0)),0%,VLOOKUP(A116,'Données projet'!$A$269:$I$289,6,0)*VLOOKUP('Données projet'!$B$18,Paramètres!$A$1:$I$88,7,0))</f>
        <v>0</v>
      </c>
      <c r="FE116" s="37">
        <f>IF(ISNA(VLOOKUP(A116,'Données projet'!$A$269:$I$289,7,0)),0%,VLOOKUP(A116,'Données projet'!$A$269:$I$289,7,0))</f>
        <v>0</v>
      </c>
      <c r="FF116" s="45">
        <f>EXP(-LN(2)/35)*FF115+(1-EXP(-LN(2)/35))/(LN(2)/35)*FB116*FC116*VLOOKUP('Données projet'!$B$9,Paramètres!$A$1:$I$88,3,0)*0.475*44/12</f>
        <v>0</v>
      </c>
      <c r="FG116" s="45">
        <f>EXP(-LN(2)/25)*FG115+(1-EXP(-LN(2)/25))/(LN(2)/25)*Calculateur!FB116*Calculateur!FD116*VLOOKUP('Données projet'!$B$9,Paramètres!$A$1:$I$88,3,0)*0.475*44/12</f>
        <v>0</v>
      </c>
      <c r="FH116" s="45">
        <f>EXP(-LN(2)/2)*FH115+(1-EXP(-LN(2)/2))/(LN(2)/2)*FB116*FE116*VLOOKUP('Données projet'!$B$9,Paramètres!$A$1:$I$88,3,0)*0.475*44/12</f>
        <v>0</v>
      </c>
      <c r="FI116" s="46">
        <f t="shared" si="61"/>
        <v>0</v>
      </c>
    </row>
    <row r="117" spans="1:165" x14ac:dyDescent="0.25">
      <c r="A117" s="24">
        <f t="shared" si="62"/>
        <v>114</v>
      </c>
      <c r="B117" s="25">
        <f>IF('Scénario référence'!$N$1=1,5,0)</f>
        <v>0</v>
      </c>
      <c r="C117" s="40">
        <f>IF(OR('Scénario référence'!$N$1=2,'Scénario référence'!$N$1=4),C116+1*VLOOKUP('Scénario référence'!$G$14,Paramètres!$A$1:$I$88,3,0)*VLOOKUP('Scénario référence'!$G$14,Paramètres!$A$1:$I$88,5,0),IF(OR('Scénario référence'!$N$1=3,'Scénario référence'!$N$1=5),C116+0.5*VLOOKUP('Scénario référence'!$G$14,Paramètres!$A$1:$I$88,3,0)*VLOOKUP('Scénario référence'!$G$14,Paramètres!$A$1:$I$88,5,0),0))</f>
        <v>62.243999999999943</v>
      </c>
      <c r="D117" s="26">
        <f t="shared" si="63"/>
        <v>17.734404526076418</v>
      </c>
      <c r="E117" s="27">
        <f>IF('Scénario référence'!$N$1=1,B117*44/12,(C117+D117)*0.475*44/12)</f>
        <v>139.29572121624963</v>
      </c>
      <c r="F117" s="28" t="e">
        <f>VLOOKUP(A117,'Données projet'!$A$35:$I$55,2,0)</f>
        <v>#N/A</v>
      </c>
      <c r="G117" s="28" t="e">
        <f>VLOOKUP(A117,'Données projet'!$A$35:$I$55,9,0)</f>
        <v>#N/A</v>
      </c>
      <c r="H117" s="33">
        <f t="array" ref="H117">INDEX(G:G,MIN(IF(ISNUMBER(G117:G313),ROW(G117:G313),"")))</f>
        <v>4</v>
      </c>
      <c r="I117" s="28">
        <f t="shared" si="64"/>
        <v>299.99999999999955</v>
      </c>
      <c r="J117" s="41">
        <f>I117*VLOOKUP('Données projet'!$B$9,Paramètres!$A$1:$I$88,3,0)*VLOOKUP('Données projet'!$B$9,Paramètres!$A$1:$I$88,5,0)</f>
        <v>304.19999999999959</v>
      </c>
      <c r="K117" s="41">
        <f t="shared" si="65"/>
        <v>72.056231093481003</v>
      </c>
      <c r="L117" s="42">
        <f t="shared" si="42"/>
        <v>655.31293582114529</v>
      </c>
      <c r="M117" s="30">
        <f>IF(ISNA(VLOOKUP(A117,'Données projet'!$A$35:$I$55,3,0)),0,VLOOKUP(A117,'Données projet'!$A$35:$I$55,3,0))</f>
        <v>0</v>
      </c>
      <c r="N117" s="30">
        <f>IF(ISNA(VLOOKUP(A117,'Données projet'!$A$35:$I$55,4,0)),0,VLOOKUP(A117,'Données projet'!$A$35:$I$55,4,0))</f>
        <v>0</v>
      </c>
      <c r="O117" s="31">
        <f>IF(ISNA(VLOOKUP(A117,'Données projet'!$A$35:$I$55,5,0)),0%,VLOOKUP(A117,'Données projet'!$A$35:$I$55,5,0)*VLOOKUP('Données projet'!$B$9,Paramètres!$A$1:$I$88,7,0))</f>
        <v>0</v>
      </c>
      <c r="P117" s="31">
        <f>IF(ISNA(VLOOKUP(A117,'Données projet'!$A$35:$I$55,6,0)),0%,VLOOKUP(A117,'Données projet'!$A$35:$I$55,6,0)*VLOOKUP('Données projet'!$B$9,Paramètres!$A$1:$I$88,7,0))</f>
        <v>0</v>
      </c>
      <c r="Q117" s="31">
        <f>IF(ISNA(VLOOKUP(A117,'Données projet'!$A$35:$I$55,7,0)),0%,VLOOKUP(A117,'Données projet'!$A$35:$I$55,7,0))</f>
        <v>0</v>
      </c>
      <c r="R117" s="43">
        <f>EXP(-LN(2)/35)*R116+(1-EXP(-LN(2)/35))/(LN(2)/35)*N117*O117*VLOOKUP('Données projet'!$B$9,Paramètres!$A$1:$I$88,3,0)*0.475*44/12</f>
        <v>0</v>
      </c>
      <c r="S117" s="43">
        <f>EXP(-LN(2)/25)*S116+(1-EXP(-LN(2)/25))/(LN(2)/25)*Calculateur!N117*Calculateur!P117*VLOOKUP('Données projet'!$B$9,Paramètres!$A$1:$I$88,3,0)*0.475*44/12</f>
        <v>0</v>
      </c>
      <c r="T117" s="43">
        <f>EXP(-LN(2)/2)*T116+(1-EXP(-LN(2)/2))/(LN(2)/2)*N117*Q117*VLOOKUP('Données projet'!$B$9,Paramètres!$A$1:$I$88,3,0)*0.475*44/12</f>
        <v>0</v>
      </c>
      <c r="U117" s="43">
        <f t="shared" si="43"/>
        <v>0</v>
      </c>
      <c r="V117" s="32" t="e">
        <f>VLOOKUP(A117,'Données projet'!$A$61:$I$81,2,0)</f>
        <v>#N/A</v>
      </c>
      <c r="W117" s="33" t="e">
        <f>VLOOKUP(A117,'Données projet'!$A$61:$I$81,9,0)</f>
        <v>#N/A</v>
      </c>
      <c r="X117" s="33">
        <f t="array" ref="X117">INDEX(W:W,MIN(IF(ISNUMBER(W117:W313),ROW(W117:W313),"")))</f>
        <v>0</v>
      </c>
      <c r="Y117" s="33">
        <f t="shared" si="66"/>
        <v>0</v>
      </c>
      <c r="Z117" s="34" t="e">
        <f>Y117*VLOOKUP('Données projet'!$B$10,Paramètres!$A$1:$I$88,3,0)*VLOOKUP('Données projet'!$B$10,Paramètres!$A$1:$I$88,5,0)</f>
        <v>#N/A</v>
      </c>
      <c r="AA117" s="34" t="e">
        <f t="shared" si="67"/>
        <v>#N/A</v>
      </c>
      <c r="AB117" s="44" t="e">
        <f t="shared" si="44"/>
        <v>#N/A</v>
      </c>
      <c r="AC117" s="36">
        <f>IF(ISNA(VLOOKUP(A117,'Données projet'!$A$61:$I$81,3,0)),0,VLOOKUP(A117,'Données projet'!$A$61:$I$81,3,0))</f>
        <v>0</v>
      </c>
      <c r="AD117" s="36">
        <f>IF(ISNA(VLOOKUP(A117,'Données projet'!$A$61:$I$81,4,0)),0,VLOOKUP(A117,'Données projet'!$A$61:$I$81,4,0))</f>
        <v>0</v>
      </c>
      <c r="AE117" s="37">
        <f>IF(ISNA(VLOOKUP(A117,'Données projet'!$A$61:$I$81,5,0)),0%,VLOOKUP(A117,'Données projet'!$A$61:$I$81,5,0)*VLOOKUP('Données projet'!$B$10,Paramètres!$A$1:$I$88,7,0))</f>
        <v>0</v>
      </c>
      <c r="AF117" s="37">
        <f>IF(ISNA(VLOOKUP(A117,'Données projet'!$A$61:$I$81,6,0)),0%,VLOOKUP(A117,'Données projet'!$A$61:$I$81,6,0)*VLOOKUP('Données projet'!$B$10,Paramètres!$A$1:$I$88,7,0))</f>
        <v>0</v>
      </c>
      <c r="AG117" s="37">
        <f>IF(ISNA(VLOOKUP(A117,'Données projet'!$A$61:$I$81,7,0)),0%,VLOOKUP(A117,'Données projet'!$A$61:$I$81,7,0))</f>
        <v>0</v>
      </c>
      <c r="AH117" s="45">
        <f>EXP(-LN(2)/35)*AH116+(1-EXP(-LN(2)/35))/(LN(2)/35)*AD117*AE117*VLOOKUP('Données projet'!$B$9,Paramètres!$A$1:$I$88,3,0)*0.475*44/12</f>
        <v>0</v>
      </c>
      <c r="AI117" s="45">
        <f>EXP(-LN(2)/25)*AI116+(1-EXP(-LN(2)/25))/(LN(2)/25)*Calculateur!AD117*Calculateur!AF117*VLOOKUP('Données projet'!$B$9,Paramètres!$A$1:$I$88,3,0)*0.475*44/12</f>
        <v>0</v>
      </c>
      <c r="AJ117" s="45">
        <f>EXP(-LN(2)/2)*AJ116+(1-EXP(-LN(2)/2))/(LN(2)/2)*AD117*AG117*VLOOKUP('Données projet'!$B$9,Paramètres!$A$1:$I$88,3,0)*0.475*44/12</f>
        <v>0</v>
      </c>
      <c r="AK117" s="45">
        <f t="shared" si="45"/>
        <v>0</v>
      </c>
      <c r="AL117" s="32" t="e">
        <f>VLOOKUP(A117,'Données projet'!$A$87:$I$107,2,0)</f>
        <v>#N/A</v>
      </c>
      <c r="AM117" s="33" t="e">
        <f>VLOOKUP(A117,'Données projet'!$A$87:$I$107,9,0)</f>
        <v>#N/A</v>
      </c>
      <c r="AN117" s="33">
        <f t="array" ref="AN117">INDEX(AM:AM,MIN(IF(ISNUMBER(AM117:AM313),ROW(AM117:AM313),"")))</f>
        <v>0</v>
      </c>
      <c r="AO117" s="33">
        <f t="shared" si="68"/>
        <v>0</v>
      </c>
      <c r="AP117" s="34" t="e">
        <f>AO117*VLOOKUP('Données projet'!$B$11,Paramètres!$A$1:$I$88,3,0)*VLOOKUP('Données projet'!$B$11,Paramètres!$A$1:$I$88,5,0)</f>
        <v>#N/A</v>
      </c>
      <c r="AQ117" s="34" t="e">
        <f t="shared" si="69"/>
        <v>#N/A</v>
      </c>
      <c r="AR117" s="44" t="e">
        <f t="shared" si="46"/>
        <v>#N/A</v>
      </c>
      <c r="AS117" s="36">
        <f>IF(ISNA(VLOOKUP(A117,'Données projet'!$A$87:$I$107,3,0)),0,VLOOKUP(A117,'Données projet'!$A$87:$I$107,3,0))</f>
        <v>0</v>
      </c>
      <c r="AT117" s="36">
        <f>IF(ISNA(VLOOKUP(A117,'Données projet'!$A$87:$I$107,4,0)),0,VLOOKUP(A117,'Données projet'!$A$87:$I$107,4,0))</f>
        <v>0</v>
      </c>
      <c r="AU117" s="37">
        <f>IF(ISNA(VLOOKUP(A117,'Données projet'!$A$87:$I$107,5,0)),0%,VLOOKUP(A117,'Données projet'!$A$87:$I$107,5,0)*VLOOKUP('Données projet'!$B$11,Paramètres!$A$1:$I$88,7,0))</f>
        <v>0</v>
      </c>
      <c r="AV117" s="37">
        <f>IF(ISNA(VLOOKUP(A117,'Données projet'!$A$87:$I$107,6,0)),0%,VLOOKUP(A117,'Données projet'!$A$87:$I$107,6,0)*VLOOKUP('Données projet'!$B$11,Paramètres!$A$1:$I$88,7,0))</f>
        <v>0</v>
      </c>
      <c r="AW117" s="37">
        <f>IF(ISNA(VLOOKUP(A117,'Données projet'!$A$87:$I$107,7,0)),0%,VLOOKUP(A117,'Données projet'!$A$87:$I$107,7,0))</f>
        <v>0</v>
      </c>
      <c r="AX117" s="45">
        <f>EXP(-LN(2)/35)*AX116+(1-EXP(-LN(2)/35))/(LN(2)/35)*AT117*AU117*VLOOKUP('Données projet'!$B$9,Paramètres!$A$1:$I$88,3,0)*0.475*44/12</f>
        <v>0</v>
      </c>
      <c r="AY117" s="45">
        <f>EXP(-LN(2)/25)*AY116+(1-EXP(-LN(2)/25))/(LN(2)/25)*Calculateur!AT117*Calculateur!AV117*VLOOKUP('Données projet'!$B$9,Paramètres!$A$1:$I$88,3,0)*0.475*44/12</f>
        <v>0</v>
      </c>
      <c r="AZ117" s="45">
        <f>EXP(-LN(2)/2)*AZ116+(1-EXP(-LN(2)/2))/(LN(2)/2)*AT117*AW117*VLOOKUP('Données projet'!$B$9,Paramètres!$A$1:$I$88,3,0)*0.475*44/12</f>
        <v>0</v>
      </c>
      <c r="BA117" s="46">
        <f t="shared" si="47"/>
        <v>0</v>
      </c>
      <c r="BB117" s="32" t="e">
        <f>VLOOKUP(A117,'Données projet'!$A$113:$I$133,2,0)</f>
        <v>#N/A</v>
      </c>
      <c r="BC117" s="33" t="e">
        <f>VLOOKUP(A117,'Données projet'!$A$113:$I$133,9,0)</f>
        <v>#N/A</v>
      </c>
      <c r="BD117" s="33">
        <f t="array" ref="BD117">INDEX(BC:BC,MIN(IF(ISNUMBER(BC117:BC313),ROW(BC117:BC313),"")))</f>
        <v>0</v>
      </c>
      <c r="BE117" s="33">
        <f t="shared" si="70"/>
        <v>0</v>
      </c>
      <c r="BF117" s="34" t="e">
        <f>BE117*VLOOKUP('Données projet'!$B$12,Paramètres!$A$1:$I$88,3,0)*VLOOKUP('Données projet'!$B$12,Paramètres!$A$1:$I$88,5,0)</f>
        <v>#N/A</v>
      </c>
      <c r="BG117" s="34" t="e">
        <f t="shared" si="71"/>
        <v>#N/A</v>
      </c>
      <c r="BH117" s="44" t="e">
        <f t="shared" si="48"/>
        <v>#N/A</v>
      </c>
      <c r="BI117" s="36">
        <f>IF(ISNA(VLOOKUP(A117,'Données projet'!$A$113:$I$133,3,0)),0,VLOOKUP(A117,'Données projet'!$A$113:$I$133,3,0))</f>
        <v>0</v>
      </c>
      <c r="BJ117" s="36">
        <f>IF(ISNA(VLOOKUP(A117,'Données projet'!$A$113:$I$133,4,0)),0,VLOOKUP(A117,'Données projet'!$A$113:$I$133,4,0))</f>
        <v>0</v>
      </c>
      <c r="BK117" s="37">
        <f>IF(ISNA(VLOOKUP(A117,'Données projet'!$A$113:$I$133,5,0)),0%,VLOOKUP(A117,'Données projet'!$A$113:$I$133,5,0)*VLOOKUP('Données projet'!$B$12,Paramètres!$A$1:$I$88,7,0))</f>
        <v>0</v>
      </c>
      <c r="BL117" s="37">
        <f>IF(ISNA(VLOOKUP(A117,'Données projet'!$A$113:$I$133,6,0)),0%,VLOOKUP(A117,'Données projet'!$A$113:$I$133,6,0)*VLOOKUP('Données projet'!$B$12,Paramètres!$A$1:$I$88,7,0))</f>
        <v>0</v>
      </c>
      <c r="BM117" s="37">
        <f>IF(ISNA(VLOOKUP(A117,'Données projet'!$A$113:$I$133,7,0)),0%,VLOOKUP(A117,'Données projet'!$A$113:$I$133,7,0))</f>
        <v>0</v>
      </c>
      <c r="BN117" s="45">
        <f>EXP(-LN(2)/35)*BN116+(1-EXP(-LN(2)/35))/(LN(2)/35)*BJ117*BK117*VLOOKUP('Données projet'!$B$9,Paramètres!$A$1:$I$88,3,0)*0.475*44/12</f>
        <v>0</v>
      </c>
      <c r="BO117" s="45">
        <f>EXP(-LN(2)/25)*BO116+(1-EXP(-LN(2)/25))/(LN(2)/25)*Calculateur!BJ117*Calculateur!BL117*VLOOKUP('Données projet'!$B$9,Paramètres!$A$1:$I$88,3,0)*0.475*44/12</f>
        <v>0</v>
      </c>
      <c r="BP117" s="45">
        <f>EXP(-LN(2)/2)*BP116+(1-EXP(-LN(2)/2))/(LN(2)/2)*BJ117*BM117*VLOOKUP('Données projet'!$B$9,Paramètres!$A$1:$I$88,3,0)*0.475*44/12</f>
        <v>0</v>
      </c>
      <c r="BQ117" s="46">
        <f t="shared" si="49"/>
        <v>0</v>
      </c>
      <c r="BR117" s="32" t="e">
        <f>VLOOKUP(A117,'Données projet'!$A$139:$I$159,2,0)</f>
        <v>#N/A</v>
      </c>
      <c r="BS117" s="33" t="e">
        <f>VLOOKUP(A117,'Données projet'!$A$139:$I$159,9,0)</f>
        <v>#N/A</v>
      </c>
      <c r="BT117" s="33">
        <f t="array" ref="BT117">INDEX(BS:BS,MIN(IF(ISNUMBER(BS117:BS313),ROW(BS117:BS313),"")))</f>
        <v>0</v>
      </c>
      <c r="BU117" s="33">
        <f t="shared" si="72"/>
        <v>0</v>
      </c>
      <c r="BV117" s="38" t="e">
        <f>BU117*VLOOKUP('Données projet'!$B$13,Paramètres!$A$1:$I$88,3,0)*VLOOKUP('Données projet'!$B$13,Paramètres!$A$1:$I$88,5,0)</f>
        <v>#N/A</v>
      </c>
      <c r="BW117" s="34" t="e">
        <f t="shared" si="73"/>
        <v>#N/A</v>
      </c>
      <c r="BX117" s="44" t="e">
        <f t="shared" si="50"/>
        <v>#N/A</v>
      </c>
      <c r="BY117" s="36">
        <f>IF(ISNA(VLOOKUP(A117,'Données projet'!$A$139:$I$159,3,0)),0,VLOOKUP(A117,'Données projet'!$A$139:$I$159,3,0))</f>
        <v>0</v>
      </c>
      <c r="BZ117" s="36">
        <f>IF(ISNA(VLOOKUP(A117,'Données projet'!$A$139:$I$159,4,0)),0,VLOOKUP(A117,'Données projet'!$A$139:$I$159,4,0))</f>
        <v>0</v>
      </c>
      <c r="CA117" s="37">
        <f>IF(ISNA(VLOOKUP(A117,'Données projet'!$A$139:$I$159,5,0)),0%,VLOOKUP(A117,'Données projet'!$A$139:$I$159,5,0)*VLOOKUP('Données projet'!$B$13,Paramètres!$A$1:$I$88,7,0))</f>
        <v>0</v>
      </c>
      <c r="CB117" s="37">
        <f>IF(ISNA(VLOOKUP(A117,'Données projet'!$A$139:$I$159,6,0)),0%,VLOOKUP(A117,'Données projet'!$A$139:$I$159,6,0)*VLOOKUP('Données projet'!$B$13,Paramètres!$A$1:$I$88,7,0))</f>
        <v>0</v>
      </c>
      <c r="CC117" s="37">
        <f>IF(ISNA(VLOOKUP(A117,'Données projet'!$A$139:$I$159,7,0)),0%,VLOOKUP(A117,'Données projet'!$A$139:$I$159,7,0))</f>
        <v>0</v>
      </c>
      <c r="CD117" s="45">
        <f>EXP(-LN(2)/35)*CD116+(1-EXP(-LN(2)/35))/(LN(2)/35)*BZ117*CA117*VLOOKUP('Données projet'!$B$9,Paramètres!$A$1:$I$88,3,0)*0.475*44/12</f>
        <v>0</v>
      </c>
      <c r="CE117" s="45">
        <f>EXP(-LN(2)/25)*CE116+(1-EXP(-LN(2)/25))/(LN(2)/25)*Calculateur!BZ117*Calculateur!CB117*VLOOKUP('Données projet'!$B$9,Paramètres!$A$1:$I$88,3,0)*0.475*44/12</f>
        <v>0</v>
      </c>
      <c r="CF117" s="45">
        <f>EXP(-LN(2)/2)*CF116+(1-EXP(-LN(2)/2))/(LN(2)/2)*BZ117*CC117*VLOOKUP('Données projet'!$B$9,Paramètres!$A$1:$I$88,3,0)*0.475*44/12</f>
        <v>0</v>
      </c>
      <c r="CG117" s="46">
        <f t="shared" si="51"/>
        <v>0</v>
      </c>
      <c r="CH117" s="32" t="e">
        <f>VLOOKUP(A117,'Données projet'!$A$165:$I$185,2,0)</f>
        <v>#N/A</v>
      </c>
      <c r="CI117" s="33" t="e">
        <f>VLOOKUP(A117,'Données projet'!$A$165:$I$185,9,0)</f>
        <v>#N/A</v>
      </c>
      <c r="CJ117" s="33">
        <f t="array" ref="CJ117">INDEX(CI:CI,MIN(IF(ISNUMBER(CI117:CI313),ROW(CI117:CI313),"")))</f>
        <v>0</v>
      </c>
      <c r="CK117" s="33">
        <f t="shared" si="74"/>
        <v>0</v>
      </c>
      <c r="CL117" s="38" t="e">
        <f>CK117*VLOOKUP('Données projet'!$B$14,Paramètres!$A$1:$I$88,3,0)*VLOOKUP('Données projet'!$B$14,Paramètres!$A$1:$I$88,5,0)</f>
        <v>#N/A</v>
      </c>
      <c r="CM117" s="34" t="e">
        <f t="shared" si="75"/>
        <v>#N/A</v>
      </c>
      <c r="CN117" s="44" t="e">
        <f t="shared" si="52"/>
        <v>#N/A</v>
      </c>
      <c r="CO117" s="36">
        <f>IF(ISNA(VLOOKUP(A117,'Données projet'!$A$165:$I$185,3,0)),0,VLOOKUP(A117,'Données projet'!$A$165:$I$185,3,0))</f>
        <v>0</v>
      </c>
      <c r="CP117" s="36">
        <f>IF(ISNA(VLOOKUP(A117,'Données projet'!$A$165:$I$185,4,0)),0,VLOOKUP(A117,'Données projet'!$A$165:$I$185,4,0))</f>
        <v>0</v>
      </c>
      <c r="CQ117" s="37">
        <f>IF(ISNA(VLOOKUP(A117,'Données projet'!$A$165:$I$185,5,0)),0%,VLOOKUP(A117,'Données projet'!$A$165:$I$185,5,0)*VLOOKUP('Données projet'!$B$14,Paramètres!$A$1:$I$88,7,0))</f>
        <v>0</v>
      </c>
      <c r="CR117" s="37">
        <f>IF(ISNA(VLOOKUP(A117,'Données projet'!$A$165:$I$185,6,0)),0%,VLOOKUP(A117,'Données projet'!$A$165:$I$185,6,0)*VLOOKUP('Données projet'!$B$14,Paramètres!$A$1:$I$88,7,0))</f>
        <v>0</v>
      </c>
      <c r="CS117" s="37">
        <f>IF(ISNA(VLOOKUP(A117,'Données projet'!$A$165:$I$185,7,0)),0%,VLOOKUP(A117,'Données projet'!$A$165:$I$185,7,0))</f>
        <v>0</v>
      </c>
      <c r="CT117" s="45">
        <f>EXP(-LN(2)/35)*CT116+(1-EXP(-LN(2)/35))/(LN(2)/35)*CP117*CQ117*VLOOKUP('Données projet'!$B$9,Paramètres!$A$1:$I$88,3,0)*0.475*44/12</f>
        <v>0</v>
      </c>
      <c r="CU117" s="45">
        <f>EXP(-LN(2)/25)*CU116+(1-EXP(-LN(2)/25))/(LN(2)/25)*Calculateur!CP117*Calculateur!CR117*VLOOKUP('Données projet'!$B$9,Paramètres!$A$1:$I$88,3,0)*0.475*44/12</f>
        <v>0</v>
      </c>
      <c r="CV117" s="45">
        <f>EXP(-LN(2)/2)*CV116+(1-EXP(-LN(2)/2))/(LN(2)/2)*CP117*CS117*VLOOKUP('Données projet'!$B$9,Paramètres!$A$1:$I$88,3,0)*0.475*44/12</f>
        <v>0</v>
      </c>
      <c r="CW117" s="46">
        <f t="shared" si="53"/>
        <v>0</v>
      </c>
      <c r="CX117" s="32" t="e">
        <f>VLOOKUP(A117,'Données projet'!$A$191:$I$211,2,0)</f>
        <v>#N/A</v>
      </c>
      <c r="CY117" s="33" t="e">
        <f>VLOOKUP(A117,'Données projet'!$A$191:$I$211,9,0)</f>
        <v>#N/A</v>
      </c>
      <c r="CZ117" s="33">
        <f t="array" ref="CZ117">INDEX(CY:CY,MIN(IF(ISNUMBER(CY117:CY313),ROW(CY117:CY313),"")))</f>
        <v>0</v>
      </c>
      <c r="DA117" s="33">
        <f t="shared" si="76"/>
        <v>0</v>
      </c>
      <c r="DB117" s="38" t="e">
        <f>DA117*VLOOKUP('Données projet'!$B$15,Paramètres!$A$1:$I$88,3,0)*VLOOKUP('Données projet'!$B$15,Paramètres!$A$1:$I$88,5,0)</f>
        <v>#N/A</v>
      </c>
      <c r="DC117" s="34" t="e">
        <f t="shared" si="77"/>
        <v>#N/A</v>
      </c>
      <c r="DD117" s="44" t="e">
        <f t="shared" si="54"/>
        <v>#N/A</v>
      </c>
      <c r="DE117" s="36">
        <f>IF(ISNA(VLOOKUP(A117,'Données projet'!$A$191:$I$211,3,0)),0,VLOOKUP(A117,'Données projet'!$A$191:$I$211,3,0))</f>
        <v>0</v>
      </c>
      <c r="DF117" s="36">
        <f>IF(ISNA(VLOOKUP(A117,'Données projet'!$A$191:$I$211,4,0)),0,VLOOKUP(A117,'Données projet'!$A$191:$I$211,4,0))</f>
        <v>0</v>
      </c>
      <c r="DG117" s="37">
        <f>IF(ISNA(VLOOKUP(A117,'Données projet'!$A$191:$I$211,5,0)),0%,VLOOKUP(A117,'Données projet'!$A$191:$I$211,5,0)*VLOOKUP('Données projet'!$B$15,Paramètres!$A$1:$I$88,7,0))</f>
        <v>0</v>
      </c>
      <c r="DH117" s="37">
        <f>IF(ISNA(VLOOKUP(A117,'Données projet'!$A$191:$I$211,6,0)),0%,VLOOKUP(A117,'Données projet'!$A$191:$I$211,6,0)*VLOOKUP('Données projet'!$B$15,Paramètres!$A$1:$I$88,7,0))</f>
        <v>0</v>
      </c>
      <c r="DI117" s="37">
        <f>IF(ISNA(VLOOKUP(A117,'Données projet'!$A$191:$I$211,7,0)),0%,VLOOKUP(A117,'Données projet'!$A$191:$I$211,7,0))</f>
        <v>0</v>
      </c>
      <c r="DJ117" s="45">
        <f>EXP(-LN(2)/35)*DJ116+(1-EXP(-LN(2)/35))/(LN(2)/35)*DF117*DG117*VLOOKUP('Données projet'!$B$9,Paramètres!$A$1:$I$88,3,0)*0.475*44/12</f>
        <v>0</v>
      </c>
      <c r="DK117" s="45">
        <f>EXP(-LN(2)/25)*DK116+(1-EXP(-LN(2)/25))/(LN(2)/25)*Calculateur!DF117*Calculateur!DH117*VLOOKUP('Données projet'!$B$9,Paramètres!$A$1:$I$88,3,0)*0.475*44/12</f>
        <v>0</v>
      </c>
      <c r="DL117" s="45">
        <f>EXP(-LN(2)/2)*DL116+(1-EXP(-LN(2)/2))/(LN(2)/2)*DF117*DI117*VLOOKUP('Données projet'!$B$9,Paramètres!$A$1:$I$88,3,0)*0.475*44/12</f>
        <v>0</v>
      </c>
      <c r="DM117" s="46">
        <f t="shared" si="55"/>
        <v>0</v>
      </c>
      <c r="DN117" s="32" t="e">
        <f>VLOOKUP(A117,'Données projet'!$A$217:$I$237,2,0)</f>
        <v>#N/A</v>
      </c>
      <c r="DO117" s="33" t="e">
        <f>VLOOKUP(A117,'Données projet'!$A$217:$I$237,9,0)</f>
        <v>#N/A</v>
      </c>
      <c r="DP117" s="33">
        <f t="array" ref="DP117">INDEX(DO:DO,MIN(IF(ISNUMBER(DO117:DO313),ROW(DO117:DO313),"")))</f>
        <v>0</v>
      </c>
      <c r="DQ117" s="33">
        <f t="shared" si="78"/>
        <v>0</v>
      </c>
      <c r="DR117" s="38" t="e">
        <f>DQ117*VLOOKUP('Données projet'!$B$16,Paramètres!$A$1:$I$88,3,0)*VLOOKUP('Données projet'!$B$16,Paramètres!$A$1:$I$88,5,0)</f>
        <v>#N/A</v>
      </c>
      <c r="DS117" s="34" t="e">
        <f t="shared" si="79"/>
        <v>#N/A</v>
      </c>
      <c r="DT117" s="44" t="e">
        <f t="shared" si="56"/>
        <v>#N/A</v>
      </c>
      <c r="DU117" s="36">
        <f>IF(ISNA(VLOOKUP(A117,'Données projet'!$A$217:$I$237,3,0)),0,VLOOKUP(A117,'Données projet'!$A$217:$I$237,3,0))</f>
        <v>0</v>
      </c>
      <c r="DV117" s="36">
        <f>IF(ISNA(VLOOKUP(A117,'Données projet'!$A$217:$I$237,4,0)),0,VLOOKUP(A117,'Données projet'!$A$217:$I$237,4,0))</f>
        <v>0</v>
      </c>
      <c r="DW117" s="37">
        <f>IF(ISNA(VLOOKUP(A117,'Données projet'!$A$217:$I$237,5,0)),0%,VLOOKUP(A117,'Données projet'!$A$217:$I$237,5,0)*VLOOKUP('Données projet'!$B$16,Paramètres!$A$1:$I$88,7,0))</f>
        <v>0</v>
      </c>
      <c r="DX117" s="37">
        <f>IF(ISNA(VLOOKUP(A117,'Données projet'!$A$217:$I$237,6,0)),0%,VLOOKUP(A117,'Données projet'!$A$217:$I$237,6,0)*VLOOKUP('Données projet'!$B$16,Paramètres!$A$1:$I$88,7,0))</f>
        <v>0</v>
      </c>
      <c r="DY117" s="37">
        <f>IF(ISNA(VLOOKUP(A117,'Données projet'!$A$217:$I$237,7,0)),0%,VLOOKUP(A117,'Données projet'!$A$217:$I$237,7,0))</f>
        <v>0</v>
      </c>
      <c r="DZ117" s="45">
        <f>EXP(-LN(2)/35)*DZ116+(1-EXP(-LN(2)/35))/(LN(2)/35)*DV117*DW117*VLOOKUP('Données projet'!$B$9,Paramètres!$A$1:$I$88,3,0)*0.475*44/12</f>
        <v>0</v>
      </c>
      <c r="EA117" s="45">
        <f>EXP(-LN(2)/25)*EA116+(1-EXP(-LN(2)/25))/(LN(2)/25)*Calculateur!DV117*Calculateur!DX117*VLOOKUP('Données projet'!$B$9,Paramètres!$A$1:$I$88,3,0)*0.475*44/12</f>
        <v>0</v>
      </c>
      <c r="EB117" s="45">
        <f>EXP(-LN(2)/2)*EB116+(1-EXP(-LN(2)/2))/(LN(2)/2)*DV117*DY117*VLOOKUP('Données projet'!$B$9,Paramètres!$A$1:$I$88,3,0)*0.475*44/12</f>
        <v>0</v>
      </c>
      <c r="EC117" s="46">
        <f t="shared" si="57"/>
        <v>0</v>
      </c>
      <c r="ED117" s="32" t="e">
        <f>VLOOKUP(A117,'Données projet'!$A$243:$I$263,2,0)</f>
        <v>#N/A</v>
      </c>
      <c r="EE117" s="33" t="e">
        <f>VLOOKUP(A117,'Données projet'!$A$243:$I$263,9,0)</f>
        <v>#N/A</v>
      </c>
      <c r="EF117" s="33">
        <f t="array" ref="EF117">INDEX(EE:EE,MIN(IF(ISNUMBER(EE117:EE313),ROW(EE117:EE313),"")))</f>
        <v>0</v>
      </c>
      <c r="EG117" s="33">
        <f t="shared" si="80"/>
        <v>0</v>
      </c>
      <c r="EH117" s="38" t="e">
        <f>EG117*VLOOKUP('Données projet'!$B$17,Paramètres!$A$1:$I$88,3,0)*VLOOKUP('Données projet'!$B$17,Paramètres!$A$1:$I$88,5,0)</f>
        <v>#N/A</v>
      </c>
      <c r="EI117" s="34" t="e">
        <f t="shared" si="81"/>
        <v>#N/A</v>
      </c>
      <c r="EJ117" s="44" t="e">
        <f t="shared" si="58"/>
        <v>#N/A</v>
      </c>
      <c r="EK117" s="36">
        <f>IF(ISNA(VLOOKUP(A117,'Données projet'!$A$243:$I$263,3,0)),0,VLOOKUP(A117,'Données projet'!$A$243:$I$263,3,0))</f>
        <v>0</v>
      </c>
      <c r="EL117" s="36">
        <f>IF(ISNA(VLOOKUP(A117,'Données projet'!$A$243:$I$263,4,0)),0,VLOOKUP(A117,'Données projet'!$A$243:$I$263,4,0))</f>
        <v>0</v>
      </c>
      <c r="EM117" s="37">
        <f>IF(ISNA(VLOOKUP(A117,'Données projet'!$A$243:$I$263,5,0)),0%,VLOOKUP(A117,'Données projet'!$A$243:$I$263,5,0)*VLOOKUP('Données projet'!$B$17,Paramètres!$A$1:$I$88,7,0))</f>
        <v>0</v>
      </c>
      <c r="EN117" s="37">
        <f>IF(ISNA(VLOOKUP(A117,'Données projet'!$A$243:$I$263,6,0)),0%,VLOOKUP(A117,'Données projet'!$A$243:$I$263,6,0)*VLOOKUP('Données projet'!$B$17,Paramètres!$A$1:$I$88,7,0))</f>
        <v>0</v>
      </c>
      <c r="EO117" s="37">
        <f>IF(ISNA(VLOOKUP(A117,'Données projet'!$A$243:$I$263,7,0)),0%,VLOOKUP(A117,'Données projet'!$A$243:$I$263,7,0))</f>
        <v>0</v>
      </c>
      <c r="EP117" s="45">
        <f>EXP(-LN(2)/35)*EP116+(1-EXP(-LN(2)/35))/(LN(2)/35)*EL117*EM117*VLOOKUP('Données projet'!$B$9,Paramètres!$A$1:$I$88,3,0)*0.475*44/12</f>
        <v>0</v>
      </c>
      <c r="EQ117" s="45">
        <f>EXP(-LN(2)/25)*EQ116+(1-EXP(-LN(2)/25))/(LN(2)/25)*Calculateur!EL117*Calculateur!EN117*VLOOKUP('Données projet'!$B$9,Paramètres!$A$1:$I$88,3,0)*0.475*44/12</f>
        <v>0</v>
      </c>
      <c r="ER117" s="45">
        <f>EXP(-LN(2)/2)*ER116+(1-EXP(-LN(2)/2))/(LN(2)/2)*EL117*EO117*VLOOKUP('Données projet'!$B$9,Paramètres!$A$1:$I$88,3,0)*0.475*44/12</f>
        <v>0</v>
      </c>
      <c r="ES117" s="46">
        <f t="shared" si="59"/>
        <v>0</v>
      </c>
      <c r="ET117" s="32" t="e">
        <f>VLOOKUP(A117,'Données projet'!$A$269:$I$289,2,0)</f>
        <v>#N/A</v>
      </c>
      <c r="EU117" s="33" t="e">
        <f>VLOOKUP(A117,'Données projet'!$A$269:$I$289,9,0)</f>
        <v>#N/A</v>
      </c>
      <c r="EV117" s="33">
        <f t="array" ref="EV117">INDEX(EU:EU,MIN(IF(ISNUMBER(EU117:EU313),ROW(EU117:EU313),"")))</f>
        <v>0</v>
      </c>
      <c r="EW117" s="33">
        <f t="shared" si="82"/>
        <v>0</v>
      </c>
      <c r="EX117" s="38" t="e">
        <f>EW117*VLOOKUP('Données projet'!$B$18,Paramètres!$A$1:$I$88,3,0)*VLOOKUP('Données projet'!$B$18,Paramètres!$A$1:$I$88,5,0)</f>
        <v>#N/A</v>
      </c>
      <c r="EY117" s="34" t="e">
        <f t="shared" si="83"/>
        <v>#N/A</v>
      </c>
      <c r="EZ117" s="44" t="e">
        <f t="shared" si="60"/>
        <v>#N/A</v>
      </c>
      <c r="FA117" s="36">
        <f>IF(ISNA(VLOOKUP(A117,'Données projet'!$A$269:$I$289,3,0)),0,VLOOKUP(A117,'Données projet'!$A$269:$I$289,3,0))</f>
        <v>0</v>
      </c>
      <c r="FB117" s="36">
        <f>IF(ISNA(VLOOKUP(A117,'Données projet'!$A$269:$I$289,4,0)),0,VLOOKUP(A117,'Données projet'!$A$269:$I$289,4,0))</f>
        <v>0</v>
      </c>
      <c r="FC117" s="37">
        <f>IF(ISNA(VLOOKUP(A117,'Données projet'!$A$269:$I$289,5,0)),0%,VLOOKUP(A117,'Données projet'!$A$269:$I$289,5,0)*VLOOKUP('Données projet'!$B$18,Paramètres!$A$1:$I$88,7,0))</f>
        <v>0</v>
      </c>
      <c r="FD117" s="37">
        <f>IF(ISNA(VLOOKUP(A117,'Données projet'!$A$269:$I$289,6,0)),0%,VLOOKUP(A117,'Données projet'!$A$269:$I$289,6,0)*VLOOKUP('Données projet'!$B$18,Paramètres!$A$1:$I$88,7,0))</f>
        <v>0</v>
      </c>
      <c r="FE117" s="37">
        <f>IF(ISNA(VLOOKUP(A117,'Données projet'!$A$269:$I$289,7,0)),0%,VLOOKUP(A117,'Données projet'!$A$269:$I$289,7,0))</f>
        <v>0</v>
      </c>
      <c r="FF117" s="45">
        <f>EXP(-LN(2)/35)*FF116+(1-EXP(-LN(2)/35))/(LN(2)/35)*FB117*FC117*VLOOKUP('Données projet'!$B$9,Paramètres!$A$1:$I$88,3,0)*0.475*44/12</f>
        <v>0</v>
      </c>
      <c r="FG117" s="45">
        <f>EXP(-LN(2)/25)*FG116+(1-EXP(-LN(2)/25))/(LN(2)/25)*Calculateur!FB117*Calculateur!FD117*VLOOKUP('Données projet'!$B$9,Paramètres!$A$1:$I$88,3,0)*0.475*44/12</f>
        <v>0</v>
      </c>
      <c r="FH117" s="45">
        <f>EXP(-LN(2)/2)*FH116+(1-EXP(-LN(2)/2))/(LN(2)/2)*FB117*FE117*VLOOKUP('Données projet'!$B$9,Paramètres!$A$1:$I$88,3,0)*0.475*44/12</f>
        <v>0</v>
      </c>
      <c r="FI117" s="46">
        <f t="shared" si="61"/>
        <v>0</v>
      </c>
    </row>
    <row r="118" spans="1:165" x14ac:dyDescent="0.25">
      <c r="A118" s="24">
        <f t="shared" si="62"/>
        <v>115</v>
      </c>
      <c r="B118" s="25">
        <f>IF('Scénario référence'!$N$1=1,5,0)</f>
        <v>0</v>
      </c>
      <c r="C118" s="40">
        <f>IF(OR('Scénario référence'!$N$1=2,'Scénario référence'!$N$1=4),C117+1*VLOOKUP('Scénario référence'!$G$14,Paramètres!$A$1:$I$88,3,0)*VLOOKUP('Scénario référence'!$G$14,Paramètres!$A$1:$I$88,5,0),IF(OR('Scénario référence'!$N$1=3,'Scénario référence'!$N$1=5),C117+0.5*VLOOKUP('Scénario référence'!$G$14,Paramètres!$A$1:$I$88,3,0)*VLOOKUP('Scénario référence'!$G$14,Paramètres!$A$1:$I$88,5,0),0))</f>
        <v>62.789999999999942</v>
      </c>
      <c r="D118" s="26">
        <f t="shared" si="63"/>
        <v>17.871791770153557</v>
      </c>
      <c r="E118" s="27">
        <f>IF('Scénario référence'!$N$1=1,B118*44/12,(C118+D118)*0.475*44/12)</f>
        <v>140.485953999684</v>
      </c>
      <c r="F118" s="28">
        <f>VLOOKUP(A118,'Données projet'!$A$35:$I$55,2,0)</f>
        <v>304</v>
      </c>
      <c r="G118" s="28">
        <f>VLOOKUP(A118,'Données projet'!$A$35:$I$55,9,0)</f>
        <v>4</v>
      </c>
      <c r="H118" s="33">
        <f t="array" ref="H118">INDEX(G:G,MIN(IF(ISNUMBER(G118:G314),ROW(G118:G314),"")))</f>
        <v>4</v>
      </c>
      <c r="I118" s="28">
        <f t="shared" si="64"/>
        <v>303.99999999999955</v>
      </c>
      <c r="J118" s="41">
        <f>I118*VLOOKUP('Données projet'!$B$9,Paramètres!$A$1:$I$88,3,0)*VLOOKUP('Données projet'!$B$9,Paramètres!$A$1:$I$88,5,0)</f>
        <v>308.25599999999957</v>
      </c>
      <c r="K118" s="41">
        <f t="shared" si="65"/>
        <v>72.904494055753887</v>
      </c>
      <c r="L118" s="42">
        <f t="shared" si="42"/>
        <v>663.85452714710391</v>
      </c>
      <c r="M118" s="30">
        <f>IF(ISNA(VLOOKUP(A118,'Données projet'!$A$35:$I$55,3,0)),0,VLOOKUP(A118,'Données projet'!$A$35:$I$55,3,0))</f>
        <v>10</v>
      </c>
      <c r="N118" s="30">
        <f>IF(ISNA(VLOOKUP(A118,'Données projet'!$A$35:$I$55,4,0)),0,VLOOKUP(A118,'Données projet'!$A$35:$I$55,4,0))</f>
        <v>37</v>
      </c>
      <c r="O118" s="31">
        <f>IF(ISNA(VLOOKUP(A118,'Données projet'!$A$35:$I$55,5,0)),0%,VLOOKUP(A118,'Données projet'!$A$35:$I$55,5,0)*VLOOKUP('Données projet'!$B$9,Paramètres!$A$1:$I$88,7,0))</f>
        <v>0</v>
      </c>
      <c r="P118" s="31">
        <f>IF(ISNA(VLOOKUP(A118,'Données projet'!$A$35:$I$55,6,0)),0%,VLOOKUP(A118,'Données projet'!$A$35:$I$55,6,0)*VLOOKUP('Données projet'!$B$9,Paramètres!$A$1:$I$88,7,0))</f>
        <v>0</v>
      </c>
      <c r="Q118" s="31">
        <f>IF(ISNA(VLOOKUP(A118,'Données projet'!$A$35:$I$55,7,0)),0%,VLOOKUP(A118,'Données projet'!$A$35:$I$55,7,0))</f>
        <v>0</v>
      </c>
      <c r="R118" s="43">
        <f>EXP(-LN(2)/35)*R117+(1-EXP(-LN(2)/35))/(LN(2)/35)*N118*O118*VLOOKUP('Données projet'!$B$9,Paramètres!$A$1:$I$88,3,0)*0.475*44/12</f>
        <v>0</v>
      </c>
      <c r="S118" s="43">
        <f>EXP(-LN(2)/25)*S117+(1-EXP(-LN(2)/25))/(LN(2)/25)*Calculateur!N118*Calculateur!P118*VLOOKUP('Données projet'!$B$9,Paramètres!$A$1:$I$88,3,0)*0.475*44/12</f>
        <v>0</v>
      </c>
      <c r="T118" s="43">
        <f>EXP(-LN(2)/2)*T117+(1-EXP(-LN(2)/2))/(LN(2)/2)*N118*Q118*VLOOKUP('Données projet'!$B$9,Paramètres!$A$1:$I$88,3,0)*0.475*44/12</f>
        <v>0</v>
      </c>
      <c r="U118" s="43">
        <f t="shared" si="43"/>
        <v>0</v>
      </c>
      <c r="V118" s="32" t="e">
        <f>VLOOKUP(A118,'Données projet'!$A$61:$I$81,2,0)</f>
        <v>#N/A</v>
      </c>
      <c r="W118" s="33" t="e">
        <f>VLOOKUP(A118,'Données projet'!$A$61:$I$81,9,0)</f>
        <v>#N/A</v>
      </c>
      <c r="X118" s="33">
        <f t="array" ref="X118">INDEX(W:W,MIN(IF(ISNUMBER(W118:W314),ROW(W118:W314),"")))</f>
        <v>0</v>
      </c>
      <c r="Y118" s="33">
        <f t="shared" si="66"/>
        <v>0</v>
      </c>
      <c r="Z118" s="34" t="e">
        <f>Y118*VLOOKUP('Données projet'!$B$10,Paramètres!$A$1:$I$88,3,0)*VLOOKUP('Données projet'!$B$10,Paramètres!$A$1:$I$88,5,0)</f>
        <v>#N/A</v>
      </c>
      <c r="AA118" s="34" t="e">
        <f t="shared" si="67"/>
        <v>#N/A</v>
      </c>
      <c r="AB118" s="44" t="e">
        <f t="shared" si="44"/>
        <v>#N/A</v>
      </c>
      <c r="AC118" s="36">
        <f>IF(ISNA(VLOOKUP(A118,'Données projet'!$A$61:$I$81,3,0)),0,VLOOKUP(A118,'Données projet'!$A$61:$I$81,3,0))</f>
        <v>0</v>
      </c>
      <c r="AD118" s="36">
        <f>IF(ISNA(VLOOKUP(A118,'Données projet'!$A$61:$I$81,4,0)),0,VLOOKUP(A118,'Données projet'!$A$61:$I$81,4,0))</f>
        <v>0</v>
      </c>
      <c r="AE118" s="37">
        <f>IF(ISNA(VLOOKUP(A118,'Données projet'!$A$61:$I$81,5,0)),0%,VLOOKUP(A118,'Données projet'!$A$61:$I$81,5,0)*VLOOKUP('Données projet'!$B$10,Paramètres!$A$1:$I$88,7,0))</f>
        <v>0</v>
      </c>
      <c r="AF118" s="37">
        <f>IF(ISNA(VLOOKUP(A118,'Données projet'!$A$61:$I$81,6,0)),0%,VLOOKUP(A118,'Données projet'!$A$61:$I$81,6,0)*VLOOKUP('Données projet'!$B$10,Paramètres!$A$1:$I$88,7,0))</f>
        <v>0</v>
      </c>
      <c r="AG118" s="37">
        <f>IF(ISNA(VLOOKUP(A118,'Données projet'!$A$61:$I$81,7,0)),0%,VLOOKUP(A118,'Données projet'!$A$61:$I$81,7,0))</f>
        <v>0</v>
      </c>
      <c r="AH118" s="45">
        <f>EXP(-LN(2)/35)*AH117+(1-EXP(-LN(2)/35))/(LN(2)/35)*AD118*AE118*VLOOKUP('Données projet'!$B$9,Paramètres!$A$1:$I$88,3,0)*0.475*44/12</f>
        <v>0</v>
      </c>
      <c r="AI118" s="45">
        <f>EXP(-LN(2)/25)*AI117+(1-EXP(-LN(2)/25))/(LN(2)/25)*Calculateur!AD118*Calculateur!AF118*VLOOKUP('Données projet'!$B$9,Paramètres!$A$1:$I$88,3,0)*0.475*44/12</f>
        <v>0</v>
      </c>
      <c r="AJ118" s="45">
        <f>EXP(-LN(2)/2)*AJ117+(1-EXP(-LN(2)/2))/(LN(2)/2)*AD118*AG118*VLOOKUP('Données projet'!$B$9,Paramètres!$A$1:$I$88,3,0)*0.475*44/12</f>
        <v>0</v>
      </c>
      <c r="AK118" s="45">
        <f t="shared" si="45"/>
        <v>0</v>
      </c>
      <c r="AL118" s="32" t="e">
        <f>VLOOKUP(A118,'Données projet'!$A$87:$I$107,2,0)</f>
        <v>#N/A</v>
      </c>
      <c r="AM118" s="33" t="e">
        <f>VLOOKUP(A118,'Données projet'!$A$87:$I$107,9,0)</f>
        <v>#N/A</v>
      </c>
      <c r="AN118" s="33">
        <f t="array" ref="AN118">INDEX(AM:AM,MIN(IF(ISNUMBER(AM118:AM314),ROW(AM118:AM314),"")))</f>
        <v>0</v>
      </c>
      <c r="AO118" s="33">
        <f t="shared" si="68"/>
        <v>0</v>
      </c>
      <c r="AP118" s="34" t="e">
        <f>AO118*VLOOKUP('Données projet'!$B$11,Paramètres!$A$1:$I$88,3,0)*VLOOKUP('Données projet'!$B$11,Paramètres!$A$1:$I$88,5,0)</f>
        <v>#N/A</v>
      </c>
      <c r="AQ118" s="34" t="e">
        <f t="shared" si="69"/>
        <v>#N/A</v>
      </c>
      <c r="AR118" s="44" t="e">
        <f t="shared" si="46"/>
        <v>#N/A</v>
      </c>
      <c r="AS118" s="36">
        <f>IF(ISNA(VLOOKUP(A118,'Données projet'!$A$87:$I$107,3,0)),0,VLOOKUP(A118,'Données projet'!$A$87:$I$107,3,0))</f>
        <v>0</v>
      </c>
      <c r="AT118" s="36">
        <f>IF(ISNA(VLOOKUP(A118,'Données projet'!$A$87:$I$107,4,0)),0,VLOOKUP(A118,'Données projet'!$A$87:$I$107,4,0))</f>
        <v>0</v>
      </c>
      <c r="AU118" s="37">
        <f>IF(ISNA(VLOOKUP(A118,'Données projet'!$A$87:$I$107,5,0)),0%,VLOOKUP(A118,'Données projet'!$A$87:$I$107,5,0)*VLOOKUP('Données projet'!$B$11,Paramètres!$A$1:$I$88,7,0))</f>
        <v>0</v>
      </c>
      <c r="AV118" s="37">
        <f>IF(ISNA(VLOOKUP(A118,'Données projet'!$A$87:$I$107,6,0)),0%,VLOOKUP(A118,'Données projet'!$A$87:$I$107,6,0)*VLOOKUP('Données projet'!$B$11,Paramètres!$A$1:$I$88,7,0))</f>
        <v>0</v>
      </c>
      <c r="AW118" s="37">
        <f>IF(ISNA(VLOOKUP(A118,'Données projet'!$A$87:$I$107,7,0)),0%,VLOOKUP(A118,'Données projet'!$A$87:$I$107,7,0))</f>
        <v>0</v>
      </c>
      <c r="AX118" s="45">
        <f>EXP(-LN(2)/35)*AX117+(1-EXP(-LN(2)/35))/(LN(2)/35)*AT118*AU118*VLOOKUP('Données projet'!$B$9,Paramètres!$A$1:$I$88,3,0)*0.475*44/12</f>
        <v>0</v>
      </c>
      <c r="AY118" s="45">
        <f>EXP(-LN(2)/25)*AY117+(1-EXP(-LN(2)/25))/(LN(2)/25)*Calculateur!AT118*Calculateur!AV118*VLOOKUP('Données projet'!$B$9,Paramètres!$A$1:$I$88,3,0)*0.475*44/12</f>
        <v>0</v>
      </c>
      <c r="AZ118" s="45">
        <f>EXP(-LN(2)/2)*AZ117+(1-EXP(-LN(2)/2))/(LN(2)/2)*AT118*AW118*VLOOKUP('Données projet'!$B$9,Paramètres!$A$1:$I$88,3,0)*0.475*44/12</f>
        <v>0</v>
      </c>
      <c r="BA118" s="46">
        <f t="shared" si="47"/>
        <v>0</v>
      </c>
      <c r="BB118" s="32" t="e">
        <f>VLOOKUP(A118,'Données projet'!$A$113:$I$133,2,0)</f>
        <v>#N/A</v>
      </c>
      <c r="BC118" s="33" t="e">
        <f>VLOOKUP(A118,'Données projet'!$A$113:$I$133,9,0)</f>
        <v>#N/A</v>
      </c>
      <c r="BD118" s="33">
        <f t="array" ref="BD118">INDEX(BC:BC,MIN(IF(ISNUMBER(BC118:BC314),ROW(BC118:BC314),"")))</f>
        <v>0</v>
      </c>
      <c r="BE118" s="33">
        <f t="shared" si="70"/>
        <v>0</v>
      </c>
      <c r="BF118" s="34" t="e">
        <f>BE118*VLOOKUP('Données projet'!$B$12,Paramètres!$A$1:$I$88,3,0)*VLOOKUP('Données projet'!$B$12,Paramètres!$A$1:$I$88,5,0)</f>
        <v>#N/A</v>
      </c>
      <c r="BG118" s="34" t="e">
        <f t="shared" si="71"/>
        <v>#N/A</v>
      </c>
      <c r="BH118" s="44" t="e">
        <f t="shared" si="48"/>
        <v>#N/A</v>
      </c>
      <c r="BI118" s="36">
        <f>IF(ISNA(VLOOKUP(A118,'Données projet'!$A$113:$I$133,3,0)),0,VLOOKUP(A118,'Données projet'!$A$113:$I$133,3,0))</f>
        <v>0</v>
      </c>
      <c r="BJ118" s="36">
        <f>IF(ISNA(VLOOKUP(A118,'Données projet'!$A$113:$I$133,4,0)),0,VLOOKUP(A118,'Données projet'!$A$113:$I$133,4,0))</f>
        <v>0</v>
      </c>
      <c r="BK118" s="37">
        <f>IF(ISNA(VLOOKUP(A118,'Données projet'!$A$113:$I$133,5,0)),0%,VLOOKUP(A118,'Données projet'!$A$113:$I$133,5,0)*VLOOKUP('Données projet'!$B$12,Paramètres!$A$1:$I$88,7,0))</f>
        <v>0</v>
      </c>
      <c r="BL118" s="37">
        <f>IF(ISNA(VLOOKUP(A118,'Données projet'!$A$113:$I$133,6,0)),0%,VLOOKUP(A118,'Données projet'!$A$113:$I$133,6,0)*VLOOKUP('Données projet'!$B$12,Paramètres!$A$1:$I$88,7,0))</f>
        <v>0</v>
      </c>
      <c r="BM118" s="37">
        <f>IF(ISNA(VLOOKUP(A118,'Données projet'!$A$113:$I$133,7,0)),0%,VLOOKUP(A118,'Données projet'!$A$113:$I$133,7,0))</f>
        <v>0</v>
      </c>
      <c r="BN118" s="45">
        <f>EXP(-LN(2)/35)*BN117+(1-EXP(-LN(2)/35))/(LN(2)/35)*BJ118*BK118*VLOOKUP('Données projet'!$B$9,Paramètres!$A$1:$I$88,3,0)*0.475*44/12</f>
        <v>0</v>
      </c>
      <c r="BO118" s="45">
        <f>EXP(-LN(2)/25)*BO117+(1-EXP(-LN(2)/25))/(LN(2)/25)*Calculateur!BJ118*Calculateur!BL118*VLOOKUP('Données projet'!$B$9,Paramètres!$A$1:$I$88,3,0)*0.475*44/12</f>
        <v>0</v>
      </c>
      <c r="BP118" s="45">
        <f>EXP(-LN(2)/2)*BP117+(1-EXP(-LN(2)/2))/(LN(2)/2)*BJ118*BM118*VLOOKUP('Données projet'!$B$9,Paramètres!$A$1:$I$88,3,0)*0.475*44/12</f>
        <v>0</v>
      </c>
      <c r="BQ118" s="46">
        <f t="shared" si="49"/>
        <v>0</v>
      </c>
      <c r="BR118" s="32" t="e">
        <f>VLOOKUP(A118,'Données projet'!$A$139:$I$159,2,0)</f>
        <v>#N/A</v>
      </c>
      <c r="BS118" s="33" t="e">
        <f>VLOOKUP(A118,'Données projet'!$A$139:$I$159,9,0)</f>
        <v>#N/A</v>
      </c>
      <c r="BT118" s="33">
        <f t="array" ref="BT118">INDEX(BS:BS,MIN(IF(ISNUMBER(BS118:BS314),ROW(BS118:BS314),"")))</f>
        <v>0</v>
      </c>
      <c r="BU118" s="33">
        <f t="shared" si="72"/>
        <v>0</v>
      </c>
      <c r="BV118" s="38" t="e">
        <f>BU118*VLOOKUP('Données projet'!$B$13,Paramètres!$A$1:$I$88,3,0)*VLOOKUP('Données projet'!$B$13,Paramètres!$A$1:$I$88,5,0)</f>
        <v>#N/A</v>
      </c>
      <c r="BW118" s="34" t="e">
        <f t="shared" si="73"/>
        <v>#N/A</v>
      </c>
      <c r="BX118" s="44" t="e">
        <f t="shared" si="50"/>
        <v>#N/A</v>
      </c>
      <c r="BY118" s="36">
        <f>IF(ISNA(VLOOKUP(A118,'Données projet'!$A$139:$I$159,3,0)),0,VLOOKUP(A118,'Données projet'!$A$139:$I$159,3,0))</f>
        <v>0</v>
      </c>
      <c r="BZ118" s="36">
        <f>IF(ISNA(VLOOKUP(A118,'Données projet'!$A$139:$I$159,4,0)),0,VLOOKUP(A118,'Données projet'!$A$139:$I$159,4,0))</f>
        <v>0</v>
      </c>
      <c r="CA118" s="37">
        <f>IF(ISNA(VLOOKUP(A118,'Données projet'!$A$139:$I$159,5,0)),0%,VLOOKUP(A118,'Données projet'!$A$139:$I$159,5,0)*VLOOKUP('Données projet'!$B$13,Paramètres!$A$1:$I$88,7,0))</f>
        <v>0</v>
      </c>
      <c r="CB118" s="37">
        <f>IF(ISNA(VLOOKUP(A118,'Données projet'!$A$139:$I$159,6,0)),0%,VLOOKUP(A118,'Données projet'!$A$139:$I$159,6,0)*VLOOKUP('Données projet'!$B$13,Paramètres!$A$1:$I$88,7,0))</f>
        <v>0</v>
      </c>
      <c r="CC118" s="37">
        <f>IF(ISNA(VLOOKUP(A118,'Données projet'!$A$139:$I$159,7,0)),0%,VLOOKUP(A118,'Données projet'!$A$139:$I$159,7,0))</f>
        <v>0</v>
      </c>
      <c r="CD118" s="45">
        <f>EXP(-LN(2)/35)*CD117+(1-EXP(-LN(2)/35))/(LN(2)/35)*BZ118*CA118*VLOOKUP('Données projet'!$B$9,Paramètres!$A$1:$I$88,3,0)*0.475*44/12</f>
        <v>0</v>
      </c>
      <c r="CE118" s="45">
        <f>EXP(-LN(2)/25)*CE117+(1-EXP(-LN(2)/25))/(LN(2)/25)*Calculateur!BZ118*Calculateur!CB118*VLOOKUP('Données projet'!$B$9,Paramètres!$A$1:$I$88,3,0)*0.475*44/12</f>
        <v>0</v>
      </c>
      <c r="CF118" s="45">
        <f>EXP(-LN(2)/2)*CF117+(1-EXP(-LN(2)/2))/(LN(2)/2)*BZ118*CC118*VLOOKUP('Données projet'!$B$9,Paramètres!$A$1:$I$88,3,0)*0.475*44/12</f>
        <v>0</v>
      </c>
      <c r="CG118" s="46">
        <f t="shared" si="51"/>
        <v>0</v>
      </c>
      <c r="CH118" s="32" t="e">
        <f>VLOOKUP(A118,'Données projet'!$A$165:$I$185,2,0)</f>
        <v>#N/A</v>
      </c>
      <c r="CI118" s="33" t="e">
        <f>VLOOKUP(A118,'Données projet'!$A$165:$I$185,9,0)</f>
        <v>#N/A</v>
      </c>
      <c r="CJ118" s="33">
        <f t="array" ref="CJ118">INDEX(CI:CI,MIN(IF(ISNUMBER(CI118:CI314),ROW(CI118:CI314),"")))</f>
        <v>0</v>
      </c>
      <c r="CK118" s="33">
        <f t="shared" si="74"/>
        <v>0</v>
      </c>
      <c r="CL118" s="38" t="e">
        <f>CK118*VLOOKUP('Données projet'!$B$14,Paramètres!$A$1:$I$88,3,0)*VLOOKUP('Données projet'!$B$14,Paramètres!$A$1:$I$88,5,0)</f>
        <v>#N/A</v>
      </c>
      <c r="CM118" s="34" t="e">
        <f t="shared" si="75"/>
        <v>#N/A</v>
      </c>
      <c r="CN118" s="44" t="e">
        <f t="shared" si="52"/>
        <v>#N/A</v>
      </c>
      <c r="CO118" s="36">
        <f>IF(ISNA(VLOOKUP(A118,'Données projet'!$A$165:$I$185,3,0)),0,VLOOKUP(A118,'Données projet'!$A$165:$I$185,3,0))</f>
        <v>0</v>
      </c>
      <c r="CP118" s="36">
        <f>IF(ISNA(VLOOKUP(A118,'Données projet'!$A$165:$I$185,4,0)),0,VLOOKUP(A118,'Données projet'!$A$165:$I$185,4,0))</f>
        <v>0</v>
      </c>
      <c r="CQ118" s="37">
        <f>IF(ISNA(VLOOKUP(A118,'Données projet'!$A$165:$I$185,5,0)),0%,VLOOKUP(A118,'Données projet'!$A$165:$I$185,5,0)*VLOOKUP('Données projet'!$B$14,Paramètres!$A$1:$I$88,7,0))</f>
        <v>0</v>
      </c>
      <c r="CR118" s="37">
        <f>IF(ISNA(VLOOKUP(A118,'Données projet'!$A$165:$I$185,6,0)),0%,VLOOKUP(A118,'Données projet'!$A$165:$I$185,6,0)*VLOOKUP('Données projet'!$B$14,Paramètres!$A$1:$I$88,7,0))</f>
        <v>0</v>
      </c>
      <c r="CS118" s="37">
        <f>IF(ISNA(VLOOKUP(A118,'Données projet'!$A$165:$I$185,7,0)),0%,VLOOKUP(A118,'Données projet'!$A$165:$I$185,7,0))</f>
        <v>0</v>
      </c>
      <c r="CT118" s="45">
        <f>EXP(-LN(2)/35)*CT117+(1-EXP(-LN(2)/35))/(LN(2)/35)*CP118*CQ118*VLOOKUP('Données projet'!$B$9,Paramètres!$A$1:$I$88,3,0)*0.475*44/12</f>
        <v>0</v>
      </c>
      <c r="CU118" s="45">
        <f>EXP(-LN(2)/25)*CU117+(1-EXP(-LN(2)/25))/(LN(2)/25)*Calculateur!CP118*Calculateur!CR118*VLOOKUP('Données projet'!$B$9,Paramètres!$A$1:$I$88,3,0)*0.475*44/12</f>
        <v>0</v>
      </c>
      <c r="CV118" s="45">
        <f>EXP(-LN(2)/2)*CV117+(1-EXP(-LN(2)/2))/(LN(2)/2)*CP118*CS118*VLOOKUP('Données projet'!$B$9,Paramètres!$A$1:$I$88,3,0)*0.475*44/12</f>
        <v>0</v>
      </c>
      <c r="CW118" s="46">
        <f t="shared" si="53"/>
        <v>0</v>
      </c>
      <c r="CX118" s="32" t="e">
        <f>VLOOKUP(A118,'Données projet'!$A$191:$I$211,2,0)</f>
        <v>#N/A</v>
      </c>
      <c r="CY118" s="33" t="e">
        <f>VLOOKUP(A118,'Données projet'!$A$191:$I$211,9,0)</f>
        <v>#N/A</v>
      </c>
      <c r="CZ118" s="33">
        <f t="array" ref="CZ118">INDEX(CY:CY,MIN(IF(ISNUMBER(CY118:CY314),ROW(CY118:CY314),"")))</f>
        <v>0</v>
      </c>
      <c r="DA118" s="33">
        <f t="shared" si="76"/>
        <v>0</v>
      </c>
      <c r="DB118" s="38" t="e">
        <f>DA118*VLOOKUP('Données projet'!$B$15,Paramètres!$A$1:$I$88,3,0)*VLOOKUP('Données projet'!$B$15,Paramètres!$A$1:$I$88,5,0)</f>
        <v>#N/A</v>
      </c>
      <c r="DC118" s="34" t="e">
        <f t="shared" si="77"/>
        <v>#N/A</v>
      </c>
      <c r="DD118" s="44" t="e">
        <f t="shared" si="54"/>
        <v>#N/A</v>
      </c>
      <c r="DE118" s="36">
        <f>IF(ISNA(VLOOKUP(A118,'Données projet'!$A$191:$I$211,3,0)),0,VLOOKUP(A118,'Données projet'!$A$191:$I$211,3,0))</f>
        <v>0</v>
      </c>
      <c r="DF118" s="36">
        <f>IF(ISNA(VLOOKUP(A118,'Données projet'!$A$191:$I$211,4,0)),0,VLOOKUP(A118,'Données projet'!$A$191:$I$211,4,0))</f>
        <v>0</v>
      </c>
      <c r="DG118" s="37">
        <f>IF(ISNA(VLOOKUP(A118,'Données projet'!$A$191:$I$211,5,0)),0%,VLOOKUP(A118,'Données projet'!$A$191:$I$211,5,0)*VLOOKUP('Données projet'!$B$15,Paramètres!$A$1:$I$88,7,0))</f>
        <v>0</v>
      </c>
      <c r="DH118" s="37">
        <f>IF(ISNA(VLOOKUP(A118,'Données projet'!$A$191:$I$211,6,0)),0%,VLOOKUP(A118,'Données projet'!$A$191:$I$211,6,0)*VLOOKUP('Données projet'!$B$15,Paramètres!$A$1:$I$88,7,0))</f>
        <v>0</v>
      </c>
      <c r="DI118" s="37">
        <f>IF(ISNA(VLOOKUP(A118,'Données projet'!$A$191:$I$211,7,0)),0%,VLOOKUP(A118,'Données projet'!$A$191:$I$211,7,0))</f>
        <v>0</v>
      </c>
      <c r="DJ118" s="45">
        <f>EXP(-LN(2)/35)*DJ117+(1-EXP(-LN(2)/35))/(LN(2)/35)*DF118*DG118*VLOOKUP('Données projet'!$B$9,Paramètres!$A$1:$I$88,3,0)*0.475*44/12</f>
        <v>0</v>
      </c>
      <c r="DK118" s="45">
        <f>EXP(-LN(2)/25)*DK117+(1-EXP(-LN(2)/25))/(LN(2)/25)*Calculateur!DF118*Calculateur!DH118*VLOOKUP('Données projet'!$B$9,Paramètres!$A$1:$I$88,3,0)*0.475*44/12</f>
        <v>0</v>
      </c>
      <c r="DL118" s="45">
        <f>EXP(-LN(2)/2)*DL117+(1-EXP(-LN(2)/2))/(LN(2)/2)*DF118*DI118*VLOOKUP('Données projet'!$B$9,Paramètres!$A$1:$I$88,3,0)*0.475*44/12</f>
        <v>0</v>
      </c>
      <c r="DM118" s="46">
        <f t="shared" si="55"/>
        <v>0</v>
      </c>
      <c r="DN118" s="32" t="e">
        <f>VLOOKUP(A118,'Données projet'!$A$217:$I$237,2,0)</f>
        <v>#N/A</v>
      </c>
      <c r="DO118" s="33" t="e">
        <f>VLOOKUP(A118,'Données projet'!$A$217:$I$237,9,0)</f>
        <v>#N/A</v>
      </c>
      <c r="DP118" s="33">
        <f t="array" ref="DP118">INDEX(DO:DO,MIN(IF(ISNUMBER(DO118:DO314),ROW(DO118:DO314),"")))</f>
        <v>0</v>
      </c>
      <c r="DQ118" s="33">
        <f t="shared" si="78"/>
        <v>0</v>
      </c>
      <c r="DR118" s="38" t="e">
        <f>DQ118*VLOOKUP('Données projet'!$B$16,Paramètres!$A$1:$I$88,3,0)*VLOOKUP('Données projet'!$B$16,Paramètres!$A$1:$I$88,5,0)</f>
        <v>#N/A</v>
      </c>
      <c r="DS118" s="34" t="e">
        <f t="shared" si="79"/>
        <v>#N/A</v>
      </c>
      <c r="DT118" s="44" t="e">
        <f t="shared" si="56"/>
        <v>#N/A</v>
      </c>
      <c r="DU118" s="36">
        <f>IF(ISNA(VLOOKUP(A118,'Données projet'!$A$217:$I$237,3,0)),0,VLOOKUP(A118,'Données projet'!$A$217:$I$237,3,0))</f>
        <v>0</v>
      </c>
      <c r="DV118" s="36">
        <f>IF(ISNA(VLOOKUP(A118,'Données projet'!$A$217:$I$237,4,0)),0,VLOOKUP(A118,'Données projet'!$A$217:$I$237,4,0))</f>
        <v>0</v>
      </c>
      <c r="DW118" s="37">
        <f>IF(ISNA(VLOOKUP(A118,'Données projet'!$A$217:$I$237,5,0)),0%,VLOOKUP(A118,'Données projet'!$A$217:$I$237,5,0)*VLOOKUP('Données projet'!$B$16,Paramètres!$A$1:$I$88,7,0))</f>
        <v>0</v>
      </c>
      <c r="DX118" s="37">
        <f>IF(ISNA(VLOOKUP(A118,'Données projet'!$A$217:$I$237,6,0)),0%,VLOOKUP(A118,'Données projet'!$A$217:$I$237,6,0)*VLOOKUP('Données projet'!$B$16,Paramètres!$A$1:$I$88,7,0))</f>
        <v>0</v>
      </c>
      <c r="DY118" s="37">
        <f>IF(ISNA(VLOOKUP(A118,'Données projet'!$A$217:$I$237,7,0)),0%,VLOOKUP(A118,'Données projet'!$A$217:$I$237,7,0))</f>
        <v>0</v>
      </c>
      <c r="DZ118" s="45">
        <f>EXP(-LN(2)/35)*DZ117+(1-EXP(-LN(2)/35))/(LN(2)/35)*DV118*DW118*VLOOKUP('Données projet'!$B$9,Paramètres!$A$1:$I$88,3,0)*0.475*44/12</f>
        <v>0</v>
      </c>
      <c r="EA118" s="45">
        <f>EXP(-LN(2)/25)*EA117+(1-EXP(-LN(2)/25))/(LN(2)/25)*Calculateur!DV118*Calculateur!DX118*VLOOKUP('Données projet'!$B$9,Paramètres!$A$1:$I$88,3,0)*0.475*44/12</f>
        <v>0</v>
      </c>
      <c r="EB118" s="45">
        <f>EXP(-LN(2)/2)*EB117+(1-EXP(-LN(2)/2))/(LN(2)/2)*DV118*DY118*VLOOKUP('Données projet'!$B$9,Paramètres!$A$1:$I$88,3,0)*0.475*44/12</f>
        <v>0</v>
      </c>
      <c r="EC118" s="46">
        <f t="shared" si="57"/>
        <v>0</v>
      </c>
      <c r="ED118" s="32" t="e">
        <f>VLOOKUP(A118,'Données projet'!$A$243:$I$263,2,0)</f>
        <v>#N/A</v>
      </c>
      <c r="EE118" s="33" t="e">
        <f>VLOOKUP(A118,'Données projet'!$A$243:$I$263,9,0)</f>
        <v>#N/A</v>
      </c>
      <c r="EF118" s="33">
        <f t="array" ref="EF118">INDEX(EE:EE,MIN(IF(ISNUMBER(EE118:EE314),ROW(EE118:EE314),"")))</f>
        <v>0</v>
      </c>
      <c r="EG118" s="33">
        <f t="shared" si="80"/>
        <v>0</v>
      </c>
      <c r="EH118" s="38" t="e">
        <f>EG118*VLOOKUP('Données projet'!$B$17,Paramètres!$A$1:$I$88,3,0)*VLOOKUP('Données projet'!$B$17,Paramètres!$A$1:$I$88,5,0)</f>
        <v>#N/A</v>
      </c>
      <c r="EI118" s="34" t="e">
        <f t="shared" si="81"/>
        <v>#N/A</v>
      </c>
      <c r="EJ118" s="44" t="e">
        <f t="shared" si="58"/>
        <v>#N/A</v>
      </c>
      <c r="EK118" s="36">
        <f>IF(ISNA(VLOOKUP(A118,'Données projet'!$A$243:$I$263,3,0)),0,VLOOKUP(A118,'Données projet'!$A$243:$I$263,3,0))</f>
        <v>0</v>
      </c>
      <c r="EL118" s="36">
        <f>IF(ISNA(VLOOKUP(A118,'Données projet'!$A$243:$I$263,4,0)),0,VLOOKUP(A118,'Données projet'!$A$243:$I$263,4,0))</f>
        <v>0</v>
      </c>
      <c r="EM118" s="37">
        <f>IF(ISNA(VLOOKUP(A118,'Données projet'!$A$243:$I$263,5,0)),0%,VLOOKUP(A118,'Données projet'!$A$243:$I$263,5,0)*VLOOKUP('Données projet'!$B$17,Paramètres!$A$1:$I$88,7,0))</f>
        <v>0</v>
      </c>
      <c r="EN118" s="37">
        <f>IF(ISNA(VLOOKUP(A118,'Données projet'!$A$243:$I$263,6,0)),0%,VLOOKUP(A118,'Données projet'!$A$243:$I$263,6,0)*VLOOKUP('Données projet'!$B$17,Paramètres!$A$1:$I$88,7,0))</f>
        <v>0</v>
      </c>
      <c r="EO118" s="37">
        <f>IF(ISNA(VLOOKUP(A118,'Données projet'!$A$243:$I$263,7,0)),0%,VLOOKUP(A118,'Données projet'!$A$243:$I$263,7,0))</f>
        <v>0</v>
      </c>
      <c r="EP118" s="45">
        <f>EXP(-LN(2)/35)*EP117+(1-EXP(-LN(2)/35))/(LN(2)/35)*EL118*EM118*VLOOKUP('Données projet'!$B$9,Paramètres!$A$1:$I$88,3,0)*0.475*44/12</f>
        <v>0</v>
      </c>
      <c r="EQ118" s="45">
        <f>EXP(-LN(2)/25)*EQ117+(1-EXP(-LN(2)/25))/(LN(2)/25)*Calculateur!EL118*Calculateur!EN118*VLOOKUP('Données projet'!$B$9,Paramètres!$A$1:$I$88,3,0)*0.475*44/12</f>
        <v>0</v>
      </c>
      <c r="ER118" s="45">
        <f>EXP(-LN(2)/2)*ER117+(1-EXP(-LN(2)/2))/(LN(2)/2)*EL118*EO118*VLOOKUP('Données projet'!$B$9,Paramètres!$A$1:$I$88,3,0)*0.475*44/12</f>
        <v>0</v>
      </c>
      <c r="ES118" s="46">
        <f t="shared" si="59"/>
        <v>0</v>
      </c>
      <c r="ET118" s="32" t="e">
        <f>VLOOKUP(A118,'Données projet'!$A$269:$I$289,2,0)</f>
        <v>#N/A</v>
      </c>
      <c r="EU118" s="33" t="e">
        <f>VLOOKUP(A118,'Données projet'!$A$269:$I$289,9,0)</f>
        <v>#N/A</v>
      </c>
      <c r="EV118" s="33">
        <f t="array" ref="EV118">INDEX(EU:EU,MIN(IF(ISNUMBER(EU118:EU314),ROW(EU118:EU314),"")))</f>
        <v>0</v>
      </c>
      <c r="EW118" s="33">
        <f t="shared" si="82"/>
        <v>0</v>
      </c>
      <c r="EX118" s="38" t="e">
        <f>EW118*VLOOKUP('Données projet'!$B$18,Paramètres!$A$1:$I$88,3,0)*VLOOKUP('Données projet'!$B$18,Paramètres!$A$1:$I$88,5,0)</f>
        <v>#N/A</v>
      </c>
      <c r="EY118" s="34" t="e">
        <f t="shared" si="83"/>
        <v>#N/A</v>
      </c>
      <c r="EZ118" s="44" t="e">
        <f t="shared" si="60"/>
        <v>#N/A</v>
      </c>
      <c r="FA118" s="36">
        <f>IF(ISNA(VLOOKUP(A118,'Données projet'!$A$269:$I$289,3,0)),0,VLOOKUP(A118,'Données projet'!$A$269:$I$289,3,0))</f>
        <v>0</v>
      </c>
      <c r="FB118" s="36">
        <f>IF(ISNA(VLOOKUP(A118,'Données projet'!$A$269:$I$289,4,0)),0,VLOOKUP(A118,'Données projet'!$A$269:$I$289,4,0))</f>
        <v>0</v>
      </c>
      <c r="FC118" s="37">
        <f>IF(ISNA(VLOOKUP(A118,'Données projet'!$A$269:$I$289,5,0)),0%,VLOOKUP(A118,'Données projet'!$A$269:$I$289,5,0)*VLOOKUP('Données projet'!$B$18,Paramètres!$A$1:$I$88,7,0))</f>
        <v>0</v>
      </c>
      <c r="FD118" s="37">
        <f>IF(ISNA(VLOOKUP(A118,'Données projet'!$A$269:$I$289,6,0)),0%,VLOOKUP(A118,'Données projet'!$A$269:$I$289,6,0)*VLOOKUP('Données projet'!$B$18,Paramètres!$A$1:$I$88,7,0))</f>
        <v>0</v>
      </c>
      <c r="FE118" s="37">
        <f>IF(ISNA(VLOOKUP(A118,'Données projet'!$A$269:$I$289,7,0)),0%,VLOOKUP(A118,'Données projet'!$A$269:$I$289,7,0))</f>
        <v>0</v>
      </c>
      <c r="FF118" s="45">
        <f>EXP(-LN(2)/35)*FF117+(1-EXP(-LN(2)/35))/(LN(2)/35)*FB118*FC118*VLOOKUP('Données projet'!$B$9,Paramètres!$A$1:$I$88,3,0)*0.475*44/12</f>
        <v>0</v>
      </c>
      <c r="FG118" s="45">
        <f>EXP(-LN(2)/25)*FG117+(1-EXP(-LN(2)/25))/(LN(2)/25)*Calculateur!FB118*Calculateur!FD118*VLOOKUP('Données projet'!$B$9,Paramètres!$A$1:$I$88,3,0)*0.475*44/12</f>
        <v>0</v>
      </c>
      <c r="FH118" s="45">
        <f>EXP(-LN(2)/2)*FH117+(1-EXP(-LN(2)/2))/(LN(2)/2)*FB118*FE118*VLOOKUP('Données projet'!$B$9,Paramètres!$A$1:$I$88,3,0)*0.475*44/12</f>
        <v>0</v>
      </c>
      <c r="FI118" s="46">
        <f t="shared" si="61"/>
        <v>0</v>
      </c>
    </row>
    <row r="119" spans="1:165" x14ac:dyDescent="0.25">
      <c r="A119" s="24">
        <f t="shared" si="62"/>
        <v>116</v>
      </c>
      <c r="B119" s="25">
        <f>IF('Scénario référence'!$N$1=1,5,0)</f>
        <v>0</v>
      </c>
      <c r="C119" s="40">
        <f>IF(OR('Scénario référence'!$N$1=2,'Scénario référence'!$N$1=4),C118+1*VLOOKUP('Scénario référence'!$G$14,Paramètres!$A$1:$I$88,3,0)*VLOOKUP('Scénario référence'!$G$14,Paramètres!$A$1:$I$88,5,0),IF(OR('Scénario référence'!$N$1=3,'Scénario référence'!$N$1=5),C118+0.5*VLOOKUP('Scénario référence'!$G$14,Paramètres!$A$1:$I$88,3,0)*VLOOKUP('Scénario référence'!$G$14,Paramètres!$A$1:$I$88,5,0),0))</f>
        <v>63.335999999999942</v>
      </c>
      <c r="D119" s="26">
        <f t="shared" si="63"/>
        <v>18.009040022946209</v>
      </c>
      <c r="E119" s="27">
        <f>IF('Scénario référence'!$N$1=1,B119*44/12,(C119+D119)*0.475*44/12)</f>
        <v>141.67594470663121</v>
      </c>
      <c r="F119" s="28" t="e">
        <f>VLOOKUP(A119,'Données projet'!$A$35:$I$55,2,0)</f>
        <v>#N/A</v>
      </c>
      <c r="G119" s="28" t="e">
        <f>VLOOKUP(A119,'Données projet'!$A$35:$I$55,9,0)</f>
        <v>#N/A</v>
      </c>
      <c r="H119" s="33">
        <f t="array" ref="H119">INDEX(G:G,MIN(IF(ISNUMBER(G119:G315),ROW(G119:G315),"")))</f>
        <v>3.4</v>
      </c>
      <c r="I119" s="28">
        <f t="shared" si="64"/>
        <v>270.39999999999952</v>
      </c>
      <c r="J119" s="41">
        <f>I119*VLOOKUP('Données projet'!$B$9,Paramètres!$A$1:$I$88,3,0)*VLOOKUP('Données projet'!$B$9,Paramètres!$A$1:$I$88,5,0)</f>
        <v>274.18559999999957</v>
      </c>
      <c r="K119" s="41">
        <f t="shared" si="65"/>
        <v>65.736762389907327</v>
      </c>
      <c r="L119" s="42">
        <f t="shared" si="42"/>
        <v>592.03144782908782</v>
      </c>
      <c r="M119" s="30">
        <f>IF(ISNA(VLOOKUP(A119,'Données projet'!$A$35:$I$55,3,0)),0,VLOOKUP(A119,'Données projet'!$A$35:$I$55,3,0))</f>
        <v>0</v>
      </c>
      <c r="N119" s="30">
        <f>IF(ISNA(VLOOKUP(A119,'Données projet'!$A$35:$I$55,4,0)),0,VLOOKUP(A119,'Données projet'!$A$35:$I$55,4,0))</f>
        <v>0</v>
      </c>
      <c r="O119" s="31">
        <f>IF(ISNA(VLOOKUP(A119,'Données projet'!$A$35:$I$55,5,0)),0%,VLOOKUP(A119,'Données projet'!$A$35:$I$55,5,0)*VLOOKUP('Données projet'!$B$9,Paramètres!$A$1:$I$88,7,0))</f>
        <v>0</v>
      </c>
      <c r="P119" s="31">
        <f>IF(ISNA(VLOOKUP(A119,'Données projet'!$A$35:$I$55,6,0)),0%,VLOOKUP(A119,'Données projet'!$A$35:$I$55,6,0)*VLOOKUP('Données projet'!$B$9,Paramètres!$A$1:$I$88,7,0))</f>
        <v>0</v>
      </c>
      <c r="Q119" s="31">
        <f>IF(ISNA(VLOOKUP(A119,'Données projet'!$A$35:$I$55,7,0)),0%,VLOOKUP(A119,'Données projet'!$A$35:$I$55,7,0))</f>
        <v>0</v>
      </c>
      <c r="R119" s="43">
        <f>EXP(-LN(2)/35)*R118+(1-EXP(-LN(2)/35))/(LN(2)/35)*N119*O119*VLOOKUP('Données projet'!$B$9,Paramètres!$A$1:$I$88,3,0)*0.475*44/12</f>
        <v>0</v>
      </c>
      <c r="S119" s="43">
        <f>EXP(-LN(2)/25)*S118+(1-EXP(-LN(2)/25))/(LN(2)/25)*Calculateur!N119*Calculateur!P119*VLOOKUP('Données projet'!$B$9,Paramètres!$A$1:$I$88,3,0)*0.475*44/12</f>
        <v>0</v>
      </c>
      <c r="T119" s="43">
        <f>EXP(-LN(2)/2)*T118+(1-EXP(-LN(2)/2))/(LN(2)/2)*N119*Q119*VLOOKUP('Données projet'!$B$9,Paramètres!$A$1:$I$88,3,0)*0.475*44/12</f>
        <v>0</v>
      </c>
      <c r="U119" s="43">
        <f t="shared" si="43"/>
        <v>0</v>
      </c>
      <c r="V119" s="32" t="e">
        <f>VLOOKUP(A119,'Données projet'!$A$61:$I$81,2,0)</f>
        <v>#N/A</v>
      </c>
      <c r="W119" s="33" t="e">
        <f>VLOOKUP(A119,'Données projet'!$A$61:$I$81,9,0)</f>
        <v>#N/A</v>
      </c>
      <c r="X119" s="33">
        <f t="array" ref="X119">INDEX(W:W,MIN(IF(ISNUMBER(W119:W315),ROW(W119:W315),"")))</f>
        <v>0</v>
      </c>
      <c r="Y119" s="33">
        <f t="shared" si="66"/>
        <v>0</v>
      </c>
      <c r="Z119" s="34" t="e">
        <f>Y119*VLOOKUP('Données projet'!$B$10,Paramètres!$A$1:$I$88,3,0)*VLOOKUP('Données projet'!$B$10,Paramètres!$A$1:$I$88,5,0)</f>
        <v>#N/A</v>
      </c>
      <c r="AA119" s="34" t="e">
        <f t="shared" si="67"/>
        <v>#N/A</v>
      </c>
      <c r="AB119" s="44" t="e">
        <f t="shared" si="44"/>
        <v>#N/A</v>
      </c>
      <c r="AC119" s="36">
        <f>IF(ISNA(VLOOKUP(A119,'Données projet'!$A$61:$I$81,3,0)),0,VLOOKUP(A119,'Données projet'!$A$61:$I$81,3,0))</f>
        <v>0</v>
      </c>
      <c r="AD119" s="36">
        <f>IF(ISNA(VLOOKUP(A119,'Données projet'!$A$61:$I$81,4,0)),0,VLOOKUP(A119,'Données projet'!$A$61:$I$81,4,0))</f>
        <v>0</v>
      </c>
      <c r="AE119" s="37">
        <f>IF(ISNA(VLOOKUP(A119,'Données projet'!$A$61:$I$81,5,0)),0%,VLOOKUP(A119,'Données projet'!$A$61:$I$81,5,0)*VLOOKUP('Données projet'!$B$10,Paramètres!$A$1:$I$88,7,0))</f>
        <v>0</v>
      </c>
      <c r="AF119" s="37">
        <f>IF(ISNA(VLOOKUP(A119,'Données projet'!$A$61:$I$81,6,0)),0%,VLOOKUP(A119,'Données projet'!$A$61:$I$81,6,0)*VLOOKUP('Données projet'!$B$10,Paramètres!$A$1:$I$88,7,0))</f>
        <v>0</v>
      </c>
      <c r="AG119" s="37">
        <f>IF(ISNA(VLOOKUP(A119,'Données projet'!$A$61:$I$81,7,0)),0%,VLOOKUP(A119,'Données projet'!$A$61:$I$81,7,0))</f>
        <v>0</v>
      </c>
      <c r="AH119" s="45">
        <f>EXP(-LN(2)/35)*AH118+(1-EXP(-LN(2)/35))/(LN(2)/35)*AD119*AE119*VLOOKUP('Données projet'!$B$9,Paramètres!$A$1:$I$88,3,0)*0.475*44/12</f>
        <v>0</v>
      </c>
      <c r="AI119" s="45">
        <f>EXP(-LN(2)/25)*AI118+(1-EXP(-LN(2)/25))/(LN(2)/25)*Calculateur!AD119*Calculateur!AF119*VLOOKUP('Données projet'!$B$9,Paramètres!$A$1:$I$88,3,0)*0.475*44/12</f>
        <v>0</v>
      </c>
      <c r="AJ119" s="45">
        <f>EXP(-LN(2)/2)*AJ118+(1-EXP(-LN(2)/2))/(LN(2)/2)*AD119*AG119*VLOOKUP('Données projet'!$B$9,Paramètres!$A$1:$I$88,3,0)*0.475*44/12</f>
        <v>0</v>
      </c>
      <c r="AK119" s="45">
        <f t="shared" si="45"/>
        <v>0</v>
      </c>
      <c r="AL119" s="32" t="e">
        <f>VLOOKUP(A119,'Données projet'!$A$87:$I$107,2,0)</f>
        <v>#N/A</v>
      </c>
      <c r="AM119" s="33" t="e">
        <f>VLOOKUP(A119,'Données projet'!$A$87:$I$107,9,0)</f>
        <v>#N/A</v>
      </c>
      <c r="AN119" s="33">
        <f t="array" ref="AN119">INDEX(AM:AM,MIN(IF(ISNUMBER(AM119:AM315),ROW(AM119:AM315),"")))</f>
        <v>0</v>
      </c>
      <c r="AO119" s="33">
        <f t="shared" si="68"/>
        <v>0</v>
      </c>
      <c r="AP119" s="34" t="e">
        <f>AO119*VLOOKUP('Données projet'!$B$11,Paramètres!$A$1:$I$88,3,0)*VLOOKUP('Données projet'!$B$11,Paramètres!$A$1:$I$88,5,0)</f>
        <v>#N/A</v>
      </c>
      <c r="AQ119" s="34" t="e">
        <f t="shared" si="69"/>
        <v>#N/A</v>
      </c>
      <c r="AR119" s="44" t="e">
        <f t="shared" si="46"/>
        <v>#N/A</v>
      </c>
      <c r="AS119" s="36">
        <f>IF(ISNA(VLOOKUP(A119,'Données projet'!$A$87:$I$107,3,0)),0,VLOOKUP(A119,'Données projet'!$A$87:$I$107,3,0))</f>
        <v>0</v>
      </c>
      <c r="AT119" s="36">
        <f>IF(ISNA(VLOOKUP(A119,'Données projet'!$A$87:$I$107,4,0)),0,VLOOKUP(A119,'Données projet'!$A$87:$I$107,4,0))</f>
        <v>0</v>
      </c>
      <c r="AU119" s="37">
        <f>IF(ISNA(VLOOKUP(A119,'Données projet'!$A$87:$I$107,5,0)),0%,VLOOKUP(A119,'Données projet'!$A$87:$I$107,5,0)*VLOOKUP('Données projet'!$B$11,Paramètres!$A$1:$I$88,7,0))</f>
        <v>0</v>
      </c>
      <c r="AV119" s="37">
        <f>IF(ISNA(VLOOKUP(A119,'Données projet'!$A$87:$I$107,6,0)),0%,VLOOKUP(A119,'Données projet'!$A$87:$I$107,6,0)*VLOOKUP('Données projet'!$B$11,Paramètres!$A$1:$I$88,7,0))</f>
        <v>0</v>
      </c>
      <c r="AW119" s="37">
        <f>IF(ISNA(VLOOKUP(A119,'Données projet'!$A$87:$I$107,7,0)),0%,VLOOKUP(A119,'Données projet'!$A$87:$I$107,7,0))</f>
        <v>0</v>
      </c>
      <c r="AX119" s="45">
        <f>EXP(-LN(2)/35)*AX118+(1-EXP(-LN(2)/35))/(LN(2)/35)*AT119*AU119*VLOOKUP('Données projet'!$B$9,Paramètres!$A$1:$I$88,3,0)*0.475*44/12</f>
        <v>0</v>
      </c>
      <c r="AY119" s="45">
        <f>EXP(-LN(2)/25)*AY118+(1-EXP(-LN(2)/25))/(LN(2)/25)*Calculateur!AT119*Calculateur!AV119*VLOOKUP('Données projet'!$B$9,Paramètres!$A$1:$I$88,3,0)*0.475*44/12</f>
        <v>0</v>
      </c>
      <c r="AZ119" s="45">
        <f>EXP(-LN(2)/2)*AZ118+(1-EXP(-LN(2)/2))/(LN(2)/2)*AT119*AW119*VLOOKUP('Données projet'!$B$9,Paramètres!$A$1:$I$88,3,0)*0.475*44/12</f>
        <v>0</v>
      </c>
      <c r="BA119" s="46">
        <f t="shared" si="47"/>
        <v>0</v>
      </c>
      <c r="BB119" s="32" t="e">
        <f>VLOOKUP(A119,'Données projet'!$A$113:$I$133,2,0)</f>
        <v>#N/A</v>
      </c>
      <c r="BC119" s="33" t="e">
        <f>VLOOKUP(A119,'Données projet'!$A$113:$I$133,9,0)</f>
        <v>#N/A</v>
      </c>
      <c r="BD119" s="33">
        <f t="array" ref="BD119">INDEX(BC:BC,MIN(IF(ISNUMBER(BC119:BC315),ROW(BC119:BC315),"")))</f>
        <v>0</v>
      </c>
      <c r="BE119" s="33">
        <f t="shared" si="70"/>
        <v>0</v>
      </c>
      <c r="BF119" s="34" t="e">
        <f>BE119*VLOOKUP('Données projet'!$B$12,Paramètres!$A$1:$I$88,3,0)*VLOOKUP('Données projet'!$B$12,Paramètres!$A$1:$I$88,5,0)</f>
        <v>#N/A</v>
      </c>
      <c r="BG119" s="34" t="e">
        <f t="shared" si="71"/>
        <v>#N/A</v>
      </c>
      <c r="BH119" s="44" t="e">
        <f t="shared" si="48"/>
        <v>#N/A</v>
      </c>
      <c r="BI119" s="36">
        <f>IF(ISNA(VLOOKUP(A119,'Données projet'!$A$113:$I$133,3,0)),0,VLOOKUP(A119,'Données projet'!$A$113:$I$133,3,0))</f>
        <v>0</v>
      </c>
      <c r="BJ119" s="36">
        <f>IF(ISNA(VLOOKUP(A119,'Données projet'!$A$113:$I$133,4,0)),0,VLOOKUP(A119,'Données projet'!$A$113:$I$133,4,0))</f>
        <v>0</v>
      </c>
      <c r="BK119" s="37">
        <f>IF(ISNA(VLOOKUP(A119,'Données projet'!$A$113:$I$133,5,0)),0%,VLOOKUP(A119,'Données projet'!$A$113:$I$133,5,0)*VLOOKUP('Données projet'!$B$12,Paramètres!$A$1:$I$88,7,0))</f>
        <v>0</v>
      </c>
      <c r="BL119" s="37">
        <f>IF(ISNA(VLOOKUP(A119,'Données projet'!$A$113:$I$133,6,0)),0%,VLOOKUP(A119,'Données projet'!$A$113:$I$133,6,0)*VLOOKUP('Données projet'!$B$12,Paramètres!$A$1:$I$88,7,0))</f>
        <v>0</v>
      </c>
      <c r="BM119" s="37">
        <f>IF(ISNA(VLOOKUP(A119,'Données projet'!$A$113:$I$133,7,0)),0%,VLOOKUP(A119,'Données projet'!$A$113:$I$133,7,0))</f>
        <v>0</v>
      </c>
      <c r="BN119" s="45">
        <f>EXP(-LN(2)/35)*BN118+(1-EXP(-LN(2)/35))/(LN(2)/35)*BJ119*BK119*VLOOKUP('Données projet'!$B$9,Paramètres!$A$1:$I$88,3,0)*0.475*44/12</f>
        <v>0</v>
      </c>
      <c r="BO119" s="45">
        <f>EXP(-LN(2)/25)*BO118+(1-EXP(-LN(2)/25))/(LN(2)/25)*Calculateur!BJ119*Calculateur!BL119*VLOOKUP('Données projet'!$B$9,Paramètres!$A$1:$I$88,3,0)*0.475*44/12</f>
        <v>0</v>
      </c>
      <c r="BP119" s="45">
        <f>EXP(-LN(2)/2)*BP118+(1-EXP(-LN(2)/2))/(LN(2)/2)*BJ119*BM119*VLOOKUP('Données projet'!$B$9,Paramètres!$A$1:$I$88,3,0)*0.475*44/12</f>
        <v>0</v>
      </c>
      <c r="BQ119" s="46">
        <f t="shared" si="49"/>
        <v>0</v>
      </c>
      <c r="BR119" s="32" t="e">
        <f>VLOOKUP(A119,'Données projet'!$A$139:$I$159,2,0)</f>
        <v>#N/A</v>
      </c>
      <c r="BS119" s="33" t="e">
        <f>VLOOKUP(A119,'Données projet'!$A$139:$I$159,9,0)</f>
        <v>#N/A</v>
      </c>
      <c r="BT119" s="33">
        <f t="array" ref="BT119">INDEX(BS:BS,MIN(IF(ISNUMBER(BS119:BS315),ROW(BS119:BS315),"")))</f>
        <v>0</v>
      </c>
      <c r="BU119" s="33">
        <f t="shared" si="72"/>
        <v>0</v>
      </c>
      <c r="BV119" s="38" t="e">
        <f>BU119*VLOOKUP('Données projet'!$B$13,Paramètres!$A$1:$I$88,3,0)*VLOOKUP('Données projet'!$B$13,Paramètres!$A$1:$I$88,5,0)</f>
        <v>#N/A</v>
      </c>
      <c r="BW119" s="34" t="e">
        <f t="shared" si="73"/>
        <v>#N/A</v>
      </c>
      <c r="BX119" s="44" t="e">
        <f t="shared" si="50"/>
        <v>#N/A</v>
      </c>
      <c r="BY119" s="36">
        <f>IF(ISNA(VLOOKUP(A119,'Données projet'!$A$139:$I$159,3,0)),0,VLOOKUP(A119,'Données projet'!$A$139:$I$159,3,0))</f>
        <v>0</v>
      </c>
      <c r="BZ119" s="36">
        <f>IF(ISNA(VLOOKUP(A119,'Données projet'!$A$139:$I$159,4,0)),0,VLOOKUP(A119,'Données projet'!$A$139:$I$159,4,0))</f>
        <v>0</v>
      </c>
      <c r="CA119" s="37">
        <f>IF(ISNA(VLOOKUP(A119,'Données projet'!$A$139:$I$159,5,0)),0%,VLOOKUP(A119,'Données projet'!$A$139:$I$159,5,0)*VLOOKUP('Données projet'!$B$13,Paramètres!$A$1:$I$88,7,0))</f>
        <v>0</v>
      </c>
      <c r="CB119" s="37">
        <f>IF(ISNA(VLOOKUP(A119,'Données projet'!$A$139:$I$159,6,0)),0%,VLOOKUP(A119,'Données projet'!$A$139:$I$159,6,0)*VLOOKUP('Données projet'!$B$13,Paramètres!$A$1:$I$88,7,0))</f>
        <v>0</v>
      </c>
      <c r="CC119" s="37">
        <f>IF(ISNA(VLOOKUP(A119,'Données projet'!$A$139:$I$159,7,0)),0%,VLOOKUP(A119,'Données projet'!$A$139:$I$159,7,0))</f>
        <v>0</v>
      </c>
      <c r="CD119" s="45">
        <f>EXP(-LN(2)/35)*CD118+(1-EXP(-LN(2)/35))/(LN(2)/35)*BZ119*CA119*VLOOKUP('Données projet'!$B$9,Paramètres!$A$1:$I$88,3,0)*0.475*44/12</f>
        <v>0</v>
      </c>
      <c r="CE119" s="45">
        <f>EXP(-LN(2)/25)*CE118+(1-EXP(-LN(2)/25))/(LN(2)/25)*Calculateur!BZ119*Calculateur!CB119*VLOOKUP('Données projet'!$B$9,Paramètres!$A$1:$I$88,3,0)*0.475*44/12</f>
        <v>0</v>
      </c>
      <c r="CF119" s="45">
        <f>EXP(-LN(2)/2)*CF118+(1-EXP(-LN(2)/2))/(LN(2)/2)*BZ119*CC119*VLOOKUP('Données projet'!$B$9,Paramètres!$A$1:$I$88,3,0)*0.475*44/12</f>
        <v>0</v>
      </c>
      <c r="CG119" s="46">
        <f t="shared" si="51"/>
        <v>0</v>
      </c>
      <c r="CH119" s="32" t="e">
        <f>VLOOKUP(A119,'Données projet'!$A$165:$I$185,2,0)</f>
        <v>#N/A</v>
      </c>
      <c r="CI119" s="33" t="e">
        <f>VLOOKUP(A119,'Données projet'!$A$165:$I$185,9,0)</f>
        <v>#N/A</v>
      </c>
      <c r="CJ119" s="33">
        <f t="array" ref="CJ119">INDEX(CI:CI,MIN(IF(ISNUMBER(CI119:CI315),ROW(CI119:CI315),"")))</f>
        <v>0</v>
      </c>
      <c r="CK119" s="33">
        <f t="shared" si="74"/>
        <v>0</v>
      </c>
      <c r="CL119" s="38" t="e">
        <f>CK119*VLOOKUP('Données projet'!$B$14,Paramètres!$A$1:$I$88,3,0)*VLOOKUP('Données projet'!$B$14,Paramètres!$A$1:$I$88,5,0)</f>
        <v>#N/A</v>
      </c>
      <c r="CM119" s="34" t="e">
        <f t="shared" si="75"/>
        <v>#N/A</v>
      </c>
      <c r="CN119" s="44" t="e">
        <f t="shared" si="52"/>
        <v>#N/A</v>
      </c>
      <c r="CO119" s="36">
        <f>IF(ISNA(VLOOKUP(A119,'Données projet'!$A$165:$I$185,3,0)),0,VLOOKUP(A119,'Données projet'!$A$165:$I$185,3,0))</f>
        <v>0</v>
      </c>
      <c r="CP119" s="36">
        <f>IF(ISNA(VLOOKUP(A119,'Données projet'!$A$165:$I$185,4,0)),0,VLOOKUP(A119,'Données projet'!$A$165:$I$185,4,0))</f>
        <v>0</v>
      </c>
      <c r="CQ119" s="37">
        <f>IF(ISNA(VLOOKUP(A119,'Données projet'!$A$165:$I$185,5,0)),0%,VLOOKUP(A119,'Données projet'!$A$165:$I$185,5,0)*VLOOKUP('Données projet'!$B$14,Paramètres!$A$1:$I$88,7,0))</f>
        <v>0</v>
      </c>
      <c r="CR119" s="37">
        <f>IF(ISNA(VLOOKUP(A119,'Données projet'!$A$165:$I$185,6,0)),0%,VLOOKUP(A119,'Données projet'!$A$165:$I$185,6,0)*VLOOKUP('Données projet'!$B$14,Paramètres!$A$1:$I$88,7,0))</f>
        <v>0</v>
      </c>
      <c r="CS119" s="37">
        <f>IF(ISNA(VLOOKUP(A119,'Données projet'!$A$165:$I$185,7,0)),0%,VLOOKUP(A119,'Données projet'!$A$165:$I$185,7,0))</f>
        <v>0</v>
      </c>
      <c r="CT119" s="45">
        <f>EXP(-LN(2)/35)*CT118+(1-EXP(-LN(2)/35))/(LN(2)/35)*CP119*CQ119*VLOOKUP('Données projet'!$B$9,Paramètres!$A$1:$I$88,3,0)*0.475*44/12</f>
        <v>0</v>
      </c>
      <c r="CU119" s="45">
        <f>EXP(-LN(2)/25)*CU118+(1-EXP(-LN(2)/25))/(LN(2)/25)*Calculateur!CP119*Calculateur!CR119*VLOOKUP('Données projet'!$B$9,Paramètres!$A$1:$I$88,3,0)*0.475*44/12</f>
        <v>0</v>
      </c>
      <c r="CV119" s="45">
        <f>EXP(-LN(2)/2)*CV118+(1-EXP(-LN(2)/2))/(LN(2)/2)*CP119*CS119*VLOOKUP('Données projet'!$B$9,Paramètres!$A$1:$I$88,3,0)*0.475*44/12</f>
        <v>0</v>
      </c>
      <c r="CW119" s="46">
        <f t="shared" si="53"/>
        <v>0</v>
      </c>
      <c r="CX119" s="32" t="e">
        <f>VLOOKUP(A119,'Données projet'!$A$191:$I$211,2,0)</f>
        <v>#N/A</v>
      </c>
      <c r="CY119" s="33" t="e">
        <f>VLOOKUP(A119,'Données projet'!$A$191:$I$211,9,0)</f>
        <v>#N/A</v>
      </c>
      <c r="CZ119" s="33">
        <f t="array" ref="CZ119">INDEX(CY:CY,MIN(IF(ISNUMBER(CY119:CY315),ROW(CY119:CY315),"")))</f>
        <v>0</v>
      </c>
      <c r="DA119" s="33">
        <f t="shared" si="76"/>
        <v>0</v>
      </c>
      <c r="DB119" s="38" t="e">
        <f>DA119*VLOOKUP('Données projet'!$B$15,Paramètres!$A$1:$I$88,3,0)*VLOOKUP('Données projet'!$B$15,Paramètres!$A$1:$I$88,5,0)</f>
        <v>#N/A</v>
      </c>
      <c r="DC119" s="34" t="e">
        <f t="shared" si="77"/>
        <v>#N/A</v>
      </c>
      <c r="DD119" s="44" t="e">
        <f t="shared" si="54"/>
        <v>#N/A</v>
      </c>
      <c r="DE119" s="36">
        <f>IF(ISNA(VLOOKUP(A119,'Données projet'!$A$191:$I$211,3,0)),0,VLOOKUP(A119,'Données projet'!$A$191:$I$211,3,0))</f>
        <v>0</v>
      </c>
      <c r="DF119" s="36">
        <f>IF(ISNA(VLOOKUP(A119,'Données projet'!$A$191:$I$211,4,0)),0,VLOOKUP(A119,'Données projet'!$A$191:$I$211,4,0))</f>
        <v>0</v>
      </c>
      <c r="DG119" s="37">
        <f>IF(ISNA(VLOOKUP(A119,'Données projet'!$A$191:$I$211,5,0)),0%,VLOOKUP(A119,'Données projet'!$A$191:$I$211,5,0)*VLOOKUP('Données projet'!$B$15,Paramètres!$A$1:$I$88,7,0))</f>
        <v>0</v>
      </c>
      <c r="DH119" s="37">
        <f>IF(ISNA(VLOOKUP(A119,'Données projet'!$A$191:$I$211,6,0)),0%,VLOOKUP(A119,'Données projet'!$A$191:$I$211,6,0)*VLOOKUP('Données projet'!$B$15,Paramètres!$A$1:$I$88,7,0))</f>
        <v>0</v>
      </c>
      <c r="DI119" s="37">
        <f>IF(ISNA(VLOOKUP(A119,'Données projet'!$A$191:$I$211,7,0)),0%,VLOOKUP(A119,'Données projet'!$A$191:$I$211,7,0))</f>
        <v>0</v>
      </c>
      <c r="DJ119" s="45">
        <f>EXP(-LN(2)/35)*DJ118+(1-EXP(-LN(2)/35))/(LN(2)/35)*DF119*DG119*VLOOKUP('Données projet'!$B$9,Paramètres!$A$1:$I$88,3,0)*0.475*44/12</f>
        <v>0</v>
      </c>
      <c r="DK119" s="45">
        <f>EXP(-LN(2)/25)*DK118+(1-EXP(-LN(2)/25))/(LN(2)/25)*Calculateur!DF119*Calculateur!DH119*VLOOKUP('Données projet'!$B$9,Paramètres!$A$1:$I$88,3,0)*0.475*44/12</f>
        <v>0</v>
      </c>
      <c r="DL119" s="45">
        <f>EXP(-LN(2)/2)*DL118+(1-EXP(-LN(2)/2))/(LN(2)/2)*DF119*DI119*VLOOKUP('Données projet'!$B$9,Paramètres!$A$1:$I$88,3,0)*0.475*44/12</f>
        <v>0</v>
      </c>
      <c r="DM119" s="46">
        <f t="shared" si="55"/>
        <v>0</v>
      </c>
      <c r="DN119" s="32" t="e">
        <f>VLOOKUP(A119,'Données projet'!$A$217:$I$237,2,0)</f>
        <v>#N/A</v>
      </c>
      <c r="DO119" s="33" t="e">
        <f>VLOOKUP(A119,'Données projet'!$A$217:$I$237,9,0)</f>
        <v>#N/A</v>
      </c>
      <c r="DP119" s="33">
        <f t="array" ref="DP119">INDEX(DO:DO,MIN(IF(ISNUMBER(DO119:DO315),ROW(DO119:DO315),"")))</f>
        <v>0</v>
      </c>
      <c r="DQ119" s="33">
        <f t="shared" si="78"/>
        <v>0</v>
      </c>
      <c r="DR119" s="38" t="e">
        <f>DQ119*VLOOKUP('Données projet'!$B$16,Paramètres!$A$1:$I$88,3,0)*VLOOKUP('Données projet'!$B$16,Paramètres!$A$1:$I$88,5,0)</f>
        <v>#N/A</v>
      </c>
      <c r="DS119" s="34" t="e">
        <f t="shared" si="79"/>
        <v>#N/A</v>
      </c>
      <c r="DT119" s="44" t="e">
        <f t="shared" si="56"/>
        <v>#N/A</v>
      </c>
      <c r="DU119" s="36">
        <f>IF(ISNA(VLOOKUP(A119,'Données projet'!$A$217:$I$237,3,0)),0,VLOOKUP(A119,'Données projet'!$A$217:$I$237,3,0))</f>
        <v>0</v>
      </c>
      <c r="DV119" s="36">
        <f>IF(ISNA(VLOOKUP(A119,'Données projet'!$A$217:$I$237,4,0)),0,VLOOKUP(A119,'Données projet'!$A$217:$I$237,4,0))</f>
        <v>0</v>
      </c>
      <c r="DW119" s="37">
        <f>IF(ISNA(VLOOKUP(A119,'Données projet'!$A$217:$I$237,5,0)),0%,VLOOKUP(A119,'Données projet'!$A$217:$I$237,5,0)*VLOOKUP('Données projet'!$B$16,Paramètres!$A$1:$I$88,7,0))</f>
        <v>0</v>
      </c>
      <c r="DX119" s="37">
        <f>IF(ISNA(VLOOKUP(A119,'Données projet'!$A$217:$I$237,6,0)),0%,VLOOKUP(A119,'Données projet'!$A$217:$I$237,6,0)*VLOOKUP('Données projet'!$B$16,Paramètres!$A$1:$I$88,7,0))</f>
        <v>0</v>
      </c>
      <c r="DY119" s="37">
        <f>IF(ISNA(VLOOKUP(A119,'Données projet'!$A$217:$I$237,7,0)),0%,VLOOKUP(A119,'Données projet'!$A$217:$I$237,7,0))</f>
        <v>0</v>
      </c>
      <c r="DZ119" s="45">
        <f>EXP(-LN(2)/35)*DZ118+(1-EXP(-LN(2)/35))/(LN(2)/35)*DV119*DW119*VLOOKUP('Données projet'!$B$9,Paramètres!$A$1:$I$88,3,0)*0.475*44/12</f>
        <v>0</v>
      </c>
      <c r="EA119" s="45">
        <f>EXP(-LN(2)/25)*EA118+(1-EXP(-LN(2)/25))/(LN(2)/25)*Calculateur!DV119*Calculateur!DX119*VLOOKUP('Données projet'!$B$9,Paramètres!$A$1:$I$88,3,0)*0.475*44/12</f>
        <v>0</v>
      </c>
      <c r="EB119" s="45">
        <f>EXP(-LN(2)/2)*EB118+(1-EXP(-LN(2)/2))/(LN(2)/2)*DV119*DY119*VLOOKUP('Données projet'!$B$9,Paramètres!$A$1:$I$88,3,0)*0.475*44/12</f>
        <v>0</v>
      </c>
      <c r="EC119" s="46">
        <f t="shared" si="57"/>
        <v>0</v>
      </c>
      <c r="ED119" s="32" t="e">
        <f>VLOOKUP(A119,'Données projet'!$A$243:$I$263,2,0)</f>
        <v>#N/A</v>
      </c>
      <c r="EE119" s="33" t="e">
        <f>VLOOKUP(A119,'Données projet'!$A$243:$I$263,9,0)</f>
        <v>#N/A</v>
      </c>
      <c r="EF119" s="33">
        <f t="array" ref="EF119">INDEX(EE:EE,MIN(IF(ISNUMBER(EE119:EE315),ROW(EE119:EE315),"")))</f>
        <v>0</v>
      </c>
      <c r="EG119" s="33">
        <f t="shared" si="80"/>
        <v>0</v>
      </c>
      <c r="EH119" s="38" t="e">
        <f>EG119*VLOOKUP('Données projet'!$B$17,Paramètres!$A$1:$I$88,3,0)*VLOOKUP('Données projet'!$B$17,Paramètres!$A$1:$I$88,5,0)</f>
        <v>#N/A</v>
      </c>
      <c r="EI119" s="34" t="e">
        <f t="shared" si="81"/>
        <v>#N/A</v>
      </c>
      <c r="EJ119" s="44" t="e">
        <f t="shared" si="58"/>
        <v>#N/A</v>
      </c>
      <c r="EK119" s="36">
        <f>IF(ISNA(VLOOKUP(A119,'Données projet'!$A$243:$I$263,3,0)),0,VLOOKUP(A119,'Données projet'!$A$243:$I$263,3,0))</f>
        <v>0</v>
      </c>
      <c r="EL119" s="36">
        <f>IF(ISNA(VLOOKUP(A119,'Données projet'!$A$243:$I$263,4,0)),0,VLOOKUP(A119,'Données projet'!$A$243:$I$263,4,0))</f>
        <v>0</v>
      </c>
      <c r="EM119" s="37">
        <f>IF(ISNA(VLOOKUP(A119,'Données projet'!$A$243:$I$263,5,0)),0%,VLOOKUP(A119,'Données projet'!$A$243:$I$263,5,0)*VLOOKUP('Données projet'!$B$17,Paramètres!$A$1:$I$88,7,0))</f>
        <v>0</v>
      </c>
      <c r="EN119" s="37">
        <f>IF(ISNA(VLOOKUP(A119,'Données projet'!$A$243:$I$263,6,0)),0%,VLOOKUP(A119,'Données projet'!$A$243:$I$263,6,0)*VLOOKUP('Données projet'!$B$17,Paramètres!$A$1:$I$88,7,0))</f>
        <v>0</v>
      </c>
      <c r="EO119" s="37">
        <f>IF(ISNA(VLOOKUP(A119,'Données projet'!$A$243:$I$263,7,0)),0%,VLOOKUP(A119,'Données projet'!$A$243:$I$263,7,0))</f>
        <v>0</v>
      </c>
      <c r="EP119" s="45">
        <f>EXP(-LN(2)/35)*EP118+(1-EXP(-LN(2)/35))/(LN(2)/35)*EL119*EM119*VLOOKUP('Données projet'!$B$9,Paramètres!$A$1:$I$88,3,0)*0.475*44/12</f>
        <v>0</v>
      </c>
      <c r="EQ119" s="45">
        <f>EXP(-LN(2)/25)*EQ118+(1-EXP(-LN(2)/25))/(LN(2)/25)*Calculateur!EL119*Calculateur!EN119*VLOOKUP('Données projet'!$B$9,Paramètres!$A$1:$I$88,3,0)*0.475*44/12</f>
        <v>0</v>
      </c>
      <c r="ER119" s="45">
        <f>EXP(-LN(2)/2)*ER118+(1-EXP(-LN(2)/2))/(LN(2)/2)*EL119*EO119*VLOOKUP('Données projet'!$B$9,Paramètres!$A$1:$I$88,3,0)*0.475*44/12</f>
        <v>0</v>
      </c>
      <c r="ES119" s="46">
        <f t="shared" si="59"/>
        <v>0</v>
      </c>
      <c r="ET119" s="32" t="e">
        <f>VLOOKUP(A119,'Données projet'!$A$269:$I$289,2,0)</f>
        <v>#N/A</v>
      </c>
      <c r="EU119" s="33" t="e">
        <f>VLOOKUP(A119,'Données projet'!$A$269:$I$289,9,0)</f>
        <v>#N/A</v>
      </c>
      <c r="EV119" s="33">
        <f t="array" ref="EV119">INDEX(EU:EU,MIN(IF(ISNUMBER(EU119:EU315),ROW(EU119:EU315),"")))</f>
        <v>0</v>
      </c>
      <c r="EW119" s="33">
        <f t="shared" si="82"/>
        <v>0</v>
      </c>
      <c r="EX119" s="38" t="e">
        <f>EW119*VLOOKUP('Données projet'!$B$18,Paramètres!$A$1:$I$88,3,0)*VLOOKUP('Données projet'!$B$18,Paramètres!$A$1:$I$88,5,0)</f>
        <v>#N/A</v>
      </c>
      <c r="EY119" s="34" t="e">
        <f t="shared" si="83"/>
        <v>#N/A</v>
      </c>
      <c r="EZ119" s="44" t="e">
        <f t="shared" si="60"/>
        <v>#N/A</v>
      </c>
      <c r="FA119" s="36">
        <f>IF(ISNA(VLOOKUP(A119,'Données projet'!$A$269:$I$289,3,0)),0,VLOOKUP(A119,'Données projet'!$A$269:$I$289,3,0))</f>
        <v>0</v>
      </c>
      <c r="FB119" s="36">
        <f>IF(ISNA(VLOOKUP(A119,'Données projet'!$A$269:$I$289,4,0)),0,VLOOKUP(A119,'Données projet'!$A$269:$I$289,4,0))</f>
        <v>0</v>
      </c>
      <c r="FC119" s="37">
        <f>IF(ISNA(VLOOKUP(A119,'Données projet'!$A$269:$I$289,5,0)),0%,VLOOKUP(A119,'Données projet'!$A$269:$I$289,5,0)*VLOOKUP('Données projet'!$B$18,Paramètres!$A$1:$I$88,7,0))</f>
        <v>0</v>
      </c>
      <c r="FD119" s="37">
        <f>IF(ISNA(VLOOKUP(A119,'Données projet'!$A$269:$I$289,6,0)),0%,VLOOKUP(A119,'Données projet'!$A$269:$I$289,6,0)*VLOOKUP('Données projet'!$B$18,Paramètres!$A$1:$I$88,7,0))</f>
        <v>0</v>
      </c>
      <c r="FE119" s="37">
        <f>IF(ISNA(VLOOKUP(A119,'Données projet'!$A$269:$I$289,7,0)),0%,VLOOKUP(A119,'Données projet'!$A$269:$I$289,7,0))</f>
        <v>0</v>
      </c>
      <c r="FF119" s="45">
        <f>EXP(-LN(2)/35)*FF118+(1-EXP(-LN(2)/35))/(LN(2)/35)*FB119*FC119*VLOOKUP('Données projet'!$B$9,Paramètres!$A$1:$I$88,3,0)*0.475*44/12</f>
        <v>0</v>
      </c>
      <c r="FG119" s="45">
        <f>EXP(-LN(2)/25)*FG118+(1-EXP(-LN(2)/25))/(LN(2)/25)*Calculateur!FB119*Calculateur!FD119*VLOOKUP('Données projet'!$B$9,Paramètres!$A$1:$I$88,3,0)*0.475*44/12</f>
        <v>0</v>
      </c>
      <c r="FH119" s="45">
        <f>EXP(-LN(2)/2)*FH118+(1-EXP(-LN(2)/2))/(LN(2)/2)*FB119*FE119*VLOOKUP('Données projet'!$B$9,Paramètres!$A$1:$I$88,3,0)*0.475*44/12</f>
        <v>0</v>
      </c>
      <c r="FI119" s="46">
        <f t="shared" si="61"/>
        <v>0</v>
      </c>
    </row>
    <row r="120" spans="1:165" x14ac:dyDescent="0.25">
      <c r="A120" s="24">
        <f t="shared" si="62"/>
        <v>117</v>
      </c>
      <c r="B120" s="25">
        <f>IF('Scénario référence'!$N$1=1,5,0)</f>
        <v>0</v>
      </c>
      <c r="C120" s="40">
        <f>IF(OR('Scénario référence'!$N$1=2,'Scénario référence'!$N$1=4),C119+1*VLOOKUP('Scénario référence'!$G$14,Paramètres!$A$1:$I$88,3,0)*VLOOKUP('Scénario référence'!$G$14,Paramètres!$A$1:$I$88,5,0),IF(OR('Scénario référence'!$N$1=3,'Scénario référence'!$N$1=5),C119+0.5*VLOOKUP('Scénario référence'!$G$14,Paramètres!$A$1:$I$88,3,0)*VLOOKUP('Scénario référence'!$G$14,Paramètres!$A$1:$I$88,5,0),0))</f>
        <v>63.881999999999941</v>
      </c>
      <c r="D120" s="26">
        <f t="shared" si="63"/>
        <v>18.146150621487966</v>
      </c>
      <c r="E120" s="27">
        <f>IF('Scénario référence'!$N$1=1,B120*44/12,(C120+D120)*0.475*44/12)</f>
        <v>142.8656956657581</v>
      </c>
      <c r="F120" s="28" t="e">
        <f>VLOOKUP(A120,'Données projet'!$A$35:$I$55,2,0)</f>
        <v>#N/A</v>
      </c>
      <c r="G120" s="28" t="e">
        <f>VLOOKUP(A120,'Données projet'!$A$35:$I$55,9,0)</f>
        <v>#N/A</v>
      </c>
      <c r="H120" s="33">
        <f t="array" ref="H120">INDEX(G:G,MIN(IF(ISNUMBER(G120:G316),ROW(G120:G316),"")))</f>
        <v>3.4</v>
      </c>
      <c r="I120" s="28">
        <f t="shared" si="64"/>
        <v>273.7999999999995</v>
      </c>
      <c r="J120" s="41">
        <f>I120*VLOOKUP('Données projet'!$B$9,Paramètres!$A$1:$I$88,3,0)*VLOOKUP('Données projet'!$B$9,Paramètres!$A$1:$I$88,5,0)</f>
        <v>277.63319999999953</v>
      </c>
      <c r="K120" s="41">
        <f t="shared" si="65"/>
        <v>66.466589162975581</v>
      </c>
      <c r="L120" s="42">
        <f t="shared" si="42"/>
        <v>599.30713279218173</v>
      </c>
      <c r="M120" s="30">
        <f>IF(ISNA(VLOOKUP(A120,'Données projet'!$A$35:$I$55,3,0)),0,VLOOKUP(A120,'Données projet'!$A$35:$I$55,3,0))</f>
        <v>0</v>
      </c>
      <c r="N120" s="30">
        <f>IF(ISNA(VLOOKUP(A120,'Données projet'!$A$35:$I$55,4,0)),0,VLOOKUP(A120,'Données projet'!$A$35:$I$55,4,0))</f>
        <v>0</v>
      </c>
      <c r="O120" s="31">
        <f>IF(ISNA(VLOOKUP(A120,'Données projet'!$A$35:$I$55,5,0)),0%,VLOOKUP(A120,'Données projet'!$A$35:$I$55,5,0)*VLOOKUP('Données projet'!$B$9,Paramètres!$A$1:$I$88,7,0))</f>
        <v>0</v>
      </c>
      <c r="P120" s="31">
        <f>IF(ISNA(VLOOKUP(A120,'Données projet'!$A$35:$I$55,6,0)),0%,VLOOKUP(A120,'Données projet'!$A$35:$I$55,6,0)*VLOOKUP('Données projet'!$B$9,Paramètres!$A$1:$I$88,7,0))</f>
        <v>0</v>
      </c>
      <c r="Q120" s="31">
        <f>IF(ISNA(VLOOKUP(A120,'Données projet'!$A$35:$I$55,7,0)),0%,VLOOKUP(A120,'Données projet'!$A$35:$I$55,7,0))</f>
        <v>0</v>
      </c>
      <c r="R120" s="43">
        <f>EXP(-LN(2)/35)*R119+(1-EXP(-LN(2)/35))/(LN(2)/35)*N120*O120*VLOOKUP('Données projet'!$B$9,Paramètres!$A$1:$I$88,3,0)*0.475*44/12</f>
        <v>0</v>
      </c>
      <c r="S120" s="43">
        <f>EXP(-LN(2)/25)*S119+(1-EXP(-LN(2)/25))/(LN(2)/25)*Calculateur!N120*Calculateur!P120*VLOOKUP('Données projet'!$B$9,Paramètres!$A$1:$I$88,3,0)*0.475*44/12</f>
        <v>0</v>
      </c>
      <c r="T120" s="43">
        <f>EXP(-LN(2)/2)*T119+(1-EXP(-LN(2)/2))/(LN(2)/2)*N120*Q120*VLOOKUP('Données projet'!$B$9,Paramètres!$A$1:$I$88,3,0)*0.475*44/12</f>
        <v>0</v>
      </c>
      <c r="U120" s="43">
        <f t="shared" si="43"/>
        <v>0</v>
      </c>
      <c r="V120" s="32" t="e">
        <f>VLOOKUP(A120,'Données projet'!$A$61:$I$81,2,0)</f>
        <v>#N/A</v>
      </c>
      <c r="W120" s="33" t="e">
        <f>VLOOKUP(A120,'Données projet'!$A$61:$I$81,9,0)</f>
        <v>#N/A</v>
      </c>
      <c r="X120" s="33">
        <f t="array" ref="X120">INDEX(W:W,MIN(IF(ISNUMBER(W120:W316),ROW(W120:W316),"")))</f>
        <v>0</v>
      </c>
      <c r="Y120" s="33">
        <f t="shared" si="66"/>
        <v>0</v>
      </c>
      <c r="Z120" s="34" t="e">
        <f>Y120*VLOOKUP('Données projet'!$B$10,Paramètres!$A$1:$I$88,3,0)*VLOOKUP('Données projet'!$B$10,Paramètres!$A$1:$I$88,5,0)</f>
        <v>#N/A</v>
      </c>
      <c r="AA120" s="34" t="e">
        <f t="shared" si="67"/>
        <v>#N/A</v>
      </c>
      <c r="AB120" s="44" t="e">
        <f t="shared" si="44"/>
        <v>#N/A</v>
      </c>
      <c r="AC120" s="36">
        <f>IF(ISNA(VLOOKUP(A120,'Données projet'!$A$61:$I$81,3,0)),0,VLOOKUP(A120,'Données projet'!$A$61:$I$81,3,0))</f>
        <v>0</v>
      </c>
      <c r="AD120" s="36">
        <f>IF(ISNA(VLOOKUP(A120,'Données projet'!$A$61:$I$81,4,0)),0,VLOOKUP(A120,'Données projet'!$A$61:$I$81,4,0))</f>
        <v>0</v>
      </c>
      <c r="AE120" s="37">
        <f>IF(ISNA(VLOOKUP(A120,'Données projet'!$A$61:$I$81,5,0)),0%,VLOOKUP(A120,'Données projet'!$A$61:$I$81,5,0)*VLOOKUP('Données projet'!$B$10,Paramètres!$A$1:$I$88,7,0))</f>
        <v>0</v>
      </c>
      <c r="AF120" s="37">
        <f>IF(ISNA(VLOOKUP(A120,'Données projet'!$A$61:$I$81,6,0)),0%,VLOOKUP(A120,'Données projet'!$A$61:$I$81,6,0)*VLOOKUP('Données projet'!$B$10,Paramètres!$A$1:$I$88,7,0))</f>
        <v>0</v>
      </c>
      <c r="AG120" s="37">
        <f>IF(ISNA(VLOOKUP(A120,'Données projet'!$A$61:$I$81,7,0)),0%,VLOOKUP(A120,'Données projet'!$A$61:$I$81,7,0))</f>
        <v>0</v>
      </c>
      <c r="AH120" s="45">
        <f>EXP(-LN(2)/35)*AH119+(1-EXP(-LN(2)/35))/(LN(2)/35)*AD120*AE120*VLOOKUP('Données projet'!$B$9,Paramètres!$A$1:$I$88,3,0)*0.475*44/12</f>
        <v>0</v>
      </c>
      <c r="AI120" s="45">
        <f>EXP(-LN(2)/25)*AI119+(1-EXP(-LN(2)/25))/(LN(2)/25)*Calculateur!AD120*Calculateur!AF120*VLOOKUP('Données projet'!$B$9,Paramètres!$A$1:$I$88,3,0)*0.475*44/12</f>
        <v>0</v>
      </c>
      <c r="AJ120" s="45">
        <f>EXP(-LN(2)/2)*AJ119+(1-EXP(-LN(2)/2))/(LN(2)/2)*AD120*AG120*VLOOKUP('Données projet'!$B$9,Paramètres!$A$1:$I$88,3,0)*0.475*44/12</f>
        <v>0</v>
      </c>
      <c r="AK120" s="45">
        <f t="shared" si="45"/>
        <v>0</v>
      </c>
      <c r="AL120" s="32" t="e">
        <f>VLOOKUP(A120,'Données projet'!$A$87:$I$107,2,0)</f>
        <v>#N/A</v>
      </c>
      <c r="AM120" s="33" t="e">
        <f>VLOOKUP(A120,'Données projet'!$A$87:$I$107,9,0)</f>
        <v>#N/A</v>
      </c>
      <c r="AN120" s="33">
        <f t="array" ref="AN120">INDEX(AM:AM,MIN(IF(ISNUMBER(AM120:AM316),ROW(AM120:AM316),"")))</f>
        <v>0</v>
      </c>
      <c r="AO120" s="33">
        <f t="shared" si="68"/>
        <v>0</v>
      </c>
      <c r="AP120" s="34" t="e">
        <f>AO120*VLOOKUP('Données projet'!$B$11,Paramètres!$A$1:$I$88,3,0)*VLOOKUP('Données projet'!$B$11,Paramètres!$A$1:$I$88,5,0)</f>
        <v>#N/A</v>
      </c>
      <c r="AQ120" s="34" t="e">
        <f t="shared" si="69"/>
        <v>#N/A</v>
      </c>
      <c r="AR120" s="44" t="e">
        <f t="shared" si="46"/>
        <v>#N/A</v>
      </c>
      <c r="AS120" s="36">
        <f>IF(ISNA(VLOOKUP(A120,'Données projet'!$A$87:$I$107,3,0)),0,VLOOKUP(A120,'Données projet'!$A$87:$I$107,3,0))</f>
        <v>0</v>
      </c>
      <c r="AT120" s="36">
        <f>IF(ISNA(VLOOKUP(A120,'Données projet'!$A$87:$I$107,4,0)),0,VLOOKUP(A120,'Données projet'!$A$87:$I$107,4,0))</f>
        <v>0</v>
      </c>
      <c r="AU120" s="37">
        <f>IF(ISNA(VLOOKUP(A120,'Données projet'!$A$87:$I$107,5,0)),0%,VLOOKUP(A120,'Données projet'!$A$87:$I$107,5,0)*VLOOKUP('Données projet'!$B$11,Paramètres!$A$1:$I$88,7,0))</f>
        <v>0</v>
      </c>
      <c r="AV120" s="37">
        <f>IF(ISNA(VLOOKUP(A120,'Données projet'!$A$87:$I$107,6,0)),0%,VLOOKUP(A120,'Données projet'!$A$87:$I$107,6,0)*VLOOKUP('Données projet'!$B$11,Paramètres!$A$1:$I$88,7,0))</f>
        <v>0</v>
      </c>
      <c r="AW120" s="37">
        <f>IF(ISNA(VLOOKUP(A120,'Données projet'!$A$87:$I$107,7,0)),0%,VLOOKUP(A120,'Données projet'!$A$87:$I$107,7,0))</f>
        <v>0</v>
      </c>
      <c r="AX120" s="45">
        <f>EXP(-LN(2)/35)*AX119+(1-EXP(-LN(2)/35))/(LN(2)/35)*AT120*AU120*VLOOKUP('Données projet'!$B$9,Paramètres!$A$1:$I$88,3,0)*0.475*44/12</f>
        <v>0</v>
      </c>
      <c r="AY120" s="45">
        <f>EXP(-LN(2)/25)*AY119+(1-EXP(-LN(2)/25))/(LN(2)/25)*Calculateur!AT120*Calculateur!AV120*VLOOKUP('Données projet'!$B$9,Paramètres!$A$1:$I$88,3,0)*0.475*44/12</f>
        <v>0</v>
      </c>
      <c r="AZ120" s="45">
        <f>EXP(-LN(2)/2)*AZ119+(1-EXP(-LN(2)/2))/(LN(2)/2)*AT120*AW120*VLOOKUP('Données projet'!$B$9,Paramètres!$A$1:$I$88,3,0)*0.475*44/12</f>
        <v>0</v>
      </c>
      <c r="BA120" s="46">
        <f t="shared" si="47"/>
        <v>0</v>
      </c>
      <c r="BB120" s="32" t="e">
        <f>VLOOKUP(A120,'Données projet'!$A$113:$I$133,2,0)</f>
        <v>#N/A</v>
      </c>
      <c r="BC120" s="33" t="e">
        <f>VLOOKUP(A120,'Données projet'!$A$113:$I$133,9,0)</f>
        <v>#N/A</v>
      </c>
      <c r="BD120" s="33">
        <f t="array" ref="BD120">INDEX(BC:BC,MIN(IF(ISNUMBER(BC120:BC316),ROW(BC120:BC316),"")))</f>
        <v>0</v>
      </c>
      <c r="BE120" s="33">
        <f t="shared" si="70"/>
        <v>0</v>
      </c>
      <c r="BF120" s="34" t="e">
        <f>BE120*VLOOKUP('Données projet'!$B$12,Paramètres!$A$1:$I$88,3,0)*VLOOKUP('Données projet'!$B$12,Paramètres!$A$1:$I$88,5,0)</f>
        <v>#N/A</v>
      </c>
      <c r="BG120" s="34" t="e">
        <f t="shared" si="71"/>
        <v>#N/A</v>
      </c>
      <c r="BH120" s="44" t="e">
        <f t="shared" si="48"/>
        <v>#N/A</v>
      </c>
      <c r="BI120" s="36">
        <f>IF(ISNA(VLOOKUP(A120,'Données projet'!$A$113:$I$133,3,0)),0,VLOOKUP(A120,'Données projet'!$A$113:$I$133,3,0))</f>
        <v>0</v>
      </c>
      <c r="BJ120" s="36">
        <f>IF(ISNA(VLOOKUP(A120,'Données projet'!$A$113:$I$133,4,0)),0,VLOOKUP(A120,'Données projet'!$A$113:$I$133,4,0))</f>
        <v>0</v>
      </c>
      <c r="BK120" s="37">
        <f>IF(ISNA(VLOOKUP(A120,'Données projet'!$A$113:$I$133,5,0)),0%,VLOOKUP(A120,'Données projet'!$A$113:$I$133,5,0)*VLOOKUP('Données projet'!$B$12,Paramètres!$A$1:$I$88,7,0))</f>
        <v>0</v>
      </c>
      <c r="BL120" s="37">
        <f>IF(ISNA(VLOOKUP(A120,'Données projet'!$A$113:$I$133,6,0)),0%,VLOOKUP(A120,'Données projet'!$A$113:$I$133,6,0)*VLOOKUP('Données projet'!$B$12,Paramètres!$A$1:$I$88,7,0))</f>
        <v>0</v>
      </c>
      <c r="BM120" s="37">
        <f>IF(ISNA(VLOOKUP(A120,'Données projet'!$A$113:$I$133,7,0)),0%,VLOOKUP(A120,'Données projet'!$A$113:$I$133,7,0))</f>
        <v>0</v>
      </c>
      <c r="BN120" s="45">
        <f>EXP(-LN(2)/35)*BN119+(1-EXP(-LN(2)/35))/(LN(2)/35)*BJ120*BK120*VLOOKUP('Données projet'!$B$9,Paramètres!$A$1:$I$88,3,0)*0.475*44/12</f>
        <v>0</v>
      </c>
      <c r="BO120" s="45">
        <f>EXP(-LN(2)/25)*BO119+(1-EXP(-LN(2)/25))/(LN(2)/25)*Calculateur!BJ120*Calculateur!BL120*VLOOKUP('Données projet'!$B$9,Paramètres!$A$1:$I$88,3,0)*0.475*44/12</f>
        <v>0</v>
      </c>
      <c r="BP120" s="45">
        <f>EXP(-LN(2)/2)*BP119+(1-EXP(-LN(2)/2))/(LN(2)/2)*BJ120*BM120*VLOOKUP('Données projet'!$B$9,Paramètres!$A$1:$I$88,3,0)*0.475*44/12</f>
        <v>0</v>
      </c>
      <c r="BQ120" s="46">
        <f t="shared" si="49"/>
        <v>0</v>
      </c>
      <c r="BR120" s="32" t="e">
        <f>VLOOKUP(A120,'Données projet'!$A$139:$I$159,2,0)</f>
        <v>#N/A</v>
      </c>
      <c r="BS120" s="33" t="e">
        <f>VLOOKUP(A120,'Données projet'!$A$139:$I$159,9,0)</f>
        <v>#N/A</v>
      </c>
      <c r="BT120" s="33">
        <f t="array" ref="BT120">INDEX(BS:BS,MIN(IF(ISNUMBER(BS120:BS316),ROW(BS120:BS316),"")))</f>
        <v>0</v>
      </c>
      <c r="BU120" s="33">
        <f t="shared" si="72"/>
        <v>0</v>
      </c>
      <c r="BV120" s="38" t="e">
        <f>BU120*VLOOKUP('Données projet'!$B$13,Paramètres!$A$1:$I$88,3,0)*VLOOKUP('Données projet'!$B$13,Paramètres!$A$1:$I$88,5,0)</f>
        <v>#N/A</v>
      </c>
      <c r="BW120" s="34" t="e">
        <f t="shared" si="73"/>
        <v>#N/A</v>
      </c>
      <c r="BX120" s="44" t="e">
        <f t="shared" si="50"/>
        <v>#N/A</v>
      </c>
      <c r="BY120" s="36">
        <f>IF(ISNA(VLOOKUP(A120,'Données projet'!$A$139:$I$159,3,0)),0,VLOOKUP(A120,'Données projet'!$A$139:$I$159,3,0))</f>
        <v>0</v>
      </c>
      <c r="BZ120" s="36">
        <f>IF(ISNA(VLOOKUP(A120,'Données projet'!$A$139:$I$159,4,0)),0,VLOOKUP(A120,'Données projet'!$A$139:$I$159,4,0))</f>
        <v>0</v>
      </c>
      <c r="CA120" s="37">
        <f>IF(ISNA(VLOOKUP(A120,'Données projet'!$A$139:$I$159,5,0)),0%,VLOOKUP(A120,'Données projet'!$A$139:$I$159,5,0)*VLOOKUP('Données projet'!$B$13,Paramètres!$A$1:$I$88,7,0))</f>
        <v>0</v>
      </c>
      <c r="CB120" s="37">
        <f>IF(ISNA(VLOOKUP(A120,'Données projet'!$A$139:$I$159,6,0)),0%,VLOOKUP(A120,'Données projet'!$A$139:$I$159,6,0)*VLOOKUP('Données projet'!$B$13,Paramètres!$A$1:$I$88,7,0))</f>
        <v>0</v>
      </c>
      <c r="CC120" s="37">
        <f>IF(ISNA(VLOOKUP(A120,'Données projet'!$A$139:$I$159,7,0)),0%,VLOOKUP(A120,'Données projet'!$A$139:$I$159,7,0))</f>
        <v>0</v>
      </c>
      <c r="CD120" s="45">
        <f>EXP(-LN(2)/35)*CD119+(1-EXP(-LN(2)/35))/(LN(2)/35)*BZ120*CA120*VLOOKUP('Données projet'!$B$9,Paramètres!$A$1:$I$88,3,0)*0.475*44/12</f>
        <v>0</v>
      </c>
      <c r="CE120" s="45">
        <f>EXP(-LN(2)/25)*CE119+(1-EXP(-LN(2)/25))/(LN(2)/25)*Calculateur!BZ120*Calculateur!CB120*VLOOKUP('Données projet'!$B$9,Paramètres!$A$1:$I$88,3,0)*0.475*44/12</f>
        <v>0</v>
      </c>
      <c r="CF120" s="45">
        <f>EXP(-LN(2)/2)*CF119+(1-EXP(-LN(2)/2))/(LN(2)/2)*BZ120*CC120*VLOOKUP('Données projet'!$B$9,Paramètres!$A$1:$I$88,3,0)*0.475*44/12</f>
        <v>0</v>
      </c>
      <c r="CG120" s="46">
        <f t="shared" si="51"/>
        <v>0</v>
      </c>
      <c r="CH120" s="32" t="e">
        <f>VLOOKUP(A120,'Données projet'!$A$165:$I$185,2,0)</f>
        <v>#N/A</v>
      </c>
      <c r="CI120" s="33" t="e">
        <f>VLOOKUP(A120,'Données projet'!$A$165:$I$185,9,0)</f>
        <v>#N/A</v>
      </c>
      <c r="CJ120" s="33">
        <f t="array" ref="CJ120">INDEX(CI:CI,MIN(IF(ISNUMBER(CI120:CI316),ROW(CI120:CI316),"")))</f>
        <v>0</v>
      </c>
      <c r="CK120" s="33">
        <f t="shared" si="74"/>
        <v>0</v>
      </c>
      <c r="CL120" s="38" t="e">
        <f>CK120*VLOOKUP('Données projet'!$B$14,Paramètres!$A$1:$I$88,3,0)*VLOOKUP('Données projet'!$B$14,Paramètres!$A$1:$I$88,5,0)</f>
        <v>#N/A</v>
      </c>
      <c r="CM120" s="34" t="e">
        <f t="shared" si="75"/>
        <v>#N/A</v>
      </c>
      <c r="CN120" s="44" t="e">
        <f t="shared" si="52"/>
        <v>#N/A</v>
      </c>
      <c r="CO120" s="36">
        <f>IF(ISNA(VLOOKUP(A120,'Données projet'!$A$165:$I$185,3,0)),0,VLOOKUP(A120,'Données projet'!$A$165:$I$185,3,0))</f>
        <v>0</v>
      </c>
      <c r="CP120" s="36">
        <f>IF(ISNA(VLOOKUP(A120,'Données projet'!$A$165:$I$185,4,0)),0,VLOOKUP(A120,'Données projet'!$A$165:$I$185,4,0))</f>
        <v>0</v>
      </c>
      <c r="CQ120" s="37">
        <f>IF(ISNA(VLOOKUP(A120,'Données projet'!$A$165:$I$185,5,0)),0%,VLOOKUP(A120,'Données projet'!$A$165:$I$185,5,0)*VLOOKUP('Données projet'!$B$14,Paramètres!$A$1:$I$88,7,0))</f>
        <v>0</v>
      </c>
      <c r="CR120" s="37">
        <f>IF(ISNA(VLOOKUP(A120,'Données projet'!$A$165:$I$185,6,0)),0%,VLOOKUP(A120,'Données projet'!$A$165:$I$185,6,0)*VLOOKUP('Données projet'!$B$14,Paramètres!$A$1:$I$88,7,0))</f>
        <v>0</v>
      </c>
      <c r="CS120" s="37">
        <f>IF(ISNA(VLOOKUP(A120,'Données projet'!$A$165:$I$185,7,0)),0%,VLOOKUP(A120,'Données projet'!$A$165:$I$185,7,0))</f>
        <v>0</v>
      </c>
      <c r="CT120" s="45">
        <f>EXP(-LN(2)/35)*CT119+(1-EXP(-LN(2)/35))/(LN(2)/35)*CP120*CQ120*VLOOKUP('Données projet'!$B$9,Paramètres!$A$1:$I$88,3,0)*0.475*44/12</f>
        <v>0</v>
      </c>
      <c r="CU120" s="45">
        <f>EXP(-LN(2)/25)*CU119+(1-EXP(-LN(2)/25))/(LN(2)/25)*Calculateur!CP120*Calculateur!CR120*VLOOKUP('Données projet'!$B$9,Paramètres!$A$1:$I$88,3,0)*0.475*44/12</f>
        <v>0</v>
      </c>
      <c r="CV120" s="45">
        <f>EXP(-LN(2)/2)*CV119+(1-EXP(-LN(2)/2))/(LN(2)/2)*CP120*CS120*VLOOKUP('Données projet'!$B$9,Paramètres!$A$1:$I$88,3,0)*0.475*44/12</f>
        <v>0</v>
      </c>
      <c r="CW120" s="46">
        <f t="shared" si="53"/>
        <v>0</v>
      </c>
      <c r="CX120" s="32" t="e">
        <f>VLOOKUP(A120,'Données projet'!$A$191:$I$211,2,0)</f>
        <v>#N/A</v>
      </c>
      <c r="CY120" s="33" t="e">
        <f>VLOOKUP(A120,'Données projet'!$A$191:$I$211,9,0)</f>
        <v>#N/A</v>
      </c>
      <c r="CZ120" s="33">
        <f t="array" ref="CZ120">INDEX(CY:CY,MIN(IF(ISNUMBER(CY120:CY316),ROW(CY120:CY316),"")))</f>
        <v>0</v>
      </c>
      <c r="DA120" s="33">
        <f t="shared" si="76"/>
        <v>0</v>
      </c>
      <c r="DB120" s="38" t="e">
        <f>DA120*VLOOKUP('Données projet'!$B$15,Paramètres!$A$1:$I$88,3,0)*VLOOKUP('Données projet'!$B$15,Paramètres!$A$1:$I$88,5,0)</f>
        <v>#N/A</v>
      </c>
      <c r="DC120" s="34" t="e">
        <f t="shared" si="77"/>
        <v>#N/A</v>
      </c>
      <c r="DD120" s="44" t="e">
        <f t="shared" si="54"/>
        <v>#N/A</v>
      </c>
      <c r="DE120" s="36">
        <f>IF(ISNA(VLOOKUP(A120,'Données projet'!$A$191:$I$211,3,0)),0,VLOOKUP(A120,'Données projet'!$A$191:$I$211,3,0))</f>
        <v>0</v>
      </c>
      <c r="DF120" s="36">
        <f>IF(ISNA(VLOOKUP(A120,'Données projet'!$A$191:$I$211,4,0)),0,VLOOKUP(A120,'Données projet'!$A$191:$I$211,4,0))</f>
        <v>0</v>
      </c>
      <c r="DG120" s="37">
        <f>IF(ISNA(VLOOKUP(A120,'Données projet'!$A$191:$I$211,5,0)),0%,VLOOKUP(A120,'Données projet'!$A$191:$I$211,5,0)*VLOOKUP('Données projet'!$B$15,Paramètres!$A$1:$I$88,7,0))</f>
        <v>0</v>
      </c>
      <c r="DH120" s="37">
        <f>IF(ISNA(VLOOKUP(A120,'Données projet'!$A$191:$I$211,6,0)),0%,VLOOKUP(A120,'Données projet'!$A$191:$I$211,6,0)*VLOOKUP('Données projet'!$B$15,Paramètres!$A$1:$I$88,7,0))</f>
        <v>0</v>
      </c>
      <c r="DI120" s="37">
        <f>IF(ISNA(VLOOKUP(A120,'Données projet'!$A$191:$I$211,7,0)),0%,VLOOKUP(A120,'Données projet'!$A$191:$I$211,7,0))</f>
        <v>0</v>
      </c>
      <c r="DJ120" s="45">
        <f>EXP(-LN(2)/35)*DJ119+(1-EXP(-LN(2)/35))/(LN(2)/35)*DF120*DG120*VLOOKUP('Données projet'!$B$9,Paramètres!$A$1:$I$88,3,0)*0.475*44/12</f>
        <v>0</v>
      </c>
      <c r="DK120" s="45">
        <f>EXP(-LN(2)/25)*DK119+(1-EXP(-LN(2)/25))/(LN(2)/25)*Calculateur!DF120*Calculateur!DH120*VLOOKUP('Données projet'!$B$9,Paramètres!$A$1:$I$88,3,0)*0.475*44/12</f>
        <v>0</v>
      </c>
      <c r="DL120" s="45">
        <f>EXP(-LN(2)/2)*DL119+(1-EXP(-LN(2)/2))/(LN(2)/2)*DF120*DI120*VLOOKUP('Données projet'!$B$9,Paramètres!$A$1:$I$88,3,0)*0.475*44/12</f>
        <v>0</v>
      </c>
      <c r="DM120" s="46">
        <f t="shared" si="55"/>
        <v>0</v>
      </c>
      <c r="DN120" s="32" t="e">
        <f>VLOOKUP(A120,'Données projet'!$A$217:$I$237,2,0)</f>
        <v>#N/A</v>
      </c>
      <c r="DO120" s="33" t="e">
        <f>VLOOKUP(A120,'Données projet'!$A$217:$I$237,9,0)</f>
        <v>#N/A</v>
      </c>
      <c r="DP120" s="33">
        <f t="array" ref="DP120">INDEX(DO:DO,MIN(IF(ISNUMBER(DO120:DO316),ROW(DO120:DO316),"")))</f>
        <v>0</v>
      </c>
      <c r="DQ120" s="33">
        <f t="shared" si="78"/>
        <v>0</v>
      </c>
      <c r="DR120" s="38" t="e">
        <f>DQ120*VLOOKUP('Données projet'!$B$16,Paramètres!$A$1:$I$88,3,0)*VLOOKUP('Données projet'!$B$16,Paramètres!$A$1:$I$88,5,0)</f>
        <v>#N/A</v>
      </c>
      <c r="DS120" s="34" t="e">
        <f t="shared" si="79"/>
        <v>#N/A</v>
      </c>
      <c r="DT120" s="44" t="e">
        <f t="shared" si="56"/>
        <v>#N/A</v>
      </c>
      <c r="DU120" s="36">
        <f>IF(ISNA(VLOOKUP(A120,'Données projet'!$A$217:$I$237,3,0)),0,VLOOKUP(A120,'Données projet'!$A$217:$I$237,3,0))</f>
        <v>0</v>
      </c>
      <c r="DV120" s="36">
        <f>IF(ISNA(VLOOKUP(A120,'Données projet'!$A$217:$I$237,4,0)),0,VLOOKUP(A120,'Données projet'!$A$217:$I$237,4,0))</f>
        <v>0</v>
      </c>
      <c r="DW120" s="37">
        <f>IF(ISNA(VLOOKUP(A120,'Données projet'!$A$217:$I$237,5,0)),0%,VLOOKUP(A120,'Données projet'!$A$217:$I$237,5,0)*VLOOKUP('Données projet'!$B$16,Paramètres!$A$1:$I$88,7,0))</f>
        <v>0</v>
      </c>
      <c r="DX120" s="37">
        <f>IF(ISNA(VLOOKUP(A120,'Données projet'!$A$217:$I$237,6,0)),0%,VLOOKUP(A120,'Données projet'!$A$217:$I$237,6,0)*VLOOKUP('Données projet'!$B$16,Paramètres!$A$1:$I$88,7,0))</f>
        <v>0</v>
      </c>
      <c r="DY120" s="37">
        <f>IF(ISNA(VLOOKUP(A120,'Données projet'!$A$217:$I$237,7,0)),0%,VLOOKUP(A120,'Données projet'!$A$217:$I$237,7,0))</f>
        <v>0</v>
      </c>
      <c r="DZ120" s="45">
        <f>EXP(-LN(2)/35)*DZ119+(1-EXP(-LN(2)/35))/(LN(2)/35)*DV120*DW120*VLOOKUP('Données projet'!$B$9,Paramètres!$A$1:$I$88,3,0)*0.475*44/12</f>
        <v>0</v>
      </c>
      <c r="EA120" s="45">
        <f>EXP(-LN(2)/25)*EA119+(1-EXP(-LN(2)/25))/(LN(2)/25)*Calculateur!DV120*Calculateur!DX120*VLOOKUP('Données projet'!$B$9,Paramètres!$A$1:$I$88,3,0)*0.475*44/12</f>
        <v>0</v>
      </c>
      <c r="EB120" s="45">
        <f>EXP(-LN(2)/2)*EB119+(1-EXP(-LN(2)/2))/(LN(2)/2)*DV120*DY120*VLOOKUP('Données projet'!$B$9,Paramètres!$A$1:$I$88,3,0)*0.475*44/12</f>
        <v>0</v>
      </c>
      <c r="EC120" s="46">
        <f t="shared" si="57"/>
        <v>0</v>
      </c>
      <c r="ED120" s="32" t="e">
        <f>VLOOKUP(A120,'Données projet'!$A$243:$I$263,2,0)</f>
        <v>#N/A</v>
      </c>
      <c r="EE120" s="33" t="e">
        <f>VLOOKUP(A120,'Données projet'!$A$243:$I$263,9,0)</f>
        <v>#N/A</v>
      </c>
      <c r="EF120" s="33">
        <f t="array" ref="EF120">INDEX(EE:EE,MIN(IF(ISNUMBER(EE120:EE316),ROW(EE120:EE316),"")))</f>
        <v>0</v>
      </c>
      <c r="EG120" s="33">
        <f t="shared" si="80"/>
        <v>0</v>
      </c>
      <c r="EH120" s="38" t="e">
        <f>EG120*VLOOKUP('Données projet'!$B$17,Paramètres!$A$1:$I$88,3,0)*VLOOKUP('Données projet'!$B$17,Paramètres!$A$1:$I$88,5,0)</f>
        <v>#N/A</v>
      </c>
      <c r="EI120" s="34" t="e">
        <f t="shared" si="81"/>
        <v>#N/A</v>
      </c>
      <c r="EJ120" s="44" t="e">
        <f t="shared" si="58"/>
        <v>#N/A</v>
      </c>
      <c r="EK120" s="36">
        <f>IF(ISNA(VLOOKUP(A120,'Données projet'!$A$243:$I$263,3,0)),0,VLOOKUP(A120,'Données projet'!$A$243:$I$263,3,0))</f>
        <v>0</v>
      </c>
      <c r="EL120" s="36">
        <f>IF(ISNA(VLOOKUP(A120,'Données projet'!$A$243:$I$263,4,0)),0,VLOOKUP(A120,'Données projet'!$A$243:$I$263,4,0))</f>
        <v>0</v>
      </c>
      <c r="EM120" s="37">
        <f>IF(ISNA(VLOOKUP(A120,'Données projet'!$A$243:$I$263,5,0)),0%,VLOOKUP(A120,'Données projet'!$A$243:$I$263,5,0)*VLOOKUP('Données projet'!$B$17,Paramètres!$A$1:$I$88,7,0))</f>
        <v>0</v>
      </c>
      <c r="EN120" s="37">
        <f>IF(ISNA(VLOOKUP(A120,'Données projet'!$A$243:$I$263,6,0)),0%,VLOOKUP(A120,'Données projet'!$A$243:$I$263,6,0)*VLOOKUP('Données projet'!$B$17,Paramètres!$A$1:$I$88,7,0))</f>
        <v>0</v>
      </c>
      <c r="EO120" s="37">
        <f>IF(ISNA(VLOOKUP(A120,'Données projet'!$A$243:$I$263,7,0)),0%,VLOOKUP(A120,'Données projet'!$A$243:$I$263,7,0))</f>
        <v>0</v>
      </c>
      <c r="EP120" s="45">
        <f>EXP(-LN(2)/35)*EP119+(1-EXP(-LN(2)/35))/(LN(2)/35)*EL120*EM120*VLOOKUP('Données projet'!$B$9,Paramètres!$A$1:$I$88,3,0)*0.475*44/12</f>
        <v>0</v>
      </c>
      <c r="EQ120" s="45">
        <f>EXP(-LN(2)/25)*EQ119+(1-EXP(-LN(2)/25))/(LN(2)/25)*Calculateur!EL120*Calculateur!EN120*VLOOKUP('Données projet'!$B$9,Paramètres!$A$1:$I$88,3,0)*0.475*44/12</f>
        <v>0</v>
      </c>
      <c r="ER120" s="45">
        <f>EXP(-LN(2)/2)*ER119+(1-EXP(-LN(2)/2))/(LN(2)/2)*EL120*EO120*VLOOKUP('Données projet'!$B$9,Paramètres!$A$1:$I$88,3,0)*0.475*44/12</f>
        <v>0</v>
      </c>
      <c r="ES120" s="46">
        <f t="shared" si="59"/>
        <v>0</v>
      </c>
      <c r="ET120" s="32" t="e">
        <f>VLOOKUP(A120,'Données projet'!$A$269:$I$289,2,0)</f>
        <v>#N/A</v>
      </c>
      <c r="EU120" s="33" t="e">
        <f>VLOOKUP(A120,'Données projet'!$A$269:$I$289,9,0)</f>
        <v>#N/A</v>
      </c>
      <c r="EV120" s="33">
        <f t="array" ref="EV120">INDEX(EU:EU,MIN(IF(ISNUMBER(EU120:EU316),ROW(EU120:EU316),"")))</f>
        <v>0</v>
      </c>
      <c r="EW120" s="33">
        <f t="shared" si="82"/>
        <v>0</v>
      </c>
      <c r="EX120" s="38" t="e">
        <f>EW120*VLOOKUP('Données projet'!$B$18,Paramètres!$A$1:$I$88,3,0)*VLOOKUP('Données projet'!$B$18,Paramètres!$A$1:$I$88,5,0)</f>
        <v>#N/A</v>
      </c>
      <c r="EY120" s="34" t="e">
        <f t="shared" si="83"/>
        <v>#N/A</v>
      </c>
      <c r="EZ120" s="44" t="e">
        <f t="shared" si="60"/>
        <v>#N/A</v>
      </c>
      <c r="FA120" s="36">
        <f>IF(ISNA(VLOOKUP(A120,'Données projet'!$A$269:$I$289,3,0)),0,VLOOKUP(A120,'Données projet'!$A$269:$I$289,3,0))</f>
        <v>0</v>
      </c>
      <c r="FB120" s="36">
        <f>IF(ISNA(VLOOKUP(A120,'Données projet'!$A$269:$I$289,4,0)),0,VLOOKUP(A120,'Données projet'!$A$269:$I$289,4,0))</f>
        <v>0</v>
      </c>
      <c r="FC120" s="37">
        <f>IF(ISNA(VLOOKUP(A120,'Données projet'!$A$269:$I$289,5,0)),0%,VLOOKUP(A120,'Données projet'!$A$269:$I$289,5,0)*VLOOKUP('Données projet'!$B$18,Paramètres!$A$1:$I$88,7,0))</f>
        <v>0</v>
      </c>
      <c r="FD120" s="37">
        <f>IF(ISNA(VLOOKUP(A120,'Données projet'!$A$269:$I$289,6,0)),0%,VLOOKUP(A120,'Données projet'!$A$269:$I$289,6,0)*VLOOKUP('Données projet'!$B$18,Paramètres!$A$1:$I$88,7,0))</f>
        <v>0</v>
      </c>
      <c r="FE120" s="37">
        <f>IF(ISNA(VLOOKUP(A120,'Données projet'!$A$269:$I$289,7,0)),0%,VLOOKUP(A120,'Données projet'!$A$269:$I$289,7,0))</f>
        <v>0</v>
      </c>
      <c r="FF120" s="45">
        <f>EXP(-LN(2)/35)*FF119+(1-EXP(-LN(2)/35))/(LN(2)/35)*FB120*FC120*VLOOKUP('Données projet'!$B$9,Paramètres!$A$1:$I$88,3,0)*0.475*44/12</f>
        <v>0</v>
      </c>
      <c r="FG120" s="45">
        <f>EXP(-LN(2)/25)*FG119+(1-EXP(-LN(2)/25))/(LN(2)/25)*Calculateur!FB120*Calculateur!FD120*VLOOKUP('Données projet'!$B$9,Paramètres!$A$1:$I$88,3,0)*0.475*44/12</f>
        <v>0</v>
      </c>
      <c r="FH120" s="45">
        <f>EXP(-LN(2)/2)*FH119+(1-EXP(-LN(2)/2))/(LN(2)/2)*FB120*FE120*VLOOKUP('Données projet'!$B$9,Paramètres!$A$1:$I$88,3,0)*0.475*44/12</f>
        <v>0</v>
      </c>
      <c r="FI120" s="46">
        <f t="shared" si="61"/>
        <v>0</v>
      </c>
    </row>
    <row r="121" spans="1:165" x14ac:dyDescent="0.25">
      <c r="A121" s="24">
        <f t="shared" si="62"/>
        <v>118</v>
      </c>
      <c r="B121" s="25">
        <f>IF('Scénario référence'!$N$1=1,5,0)</f>
        <v>0</v>
      </c>
      <c r="C121" s="40">
        <f>IF(OR('Scénario référence'!$N$1=2,'Scénario référence'!$N$1=4),C120+1*VLOOKUP('Scénario référence'!$G$14,Paramètres!$A$1:$I$88,3,0)*VLOOKUP('Scénario référence'!$G$14,Paramètres!$A$1:$I$88,5,0),IF(OR('Scénario référence'!$N$1=3,'Scénario référence'!$N$1=5),C120+0.5*VLOOKUP('Scénario référence'!$G$14,Paramètres!$A$1:$I$88,3,0)*VLOOKUP('Scénario référence'!$G$14,Paramètres!$A$1:$I$88,5,0),0))</f>
        <v>64.42799999999994</v>
      </c>
      <c r="D121" s="26">
        <f t="shared" si="63"/>
        <v>18.283124878638194</v>
      </c>
      <c r="E121" s="27">
        <f>IF('Scénario référence'!$N$1=1,B121*44/12,(C121+D121)*0.475*44/12)</f>
        <v>144.05520916362806</v>
      </c>
      <c r="F121" s="28" t="e">
        <f>VLOOKUP(A121,'Données projet'!$A$35:$I$55,2,0)</f>
        <v>#N/A</v>
      </c>
      <c r="G121" s="28" t="e">
        <f>VLOOKUP(A121,'Données projet'!$A$35:$I$55,9,0)</f>
        <v>#N/A</v>
      </c>
      <c r="H121" s="33">
        <f t="array" ref="H121">INDEX(G:G,MIN(IF(ISNUMBER(G121:G317),ROW(G121:G317),"")))</f>
        <v>3.4</v>
      </c>
      <c r="I121" s="28">
        <f t="shared" si="64"/>
        <v>277.19999999999948</v>
      </c>
      <c r="J121" s="41">
        <f>I121*VLOOKUP('Données projet'!$B$9,Paramètres!$A$1:$I$88,3,0)*VLOOKUP('Données projet'!$B$9,Paramètres!$A$1:$I$88,5,0)</f>
        <v>281.0807999999995</v>
      </c>
      <c r="K121" s="41">
        <f t="shared" si="65"/>
        <v>67.195361752546063</v>
      </c>
      <c r="L121" s="42">
        <f t="shared" si="42"/>
        <v>606.5809817190169</v>
      </c>
      <c r="M121" s="30">
        <f>IF(ISNA(VLOOKUP(A121,'Données projet'!$A$35:$I$55,3,0)),0,VLOOKUP(A121,'Données projet'!$A$35:$I$55,3,0))</f>
        <v>0</v>
      </c>
      <c r="N121" s="30">
        <f>IF(ISNA(VLOOKUP(A121,'Données projet'!$A$35:$I$55,4,0)),0,VLOOKUP(A121,'Données projet'!$A$35:$I$55,4,0))</f>
        <v>0</v>
      </c>
      <c r="O121" s="31">
        <f>IF(ISNA(VLOOKUP(A121,'Données projet'!$A$35:$I$55,5,0)),0%,VLOOKUP(A121,'Données projet'!$A$35:$I$55,5,0)*VLOOKUP('Données projet'!$B$9,Paramètres!$A$1:$I$88,7,0))</f>
        <v>0</v>
      </c>
      <c r="P121" s="31">
        <f>IF(ISNA(VLOOKUP(A121,'Données projet'!$A$35:$I$55,6,0)),0%,VLOOKUP(A121,'Données projet'!$A$35:$I$55,6,0)*VLOOKUP('Données projet'!$B$9,Paramètres!$A$1:$I$88,7,0))</f>
        <v>0</v>
      </c>
      <c r="Q121" s="31">
        <f>IF(ISNA(VLOOKUP(A121,'Données projet'!$A$35:$I$55,7,0)),0%,VLOOKUP(A121,'Données projet'!$A$35:$I$55,7,0))</f>
        <v>0</v>
      </c>
      <c r="R121" s="43">
        <f>EXP(-LN(2)/35)*R120+(1-EXP(-LN(2)/35))/(LN(2)/35)*N121*O121*VLOOKUP('Données projet'!$B$9,Paramètres!$A$1:$I$88,3,0)*0.475*44/12</f>
        <v>0</v>
      </c>
      <c r="S121" s="43">
        <f>EXP(-LN(2)/25)*S120+(1-EXP(-LN(2)/25))/(LN(2)/25)*Calculateur!N121*Calculateur!P121*VLOOKUP('Données projet'!$B$9,Paramètres!$A$1:$I$88,3,0)*0.475*44/12</f>
        <v>0</v>
      </c>
      <c r="T121" s="43">
        <f>EXP(-LN(2)/2)*T120+(1-EXP(-LN(2)/2))/(LN(2)/2)*N121*Q121*VLOOKUP('Données projet'!$B$9,Paramètres!$A$1:$I$88,3,0)*0.475*44/12</f>
        <v>0</v>
      </c>
      <c r="U121" s="43">
        <f t="shared" si="43"/>
        <v>0</v>
      </c>
      <c r="V121" s="32" t="e">
        <f>VLOOKUP(A121,'Données projet'!$A$61:$I$81,2,0)</f>
        <v>#N/A</v>
      </c>
      <c r="W121" s="33" t="e">
        <f>VLOOKUP(A121,'Données projet'!$A$61:$I$81,9,0)</f>
        <v>#N/A</v>
      </c>
      <c r="X121" s="33">
        <f t="array" ref="X121">INDEX(W:W,MIN(IF(ISNUMBER(W121:W317),ROW(W121:W317),"")))</f>
        <v>0</v>
      </c>
      <c r="Y121" s="33">
        <f t="shared" si="66"/>
        <v>0</v>
      </c>
      <c r="Z121" s="34" t="e">
        <f>Y121*VLOOKUP('Données projet'!$B$10,Paramètres!$A$1:$I$88,3,0)*VLOOKUP('Données projet'!$B$10,Paramètres!$A$1:$I$88,5,0)</f>
        <v>#N/A</v>
      </c>
      <c r="AA121" s="34" t="e">
        <f t="shared" si="67"/>
        <v>#N/A</v>
      </c>
      <c r="AB121" s="44" t="e">
        <f t="shared" si="44"/>
        <v>#N/A</v>
      </c>
      <c r="AC121" s="36">
        <f>IF(ISNA(VLOOKUP(A121,'Données projet'!$A$61:$I$81,3,0)),0,VLOOKUP(A121,'Données projet'!$A$61:$I$81,3,0))</f>
        <v>0</v>
      </c>
      <c r="AD121" s="36">
        <f>IF(ISNA(VLOOKUP(A121,'Données projet'!$A$61:$I$81,4,0)),0,VLOOKUP(A121,'Données projet'!$A$61:$I$81,4,0))</f>
        <v>0</v>
      </c>
      <c r="AE121" s="37">
        <f>IF(ISNA(VLOOKUP(A121,'Données projet'!$A$61:$I$81,5,0)),0%,VLOOKUP(A121,'Données projet'!$A$61:$I$81,5,0)*VLOOKUP('Données projet'!$B$10,Paramètres!$A$1:$I$88,7,0))</f>
        <v>0</v>
      </c>
      <c r="AF121" s="37">
        <f>IF(ISNA(VLOOKUP(A121,'Données projet'!$A$61:$I$81,6,0)),0%,VLOOKUP(A121,'Données projet'!$A$61:$I$81,6,0)*VLOOKUP('Données projet'!$B$10,Paramètres!$A$1:$I$88,7,0))</f>
        <v>0</v>
      </c>
      <c r="AG121" s="37">
        <f>IF(ISNA(VLOOKUP(A121,'Données projet'!$A$61:$I$81,7,0)),0%,VLOOKUP(A121,'Données projet'!$A$61:$I$81,7,0))</f>
        <v>0</v>
      </c>
      <c r="AH121" s="45">
        <f>EXP(-LN(2)/35)*AH120+(1-EXP(-LN(2)/35))/(LN(2)/35)*AD121*AE121*VLOOKUP('Données projet'!$B$9,Paramètres!$A$1:$I$88,3,0)*0.475*44/12</f>
        <v>0</v>
      </c>
      <c r="AI121" s="45">
        <f>EXP(-LN(2)/25)*AI120+(1-EXP(-LN(2)/25))/(LN(2)/25)*Calculateur!AD121*Calculateur!AF121*VLOOKUP('Données projet'!$B$9,Paramètres!$A$1:$I$88,3,0)*0.475*44/12</f>
        <v>0</v>
      </c>
      <c r="AJ121" s="45">
        <f>EXP(-LN(2)/2)*AJ120+(1-EXP(-LN(2)/2))/(LN(2)/2)*AD121*AG121*VLOOKUP('Données projet'!$B$9,Paramètres!$A$1:$I$88,3,0)*0.475*44/12</f>
        <v>0</v>
      </c>
      <c r="AK121" s="45">
        <f t="shared" si="45"/>
        <v>0</v>
      </c>
      <c r="AL121" s="32" t="e">
        <f>VLOOKUP(A121,'Données projet'!$A$87:$I$107,2,0)</f>
        <v>#N/A</v>
      </c>
      <c r="AM121" s="33" t="e">
        <f>VLOOKUP(A121,'Données projet'!$A$87:$I$107,9,0)</f>
        <v>#N/A</v>
      </c>
      <c r="AN121" s="33">
        <f t="array" ref="AN121">INDEX(AM:AM,MIN(IF(ISNUMBER(AM121:AM317),ROW(AM121:AM317),"")))</f>
        <v>0</v>
      </c>
      <c r="AO121" s="33">
        <f t="shared" si="68"/>
        <v>0</v>
      </c>
      <c r="AP121" s="34" t="e">
        <f>AO121*VLOOKUP('Données projet'!$B$11,Paramètres!$A$1:$I$88,3,0)*VLOOKUP('Données projet'!$B$11,Paramètres!$A$1:$I$88,5,0)</f>
        <v>#N/A</v>
      </c>
      <c r="AQ121" s="34" t="e">
        <f t="shared" si="69"/>
        <v>#N/A</v>
      </c>
      <c r="AR121" s="44" t="e">
        <f t="shared" si="46"/>
        <v>#N/A</v>
      </c>
      <c r="AS121" s="36">
        <f>IF(ISNA(VLOOKUP(A121,'Données projet'!$A$87:$I$107,3,0)),0,VLOOKUP(A121,'Données projet'!$A$87:$I$107,3,0))</f>
        <v>0</v>
      </c>
      <c r="AT121" s="36">
        <f>IF(ISNA(VLOOKUP(A121,'Données projet'!$A$87:$I$107,4,0)),0,VLOOKUP(A121,'Données projet'!$A$87:$I$107,4,0))</f>
        <v>0</v>
      </c>
      <c r="AU121" s="37">
        <f>IF(ISNA(VLOOKUP(A121,'Données projet'!$A$87:$I$107,5,0)),0%,VLOOKUP(A121,'Données projet'!$A$87:$I$107,5,0)*VLOOKUP('Données projet'!$B$11,Paramètres!$A$1:$I$88,7,0))</f>
        <v>0</v>
      </c>
      <c r="AV121" s="37">
        <f>IF(ISNA(VLOOKUP(A121,'Données projet'!$A$87:$I$107,6,0)),0%,VLOOKUP(A121,'Données projet'!$A$87:$I$107,6,0)*VLOOKUP('Données projet'!$B$11,Paramètres!$A$1:$I$88,7,0))</f>
        <v>0</v>
      </c>
      <c r="AW121" s="37">
        <f>IF(ISNA(VLOOKUP(A121,'Données projet'!$A$87:$I$107,7,0)),0%,VLOOKUP(A121,'Données projet'!$A$87:$I$107,7,0))</f>
        <v>0</v>
      </c>
      <c r="AX121" s="45">
        <f>EXP(-LN(2)/35)*AX120+(1-EXP(-LN(2)/35))/(LN(2)/35)*AT121*AU121*VLOOKUP('Données projet'!$B$9,Paramètres!$A$1:$I$88,3,0)*0.475*44/12</f>
        <v>0</v>
      </c>
      <c r="AY121" s="45">
        <f>EXP(-LN(2)/25)*AY120+(1-EXP(-LN(2)/25))/(LN(2)/25)*Calculateur!AT121*Calculateur!AV121*VLOOKUP('Données projet'!$B$9,Paramètres!$A$1:$I$88,3,0)*0.475*44/12</f>
        <v>0</v>
      </c>
      <c r="AZ121" s="45">
        <f>EXP(-LN(2)/2)*AZ120+(1-EXP(-LN(2)/2))/(LN(2)/2)*AT121*AW121*VLOOKUP('Données projet'!$B$9,Paramètres!$A$1:$I$88,3,0)*0.475*44/12</f>
        <v>0</v>
      </c>
      <c r="BA121" s="46">
        <f t="shared" si="47"/>
        <v>0</v>
      </c>
      <c r="BB121" s="32" t="e">
        <f>VLOOKUP(A121,'Données projet'!$A$113:$I$133,2,0)</f>
        <v>#N/A</v>
      </c>
      <c r="BC121" s="33" t="e">
        <f>VLOOKUP(A121,'Données projet'!$A$113:$I$133,9,0)</f>
        <v>#N/A</v>
      </c>
      <c r="BD121" s="33">
        <f t="array" ref="BD121">INDEX(BC:BC,MIN(IF(ISNUMBER(BC121:BC317),ROW(BC121:BC317),"")))</f>
        <v>0</v>
      </c>
      <c r="BE121" s="33">
        <f t="shared" si="70"/>
        <v>0</v>
      </c>
      <c r="BF121" s="34" t="e">
        <f>BE121*VLOOKUP('Données projet'!$B$12,Paramètres!$A$1:$I$88,3,0)*VLOOKUP('Données projet'!$B$12,Paramètres!$A$1:$I$88,5,0)</f>
        <v>#N/A</v>
      </c>
      <c r="BG121" s="34" t="e">
        <f t="shared" si="71"/>
        <v>#N/A</v>
      </c>
      <c r="BH121" s="44" t="e">
        <f t="shared" si="48"/>
        <v>#N/A</v>
      </c>
      <c r="BI121" s="36">
        <f>IF(ISNA(VLOOKUP(A121,'Données projet'!$A$113:$I$133,3,0)),0,VLOOKUP(A121,'Données projet'!$A$113:$I$133,3,0))</f>
        <v>0</v>
      </c>
      <c r="BJ121" s="36">
        <f>IF(ISNA(VLOOKUP(A121,'Données projet'!$A$113:$I$133,4,0)),0,VLOOKUP(A121,'Données projet'!$A$113:$I$133,4,0))</f>
        <v>0</v>
      </c>
      <c r="BK121" s="37">
        <f>IF(ISNA(VLOOKUP(A121,'Données projet'!$A$113:$I$133,5,0)),0%,VLOOKUP(A121,'Données projet'!$A$113:$I$133,5,0)*VLOOKUP('Données projet'!$B$12,Paramètres!$A$1:$I$88,7,0))</f>
        <v>0</v>
      </c>
      <c r="BL121" s="37">
        <f>IF(ISNA(VLOOKUP(A121,'Données projet'!$A$113:$I$133,6,0)),0%,VLOOKUP(A121,'Données projet'!$A$113:$I$133,6,0)*VLOOKUP('Données projet'!$B$12,Paramètres!$A$1:$I$88,7,0))</f>
        <v>0</v>
      </c>
      <c r="BM121" s="37">
        <f>IF(ISNA(VLOOKUP(A121,'Données projet'!$A$113:$I$133,7,0)),0%,VLOOKUP(A121,'Données projet'!$A$113:$I$133,7,0))</f>
        <v>0</v>
      </c>
      <c r="BN121" s="45">
        <f>EXP(-LN(2)/35)*BN120+(1-EXP(-LN(2)/35))/(LN(2)/35)*BJ121*BK121*VLOOKUP('Données projet'!$B$9,Paramètres!$A$1:$I$88,3,0)*0.475*44/12</f>
        <v>0</v>
      </c>
      <c r="BO121" s="45">
        <f>EXP(-LN(2)/25)*BO120+(1-EXP(-LN(2)/25))/(LN(2)/25)*Calculateur!BJ121*Calculateur!BL121*VLOOKUP('Données projet'!$B$9,Paramètres!$A$1:$I$88,3,0)*0.475*44/12</f>
        <v>0</v>
      </c>
      <c r="BP121" s="45">
        <f>EXP(-LN(2)/2)*BP120+(1-EXP(-LN(2)/2))/(LN(2)/2)*BJ121*BM121*VLOOKUP('Données projet'!$B$9,Paramètres!$A$1:$I$88,3,0)*0.475*44/12</f>
        <v>0</v>
      </c>
      <c r="BQ121" s="46">
        <f t="shared" si="49"/>
        <v>0</v>
      </c>
      <c r="BR121" s="32" t="e">
        <f>VLOOKUP(A121,'Données projet'!$A$139:$I$159,2,0)</f>
        <v>#N/A</v>
      </c>
      <c r="BS121" s="33" t="e">
        <f>VLOOKUP(A121,'Données projet'!$A$139:$I$159,9,0)</f>
        <v>#N/A</v>
      </c>
      <c r="BT121" s="33">
        <f t="array" ref="BT121">INDEX(BS:BS,MIN(IF(ISNUMBER(BS121:BS317),ROW(BS121:BS317),"")))</f>
        <v>0</v>
      </c>
      <c r="BU121" s="33">
        <f t="shared" si="72"/>
        <v>0</v>
      </c>
      <c r="BV121" s="38" t="e">
        <f>BU121*VLOOKUP('Données projet'!$B$13,Paramètres!$A$1:$I$88,3,0)*VLOOKUP('Données projet'!$B$13,Paramètres!$A$1:$I$88,5,0)</f>
        <v>#N/A</v>
      </c>
      <c r="BW121" s="34" t="e">
        <f t="shared" si="73"/>
        <v>#N/A</v>
      </c>
      <c r="BX121" s="44" t="e">
        <f t="shared" si="50"/>
        <v>#N/A</v>
      </c>
      <c r="BY121" s="36">
        <f>IF(ISNA(VLOOKUP(A121,'Données projet'!$A$139:$I$159,3,0)),0,VLOOKUP(A121,'Données projet'!$A$139:$I$159,3,0))</f>
        <v>0</v>
      </c>
      <c r="BZ121" s="36">
        <f>IF(ISNA(VLOOKUP(A121,'Données projet'!$A$139:$I$159,4,0)),0,VLOOKUP(A121,'Données projet'!$A$139:$I$159,4,0))</f>
        <v>0</v>
      </c>
      <c r="CA121" s="37">
        <f>IF(ISNA(VLOOKUP(A121,'Données projet'!$A$139:$I$159,5,0)),0%,VLOOKUP(A121,'Données projet'!$A$139:$I$159,5,0)*VLOOKUP('Données projet'!$B$13,Paramètres!$A$1:$I$88,7,0))</f>
        <v>0</v>
      </c>
      <c r="CB121" s="37">
        <f>IF(ISNA(VLOOKUP(A121,'Données projet'!$A$139:$I$159,6,0)),0%,VLOOKUP(A121,'Données projet'!$A$139:$I$159,6,0)*VLOOKUP('Données projet'!$B$13,Paramètres!$A$1:$I$88,7,0))</f>
        <v>0</v>
      </c>
      <c r="CC121" s="37">
        <f>IF(ISNA(VLOOKUP(A121,'Données projet'!$A$139:$I$159,7,0)),0%,VLOOKUP(A121,'Données projet'!$A$139:$I$159,7,0))</f>
        <v>0</v>
      </c>
      <c r="CD121" s="45">
        <f>EXP(-LN(2)/35)*CD120+(1-EXP(-LN(2)/35))/(LN(2)/35)*BZ121*CA121*VLOOKUP('Données projet'!$B$9,Paramètres!$A$1:$I$88,3,0)*0.475*44/12</f>
        <v>0</v>
      </c>
      <c r="CE121" s="45">
        <f>EXP(-LN(2)/25)*CE120+(1-EXP(-LN(2)/25))/(LN(2)/25)*Calculateur!BZ121*Calculateur!CB121*VLOOKUP('Données projet'!$B$9,Paramètres!$A$1:$I$88,3,0)*0.475*44/12</f>
        <v>0</v>
      </c>
      <c r="CF121" s="45">
        <f>EXP(-LN(2)/2)*CF120+(1-EXP(-LN(2)/2))/(LN(2)/2)*BZ121*CC121*VLOOKUP('Données projet'!$B$9,Paramètres!$A$1:$I$88,3,0)*0.475*44/12</f>
        <v>0</v>
      </c>
      <c r="CG121" s="46">
        <f t="shared" si="51"/>
        <v>0</v>
      </c>
      <c r="CH121" s="32" t="e">
        <f>VLOOKUP(A121,'Données projet'!$A$165:$I$185,2,0)</f>
        <v>#N/A</v>
      </c>
      <c r="CI121" s="33" t="e">
        <f>VLOOKUP(A121,'Données projet'!$A$165:$I$185,9,0)</f>
        <v>#N/A</v>
      </c>
      <c r="CJ121" s="33">
        <f t="array" ref="CJ121">INDEX(CI:CI,MIN(IF(ISNUMBER(CI121:CI317),ROW(CI121:CI317),"")))</f>
        <v>0</v>
      </c>
      <c r="CK121" s="33">
        <f t="shared" si="74"/>
        <v>0</v>
      </c>
      <c r="CL121" s="38" t="e">
        <f>CK121*VLOOKUP('Données projet'!$B$14,Paramètres!$A$1:$I$88,3,0)*VLOOKUP('Données projet'!$B$14,Paramètres!$A$1:$I$88,5,0)</f>
        <v>#N/A</v>
      </c>
      <c r="CM121" s="34" t="e">
        <f t="shared" si="75"/>
        <v>#N/A</v>
      </c>
      <c r="CN121" s="44" t="e">
        <f t="shared" si="52"/>
        <v>#N/A</v>
      </c>
      <c r="CO121" s="36">
        <f>IF(ISNA(VLOOKUP(A121,'Données projet'!$A$165:$I$185,3,0)),0,VLOOKUP(A121,'Données projet'!$A$165:$I$185,3,0))</f>
        <v>0</v>
      </c>
      <c r="CP121" s="36">
        <f>IF(ISNA(VLOOKUP(A121,'Données projet'!$A$165:$I$185,4,0)),0,VLOOKUP(A121,'Données projet'!$A$165:$I$185,4,0))</f>
        <v>0</v>
      </c>
      <c r="CQ121" s="37">
        <f>IF(ISNA(VLOOKUP(A121,'Données projet'!$A$165:$I$185,5,0)),0%,VLOOKUP(A121,'Données projet'!$A$165:$I$185,5,0)*VLOOKUP('Données projet'!$B$14,Paramètres!$A$1:$I$88,7,0))</f>
        <v>0</v>
      </c>
      <c r="CR121" s="37">
        <f>IF(ISNA(VLOOKUP(A121,'Données projet'!$A$165:$I$185,6,0)),0%,VLOOKUP(A121,'Données projet'!$A$165:$I$185,6,0)*VLOOKUP('Données projet'!$B$14,Paramètres!$A$1:$I$88,7,0))</f>
        <v>0</v>
      </c>
      <c r="CS121" s="37">
        <f>IF(ISNA(VLOOKUP(A121,'Données projet'!$A$165:$I$185,7,0)),0%,VLOOKUP(A121,'Données projet'!$A$165:$I$185,7,0))</f>
        <v>0</v>
      </c>
      <c r="CT121" s="45">
        <f>EXP(-LN(2)/35)*CT120+(1-EXP(-LN(2)/35))/(LN(2)/35)*CP121*CQ121*VLOOKUP('Données projet'!$B$9,Paramètres!$A$1:$I$88,3,0)*0.475*44/12</f>
        <v>0</v>
      </c>
      <c r="CU121" s="45">
        <f>EXP(-LN(2)/25)*CU120+(1-EXP(-LN(2)/25))/(LN(2)/25)*Calculateur!CP121*Calculateur!CR121*VLOOKUP('Données projet'!$B$9,Paramètres!$A$1:$I$88,3,0)*0.475*44/12</f>
        <v>0</v>
      </c>
      <c r="CV121" s="45">
        <f>EXP(-LN(2)/2)*CV120+(1-EXP(-LN(2)/2))/(LN(2)/2)*CP121*CS121*VLOOKUP('Données projet'!$B$9,Paramètres!$A$1:$I$88,3,0)*0.475*44/12</f>
        <v>0</v>
      </c>
      <c r="CW121" s="46">
        <f t="shared" si="53"/>
        <v>0</v>
      </c>
      <c r="CX121" s="32" t="e">
        <f>VLOOKUP(A121,'Données projet'!$A$191:$I$211,2,0)</f>
        <v>#N/A</v>
      </c>
      <c r="CY121" s="33" t="e">
        <f>VLOOKUP(A121,'Données projet'!$A$191:$I$211,9,0)</f>
        <v>#N/A</v>
      </c>
      <c r="CZ121" s="33">
        <f t="array" ref="CZ121">INDEX(CY:CY,MIN(IF(ISNUMBER(CY121:CY317),ROW(CY121:CY317),"")))</f>
        <v>0</v>
      </c>
      <c r="DA121" s="33">
        <f t="shared" si="76"/>
        <v>0</v>
      </c>
      <c r="DB121" s="38" t="e">
        <f>DA121*VLOOKUP('Données projet'!$B$15,Paramètres!$A$1:$I$88,3,0)*VLOOKUP('Données projet'!$B$15,Paramètres!$A$1:$I$88,5,0)</f>
        <v>#N/A</v>
      </c>
      <c r="DC121" s="34" t="e">
        <f t="shared" si="77"/>
        <v>#N/A</v>
      </c>
      <c r="DD121" s="44" t="e">
        <f t="shared" si="54"/>
        <v>#N/A</v>
      </c>
      <c r="DE121" s="36">
        <f>IF(ISNA(VLOOKUP(A121,'Données projet'!$A$191:$I$211,3,0)),0,VLOOKUP(A121,'Données projet'!$A$191:$I$211,3,0))</f>
        <v>0</v>
      </c>
      <c r="DF121" s="36">
        <f>IF(ISNA(VLOOKUP(A121,'Données projet'!$A$191:$I$211,4,0)),0,VLOOKUP(A121,'Données projet'!$A$191:$I$211,4,0))</f>
        <v>0</v>
      </c>
      <c r="DG121" s="37">
        <f>IF(ISNA(VLOOKUP(A121,'Données projet'!$A$191:$I$211,5,0)),0%,VLOOKUP(A121,'Données projet'!$A$191:$I$211,5,0)*VLOOKUP('Données projet'!$B$15,Paramètres!$A$1:$I$88,7,0))</f>
        <v>0</v>
      </c>
      <c r="DH121" s="37">
        <f>IF(ISNA(VLOOKUP(A121,'Données projet'!$A$191:$I$211,6,0)),0%,VLOOKUP(A121,'Données projet'!$A$191:$I$211,6,0)*VLOOKUP('Données projet'!$B$15,Paramètres!$A$1:$I$88,7,0))</f>
        <v>0</v>
      </c>
      <c r="DI121" s="37">
        <f>IF(ISNA(VLOOKUP(A121,'Données projet'!$A$191:$I$211,7,0)),0%,VLOOKUP(A121,'Données projet'!$A$191:$I$211,7,0))</f>
        <v>0</v>
      </c>
      <c r="DJ121" s="45">
        <f>EXP(-LN(2)/35)*DJ120+(1-EXP(-LN(2)/35))/(LN(2)/35)*DF121*DG121*VLOOKUP('Données projet'!$B$9,Paramètres!$A$1:$I$88,3,0)*0.475*44/12</f>
        <v>0</v>
      </c>
      <c r="DK121" s="45">
        <f>EXP(-LN(2)/25)*DK120+(1-EXP(-LN(2)/25))/(LN(2)/25)*Calculateur!DF121*Calculateur!DH121*VLOOKUP('Données projet'!$B$9,Paramètres!$A$1:$I$88,3,0)*0.475*44/12</f>
        <v>0</v>
      </c>
      <c r="DL121" s="45">
        <f>EXP(-LN(2)/2)*DL120+(1-EXP(-LN(2)/2))/(LN(2)/2)*DF121*DI121*VLOOKUP('Données projet'!$B$9,Paramètres!$A$1:$I$88,3,0)*0.475*44/12</f>
        <v>0</v>
      </c>
      <c r="DM121" s="46">
        <f t="shared" si="55"/>
        <v>0</v>
      </c>
      <c r="DN121" s="32" t="e">
        <f>VLOOKUP(A121,'Données projet'!$A$217:$I$237,2,0)</f>
        <v>#N/A</v>
      </c>
      <c r="DO121" s="33" t="e">
        <f>VLOOKUP(A121,'Données projet'!$A$217:$I$237,9,0)</f>
        <v>#N/A</v>
      </c>
      <c r="DP121" s="33">
        <f t="array" ref="DP121">INDEX(DO:DO,MIN(IF(ISNUMBER(DO121:DO317),ROW(DO121:DO317),"")))</f>
        <v>0</v>
      </c>
      <c r="DQ121" s="33">
        <f t="shared" si="78"/>
        <v>0</v>
      </c>
      <c r="DR121" s="38" t="e">
        <f>DQ121*VLOOKUP('Données projet'!$B$16,Paramètres!$A$1:$I$88,3,0)*VLOOKUP('Données projet'!$B$16,Paramètres!$A$1:$I$88,5,0)</f>
        <v>#N/A</v>
      </c>
      <c r="DS121" s="34" t="e">
        <f t="shared" si="79"/>
        <v>#N/A</v>
      </c>
      <c r="DT121" s="44" t="e">
        <f t="shared" si="56"/>
        <v>#N/A</v>
      </c>
      <c r="DU121" s="36">
        <f>IF(ISNA(VLOOKUP(A121,'Données projet'!$A$217:$I$237,3,0)),0,VLOOKUP(A121,'Données projet'!$A$217:$I$237,3,0))</f>
        <v>0</v>
      </c>
      <c r="DV121" s="36">
        <f>IF(ISNA(VLOOKUP(A121,'Données projet'!$A$217:$I$237,4,0)),0,VLOOKUP(A121,'Données projet'!$A$217:$I$237,4,0))</f>
        <v>0</v>
      </c>
      <c r="DW121" s="37">
        <f>IF(ISNA(VLOOKUP(A121,'Données projet'!$A$217:$I$237,5,0)),0%,VLOOKUP(A121,'Données projet'!$A$217:$I$237,5,0)*VLOOKUP('Données projet'!$B$16,Paramètres!$A$1:$I$88,7,0))</f>
        <v>0</v>
      </c>
      <c r="DX121" s="37">
        <f>IF(ISNA(VLOOKUP(A121,'Données projet'!$A$217:$I$237,6,0)),0%,VLOOKUP(A121,'Données projet'!$A$217:$I$237,6,0)*VLOOKUP('Données projet'!$B$16,Paramètres!$A$1:$I$88,7,0))</f>
        <v>0</v>
      </c>
      <c r="DY121" s="37">
        <f>IF(ISNA(VLOOKUP(A121,'Données projet'!$A$217:$I$237,7,0)),0%,VLOOKUP(A121,'Données projet'!$A$217:$I$237,7,0))</f>
        <v>0</v>
      </c>
      <c r="DZ121" s="45">
        <f>EXP(-LN(2)/35)*DZ120+(1-EXP(-LN(2)/35))/(LN(2)/35)*DV121*DW121*VLOOKUP('Données projet'!$B$9,Paramètres!$A$1:$I$88,3,0)*0.475*44/12</f>
        <v>0</v>
      </c>
      <c r="EA121" s="45">
        <f>EXP(-LN(2)/25)*EA120+(1-EXP(-LN(2)/25))/(LN(2)/25)*Calculateur!DV121*Calculateur!DX121*VLOOKUP('Données projet'!$B$9,Paramètres!$A$1:$I$88,3,0)*0.475*44/12</f>
        <v>0</v>
      </c>
      <c r="EB121" s="45">
        <f>EXP(-LN(2)/2)*EB120+(1-EXP(-LN(2)/2))/(LN(2)/2)*DV121*DY121*VLOOKUP('Données projet'!$B$9,Paramètres!$A$1:$I$88,3,0)*0.475*44/12</f>
        <v>0</v>
      </c>
      <c r="EC121" s="46">
        <f t="shared" si="57"/>
        <v>0</v>
      </c>
      <c r="ED121" s="32" t="e">
        <f>VLOOKUP(A121,'Données projet'!$A$243:$I$263,2,0)</f>
        <v>#N/A</v>
      </c>
      <c r="EE121" s="33" t="e">
        <f>VLOOKUP(A121,'Données projet'!$A$243:$I$263,9,0)</f>
        <v>#N/A</v>
      </c>
      <c r="EF121" s="33">
        <f t="array" ref="EF121">INDEX(EE:EE,MIN(IF(ISNUMBER(EE121:EE317),ROW(EE121:EE317),"")))</f>
        <v>0</v>
      </c>
      <c r="EG121" s="33">
        <f t="shared" si="80"/>
        <v>0</v>
      </c>
      <c r="EH121" s="38" t="e">
        <f>EG121*VLOOKUP('Données projet'!$B$17,Paramètres!$A$1:$I$88,3,0)*VLOOKUP('Données projet'!$B$17,Paramètres!$A$1:$I$88,5,0)</f>
        <v>#N/A</v>
      </c>
      <c r="EI121" s="34" t="e">
        <f t="shared" si="81"/>
        <v>#N/A</v>
      </c>
      <c r="EJ121" s="44" t="e">
        <f t="shared" si="58"/>
        <v>#N/A</v>
      </c>
      <c r="EK121" s="36">
        <f>IF(ISNA(VLOOKUP(A121,'Données projet'!$A$243:$I$263,3,0)),0,VLOOKUP(A121,'Données projet'!$A$243:$I$263,3,0))</f>
        <v>0</v>
      </c>
      <c r="EL121" s="36">
        <f>IF(ISNA(VLOOKUP(A121,'Données projet'!$A$243:$I$263,4,0)),0,VLOOKUP(A121,'Données projet'!$A$243:$I$263,4,0))</f>
        <v>0</v>
      </c>
      <c r="EM121" s="37">
        <f>IF(ISNA(VLOOKUP(A121,'Données projet'!$A$243:$I$263,5,0)),0%,VLOOKUP(A121,'Données projet'!$A$243:$I$263,5,0)*VLOOKUP('Données projet'!$B$17,Paramètres!$A$1:$I$88,7,0))</f>
        <v>0</v>
      </c>
      <c r="EN121" s="37">
        <f>IF(ISNA(VLOOKUP(A121,'Données projet'!$A$243:$I$263,6,0)),0%,VLOOKUP(A121,'Données projet'!$A$243:$I$263,6,0)*VLOOKUP('Données projet'!$B$17,Paramètres!$A$1:$I$88,7,0))</f>
        <v>0</v>
      </c>
      <c r="EO121" s="37">
        <f>IF(ISNA(VLOOKUP(A121,'Données projet'!$A$243:$I$263,7,0)),0%,VLOOKUP(A121,'Données projet'!$A$243:$I$263,7,0))</f>
        <v>0</v>
      </c>
      <c r="EP121" s="45">
        <f>EXP(-LN(2)/35)*EP120+(1-EXP(-LN(2)/35))/(LN(2)/35)*EL121*EM121*VLOOKUP('Données projet'!$B$9,Paramètres!$A$1:$I$88,3,0)*0.475*44/12</f>
        <v>0</v>
      </c>
      <c r="EQ121" s="45">
        <f>EXP(-LN(2)/25)*EQ120+(1-EXP(-LN(2)/25))/(LN(2)/25)*Calculateur!EL121*Calculateur!EN121*VLOOKUP('Données projet'!$B$9,Paramètres!$A$1:$I$88,3,0)*0.475*44/12</f>
        <v>0</v>
      </c>
      <c r="ER121" s="45">
        <f>EXP(-LN(2)/2)*ER120+(1-EXP(-LN(2)/2))/(LN(2)/2)*EL121*EO121*VLOOKUP('Données projet'!$B$9,Paramètres!$A$1:$I$88,3,0)*0.475*44/12</f>
        <v>0</v>
      </c>
      <c r="ES121" s="46">
        <f t="shared" si="59"/>
        <v>0</v>
      </c>
      <c r="ET121" s="32" t="e">
        <f>VLOOKUP(A121,'Données projet'!$A$269:$I$289,2,0)</f>
        <v>#N/A</v>
      </c>
      <c r="EU121" s="33" t="e">
        <f>VLOOKUP(A121,'Données projet'!$A$269:$I$289,9,0)</f>
        <v>#N/A</v>
      </c>
      <c r="EV121" s="33">
        <f t="array" ref="EV121">INDEX(EU:EU,MIN(IF(ISNUMBER(EU121:EU317),ROW(EU121:EU317),"")))</f>
        <v>0</v>
      </c>
      <c r="EW121" s="33">
        <f t="shared" si="82"/>
        <v>0</v>
      </c>
      <c r="EX121" s="38" t="e">
        <f>EW121*VLOOKUP('Données projet'!$B$18,Paramètres!$A$1:$I$88,3,0)*VLOOKUP('Données projet'!$B$18,Paramètres!$A$1:$I$88,5,0)</f>
        <v>#N/A</v>
      </c>
      <c r="EY121" s="34" t="e">
        <f t="shared" si="83"/>
        <v>#N/A</v>
      </c>
      <c r="EZ121" s="44" t="e">
        <f t="shared" si="60"/>
        <v>#N/A</v>
      </c>
      <c r="FA121" s="36">
        <f>IF(ISNA(VLOOKUP(A121,'Données projet'!$A$269:$I$289,3,0)),0,VLOOKUP(A121,'Données projet'!$A$269:$I$289,3,0))</f>
        <v>0</v>
      </c>
      <c r="FB121" s="36">
        <f>IF(ISNA(VLOOKUP(A121,'Données projet'!$A$269:$I$289,4,0)),0,VLOOKUP(A121,'Données projet'!$A$269:$I$289,4,0))</f>
        <v>0</v>
      </c>
      <c r="FC121" s="37">
        <f>IF(ISNA(VLOOKUP(A121,'Données projet'!$A$269:$I$289,5,0)),0%,VLOOKUP(A121,'Données projet'!$A$269:$I$289,5,0)*VLOOKUP('Données projet'!$B$18,Paramètres!$A$1:$I$88,7,0))</f>
        <v>0</v>
      </c>
      <c r="FD121" s="37">
        <f>IF(ISNA(VLOOKUP(A121,'Données projet'!$A$269:$I$289,6,0)),0%,VLOOKUP(A121,'Données projet'!$A$269:$I$289,6,0)*VLOOKUP('Données projet'!$B$18,Paramètres!$A$1:$I$88,7,0))</f>
        <v>0</v>
      </c>
      <c r="FE121" s="37">
        <f>IF(ISNA(VLOOKUP(A121,'Données projet'!$A$269:$I$289,7,0)),0%,VLOOKUP(A121,'Données projet'!$A$269:$I$289,7,0))</f>
        <v>0</v>
      </c>
      <c r="FF121" s="45">
        <f>EXP(-LN(2)/35)*FF120+(1-EXP(-LN(2)/35))/(LN(2)/35)*FB121*FC121*VLOOKUP('Données projet'!$B$9,Paramètres!$A$1:$I$88,3,0)*0.475*44/12</f>
        <v>0</v>
      </c>
      <c r="FG121" s="45">
        <f>EXP(-LN(2)/25)*FG120+(1-EXP(-LN(2)/25))/(LN(2)/25)*Calculateur!FB121*Calculateur!FD121*VLOOKUP('Données projet'!$B$9,Paramètres!$A$1:$I$88,3,0)*0.475*44/12</f>
        <v>0</v>
      </c>
      <c r="FH121" s="45">
        <f>EXP(-LN(2)/2)*FH120+(1-EXP(-LN(2)/2))/(LN(2)/2)*FB121*FE121*VLOOKUP('Données projet'!$B$9,Paramètres!$A$1:$I$88,3,0)*0.475*44/12</f>
        <v>0</v>
      </c>
      <c r="FI121" s="46">
        <f t="shared" si="61"/>
        <v>0</v>
      </c>
    </row>
    <row r="122" spans="1:165" x14ac:dyDescent="0.25">
      <c r="A122" s="24">
        <f t="shared" si="62"/>
        <v>119</v>
      </c>
      <c r="B122" s="25">
        <f>IF('Scénario référence'!$N$1=1,5,0)</f>
        <v>0</v>
      </c>
      <c r="C122" s="40">
        <f>IF(OR('Scénario référence'!$N$1=2,'Scénario référence'!$N$1=4),C121+1*VLOOKUP('Scénario référence'!$G$14,Paramètres!$A$1:$I$88,3,0)*VLOOKUP('Scénario référence'!$G$14,Paramètres!$A$1:$I$88,5,0),IF(OR('Scénario référence'!$N$1=3,'Scénario référence'!$N$1=5),C121+0.5*VLOOKUP('Scénario référence'!$G$14,Paramètres!$A$1:$I$88,3,0)*VLOOKUP('Scénario référence'!$G$14,Paramètres!$A$1:$I$88,5,0),0))</f>
        <v>64.973999999999947</v>
      </c>
      <c r="D122" s="26">
        <f t="shared" si="63"/>
        <v>18.41996408372005</v>
      </c>
      <c r="E122" s="27">
        <f>IF('Scénario référence'!$N$1=1,B122*44/12,(C122+D122)*0.475*44/12)</f>
        <v>145.24448744581233</v>
      </c>
      <c r="F122" s="28" t="e">
        <f>VLOOKUP(A122,'Données projet'!$A$35:$I$55,2,0)</f>
        <v>#N/A</v>
      </c>
      <c r="G122" s="28" t="e">
        <f>VLOOKUP(A122,'Données projet'!$A$35:$I$55,9,0)</f>
        <v>#N/A</v>
      </c>
      <c r="H122" s="33">
        <f t="array" ref="H122">INDEX(G:G,MIN(IF(ISNUMBER(G122:G318),ROW(G122:G318),"")))</f>
        <v>3.4</v>
      </c>
      <c r="I122" s="28">
        <f t="shared" si="64"/>
        <v>280.59999999999945</v>
      </c>
      <c r="J122" s="41">
        <f>I122*VLOOKUP('Données projet'!$B$9,Paramètres!$A$1:$I$88,3,0)*VLOOKUP('Données projet'!$B$9,Paramètres!$A$1:$I$88,5,0)</f>
        <v>284.52839999999946</v>
      </c>
      <c r="K122" s="41">
        <f t="shared" si="65"/>
        <v>67.923094584210745</v>
      </c>
      <c r="L122" s="42">
        <f t="shared" si="42"/>
        <v>613.85301973416608</v>
      </c>
      <c r="M122" s="30">
        <f>IF(ISNA(VLOOKUP(A122,'Données projet'!$A$35:$I$55,3,0)),0,VLOOKUP(A122,'Données projet'!$A$35:$I$55,3,0))</f>
        <v>0</v>
      </c>
      <c r="N122" s="30">
        <f>IF(ISNA(VLOOKUP(A122,'Données projet'!$A$35:$I$55,4,0)),0,VLOOKUP(A122,'Données projet'!$A$35:$I$55,4,0))</f>
        <v>0</v>
      </c>
      <c r="O122" s="31">
        <f>IF(ISNA(VLOOKUP(A122,'Données projet'!$A$35:$I$55,5,0)),0%,VLOOKUP(A122,'Données projet'!$A$35:$I$55,5,0)*VLOOKUP('Données projet'!$B$9,Paramètres!$A$1:$I$88,7,0))</f>
        <v>0</v>
      </c>
      <c r="P122" s="31">
        <f>IF(ISNA(VLOOKUP(A122,'Données projet'!$A$35:$I$55,6,0)),0%,VLOOKUP(A122,'Données projet'!$A$35:$I$55,6,0)*VLOOKUP('Données projet'!$B$9,Paramètres!$A$1:$I$88,7,0))</f>
        <v>0</v>
      </c>
      <c r="Q122" s="31">
        <f>IF(ISNA(VLOOKUP(A122,'Données projet'!$A$35:$I$55,7,0)),0%,VLOOKUP(A122,'Données projet'!$A$35:$I$55,7,0))</f>
        <v>0</v>
      </c>
      <c r="R122" s="43">
        <f>EXP(-LN(2)/35)*R121+(1-EXP(-LN(2)/35))/(LN(2)/35)*N122*O122*VLOOKUP('Données projet'!$B$9,Paramètres!$A$1:$I$88,3,0)*0.475*44/12</f>
        <v>0</v>
      </c>
      <c r="S122" s="43">
        <f>EXP(-LN(2)/25)*S121+(1-EXP(-LN(2)/25))/(LN(2)/25)*Calculateur!N122*Calculateur!P122*VLOOKUP('Données projet'!$B$9,Paramètres!$A$1:$I$88,3,0)*0.475*44/12</f>
        <v>0</v>
      </c>
      <c r="T122" s="43">
        <f>EXP(-LN(2)/2)*T121+(1-EXP(-LN(2)/2))/(LN(2)/2)*N122*Q122*VLOOKUP('Données projet'!$B$9,Paramètres!$A$1:$I$88,3,0)*0.475*44/12</f>
        <v>0</v>
      </c>
      <c r="U122" s="43">
        <f t="shared" si="43"/>
        <v>0</v>
      </c>
      <c r="V122" s="32" t="e">
        <f>VLOOKUP(A122,'Données projet'!$A$61:$I$81,2,0)</f>
        <v>#N/A</v>
      </c>
      <c r="W122" s="33" t="e">
        <f>VLOOKUP(A122,'Données projet'!$A$61:$I$81,9,0)</f>
        <v>#N/A</v>
      </c>
      <c r="X122" s="33">
        <f t="array" ref="X122">INDEX(W:W,MIN(IF(ISNUMBER(W122:W318),ROW(W122:W318),"")))</f>
        <v>0</v>
      </c>
      <c r="Y122" s="33">
        <f t="shared" si="66"/>
        <v>0</v>
      </c>
      <c r="Z122" s="34" t="e">
        <f>Y122*VLOOKUP('Données projet'!$B$10,Paramètres!$A$1:$I$88,3,0)*VLOOKUP('Données projet'!$B$10,Paramètres!$A$1:$I$88,5,0)</f>
        <v>#N/A</v>
      </c>
      <c r="AA122" s="34" t="e">
        <f t="shared" si="67"/>
        <v>#N/A</v>
      </c>
      <c r="AB122" s="44" t="e">
        <f t="shared" si="44"/>
        <v>#N/A</v>
      </c>
      <c r="AC122" s="36">
        <f>IF(ISNA(VLOOKUP(A122,'Données projet'!$A$61:$I$81,3,0)),0,VLOOKUP(A122,'Données projet'!$A$61:$I$81,3,0))</f>
        <v>0</v>
      </c>
      <c r="AD122" s="36">
        <f>IF(ISNA(VLOOKUP(A122,'Données projet'!$A$61:$I$81,4,0)),0,VLOOKUP(A122,'Données projet'!$A$61:$I$81,4,0))</f>
        <v>0</v>
      </c>
      <c r="AE122" s="37">
        <f>IF(ISNA(VLOOKUP(A122,'Données projet'!$A$61:$I$81,5,0)),0%,VLOOKUP(A122,'Données projet'!$A$61:$I$81,5,0)*VLOOKUP('Données projet'!$B$10,Paramètres!$A$1:$I$88,7,0))</f>
        <v>0</v>
      </c>
      <c r="AF122" s="37">
        <f>IF(ISNA(VLOOKUP(A122,'Données projet'!$A$61:$I$81,6,0)),0%,VLOOKUP(A122,'Données projet'!$A$61:$I$81,6,0)*VLOOKUP('Données projet'!$B$10,Paramètres!$A$1:$I$88,7,0))</f>
        <v>0</v>
      </c>
      <c r="AG122" s="37">
        <f>IF(ISNA(VLOOKUP(A122,'Données projet'!$A$61:$I$81,7,0)),0%,VLOOKUP(A122,'Données projet'!$A$61:$I$81,7,0))</f>
        <v>0</v>
      </c>
      <c r="AH122" s="45">
        <f>EXP(-LN(2)/35)*AH121+(1-EXP(-LN(2)/35))/(LN(2)/35)*AD122*AE122*VLOOKUP('Données projet'!$B$9,Paramètres!$A$1:$I$88,3,0)*0.475*44/12</f>
        <v>0</v>
      </c>
      <c r="AI122" s="45">
        <f>EXP(-LN(2)/25)*AI121+(1-EXP(-LN(2)/25))/(LN(2)/25)*Calculateur!AD122*Calculateur!AF122*VLOOKUP('Données projet'!$B$9,Paramètres!$A$1:$I$88,3,0)*0.475*44/12</f>
        <v>0</v>
      </c>
      <c r="AJ122" s="45">
        <f>EXP(-LN(2)/2)*AJ121+(1-EXP(-LN(2)/2))/(LN(2)/2)*AD122*AG122*VLOOKUP('Données projet'!$B$9,Paramètres!$A$1:$I$88,3,0)*0.475*44/12</f>
        <v>0</v>
      </c>
      <c r="AK122" s="45">
        <f t="shared" si="45"/>
        <v>0</v>
      </c>
      <c r="AL122" s="32" t="e">
        <f>VLOOKUP(A122,'Données projet'!$A$87:$I$107,2,0)</f>
        <v>#N/A</v>
      </c>
      <c r="AM122" s="33" t="e">
        <f>VLOOKUP(A122,'Données projet'!$A$87:$I$107,9,0)</f>
        <v>#N/A</v>
      </c>
      <c r="AN122" s="33">
        <f t="array" ref="AN122">INDEX(AM:AM,MIN(IF(ISNUMBER(AM122:AM318),ROW(AM122:AM318),"")))</f>
        <v>0</v>
      </c>
      <c r="AO122" s="33">
        <f t="shared" si="68"/>
        <v>0</v>
      </c>
      <c r="AP122" s="34" t="e">
        <f>AO122*VLOOKUP('Données projet'!$B$11,Paramètres!$A$1:$I$88,3,0)*VLOOKUP('Données projet'!$B$11,Paramètres!$A$1:$I$88,5,0)</f>
        <v>#N/A</v>
      </c>
      <c r="AQ122" s="34" t="e">
        <f t="shared" si="69"/>
        <v>#N/A</v>
      </c>
      <c r="AR122" s="44" t="e">
        <f t="shared" si="46"/>
        <v>#N/A</v>
      </c>
      <c r="AS122" s="36">
        <f>IF(ISNA(VLOOKUP(A122,'Données projet'!$A$87:$I$107,3,0)),0,VLOOKUP(A122,'Données projet'!$A$87:$I$107,3,0))</f>
        <v>0</v>
      </c>
      <c r="AT122" s="36">
        <f>IF(ISNA(VLOOKUP(A122,'Données projet'!$A$87:$I$107,4,0)),0,VLOOKUP(A122,'Données projet'!$A$87:$I$107,4,0))</f>
        <v>0</v>
      </c>
      <c r="AU122" s="37">
        <f>IF(ISNA(VLOOKUP(A122,'Données projet'!$A$87:$I$107,5,0)),0%,VLOOKUP(A122,'Données projet'!$A$87:$I$107,5,0)*VLOOKUP('Données projet'!$B$11,Paramètres!$A$1:$I$88,7,0))</f>
        <v>0</v>
      </c>
      <c r="AV122" s="37">
        <f>IF(ISNA(VLOOKUP(A122,'Données projet'!$A$87:$I$107,6,0)),0%,VLOOKUP(A122,'Données projet'!$A$87:$I$107,6,0)*VLOOKUP('Données projet'!$B$11,Paramètres!$A$1:$I$88,7,0))</f>
        <v>0</v>
      </c>
      <c r="AW122" s="37">
        <f>IF(ISNA(VLOOKUP(A122,'Données projet'!$A$87:$I$107,7,0)),0%,VLOOKUP(A122,'Données projet'!$A$87:$I$107,7,0))</f>
        <v>0</v>
      </c>
      <c r="AX122" s="45">
        <f>EXP(-LN(2)/35)*AX121+(1-EXP(-LN(2)/35))/(LN(2)/35)*AT122*AU122*VLOOKUP('Données projet'!$B$9,Paramètres!$A$1:$I$88,3,0)*0.475*44/12</f>
        <v>0</v>
      </c>
      <c r="AY122" s="45">
        <f>EXP(-LN(2)/25)*AY121+(1-EXP(-LN(2)/25))/(LN(2)/25)*Calculateur!AT122*Calculateur!AV122*VLOOKUP('Données projet'!$B$9,Paramètres!$A$1:$I$88,3,0)*0.475*44/12</f>
        <v>0</v>
      </c>
      <c r="AZ122" s="45">
        <f>EXP(-LN(2)/2)*AZ121+(1-EXP(-LN(2)/2))/(LN(2)/2)*AT122*AW122*VLOOKUP('Données projet'!$B$9,Paramètres!$A$1:$I$88,3,0)*0.475*44/12</f>
        <v>0</v>
      </c>
      <c r="BA122" s="46">
        <f t="shared" si="47"/>
        <v>0</v>
      </c>
      <c r="BB122" s="32" t="e">
        <f>VLOOKUP(A122,'Données projet'!$A$113:$I$133,2,0)</f>
        <v>#N/A</v>
      </c>
      <c r="BC122" s="33" t="e">
        <f>VLOOKUP(A122,'Données projet'!$A$113:$I$133,9,0)</f>
        <v>#N/A</v>
      </c>
      <c r="BD122" s="33">
        <f t="array" ref="BD122">INDEX(BC:BC,MIN(IF(ISNUMBER(BC122:BC318),ROW(BC122:BC318),"")))</f>
        <v>0</v>
      </c>
      <c r="BE122" s="33">
        <f t="shared" si="70"/>
        <v>0</v>
      </c>
      <c r="BF122" s="34" t="e">
        <f>BE122*VLOOKUP('Données projet'!$B$12,Paramètres!$A$1:$I$88,3,0)*VLOOKUP('Données projet'!$B$12,Paramètres!$A$1:$I$88,5,0)</f>
        <v>#N/A</v>
      </c>
      <c r="BG122" s="34" t="e">
        <f t="shared" si="71"/>
        <v>#N/A</v>
      </c>
      <c r="BH122" s="44" t="e">
        <f t="shared" si="48"/>
        <v>#N/A</v>
      </c>
      <c r="BI122" s="36">
        <f>IF(ISNA(VLOOKUP(A122,'Données projet'!$A$113:$I$133,3,0)),0,VLOOKUP(A122,'Données projet'!$A$113:$I$133,3,0))</f>
        <v>0</v>
      </c>
      <c r="BJ122" s="36">
        <f>IF(ISNA(VLOOKUP(A122,'Données projet'!$A$113:$I$133,4,0)),0,VLOOKUP(A122,'Données projet'!$A$113:$I$133,4,0))</f>
        <v>0</v>
      </c>
      <c r="BK122" s="37">
        <f>IF(ISNA(VLOOKUP(A122,'Données projet'!$A$113:$I$133,5,0)),0%,VLOOKUP(A122,'Données projet'!$A$113:$I$133,5,0)*VLOOKUP('Données projet'!$B$12,Paramètres!$A$1:$I$88,7,0))</f>
        <v>0</v>
      </c>
      <c r="BL122" s="37">
        <f>IF(ISNA(VLOOKUP(A122,'Données projet'!$A$113:$I$133,6,0)),0%,VLOOKUP(A122,'Données projet'!$A$113:$I$133,6,0)*VLOOKUP('Données projet'!$B$12,Paramètres!$A$1:$I$88,7,0))</f>
        <v>0</v>
      </c>
      <c r="BM122" s="37">
        <f>IF(ISNA(VLOOKUP(A122,'Données projet'!$A$113:$I$133,7,0)),0%,VLOOKUP(A122,'Données projet'!$A$113:$I$133,7,0))</f>
        <v>0</v>
      </c>
      <c r="BN122" s="45">
        <f>EXP(-LN(2)/35)*BN121+(1-EXP(-LN(2)/35))/(LN(2)/35)*BJ122*BK122*VLOOKUP('Données projet'!$B$9,Paramètres!$A$1:$I$88,3,0)*0.475*44/12</f>
        <v>0</v>
      </c>
      <c r="BO122" s="45">
        <f>EXP(-LN(2)/25)*BO121+(1-EXP(-LN(2)/25))/(LN(2)/25)*Calculateur!BJ122*Calculateur!BL122*VLOOKUP('Données projet'!$B$9,Paramètres!$A$1:$I$88,3,0)*0.475*44/12</f>
        <v>0</v>
      </c>
      <c r="BP122" s="45">
        <f>EXP(-LN(2)/2)*BP121+(1-EXP(-LN(2)/2))/(LN(2)/2)*BJ122*BM122*VLOOKUP('Données projet'!$B$9,Paramètres!$A$1:$I$88,3,0)*0.475*44/12</f>
        <v>0</v>
      </c>
      <c r="BQ122" s="46">
        <f t="shared" si="49"/>
        <v>0</v>
      </c>
      <c r="BR122" s="32" t="e">
        <f>VLOOKUP(A122,'Données projet'!$A$139:$I$159,2,0)</f>
        <v>#N/A</v>
      </c>
      <c r="BS122" s="33" t="e">
        <f>VLOOKUP(A122,'Données projet'!$A$139:$I$159,9,0)</f>
        <v>#N/A</v>
      </c>
      <c r="BT122" s="33">
        <f t="array" ref="BT122">INDEX(BS:BS,MIN(IF(ISNUMBER(BS122:BS318),ROW(BS122:BS318),"")))</f>
        <v>0</v>
      </c>
      <c r="BU122" s="33">
        <f t="shared" si="72"/>
        <v>0</v>
      </c>
      <c r="BV122" s="38" t="e">
        <f>BU122*VLOOKUP('Données projet'!$B$13,Paramètres!$A$1:$I$88,3,0)*VLOOKUP('Données projet'!$B$13,Paramètres!$A$1:$I$88,5,0)</f>
        <v>#N/A</v>
      </c>
      <c r="BW122" s="34" t="e">
        <f t="shared" si="73"/>
        <v>#N/A</v>
      </c>
      <c r="BX122" s="44" t="e">
        <f t="shared" si="50"/>
        <v>#N/A</v>
      </c>
      <c r="BY122" s="36">
        <f>IF(ISNA(VLOOKUP(A122,'Données projet'!$A$139:$I$159,3,0)),0,VLOOKUP(A122,'Données projet'!$A$139:$I$159,3,0))</f>
        <v>0</v>
      </c>
      <c r="BZ122" s="36">
        <f>IF(ISNA(VLOOKUP(A122,'Données projet'!$A$139:$I$159,4,0)),0,VLOOKUP(A122,'Données projet'!$A$139:$I$159,4,0))</f>
        <v>0</v>
      </c>
      <c r="CA122" s="37">
        <f>IF(ISNA(VLOOKUP(A122,'Données projet'!$A$139:$I$159,5,0)),0%,VLOOKUP(A122,'Données projet'!$A$139:$I$159,5,0)*VLOOKUP('Données projet'!$B$13,Paramètres!$A$1:$I$88,7,0))</f>
        <v>0</v>
      </c>
      <c r="CB122" s="37">
        <f>IF(ISNA(VLOOKUP(A122,'Données projet'!$A$139:$I$159,6,0)),0%,VLOOKUP(A122,'Données projet'!$A$139:$I$159,6,0)*VLOOKUP('Données projet'!$B$13,Paramètres!$A$1:$I$88,7,0))</f>
        <v>0</v>
      </c>
      <c r="CC122" s="37">
        <f>IF(ISNA(VLOOKUP(A122,'Données projet'!$A$139:$I$159,7,0)),0%,VLOOKUP(A122,'Données projet'!$A$139:$I$159,7,0))</f>
        <v>0</v>
      </c>
      <c r="CD122" s="45">
        <f>EXP(-LN(2)/35)*CD121+(1-EXP(-LN(2)/35))/(LN(2)/35)*BZ122*CA122*VLOOKUP('Données projet'!$B$9,Paramètres!$A$1:$I$88,3,0)*0.475*44/12</f>
        <v>0</v>
      </c>
      <c r="CE122" s="45">
        <f>EXP(-LN(2)/25)*CE121+(1-EXP(-LN(2)/25))/(LN(2)/25)*Calculateur!BZ122*Calculateur!CB122*VLOOKUP('Données projet'!$B$9,Paramètres!$A$1:$I$88,3,0)*0.475*44/12</f>
        <v>0</v>
      </c>
      <c r="CF122" s="45">
        <f>EXP(-LN(2)/2)*CF121+(1-EXP(-LN(2)/2))/(LN(2)/2)*BZ122*CC122*VLOOKUP('Données projet'!$B$9,Paramètres!$A$1:$I$88,3,0)*0.475*44/12</f>
        <v>0</v>
      </c>
      <c r="CG122" s="46">
        <f t="shared" si="51"/>
        <v>0</v>
      </c>
      <c r="CH122" s="32" t="e">
        <f>VLOOKUP(A122,'Données projet'!$A$165:$I$185,2,0)</f>
        <v>#N/A</v>
      </c>
      <c r="CI122" s="33" t="e">
        <f>VLOOKUP(A122,'Données projet'!$A$165:$I$185,9,0)</f>
        <v>#N/A</v>
      </c>
      <c r="CJ122" s="33">
        <f t="array" ref="CJ122">INDEX(CI:CI,MIN(IF(ISNUMBER(CI122:CI318),ROW(CI122:CI318),"")))</f>
        <v>0</v>
      </c>
      <c r="CK122" s="33">
        <f t="shared" si="74"/>
        <v>0</v>
      </c>
      <c r="CL122" s="38" t="e">
        <f>CK122*VLOOKUP('Données projet'!$B$14,Paramètres!$A$1:$I$88,3,0)*VLOOKUP('Données projet'!$B$14,Paramètres!$A$1:$I$88,5,0)</f>
        <v>#N/A</v>
      </c>
      <c r="CM122" s="34" t="e">
        <f t="shared" si="75"/>
        <v>#N/A</v>
      </c>
      <c r="CN122" s="44" t="e">
        <f t="shared" si="52"/>
        <v>#N/A</v>
      </c>
      <c r="CO122" s="36">
        <f>IF(ISNA(VLOOKUP(A122,'Données projet'!$A$165:$I$185,3,0)),0,VLOOKUP(A122,'Données projet'!$A$165:$I$185,3,0))</f>
        <v>0</v>
      </c>
      <c r="CP122" s="36">
        <f>IF(ISNA(VLOOKUP(A122,'Données projet'!$A$165:$I$185,4,0)),0,VLOOKUP(A122,'Données projet'!$A$165:$I$185,4,0))</f>
        <v>0</v>
      </c>
      <c r="CQ122" s="37">
        <f>IF(ISNA(VLOOKUP(A122,'Données projet'!$A$165:$I$185,5,0)),0%,VLOOKUP(A122,'Données projet'!$A$165:$I$185,5,0)*VLOOKUP('Données projet'!$B$14,Paramètres!$A$1:$I$88,7,0))</f>
        <v>0</v>
      </c>
      <c r="CR122" s="37">
        <f>IF(ISNA(VLOOKUP(A122,'Données projet'!$A$165:$I$185,6,0)),0%,VLOOKUP(A122,'Données projet'!$A$165:$I$185,6,0)*VLOOKUP('Données projet'!$B$14,Paramètres!$A$1:$I$88,7,0))</f>
        <v>0</v>
      </c>
      <c r="CS122" s="37">
        <f>IF(ISNA(VLOOKUP(A122,'Données projet'!$A$165:$I$185,7,0)),0%,VLOOKUP(A122,'Données projet'!$A$165:$I$185,7,0))</f>
        <v>0</v>
      </c>
      <c r="CT122" s="45">
        <f>EXP(-LN(2)/35)*CT121+(1-EXP(-LN(2)/35))/(LN(2)/35)*CP122*CQ122*VLOOKUP('Données projet'!$B$9,Paramètres!$A$1:$I$88,3,0)*0.475*44/12</f>
        <v>0</v>
      </c>
      <c r="CU122" s="45">
        <f>EXP(-LN(2)/25)*CU121+(1-EXP(-LN(2)/25))/(LN(2)/25)*Calculateur!CP122*Calculateur!CR122*VLOOKUP('Données projet'!$B$9,Paramètres!$A$1:$I$88,3,0)*0.475*44/12</f>
        <v>0</v>
      </c>
      <c r="CV122" s="45">
        <f>EXP(-LN(2)/2)*CV121+(1-EXP(-LN(2)/2))/(LN(2)/2)*CP122*CS122*VLOOKUP('Données projet'!$B$9,Paramètres!$A$1:$I$88,3,0)*0.475*44/12</f>
        <v>0</v>
      </c>
      <c r="CW122" s="46">
        <f t="shared" si="53"/>
        <v>0</v>
      </c>
      <c r="CX122" s="32" t="e">
        <f>VLOOKUP(A122,'Données projet'!$A$191:$I$211,2,0)</f>
        <v>#N/A</v>
      </c>
      <c r="CY122" s="33" t="e">
        <f>VLOOKUP(A122,'Données projet'!$A$191:$I$211,9,0)</f>
        <v>#N/A</v>
      </c>
      <c r="CZ122" s="33">
        <f t="array" ref="CZ122">INDEX(CY:CY,MIN(IF(ISNUMBER(CY122:CY318),ROW(CY122:CY318),"")))</f>
        <v>0</v>
      </c>
      <c r="DA122" s="33">
        <f t="shared" si="76"/>
        <v>0</v>
      </c>
      <c r="DB122" s="38" t="e">
        <f>DA122*VLOOKUP('Données projet'!$B$15,Paramètres!$A$1:$I$88,3,0)*VLOOKUP('Données projet'!$B$15,Paramètres!$A$1:$I$88,5,0)</f>
        <v>#N/A</v>
      </c>
      <c r="DC122" s="34" t="e">
        <f t="shared" si="77"/>
        <v>#N/A</v>
      </c>
      <c r="DD122" s="44" t="e">
        <f t="shared" si="54"/>
        <v>#N/A</v>
      </c>
      <c r="DE122" s="36">
        <f>IF(ISNA(VLOOKUP(A122,'Données projet'!$A$191:$I$211,3,0)),0,VLOOKUP(A122,'Données projet'!$A$191:$I$211,3,0))</f>
        <v>0</v>
      </c>
      <c r="DF122" s="36">
        <f>IF(ISNA(VLOOKUP(A122,'Données projet'!$A$191:$I$211,4,0)),0,VLOOKUP(A122,'Données projet'!$A$191:$I$211,4,0))</f>
        <v>0</v>
      </c>
      <c r="DG122" s="37">
        <f>IF(ISNA(VLOOKUP(A122,'Données projet'!$A$191:$I$211,5,0)),0%,VLOOKUP(A122,'Données projet'!$A$191:$I$211,5,0)*VLOOKUP('Données projet'!$B$15,Paramètres!$A$1:$I$88,7,0))</f>
        <v>0</v>
      </c>
      <c r="DH122" s="37">
        <f>IF(ISNA(VLOOKUP(A122,'Données projet'!$A$191:$I$211,6,0)),0%,VLOOKUP(A122,'Données projet'!$A$191:$I$211,6,0)*VLOOKUP('Données projet'!$B$15,Paramètres!$A$1:$I$88,7,0))</f>
        <v>0</v>
      </c>
      <c r="DI122" s="37">
        <f>IF(ISNA(VLOOKUP(A122,'Données projet'!$A$191:$I$211,7,0)),0%,VLOOKUP(A122,'Données projet'!$A$191:$I$211,7,0))</f>
        <v>0</v>
      </c>
      <c r="DJ122" s="45">
        <f>EXP(-LN(2)/35)*DJ121+(1-EXP(-LN(2)/35))/(LN(2)/35)*DF122*DG122*VLOOKUP('Données projet'!$B$9,Paramètres!$A$1:$I$88,3,0)*0.475*44/12</f>
        <v>0</v>
      </c>
      <c r="DK122" s="45">
        <f>EXP(-LN(2)/25)*DK121+(1-EXP(-LN(2)/25))/(LN(2)/25)*Calculateur!DF122*Calculateur!DH122*VLOOKUP('Données projet'!$B$9,Paramètres!$A$1:$I$88,3,0)*0.475*44/12</f>
        <v>0</v>
      </c>
      <c r="DL122" s="45">
        <f>EXP(-LN(2)/2)*DL121+(1-EXP(-LN(2)/2))/(LN(2)/2)*DF122*DI122*VLOOKUP('Données projet'!$B$9,Paramètres!$A$1:$I$88,3,0)*0.475*44/12</f>
        <v>0</v>
      </c>
      <c r="DM122" s="46">
        <f t="shared" si="55"/>
        <v>0</v>
      </c>
      <c r="DN122" s="32" t="e">
        <f>VLOOKUP(A122,'Données projet'!$A$217:$I$237,2,0)</f>
        <v>#N/A</v>
      </c>
      <c r="DO122" s="33" t="e">
        <f>VLOOKUP(A122,'Données projet'!$A$217:$I$237,9,0)</f>
        <v>#N/A</v>
      </c>
      <c r="DP122" s="33">
        <f t="array" ref="DP122">INDEX(DO:DO,MIN(IF(ISNUMBER(DO122:DO318),ROW(DO122:DO318),"")))</f>
        <v>0</v>
      </c>
      <c r="DQ122" s="33">
        <f t="shared" si="78"/>
        <v>0</v>
      </c>
      <c r="DR122" s="38" t="e">
        <f>DQ122*VLOOKUP('Données projet'!$B$16,Paramètres!$A$1:$I$88,3,0)*VLOOKUP('Données projet'!$B$16,Paramètres!$A$1:$I$88,5,0)</f>
        <v>#N/A</v>
      </c>
      <c r="DS122" s="34" t="e">
        <f t="shared" si="79"/>
        <v>#N/A</v>
      </c>
      <c r="DT122" s="44" t="e">
        <f t="shared" si="56"/>
        <v>#N/A</v>
      </c>
      <c r="DU122" s="36">
        <f>IF(ISNA(VLOOKUP(A122,'Données projet'!$A$217:$I$237,3,0)),0,VLOOKUP(A122,'Données projet'!$A$217:$I$237,3,0))</f>
        <v>0</v>
      </c>
      <c r="DV122" s="36">
        <f>IF(ISNA(VLOOKUP(A122,'Données projet'!$A$217:$I$237,4,0)),0,VLOOKUP(A122,'Données projet'!$A$217:$I$237,4,0))</f>
        <v>0</v>
      </c>
      <c r="DW122" s="37">
        <f>IF(ISNA(VLOOKUP(A122,'Données projet'!$A$217:$I$237,5,0)),0%,VLOOKUP(A122,'Données projet'!$A$217:$I$237,5,0)*VLOOKUP('Données projet'!$B$16,Paramètres!$A$1:$I$88,7,0))</f>
        <v>0</v>
      </c>
      <c r="DX122" s="37">
        <f>IF(ISNA(VLOOKUP(A122,'Données projet'!$A$217:$I$237,6,0)),0%,VLOOKUP(A122,'Données projet'!$A$217:$I$237,6,0)*VLOOKUP('Données projet'!$B$16,Paramètres!$A$1:$I$88,7,0))</f>
        <v>0</v>
      </c>
      <c r="DY122" s="37">
        <f>IF(ISNA(VLOOKUP(A122,'Données projet'!$A$217:$I$237,7,0)),0%,VLOOKUP(A122,'Données projet'!$A$217:$I$237,7,0))</f>
        <v>0</v>
      </c>
      <c r="DZ122" s="45">
        <f>EXP(-LN(2)/35)*DZ121+(1-EXP(-LN(2)/35))/(LN(2)/35)*DV122*DW122*VLOOKUP('Données projet'!$B$9,Paramètres!$A$1:$I$88,3,0)*0.475*44/12</f>
        <v>0</v>
      </c>
      <c r="EA122" s="45">
        <f>EXP(-LN(2)/25)*EA121+(1-EXP(-LN(2)/25))/(LN(2)/25)*Calculateur!DV122*Calculateur!DX122*VLOOKUP('Données projet'!$B$9,Paramètres!$A$1:$I$88,3,0)*0.475*44/12</f>
        <v>0</v>
      </c>
      <c r="EB122" s="45">
        <f>EXP(-LN(2)/2)*EB121+(1-EXP(-LN(2)/2))/(LN(2)/2)*DV122*DY122*VLOOKUP('Données projet'!$B$9,Paramètres!$A$1:$I$88,3,0)*0.475*44/12</f>
        <v>0</v>
      </c>
      <c r="EC122" s="46">
        <f t="shared" si="57"/>
        <v>0</v>
      </c>
      <c r="ED122" s="32" t="e">
        <f>VLOOKUP(A122,'Données projet'!$A$243:$I$263,2,0)</f>
        <v>#N/A</v>
      </c>
      <c r="EE122" s="33" t="e">
        <f>VLOOKUP(A122,'Données projet'!$A$243:$I$263,9,0)</f>
        <v>#N/A</v>
      </c>
      <c r="EF122" s="33">
        <f t="array" ref="EF122">INDEX(EE:EE,MIN(IF(ISNUMBER(EE122:EE318),ROW(EE122:EE318),"")))</f>
        <v>0</v>
      </c>
      <c r="EG122" s="33">
        <f t="shared" si="80"/>
        <v>0</v>
      </c>
      <c r="EH122" s="38" t="e">
        <f>EG122*VLOOKUP('Données projet'!$B$17,Paramètres!$A$1:$I$88,3,0)*VLOOKUP('Données projet'!$B$17,Paramètres!$A$1:$I$88,5,0)</f>
        <v>#N/A</v>
      </c>
      <c r="EI122" s="34" t="e">
        <f t="shared" si="81"/>
        <v>#N/A</v>
      </c>
      <c r="EJ122" s="44" t="e">
        <f t="shared" si="58"/>
        <v>#N/A</v>
      </c>
      <c r="EK122" s="36">
        <f>IF(ISNA(VLOOKUP(A122,'Données projet'!$A$243:$I$263,3,0)),0,VLOOKUP(A122,'Données projet'!$A$243:$I$263,3,0))</f>
        <v>0</v>
      </c>
      <c r="EL122" s="36">
        <f>IF(ISNA(VLOOKUP(A122,'Données projet'!$A$243:$I$263,4,0)),0,VLOOKUP(A122,'Données projet'!$A$243:$I$263,4,0))</f>
        <v>0</v>
      </c>
      <c r="EM122" s="37">
        <f>IF(ISNA(VLOOKUP(A122,'Données projet'!$A$243:$I$263,5,0)),0%,VLOOKUP(A122,'Données projet'!$A$243:$I$263,5,0)*VLOOKUP('Données projet'!$B$17,Paramètres!$A$1:$I$88,7,0))</f>
        <v>0</v>
      </c>
      <c r="EN122" s="37">
        <f>IF(ISNA(VLOOKUP(A122,'Données projet'!$A$243:$I$263,6,0)),0%,VLOOKUP(A122,'Données projet'!$A$243:$I$263,6,0)*VLOOKUP('Données projet'!$B$17,Paramètres!$A$1:$I$88,7,0))</f>
        <v>0</v>
      </c>
      <c r="EO122" s="37">
        <f>IF(ISNA(VLOOKUP(A122,'Données projet'!$A$243:$I$263,7,0)),0%,VLOOKUP(A122,'Données projet'!$A$243:$I$263,7,0))</f>
        <v>0</v>
      </c>
      <c r="EP122" s="45">
        <f>EXP(-LN(2)/35)*EP121+(1-EXP(-LN(2)/35))/(LN(2)/35)*EL122*EM122*VLOOKUP('Données projet'!$B$9,Paramètres!$A$1:$I$88,3,0)*0.475*44/12</f>
        <v>0</v>
      </c>
      <c r="EQ122" s="45">
        <f>EXP(-LN(2)/25)*EQ121+(1-EXP(-LN(2)/25))/(LN(2)/25)*Calculateur!EL122*Calculateur!EN122*VLOOKUP('Données projet'!$B$9,Paramètres!$A$1:$I$88,3,0)*0.475*44/12</f>
        <v>0</v>
      </c>
      <c r="ER122" s="45">
        <f>EXP(-LN(2)/2)*ER121+(1-EXP(-LN(2)/2))/(LN(2)/2)*EL122*EO122*VLOOKUP('Données projet'!$B$9,Paramètres!$A$1:$I$88,3,0)*0.475*44/12</f>
        <v>0</v>
      </c>
      <c r="ES122" s="46">
        <f t="shared" si="59"/>
        <v>0</v>
      </c>
      <c r="ET122" s="32" t="e">
        <f>VLOOKUP(A122,'Données projet'!$A$269:$I$289,2,0)</f>
        <v>#N/A</v>
      </c>
      <c r="EU122" s="33" t="e">
        <f>VLOOKUP(A122,'Données projet'!$A$269:$I$289,9,0)</f>
        <v>#N/A</v>
      </c>
      <c r="EV122" s="33">
        <f t="array" ref="EV122">INDEX(EU:EU,MIN(IF(ISNUMBER(EU122:EU318),ROW(EU122:EU318),"")))</f>
        <v>0</v>
      </c>
      <c r="EW122" s="33">
        <f t="shared" si="82"/>
        <v>0</v>
      </c>
      <c r="EX122" s="38" t="e">
        <f>EW122*VLOOKUP('Données projet'!$B$18,Paramètres!$A$1:$I$88,3,0)*VLOOKUP('Données projet'!$B$18,Paramètres!$A$1:$I$88,5,0)</f>
        <v>#N/A</v>
      </c>
      <c r="EY122" s="34" t="e">
        <f t="shared" si="83"/>
        <v>#N/A</v>
      </c>
      <c r="EZ122" s="44" t="e">
        <f t="shared" si="60"/>
        <v>#N/A</v>
      </c>
      <c r="FA122" s="36">
        <f>IF(ISNA(VLOOKUP(A122,'Données projet'!$A$269:$I$289,3,0)),0,VLOOKUP(A122,'Données projet'!$A$269:$I$289,3,0))</f>
        <v>0</v>
      </c>
      <c r="FB122" s="36">
        <f>IF(ISNA(VLOOKUP(A122,'Données projet'!$A$269:$I$289,4,0)),0,VLOOKUP(A122,'Données projet'!$A$269:$I$289,4,0))</f>
        <v>0</v>
      </c>
      <c r="FC122" s="37">
        <f>IF(ISNA(VLOOKUP(A122,'Données projet'!$A$269:$I$289,5,0)),0%,VLOOKUP(A122,'Données projet'!$A$269:$I$289,5,0)*VLOOKUP('Données projet'!$B$18,Paramètres!$A$1:$I$88,7,0))</f>
        <v>0</v>
      </c>
      <c r="FD122" s="37">
        <f>IF(ISNA(VLOOKUP(A122,'Données projet'!$A$269:$I$289,6,0)),0%,VLOOKUP(A122,'Données projet'!$A$269:$I$289,6,0)*VLOOKUP('Données projet'!$B$18,Paramètres!$A$1:$I$88,7,0))</f>
        <v>0</v>
      </c>
      <c r="FE122" s="37">
        <f>IF(ISNA(VLOOKUP(A122,'Données projet'!$A$269:$I$289,7,0)),0%,VLOOKUP(A122,'Données projet'!$A$269:$I$289,7,0))</f>
        <v>0</v>
      </c>
      <c r="FF122" s="45">
        <f>EXP(-LN(2)/35)*FF121+(1-EXP(-LN(2)/35))/(LN(2)/35)*FB122*FC122*VLOOKUP('Données projet'!$B$9,Paramètres!$A$1:$I$88,3,0)*0.475*44/12</f>
        <v>0</v>
      </c>
      <c r="FG122" s="45">
        <f>EXP(-LN(2)/25)*FG121+(1-EXP(-LN(2)/25))/(LN(2)/25)*Calculateur!FB122*Calculateur!FD122*VLOOKUP('Données projet'!$B$9,Paramètres!$A$1:$I$88,3,0)*0.475*44/12</f>
        <v>0</v>
      </c>
      <c r="FH122" s="45">
        <f>EXP(-LN(2)/2)*FH121+(1-EXP(-LN(2)/2))/(LN(2)/2)*FB122*FE122*VLOOKUP('Données projet'!$B$9,Paramètres!$A$1:$I$88,3,0)*0.475*44/12</f>
        <v>0</v>
      </c>
      <c r="FI122" s="46">
        <f t="shared" si="61"/>
        <v>0</v>
      </c>
    </row>
    <row r="123" spans="1:165" x14ac:dyDescent="0.25">
      <c r="A123" s="24">
        <f t="shared" si="62"/>
        <v>120</v>
      </c>
      <c r="B123" s="25">
        <f>IF('Scénario référence'!$N$1=1,5,0)</f>
        <v>0</v>
      </c>
      <c r="C123" s="40">
        <f>IF(OR('Scénario référence'!$N$1=2,'Scénario référence'!$N$1=4),C122+1*VLOOKUP('Scénario référence'!$G$14,Paramètres!$A$1:$I$88,3,0)*VLOOKUP('Scénario référence'!$G$14,Paramètres!$A$1:$I$88,5,0),IF(OR('Scénario référence'!$N$1=3,'Scénario référence'!$N$1=5),C122+0.5*VLOOKUP('Scénario référence'!$G$14,Paramètres!$A$1:$I$88,3,0)*VLOOKUP('Scénario référence'!$G$14,Paramètres!$A$1:$I$88,5,0),0))</f>
        <v>65.519999999999953</v>
      </c>
      <c r="D123" s="26">
        <f t="shared" si="63"/>
        <v>18.556669503136707</v>
      </c>
      <c r="E123" s="27">
        <f>IF('Scénario référence'!$N$1=1,B123*44/12,(C123+D123)*0.475*44/12)</f>
        <v>146.433532717963</v>
      </c>
      <c r="F123" s="28" t="e">
        <f>VLOOKUP(A123,'Données projet'!$A$35:$I$55,2,0)</f>
        <v>#N/A</v>
      </c>
      <c r="G123" s="28" t="e">
        <f>VLOOKUP(A123,'Données projet'!$A$35:$I$55,9,0)</f>
        <v>#N/A</v>
      </c>
      <c r="H123" s="33">
        <f t="array" ref="H123">INDEX(G:G,MIN(IF(ISNUMBER(G123:G319),ROW(G123:G319),"")))</f>
        <v>3.4</v>
      </c>
      <c r="I123" s="28">
        <f t="shared" si="64"/>
        <v>283.99999999999943</v>
      </c>
      <c r="J123" s="41">
        <f>I123*VLOOKUP('Données projet'!$B$9,Paramètres!$A$1:$I$88,3,0)*VLOOKUP('Données projet'!$B$9,Paramètres!$A$1:$I$88,5,0)</f>
        <v>287.97599999999943</v>
      </c>
      <c r="K123" s="41">
        <f t="shared" si="65"/>
        <v>68.649801713863027</v>
      </c>
      <c r="L123" s="42">
        <f t="shared" si="42"/>
        <v>621.12327131831046</v>
      </c>
      <c r="M123" s="30">
        <f>IF(ISNA(VLOOKUP(A123,'Données projet'!$A$35:$I$55,3,0)),0,VLOOKUP(A123,'Données projet'!$A$35:$I$55,3,0))</f>
        <v>0</v>
      </c>
      <c r="N123" s="30">
        <f>IF(ISNA(VLOOKUP(A123,'Données projet'!$A$35:$I$55,4,0)),0,VLOOKUP(A123,'Données projet'!$A$35:$I$55,4,0))</f>
        <v>0</v>
      </c>
      <c r="O123" s="31">
        <f>IF(ISNA(VLOOKUP(A123,'Données projet'!$A$35:$I$55,5,0)),0%,VLOOKUP(A123,'Données projet'!$A$35:$I$55,5,0)*VLOOKUP('Données projet'!$B$9,Paramètres!$A$1:$I$88,7,0))</f>
        <v>0</v>
      </c>
      <c r="P123" s="31">
        <f>IF(ISNA(VLOOKUP(A123,'Données projet'!$A$35:$I$55,6,0)),0%,VLOOKUP(A123,'Données projet'!$A$35:$I$55,6,0)*VLOOKUP('Données projet'!$B$9,Paramètres!$A$1:$I$88,7,0))</f>
        <v>0</v>
      </c>
      <c r="Q123" s="31">
        <f>IF(ISNA(VLOOKUP(A123,'Données projet'!$A$35:$I$55,7,0)),0%,VLOOKUP(A123,'Données projet'!$A$35:$I$55,7,0))</f>
        <v>0</v>
      </c>
      <c r="R123" s="43">
        <f>EXP(-LN(2)/35)*R122+(1-EXP(-LN(2)/35))/(LN(2)/35)*N123*O123*VLOOKUP('Données projet'!$B$9,Paramètres!$A$1:$I$88,3,0)*0.475*44/12</f>
        <v>0</v>
      </c>
      <c r="S123" s="43">
        <f>EXP(-LN(2)/25)*S122+(1-EXP(-LN(2)/25))/(LN(2)/25)*Calculateur!N123*Calculateur!P123*VLOOKUP('Données projet'!$B$9,Paramètres!$A$1:$I$88,3,0)*0.475*44/12</f>
        <v>0</v>
      </c>
      <c r="T123" s="43">
        <f>EXP(-LN(2)/2)*T122+(1-EXP(-LN(2)/2))/(LN(2)/2)*N123*Q123*VLOOKUP('Données projet'!$B$9,Paramètres!$A$1:$I$88,3,0)*0.475*44/12</f>
        <v>0</v>
      </c>
      <c r="U123" s="43">
        <f t="shared" si="43"/>
        <v>0</v>
      </c>
      <c r="V123" s="32" t="e">
        <f>VLOOKUP(A123,'Données projet'!$A$61:$I$81,2,0)</f>
        <v>#N/A</v>
      </c>
      <c r="W123" s="33" t="e">
        <f>VLOOKUP(A123,'Données projet'!$A$61:$I$81,9,0)</f>
        <v>#N/A</v>
      </c>
      <c r="X123" s="33">
        <f t="array" ref="X123">INDEX(W:W,MIN(IF(ISNUMBER(W123:W319),ROW(W123:W319),"")))</f>
        <v>0</v>
      </c>
      <c r="Y123" s="33">
        <f t="shared" si="66"/>
        <v>0</v>
      </c>
      <c r="Z123" s="34" t="e">
        <f>Y123*VLOOKUP('Données projet'!$B$10,Paramètres!$A$1:$I$88,3,0)*VLOOKUP('Données projet'!$B$10,Paramètres!$A$1:$I$88,5,0)</f>
        <v>#N/A</v>
      </c>
      <c r="AA123" s="34" t="e">
        <f t="shared" si="67"/>
        <v>#N/A</v>
      </c>
      <c r="AB123" s="44" t="e">
        <f t="shared" si="44"/>
        <v>#N/A</v>
      </c>
      <c r="AC123" s="36">
        <f>IF(ISNA(VLOOKUP(A123,'Données projet'!$A$61:$I$81,3,0)),0,VLOOKUP(A123,'Données projet'!$A$61:$I$81,3,0))</f>
        <v>0</v>
      </c>
      <c r="AD123" s="36">
        <f>IF(ISNA(VLOOKUP(A123,'Données projet'!$A$61:$I$81,4,0)),0,VLOOKUP(A123,'Données projet'!$A$61:$I$81,4,0))</f>
        <v>0</v>
      </c>
      <c r="AE123" s="37">
        <f>IF(ISNA(VLOOKUP(A123,'Données projet'!$A$61:$I$81,5,0)),0%,VLOOKUP(A123,'Données projet'!$A$61:$I$81,5,0)*VLOOKUP('Données projet'!$B$10,Paramètres!$A$1:$I$88,7,0))</f>
        <v>0</v>
      </c>
      <c r="AF123" s="37">
        <f>IF(ISNA(VLOOKUP(A123,'Données projet'!$A$61:$I$81,6,0)),0%,VLOOKUP(A123,'Données projet'!$A$61:$I$81,6,0)*VLOOKUP('Données projet'!$B$10,Paramètres!$A$1:$I$88,7,0))</f>
        <v>0</v>
      </c>
      <c r="AG123" s="37">
        <f>IF(ISNA(VLOOKUP(A123,'Données projet'!$A$61:$I$81,7,0)),0%,VLOOKUP(A123,'Données projet'!$A$61:$I$81,7,0))</f>
        <v>0</v>
      </c>
      <c r="AH123" s="45">
        <f>EXP(-LN(2)/35)*AH122+(1-EXP(-LN(2)/35))/(LN(2)/35)*AD123*AE123*VLOOKUP('Données projet'!$B$9,Paramètres!$A$1:$I$88,3,0)*0.475*44/12</f>
        <v>0</v>
      </c>
      <c r="AI123" s="45">
        <f>EXP(-LN(2)/25)*AI122+(1-EXP(-LN(2)/25))/(LN(2)/25)*Calculateur!AD123*Calculateur!AF123*VLOOKUP('Données projet'!$B$9,Paramètres!$A$1:$I$88,3,0)*0.475*44/12</f>
        <v>0</v>
      </c>
      <c r="AJ123" s="45">
        <f>EXP(-LN(2)/2)*AJ122+(1-EXP(-LN(2)/2))/(LN(2)/2)*AD123*AG123*VLOOKUP('Données projet'!$B$9,Paramètres!$A$1:$I$88,3,0)*0.475*44/12</f>
        <v>0</v>
      </c>
      <c r="AK123" s="45">
        <f t="shared" si="45"/>
        <v>0</v>
      </c>
      <c r="AL123" s="32" t="e">
        <f>VLOOKUP(A123,'Données projet'!$A$87:$I$107,2,0)</f>
        <v>#N/A</v>
      </c>
      <c r="AM123" s="33" t="e">
        <f>VLOOKUP(A123,'Données projet'!$A$87:$I$107,9,0)</f>
        <v>#N/A</v>
      </c>
      <c r="AN123" s="33">
        <f t="array" ref="AN123">INDEX(AM:AM,MIN(IF(ISNUMBER(AM123:AM319),ROW(AM123:AM319),"")))</f>
        <v>0</v>
      </c>
      <c r="AO123" s="33">
        <f t="shared" si="68"/>
        <v>0</v>
      </c>
      <c r="AP123" s="34" t="e">
        <f>AO123*VLOOKUP('Données projet'!$B$11,Paramètres!$A$1:$I$88,3,0)*VLOOKUP('Données projet'!$B$11,Paramètres!$A$1:$I$88,5,0)</f>
        <v>#N/A</v>
      </c>
      <c r="AQ123" s="34" t="e">
        <f t="shared" si="69"/>
        <v>#N/A</v>
      </c>
      <c r="AR123" s="44" t="e">
        <f t="shared" si="46"/>
        <v>#N/A</v>
      </c>
      <c r="AS123" s="36">
        <f>IF(ISNA(VLOOKUP(A123,'Données projet'!$A$87:$I$107,3,0)),0,VLOOKUP(A123,'Données projet'!$A$87:$I$107,3,0))</f>
        <v>0</v>
      </c>
      <c r="AT123" s="36">
        <f>IF(ISNA(VLOOKUP(A123,'Données projet'!$A$87:$I$107,4,0)),0,VLOOKUP(A123,'Données projet'!$A$87:$I$107,4,0))</f>
        <v>0</v>
      </c>
      <c r="AU123" s="37">
        <f>IF(ISNA(VLOOKUP(A123,'Données projet'!$A$87:$I$107,5,0)),0%,VLOOKUP(A123,'Données projet'!$A$87:$I$107,5,0)*VLOOKUP('Données projet'!$B$11,Paramètres!$A$1:$I$88,7,0))</f>
        <v>0</v>
      </c>
      <c r="AV123" s="37">
        <f>IF(ISNA(VLOOKUP(A123,'Données projet'!$A$87:$I$107,6,0)),0%,VLOOKUP(A123,'Données projet'!$A$87:$I$107,6,0)*VLOOKUP('Données projet'!$B$11,Paramètres!$A$1:$I$88,7,0))</f>
        <v>0</v>
      </c>
      <c r="AW123" s="37">
        <f>IF(ISNA(VLOOKUP(A123,'Données projet'!$A$87:$I$107,7,0)),0%,VLOOKUP(A123,'Données projet'!$A$87:$I$107,7,0))</f>
        <v>0</v>
      </c>
      <c r="AX123" s="45">
        <f>EXP(-LN(2)/35)*AX122+(1-EXP(-LN(2)/35))/(LN(2)/35)*AT123*AU123*VLOOKUP('Données projet'!$B$9,Paramètres!$A$1:$I$88,3,0)*0.475*44/12</f>
        <v>0</v>
      </c>
      <c r="AY123" s="45">
        <f>EXP(-LN(2)/25)*AY122+(1-EXP(-LN(2)/25))/(LN(2)/25)*Calculateur!AT123*Calculateur!AV123*VLOOKUP('Données projet'!$B$9,Paramètres!$A$1:$I$88,3,0)*0.475*44/12</f>
        <v>0</v>
      </c>
      <c r="AZ123" s="45">
        <f>EXP(-LN(2)/2)*AZ122+(1-EXP(-LN(2)/2))/(LN(2)/2)*AT123*AW123*VLOOKUP('Données projet'!$B$9,Paramètres!$A$1:$I$88,3,0)*0.475*44/12</f>
        <v>0</v>
      </c>
      <c r="BA123" s="46">
        <f t="shared" si="47"/>
        <v>0</v>
      </c>
      <c r="BB123" s="32" t="e">
        <f>VLOOKUP(A123,'Données projet'!$A$113:$I$133,2,0)</f>
        <v>#N/A</v>
      </c>
      <c r="BC123" s="33" t="e">
        <f>VLOOKUP(A123,'Données projet'!$A$113:$I$133,9,0)</f>
        <v>#N/A</v>
      </c>
      <c r="BD123" s="33">
        <f t="array" ref="BD123">INDEX(BC:BC,MIN(IF(ISNUMBER(BC123:BC319),ROW(BC123:BC319),"")))</f>
        <v>0</v>
      </c>
      <c r="BE123" s="33">
        <f t="shared" si="70"/>
        <v>0</v>
      </c>
      <c r="BF123" s="34" t="e">
        <f>BE123*VLOOKUP('Données projet'!$B$12,Paramètres!$A$1:$I$88,3,0)*VLOOKUP('Données projet'!$B$12,Paramètres!$A$1:$I$88,5,0)</f>
        <v>#N/A</v>
      </c>
      <c r="BG123" s="34" t="e">
        <f t="shared" si="71"/>
        <v>#N/A</v>
      </c>
      <c r="BH123" s="44" t="e">
        <f t="shared" si="48"/>
        <v>#N/A</v>
      </c>
      <c r="BI123" s="36">
        <f>IF(ISNA(VLOOKUP(A123,'Données projet'!$A$113:$I$133,3,0)),0,VLOOKUP(A123,'Données projet'!$A$113:$I$133,3,0))</f>
        <v>0</v>
      </c>
      <c r="BJ123" s="36">
        <f>IF(ISNA(VLOOKUP(A123,'Données projet'!$A$113:$I$133,4,0)),0,VLOOKUP(A123,'Données projet'!$A$113:$I$133,4,0))</f>
        <v>0</v>
      </c>
      <c r="BK123" s="37">
        <f>IF(ISNA(VLOOKUP(A123,'Données projet'!$A$113:$I$133,5,0)),0%,VLOOKUP(A123,'Données projet'!$A$113:$I$133,5,0)*VLOOKUP('Données projet'!$B$12,Paramètres!$A$1:$I$88,7,0))</f>
        <v>0</v>
      </c>
      <c r="BL123" s="37">
        <f>IF(ISNA(VLOOKUP(A123,'Données projet'!$A$113:$I$133,6,0)),0%,VLOOKUP(A123,'Données projet'!$A$113:$I$133,6,0)*VLOOKUP('Données projet'!$B$12,Paramètres!$A$1:$I$88,7,0))</f>
        <v>0</v>
      </c>
      <c r="BM123" s="37">
        <f>IF(ISNA(VLOOKUP(A123,'Données projet'!$A$113:$I$133,7,0)),0%,VLOOKUP(A123,'Données projet'!$A$113:$I$133,7,0))</f>
        <v>0</v>
      </c>
      <c r="BN123" s="45">
        <f>EXP(-LN(2)/35)*BN122+(1-EXP(-LN(2)/35))/(LN(2)/35)*BJ123*BK123*VLOOKUP('Données projet'!$B$9,Paramètres!$A$1:$I$88,3,0)*0.475*44/12</f>
        <v>0</v>
      </c>
      <c r="BO123" s="45">
        <f>EXP(-LN(2)/25)*BO122+(1-EXP(-LN(2)/25))/(LN(2)/25)*Calculateur!BJ123*Calculateur!BL123*VLOOKUP('Données projet'!$B$9,Paramètres!$A$1:$I$88,3,0)*0.475*44/12</f>
        <v>0</v>
      </c>
      <c r="BP123" s="45">
        <f>EXP(-LN(2)/2)*BP122+(1-EXP(-LN(2)/2))/(LN(2)/2)*BJ123*BM123*VLOOKUP('Données projet'!$B$9,Paramètres!$A$1:$I$88,3,0)*0.475*44/12</f>
        <v>0</v>
      </c>
      <c r="BQ123" s="46">
        <f t="shared" si="49"/>
        <v>0</v>
      </c>
      <c r="BR123" s="32" t="e">
        <f>VLOOKUP(A123,'Données projet'!$A$139:$I$159,2,0)</f>
        <v>#N/A</v>
      </c>
      <c r="BS123" s="33" t="e">
        <f>VLOOKUP(A123,'Données projet'!$A$139:$I$159,9,0)</f>
        <v>#N/A</v>
      </c>
      <c r="BT123" s="33">
        <f t="array" ref="BT123">INDEX(BS:BS,MIN(IF(ISNUMBER(BS123:BS319),ROW(BS123:BS319),"")))</f>
        <v>0</v>
      </c>
      <c r="BU123" s="33">
        <f t="shared" si="72"/>
        <v>0</v>
      </c>
      <c r="BV123" s="38" t="e">
        <f>BU123*VLOOKUP('Données projet'!$B$13,Paramètres!$A$1:$I$88,3,0)*VLOOKUP('Données projet'!$B$13,Paramètres!$A$1:$I$88,5,0)</f>
        <v>#N/A</v>
      </c>
      <c r="BW123" s="34" t="e">
        <f t="shared" si="73"/>
        <v>#N/A</v>
      </c>
      <c r="BX123" s="44" t="e">
        <f t="shared" si="50"/>
        <v>#N/A</v>
      </c>
      <c r="BY123" s="36">
        <f>IF(ISNA(VLOOKUP(A123,'Données projet'!$A$139:$I$159,3,0)),0,VLOOKUP(A123,'Données projet'!$A$139:$I$159,3,0))</f>
        <v>0</v>
      </c>
      <c r="BZ123" s="36">
        <f>IF(ISNA(VLOOKUP(A123,'Données projet'!$A$139:$I$159,4,0)),0,VLOOKUP(A123,'Données projet'!$A$139:$I$159,4,0))</f>
        <v>0</v>
      </c>
      <c r="CA123" s="37">
        <f>IF(ISNA(VLOOKUP(A123,'Données projet'!$A$139:$I$159,5,0)),0%,VLOOKUP(A123,'Données projet'!$A$139:$I$159,5,0)*VLOOKUP('Données projet'!$B$13,Paramètres!$A$1:$I$88,7,0))</f>
        <v>0</v>
      </c>
      <c r="CB123" s="37">
        <f>IF(ISNA(VLOOKUP(A123,'Données projet'!$A$139:$I$159,6,0)),0%,VLOOKUP(A123,'Données projet'!$A$139:$I$159,6,0)*VLOOKUP('Données projet'!$B$13,Paramètres!$A$1:$I$88,7,0))</f>
        <v>0</v>
      </c>
      <c r="CC123" s="37">
        <f>IF(ISNA(VLOOKUP(A123,'Données projet'!$A$139:$I$159,7,0)),0%,VLOOKUP(A123,'Données projet'!$A$139:$I$159,7,0))</f>
        <v>0</v>
      </c>
      <c r="CD123" s="45">
        <f>EXP(-LN(2)/35)*CD122+(1-EXP(-LN(2)/35))/(LN(2)/35)*BZ123*CA123*VLOOKUP('Données projet'!$B$9,Paramètres!$A$1:$I$88,3,0)*0.475*44/12</f>
        <v>0</v>
      </c>
      <c r="CE123" s="45">
        <f>EXP(-LN(2)/25)*CE122+(1-EXP(-LN(2)/25))/(LN(2)/25)*Calculateur!BZ123*Calculateur!CB123*VLOOKUP('Données projet'!$B$9,Paramètres!$A$1:$I$88,3,0)*0.475*44/12</f>
        <v>0</v>
      </c>
      <c r="CF123" s="45">
        <f>EXP(-LN(2)/2)*CF122+(1-EXP(-LN(2)/2))/(LN(2)/2)*BZ123*CC123*VLOOKUP('Données projet'!$B$9,Paramètres!$A$1:$I$88,3,0)*0.475*44/12</f>
        <v>0</v>
      </c>
      <c r="CG123" s="46">
        <f t="shared" si="51"/>
        <v>0</v>
      </c>
      <c r="CH123" s="32" t="e">
        <f>VLOOKUP(A123,'Données projet'!$A$165:$I$185,2,0)</f>
        <v>#N/A</v>
      </c>
      <c r="CI123" s="33" t="e">
        <f>VLOOKUP(A123,'Données projet'!$A$165:$I$185,9,0)</f>
        <v>#N/A</v>
      </c>
      <c r="CJ123" s="33">
        <f t="array" ref="CJ123">INDEX(CI:CI,MIN(IF(ISNUMBER(CI123:CI319),ROW(CI123:CI319),"")))</f>
        <v>0</v>
      </c>
      <c r="CK123" s="33">
        <f t="shared" si="74"/>
        <v>0</v>
      </c>
      <c r="CL123" s="38" t="e">
        <f>CK123*VLOOKUP('Données projet'!$B$14,Paramètres!$A$1:$I$88,3,0)*VLOOKUP('Données projet'!$B$14,Paramètres!$A$1:$I$88,5,0)</f>
        <v>#N/A</v>
      </c>
      <c r="CM123" s="34" t="e">
        <f t="shared" si="75"/>
        <v>#N/A</v>
      </c>
      <c r="CN123" s="44" t="e">
        <f t="shared" si="52"/>
        <v>#N/A</v>
      </c>
      <c r="CO123" s="36">
        <f>IF(ISNA(VLOOKUP(A123,'Données projet'!$A$165:$I$185,3,0)),0,VLOOKUP(A123,'Données projet'!$A$165:$I$185,3,0))</f>
        <v>0</v>
      </c>
      <c r="CP123" s="36">
        <f>IF(ISNA(VLOOKUP(A123,'Données projet'!$A$165:$I$185,4,0)),0,VLOOKUP(A123,'Données projet'!$A$165:$I$185,4,0))</f>
        <v>0</v>
      </c>
      <c r="CQ123" s="37">
        <f>IF(ISNA(VLOOKUP(A123,'Données projet'!$A$165:$I$185,5,0)),0%,VLOOKUP(A123,'Données projet'!$A$165:$I$185,5,0)*VLOOKUP('Données projet'!$B$14,Paramètres!$A$1:$I$88,7,0))</f>
        <v>0</v>
      </c>
      <c r="CR123" s="37">
        <f>IF(ISNA(VLOOKUP(A123,'Données projet'!$A$165:$I$185,6,0)),0%,VLOOKUP(A123,'Données projet'!$A$165:$I$185,6,0)*VLOOKUP('Données projet'!$B$14,Paramètres!$A$1:$I$88,7,0))</f>
        <v>0</v>
      </c>
      <c r="CS123" s="37">
        <f>IF(ISNA(VLOOKUP(A123,'Données projet'!$A$165:$I$185,7,0)),0%,VLOOKUP(A123,'Données projet'!$A$165:$I$185,7,0))</f>
        <v>0</v>
      </c>
      <c r="CT123" s="45">
        <f>EXP(-LN(2)/35)*CT122+(1-EXP(-LN(2)/35))/(LN(2)/35)*CP123*CQ123*VLOOKUP('Données projet'!$B$9,Paramètres!$A$1:$I$88,3,0)*0.475*44/12</f>
        <v>0</v>
      </c>
      <c r="CU123" s="45">
        <f>EXP(-LN(2)/25)*CU122+(1-EXP(-LN(2)/25))/(LN(2)/25)*Calculateur!CP123*Calculateur!CR123*VLOOKUP('Données projet'!$B$9,Paramètres!$A$1:$I$88,3,0)*0.475*44/12</f>
        <v>0</v>
      </c>
      <c r="CV123" s="45">
        <f>EXP(-LN(2)/2)*CV122+(1-EXP(-LN(2)/2))/(LN(2)/2)*CP123*CS123*VLOOKUP('Données projet'!$B$9,Paramètres!$A$1:$I$88,3,0)*0.475*44/12</f>
        <v>0</v>
      </c>
      <c r="CW123" s="46">
        <f t="shared" si="53"/>
        <v>0</v>
      </c>
      <c r="CX123" s="32" t="e">
        <f>VLOOKUP(A123,'Données projet'!$A$191:$I$211,2,0)</f>
        <v>#N/A</v>
      </c>
      <c r="CY123" s="33" t="e">
        <f>VLOOKUP(A123,'Données projet'!$A$191:$I$211,9,0)</f>
        <v>#N/A</v>
      </c>
      <c r="CZ123" s="33">
        <f t="array" ref="CZ123">INDEX(CY:CY,MIN(IF(ISNUMBER(CY123:CY319),ROW(CY123:CY319),"")))</f>
        <v>0</v>
      </c>
      <c r="DA123" s="33">
        <f t="shared" si="76"/>
        <v>0</v>
      </c>
      <c r="DB123" s="38" t="e">
        <f>DA123*VLOOKUP('Données projet'!$B$15,Paramètres!$A$1:$I$88,3,0)*VLOOKUP('Données projet'!$B$15,Paramètres!$A$1:$I$88,5,0)</f>
        <v>#N/A</v>
      </c>
      <c r="DC123" s="34" t="e">
        <f t="shared" si="77"/>
        <v>#N/A</v>
      </c>
      <c r="DD123" s="44" t="e">
        <f t="shared" si="54"/>
        <v>#N/A</v>
      </c>
      <c r="DE123" s="36">
        <f>IF(ISNA(VLOOKUP(A123,'Données projet'!$A$191:$I$211,3,0)),0,VLOOKUP(A123,'Données projet'!$A$191:$I$211,3,0))</f>
        <v>0</v>
      </c>
      <c r="DF123" s="36">
        <f>IF(ISNA(VLOOKUP(A123,'Données projet'!$A$191:$I$211,4,0)),0,VLOOKUP(A123,'Données projet'!$A$191:$I$211,4,0))</f>
        <v>0</v>
      </c>
      <c r="DG123" s="37">
        <f>IF(ISNA(VLOOKUP(A123,'Données projet'!$A$191:$I$211,5,0)),0%,VLOOKUP(A123,'Données projet'!$A$191:$I$211,5,0)*VLOOKUP('Données projet'!$B$15,Paramètres!$A$1:$I$88,7,0))</f>
        <v>0</v>
      </c>
      <c r="DH123" s="37">
        <f>IF(ISNA(VLOOKUP(A123,'Données projet'!$A$191:$I$211,6,0)),0%,VLOOKUP(A123,'Données projet'!$A$191:$I$211,6,0)*VLOOKUP('Données projet'!$B$15,Paramètres!$A$1:$I$88,7,0))</f>
        <v>0</v>
      </c>
      <c r="DI123" s="37">
        <f>IF(ISNA(VLOOKUP(A123,'Données projet'!$A$191:$I$211,7,0)),0%,VLOOKUP(A123,'Données projet'!$A$191:$I$211,7,0))</f>
        <v>0</v>
      </c>
      <c r="DJ123" s="45">
        <f>EXP(-LN(2)/35)*DJ122+(1-EXP(-LN(2)/35))/(LN(2)/35)*DF123*DG123*VLOOKUP('Données projet'!$B$9,Paramètres!$A$1:$I$88,3,0)*0.475*44/12</f>
        <v>0</v>
      </c>
      <c r="DK123" s="45">
        <f>EXP(-LN(2)/25)*DK122+(1-EXP(-LN(2)/25))/(LN(2)/25)*Calculateur!DF123*Calculateur!DH123*VLOOKUP('Données projet'!$B$9,Paramètres!$A$1:$I$88,3,0)*0.475*44/12</f>
        <v>0</v>
      </c>
      <c r="DL123" s="45">
        <f>EXP(-LN(2)/2)*DL122+(1-EXP(-LN(2)/2))/(LN(2)/2)*DF123*DI123*VLOOKUP('Données projet'!$B$9,Paramètres!$A$1:$I$88,3,0)*0.475*44/12</f>
        <v>0</v>
      </c>
      <c r="DM123" s="46">
        <f t="shared" si="55"/>
        <v>0</v>
      </c>
      <c r="DN123" s="32" t="e">
        <f>VLOOKUP(A123,'Données projet'!$A$217:$I$237,2,0)</f>
        <v>#N/A</v>
      </c>
      <c r="DO123" s="33" t="e">
        <f>VLOOKUP(A123,'Données projet'!$A$217:$I$237,9,0)</f>
        <v>#N/A</v>
      </c>
      <c r="DP123" s="33">
        <f t="array" ref="DP123">INDEX(DO:DO,MIN(IF(ISNUMBER(DO123:DO319),ROW(DO123:DO319),"")))</f>
        <v>0</v>
      </c>
      <c r="DQ123" s="33">
        <f t="shared" si="78"/>
        <v>0</v>
      </c>
      <c r="DR123" s="38" t="e">
        <f>DQ123*VLOOKUP('Données projet'!$B$16,Paramètres!$A$1:$I$88,3,0)*VLOOKUP('Données projet'!$B$16,Paramètres!$A$1:$I$88,5,0)</f>
        <v>#N/A</v>
      </c>
      <c r="DS123" s="34" t="e">
        <f t="shared" si="79"/>
        <v>#N/A</v>
      </c>
      <c r="DT123" s="44" t="e">
        <f t="shared" si="56"/>
        <v>#N/A</v>
      </c>
      <c r="DU123" s="36">
        <f>IF(ISNA(VLOOKUP(A123,'Données projet'!$A$217:$I$237,3,0)),0,VLOOKUP(A123,'Données projet'!$A$217:$I$237,3,0))</f>
        <v>0</v>
      </c>
      <c r="DV123" s="36">
        <f>IF(ISNA(VLOOKUP(A123,'Données projet'!$A$217:$I$237,4,0)),0,VLOOKUP(A123,'Données projet'!$A$217:$I$237,4,0))</f>
        <v>0</v>
      </c>
      <c r="DW123" s="37">
        <f>IF(ISNA(VLOOKUP(A123,'Données projet'!$A$217:$I$237,5,0)),0%,VLOOKUP(A123,'Données projet'!$A$217:$I$237,5,0)*VLOOKUP('Données projet'!$B$16,Paramètres!$A$1:$I$88,7,0))</f>
        <v>0</v>
      </c>
      <c r="DX123" s="37">
        <f>IF(ISNA(VLOOKUP(A123,'Données projet'!$A$217:$I$237,6,0)),0%,VLOOKUP(A123,'Données projet'!$A$217:$I$237,6,0)*VLOOKUP('Données projet'!$B$16,Paramètres!$A$1:$I$88,7,0))</f>
        <v>0</v>
      </c>
      <c r="DY123" s="37">
        <f>IF(ISNA(VLOOKUP(A123,'Données projet'!$A$217:$I$237,7,0)),0%,VLOOKUP(A123,'Données projet'!$A$217:$I$237,7,0))</f>
        <v>0</v>
      </c>
      <c r="DZ123" s="45">
        <f>EXP(-LN(2)/35)*DZ122+(1-EXP(-LN(2)/35))/(LN(2)/35)*DV123*DW123*VLOOKUP('Données projet'!$B$9,Paramètres!$A$1:$I$88,3,0)*0.475*44/12</f>
        <v>0</v>
      </c>
      <c r="EA123" s="45">
        <f>EXP(-LN(2)/25)*EA122+(1-EXP(-LN(2)/25))/(LN(2)/25)*Calculateur!DV123*Calculateur!DX123*VLOOKUP('Données projet'!$B$9,Paramètres!$A$1:$I$88,3,0)*0.475*44/12</f>
        <v>0</v>
      </c>
      <c r="EB123" s="45">
        <f>EXP(-LN(2)/2)*EB122+(1-EXP(-LN(2)/2))/(LN(2)/2)*DV123*DY123*VLOOKUP('Données projet'!$B$9,Paramètres!$A$1:$I$88,3,0)*0.475*44/12</f>
        <v>0</v>
      </c>
      <c r="EC123" s="46">
        <f t="shared" si="57"/>
        <v>0</v>
      </c>
      <c r="ED123" s="32" t="e">
        <f>VLOOKUP(A123,'Données projet'!$A$243:$I$263,2,0)</f>
        <v>#N/A</v>
      </c>
      <c r="EE123" s="33" t="e">
        <f>VLOOKUP(A123,'Données projet'!$A$243:$I$263,9,0)</f>
        <v>#N/A</v>
      </c>
      <c r="EF123" s="33">
        <f t="array" ref="EF123">INDEX(EE:EE,MIN(IF(ISNUMBER(EE123:EE319),ROW(EE123:EE319),"")))</f>
        <v>0</v>
      </c>
      <c r="EG123" s="33">
        <f t="shared" si="80"/>
        <v>0</v>
      </c>
      <c r="EH123" s="38" t="e">
        <f>EG123*VLOOKUP('Données projet'!$B$17,Paramètres!$A$1:$I$88,3,0)*VLOOKUP('Données projet'!$B$17,Paramètres!$A$1:$I$88,5,0)</f>
        <v>#N/A</v>
      </c>
      <c r="EI123" s="34" t="e">
        <f t="shared" si="81"/>
        <v>#N/A</v>
      </c>
      <c r="EJ123" s="44" t="e">
        <f t="shared" si="58"/>
        <v>#N/A</v>
      </c>
      <c r="EK123" s="36">
        <f>IF(ISNA(VLOOKUP(A123,'Données projet'!$A$243:$I$263,3,0)),0,VLOOKUP(A123,'Données projet'!$A$243:$I$263,3,0))</f>
        <v>0</v>
      </c>
      <c r="EL123" s="36">
        <f>IF(ISNA(VLOOKUP(A123,'Données projet'!$A$243:$I$263,4,0)),0,VLOOKUP(A123,'Données projet'!$A$243:$I$263,4,0))</f>
        <v>0</v>
      </c>
      <c r="EM123" s="37">
        <f>IF(ISNA(VLOOKUP(A123,'Données projet'!$A$243:$I$263,5,0)),0%,VLOOKUP(A123,'Données projet'!$A$243:$I$263,5,0)*VLOOKUP('Données projet'!$B$17,Paramètres!$A$1:$I$88,7,0))</f>
        <v>0</v>
      </c>
      <c r="EN123" s="37">
        <f>IF(ISNA(VLOOKUP(A123,'Données projet'!$A$243:$I$263,6,0)),0%,VLOOKUP(A123,'Données projet'!$A$243:$I$263,6,0)*VLOOKUP('Données projet'!$B$17,Paramètres!$A$1:$I$88,7,0))</f>
        <v>0</v>
      </c>
      <c r="EO123" s="37">
        <f>IF(ISNA(VLOOKUP(A123,'Données projet'!$A$243:$I$263,7,0)),0%,VLOOKUP(A123,'Données projet'!$A$243:$I$263,7,0))</f>
        <v>0</v>
      </c>
      <c r="EP123" s="45">
        <f>EXP(-LN(2)/35)*EP122+(1-EXP(-LN(2)/35))/(LN(2)/35)*EL123*EM123*VLOOKUP('Données projet'!$B$9,Paramètres!$A$1:$I$88,3,0)*0.475*44/12</f>
        <v>0</v>
      </c>
      <c r="EQ123" s="45">
        <f>EXP(-LN(2)/25)*EQ122+(1-EXP(-LN(2)/25))/(LN(2)/25)*Calculateur!EL123*Calculateur!EN123*VLOOKUP('Données projet'!$B$9,Paramètres!$A$1:$I$88,3,0)*0.475*44/12</f>
        <v>0</v>
      </c>
      <c r="ER123" s="45">
        <f>EXP(-LN(2)/2)*ER122+(1-EXP(-LN(2)/2))/(LN(2)/2)*EL123*EO123*VLOOKUP('Données projet'!$B$9,Paramètres!$A$1:$I$88,3,0)*0.475*44/12</f>
        <v>0</v>
      </c>
      <c r="ES123" s="46">
        <f t="shared" si="59"/>
        <v>0</v>
      </c>
      <c r="ET123" s="32" t="e">
        <f>VLOOKUP(A123,'Données projet'!$A$269:$I$289,2,0)</f>
        <v>#N/A</v>
      </c>
      <c r="EU123" s="33" t="e">
        <f>VLOOKUP(A123,'Données projet'!$A$269:$I$289,9,0)</f>
        <v>#N/A</v>
      </c>
      <c r="EV123" s="33">
        <f t="array" ref="EV123">INDEX(EU:EU,MIN(IF(ISNUMBER(EU123:EU319),ROW(EU123:EU319),"")))</f>
        <v>0</v>
      </c>
      <c r="EW123" s="33">
        <f t="shared" si="82"/>
        <v>0</v>
      </c>
      <c r="EX123" s="38" t="e">
        <f>EW123*VLOOKUP('Données projet'!$B$18,Paramètres!$A$1:$I$88,3,0)*VLOOKUP('Données projet'!$B$18,Paramètres!$A$1:$I$88,5,0)</f>
        <v>#N/A</v>
      </c>
      <c r="EY123" s="34" t="e">
        <f t="shared" si="83"/>
        <v>#N/A</v>
      </c>
      <c r="EZ123" s="44" t="e">
        <f t="shared" si="60"/>
        <v>#N/A</v>
      </c>
      <c r="FA123" s="36">
        <f>IF(ISNA(VLOOKUP(A123,'Données projet'!$A$269:$I$289,3,0)),0,VLOOKUP(A123,'Données projet'!$A$269:$I$289,3,0))</f>
        <v>0</v>
      </c>
      <c r="FB123" s="36">
        <f>IF(ISNA(VLOOKUP(A123,'Données projet'!$A$269:$I$289,4,0)),0,VLOOKUP(A123,'Données projet'!$A$269:$I$289,4,0))</f>
        <v>0</v>
      </c>
      <c r="FC123" s="37">
        <f>IF(ISNA(VLOOKUP(A123,'Données projet'!$A$269:$I$289,5,0)),0%,VLOOKUP(A123,'Données projet'!$A$269:$I$289,5,0)*VLOOKUP('Données projet'!$B$18,Paramètres!$A$1:$I$88,7,0))</f>
        <v>0</v>
      </c>
      <c r="FD123" s="37">
        <f>IF(ISNA(VLOOKUP(A123,'Données projet'!$A$269:$I$289,6,0)),0%,VLOOKUP(A123,'Données projet'!$A$269:$I$289,6,0)*VLOOKUP('Données projet'!$B$18,Paramètres!$A$1:$I$88,7,0))</f>
        <v>0</v>
      </c>
      <c r="FE123" s="37">
        <f>IF(ISNA(VLOOKUP(A123,'Données projet'!$A$269:$I$289,7,0)),0%,VLOOKUP(A123,'Données projet'!$A$269:$I$289,7,0))</f>
        <v>0</v>
      </c>
      <c r="FF123" s="45">
        <f>EXP(-LN(2)/35)*FF122+(1-EXP(-LN(2)/35))/(LN(2)/35)*FB123*FC123*VLOOKUP('Données projet'!$B$9,Paramètres!$A$1:$I$88,3,0)*0.475*44/12</f>
        <v>0</v>
      </c>
      <c r="FG123" s="45">
        <f>EXP(-LN(2)/25)*FG122+(1-EXP(-LN(2)/25))/(LN(2)/25)*Calculateur!FB123*Calculateur!FD123*VLOOKUP('Données projet'!$B$9,Paramètres!$A$1:$I$88,3,0)*0.475*44/12</f>
        <v>0</v>
      </c>
      <c r="FH123" s="45">
        <f>EXP(-LN(2)/2)*FH122+(1-EXP(-LN(2)/2))/(LN(2)/2)*FB123*FE123*VLOOKUP('Données projet'!$B$9,Paramètres!$A$1:$I$88,3,0)*0.475*44/12</f>
        <v>0</v>
      </c>
      <c r="FI123" s="46">
        <f t="shared" si="61"/>
        <v>0</v>
      </c>
    </row>
    <row r="124" spans="1:165" x14ac:dyDescent="0.25">
      <c r="A124" s="24">
        <f t="shared" si="62"/>
        <v>121</v>
      </c>
      <c r="B124" s="25">
        <f>IF('Scénario référence'!$N$1=1,5,0)</f>
        <v>0</v>
      </c>
      <c r="C124" s="40">
        <f>IF(OR('Scénario référence'!$N$1=2,'Scénario référence'!$N$1=4),C123+1*VLOOKUP('Scénario référence'!$G$14,Paramètres!$A$1:$I$88,3,0)*VLOOKUP('Scénario référence'!$G$14,Paramètres!$A$1:$I$88,5,0),IF(OR('Scénario référence'!$N$1=3,'Scénario référence'!$N$1=5),C123+0.5*VLOOKUP('Scénario référence'!$G$14,Paramètres!$A$1:$I$88,3,0)*VLOOKUP('Scénario référence'!$G$14,Paramètres!$A$1:$I$88,5,0),0))</f>
        <v>66.06599999999996</v>
      </c>
      <c r="D124" s="26">
        <f t="shared" si="63"/>
        <v>18.69324238096624</v>
      </c>
      <c r="E124" s="27">
        <f>IF('Scénario référence'!$N$1=1,B124*44/12,(C124+D124)*0.475*44/12)</f>
        <v>147.62234714684945</v>
      </c>
      <c r="F124" s="28" t="e">
        <f>VLOOKUP(A124,'Données projet'!$A$35:$I$55,2,0)</f>
        <v>#N/A</v>
      </c>
      <c r="G124" s="28" t="e">
        <f>VLOOKUP(A124,'Données projet'!$A$35:$I$55,9,0)</f>
        <v>#N/A</v>
      </c>
      <c r="H124" s="33">
        <f t="array" ref="H124">INDEX(G:G,MIN(IF(ISNUMBER(G124:G320),ROW(G124:G320),"")))</f>
        <v>3.4</v>
      </c>
      <c r="I124" s="28">
        <f t="shared" si="64"/>
        <v>287.39999999999941</v>
      </c>
      <c r="J124" s="41">
        <f>I124*VLOOKUP('Données projet'!$B$9,Paramètres!$A$1:$I$88,3,0)*VLOOKUP('Données projet'!$B$9,Paramètres!$A$1:$I$88,5,0)</f>
        <v>291.42359999999945</v>
      </c>
      <c r="K124" s="41">
        <f t="shared" si="65"/>
        <v>69.375496841482047</v>
      </c>
      <c r="L124" s="42">
        <f t="shared" si="42"/>
        <v>628.39176033224692</v>
      </c>
      <c r="M124" s="30">
        <f>IF(ISNA(VLOOKUP(A124,'Données projet'!$A$35:$I$55,3,0)),0,VLOOKUP(A124,'Données projet'!$A$35:$I$55,3,0))</f>
        <v>0</v>
      </c>
      <c r="N124" s="30">
        <f>IF(ISNA(VLOOKUP(A124,'Données projet'!$A$35:$I$55,4,0)),0,VLOOKUP(A124,'Données projet'!$A$35:$I$55,4,0))</f>
        <v>0</v>
      </c>
      <c r="O124" s="31">
        <f>IF(ISNA(VLOOKUP(A124,'Données projet'!$A$35:$I$55,5,0)),0%,VLOOKUP(A124,'Données projet'!$A$35:$I$55,5,0)*VLOOKUP('Données projet'!$B$9,Paramètres!$A$1:$I$88,7,0))</f>
        <v>0</v>
      </c>
      <c r="P124" s="31">
        <f>IF(ISNA(VLOOKUP(A124,'Données projet'!$A$35:$I$55,6,0)),0%,VLOOKUP(A124,'Données projet'!$A$35:$I$55,6,0)*VLOOKUP('Données projet'!$B$9,Paramètres!$A$1:$I$88,7,0))</f>
        <v>0</v>
      </c>
      <c r="Q124" s="31">
        <f>IF(ISNA(VLOOKUP(A124,'Données projet'!$A$35:$I$55,7,0)),0%,VLOOKUP(A124,'Données projet'!$A$35:$I$55,7,0))</f>
        <v>0</v>
      </c>
      <c r="R124" s="43">
        <f>EXP(-LN(2)/35)*R123+(1-EXP(-LN(2)/35))/(LN(2)/35)*N124*O124*VLOOKUP('Données projet'!$B$9,Paramètres!$A$1:$I$88,3,0)*0.475*44/12</f>
        <v>0</v>
      </c>
      <c r="S124" s="43">
        <f>EXP(-LN(2)/25)*S123+(1-EXP(-LN(2)/25))/(LN(2)/25)*Calculateur!N124*Calculateur!P124*VLOOKUP('Données projet'!$B$9,Paramètres!$A$1:$I$88,3,0)*0.475*44/12</f>
        <v>0</v>
      </c>
      <c r="T124" s="43">
        <f>EXP(-LN(2)/2)*T123+(1-EXP(-LN(2)/2))/(LN(2)/2)*N124*Q124*VLOOKUP('Données projet'!$B$9,Paramètres!$A$1:$I$88,3,0)*0.475*44/12</f>
        <v>0</v>
      </c>
      <c r="U124" s="43">
        <f t="shared" si="43"/>
        <v>0</v>
      </c>
      <c r="V124" s="32" t="e">
        <f>VLOOKUP(A124,'Données projet'!$A$61:$I$81,2,0)</f>
        <v>#N/A</v>
      </c>
      <c r="W124" s="33" t="e">
        <f>VLOOKUP(A124,'Données projet'!$A$61:$I$81,9,0)</f>
        <v>#N/A</v>
      </c>
      <c r="X124" s="33">
        <f t="array" ref="X124">INDEX(W:W,MIN(IF(ISNUMBER(W124:W320),ROW(W124:W320),"")))</f>
        <v>0</v>
      </c>
      <c r="Y124" s="33">
        <f t="shared" si="66"/>
        <v>0</v>
      </c>
      <c r="Z124" s="34" t="e">
        <f>Y124*VLOOKUP('Données projet'!$B$10,Paramètres!$A$1:$I$88,3,0)*VLOOKUP('Données projet'!$B$10,Paramètres!$A$1:$I$88,5,0)</f>
        <v>#N/A</v>
      </c>
      <c r="AA124" s="34" t="e">
        <f t="shared" si="67"/>
        <v>#N/A</v>
      </c>
      <c r="AB124" s="44" t="e">
        <f t="shared" si="44"/>
        <v>#N/A</v>
      </c>
      <c r="AC124" s="36">
        <f>IF(ISNA(VLOOKUP(A124,'Données projet'!$A$61:$I$81,3,0)),0,VLOOKUP(A124,'Données projet'!$A$61:$I$81,3,0))</f>
        <v>0</v>
      </c>
      <c r="AD124" s="36">
        <f>IF(ISNA(VLOOKUP(A124,'Données projet'!$A$61:$I$81,4,0)),0,VLOOKUP(A124,'Données projet'!$A$61:$I$81,4,0))</f>
        <v>0</v>
      </c>
      <c r="AE124" s="37">
        <f>IF(ISNA(VLOOKUP(A124,'Données projet'!$A$61:$I$81,5,0)),0%,VLOOKUP(A124,'Données projet'!$A$61:$I$81,5,0)*VLOOKUP('Données projet'!$B$10,Paramètres!$A$1:$I$88,7,0))</f>
        <v>0</v>
      </c>
      <c r="AF124" s="37">
        <f>IF(ISNA(VLOOKUP(A124,'Données projet'!$A$61:$I$81,6,0)),0%,VLOOKUP(A124,'Données projet'!$A$61:$I$81,6,0)*VLOOKUP('Données projet'!$B$10,Paramètres!$A$1:$I$88,7,0))</f>
        <v>0</v>
      </c>
      <c r="AG124" s="37">
        <f>IF(ISNA(VLOOKUP(A124,'Données projet'!$A$61:$I$81,7,0)),0%,VLOOKUP(A124,'Données projet'!$A$61:$I$81,7,0))</f>
        <v>0</v>
      </c>
      <c r="AH124" s="45">
        <f>EXP(-LN(2)/35)*AH123+(1-EXP(-LN(2)/35))/(LN(2)/35)*AD124*AE124*VLOOKUP('Données projet'!$B$9,Paramètres!$A$1:$I$88,3,0)*0.475*44/12</f>
        <v>0</v>
      </c>
      <c r="AI124" s="45">
        <f>EXP(-LN(2)/25)*AI123+(1-EXP(-LN(2)/25))/(LN(2)/25)*Calculateur!AD124*Calculateur!AF124*VLOOKUP('Données projet'!$B$9,Paramètres!$A$1:$I$88,3,0)*0.475*44/12</f>
        <v>0</v>
      </c>
      <c r="AJ124" s="45">
        <f>EXP(-LN(2)/2)*AJ123+(1-EXP(-LN(2)/2))/(LN(2)/2)*AD124*AG124*VLOOKUP('Données projet'!$B$9,Paramètres!$A$1:$I$88,3,0)*0.475*44/12</f>
        <v>0</v>
      </c>
      <c r="AK124" s="45">
        <f t="shared" si="45"/>
        <v>0</v>
      </c>
      <c r="AL124" s="32" t="e">
        <f>VLOOKUP(A124,'Données projet'!$A$87:$I$107,2,0)</f>
        <v>#N/A</v>
      </c>
      <c r="AM124" s="33" t="e">
        <f>VLOOKUP(A124,'Données projet'!$A$87:$I$107,9,0)</f>
        <v>#N/A</v>
      </c>
      <c r="AN124" s="33">
        <f t="array" ref="AN124">INDEX(AM:AM,MIN(IF(ISNUMBER(AM124:AM320),ROW(AM124:AM320),"")))</f>
        <v>0</v>
      </c>
      <c r="AO124" s="33">
        <f t="shared" si="68"/>
        <v>0</v>
      </c>
      <c r="AP124" s="34" t="e">
        <f>AO124*VLOOKUP('Données projet'!$B$11,Paramètres!$A$1:$I$88,3,0)*VLOOKUP('Données projet'!$B$11,Paramètres!$A$1:$I$88,5,0)</f>
        <v>#N/A</v>
      </c>
      <c r="AQ124" s="34" t="e">
        <f t="shared" si="69"/>
        <v>#N/A</v>
      </c>
      <c r="AR124" s="44" t="e">
        <f t="shared" si="46"/>
        <v>#N/A</v>
      </c>
      <c r="AS124" s="36">
        <f>IF(ISNA(VLOOKUP(A124,'Données projet'!$A$87:$I$107,3,0)),0,VLOOKUP(A124,'Données projet'!$A$87:$I$107,3,0))</f>
        <v>0</v>
      </c>
      <c r="AT124" s="36">
        <f>IF(ISNA(VLOOKUP(A124,'Données projet'!$A$87:$I$107,4,0)),0,VLOOKUP(A124,'Données projet'!$A$87:$I$107,4,0))</f>
        <v>0</v>
      </c>
      <c r="AU124" s="37">
        <f>IF(ISNA(VLOOKUP(A124,'Données projet'!$A$87:$I$107,5,0)),0%,VLOOKUP(A124,'Données projet'!$A$87:$I$107,5,0)*VLOOKUP('Données projet'!$B$11,Paramètres!$A$1:$I$88,7,0))</f>
        <v>0</v>
      </c>
      <c r="AV124" s="37">
        <f>IF(ISNA(VLOOKUP(A124,'Données projet'!$A$87:$I$107,6,0)),0%,VLOOKUP(A124,'Données projet'!$A$87:$I$107,6,0)*VLOOKUP('Données projet'!$B$11,Paramètres!$A$1:$I$88,7,0))</f>
        <v>0</v>
      </c>
      <c r="AW124" s="37">
        <f>IF(ISNA(VLOOKUP(A124,'Données projet'!$A$87:$I$107,7,0)),0%,VLOOKUP(A124,'Données projet'!$A$87:$I$107,7,0))</f>
        <v>0</v>
      </c>
      <c r="AX124" s="45">
        <f>EXP(-LN(2)/35)*AX123+(1-EXP(-LN(2)/35))/(LN(2)/35)*AT124*AU124*VLOOKUP('Données projet'!$B$9,Paramètres!$A$1:$I$88,3,0)*0.475*44/12</f>
        <v>0</v>
      </c>
      <c r="AY124" s="45">
        <f>EXP(-LN(2)/25)*AY123+(1-EXP(-LN(2)/25))/(LN(2)/25)*Calculateur!AT124*Calculateur!AV124*VLOOKUP('Données projet'!$B$9,Paramètres!$A$1:$I$88,3,0)*0.475*44/12</f>
        <v>0</v>
      </c>
      <c r="AZ124" s="45">
        <f>EXP(-LN(2)/2)*AZ123+(1-EXP(-LN(2)/2))/(LN(2)/2)*AT124*AW124*VLOOKUP('Données projet'!$B$9,Paramètres!$A$1:$I$88,3,0)*0.475*44/12</f>
        <v>0</v>
      </c>
      <c r="BA124" s="46">
        <f t="shared" si="47"/>
        <v>0</v>
      </c>
      <c r="BB124" s="32" t="e">
        <f>VLOOKUP(A124,'Données projet'!$A$113:$I$133,2,0)</f>
        <v>#N/A</v>
      </c>
      <c r="BC124" s="33" t="e">
        <f>VLOOKUP(A124,'Données projet'!$A$113:$I$133,9,0)</f>
        <v>#N/A</v>
      </c>
      <c r="BD124" s="33">
        <f t="array" ref="BD124">INDEX(BC:BC,MIN(IF(ISNUMBER(BC124:BC320),ROW(BC124:BC320),"")))</f>
        <v>0</v>
      </c>
      <c r="BE124" s="33">
        <f t="shared" si="70"/>
        <v>0</v>
      </c>
      <c r="BF124" s="34" t="e">
        <f>BE124*VLOOKUP('Données projet'!$B$12,Paramètres!$A$1:$I$88,3,0)*VLOOKUP('Données projet'!$B$12,Paramètres!$A$1:$I$88,5,0)</f>
        <v>#N/A</v>
      </c>
      <c r="BG124" s="34" t="e">
        <f t="shared" si="71"/>
        <v>#N/A</v>
      </c>
      <c r="BH124" s="44" t="e">
        <f t="shared" si="48"/>
        <v>#N/A</v>
      </c>
      <c r="BI124" s="36">
        <f>IF(ISNA(VLOOKUP(A124,'Données projet'!$A$113:$I$133,3,0)),0,VLOOKUP(A124,'Données projet'!$A$113:$I$133,3,0))</f>
        <v>0</v>
      </c>
      <c r="BJ124" s="36">
        <f>IF(ISNA(VLOOKUP(A124,'Données projet'!$A$113:$I$133,4,0)),0,VLOOKUP(A124,'Données projet'!$A$113:$I$133,4,0))</f>
        <v>0</v>
      </c>
      <c r="BK124" s="37">
        <f>IF(ISNA(VLOOKUP(A124,'Données projet'!$A$113:$I$133,5,0)),0%,VLOOKUP(A124,'Données projet'!$A$113:$I$133,5,0)*VLOOKUP('Données projet'!$B$12,Paramètres!$A$1:$I$88,7,0))</f>
        <v>0</v>
      </c>
      <c r="BL124" s="37">
        <f>IF(ISNA(VLOOKUP(A124,'Données projet'!$A$113:$I$133,6,0)),0%,VLOOKUP(A124,'Données projet'!$A$113:$I$133,6,0)*VLOOKUP('Données projet'!$B$12,Paramètres!$A$1:$I$88,7,0))</f>
        <v>0</v>
      </c>
      <c r="BM124" s="37">
        <f>IF(ISNA(VLOOKUP(A124,'Données projet'!$A$113:$I$133,7,0)),0%,VLOOKUP(A124,'Données projet'!$A$113:$I$133,7,0))</f>
        <v>0</v>
      </c>
      <c r="BN124" s="45">
        <f>EXP(-LN(2)/35)*BN123+(1-EXP(-LN(2)/35))/(LN(2)/35)*BJ124*BK124*VLOOKUP('Données projet'!$B$9,Paramètres!$A$1:$I$88,3,0)*0.475*44/12</f>
        <v>0</v>
      </c>
      <c r="BO124" s="45">
        <f>EXP(-LN(2)/25)*BO123+(1-EXP(-LN(2)/25))/(LN(2)/25)*Calculateur!BJ124*Calculateur!BL124*VLOOKUP('Données projet'!$B$9,Paramètres!$A$1:$I$88,3,0)*0.475*44/12</f>
        <v>0</v>
      </c>
      <c r="BP124" s="45">
        <f>EXP(-LN(2)/2)*BP123+(1-EXP(-LN(2)/2))/(LN(2)/2)*BJ124*BM124*VLOOKUP('Données projet'!$B$9,Paramètres!$A$1:$I$88,3,0)*0.475*44/12</f>
        <v>0</v>
      </c>
      <c r="BQ124" s="46">
        <f t="shared" si="49"/>
        <v>0</v>
      </c>
      <c r="BR124" s="32" t="e">
        <f>VLOOKUP(A124,'Données projet'!$A$139:$I$159,2,0)</f>
        <v>#N/A</v>
      </c>
      <c r="BS124" s="33" t="e">
        <f>VLOOKUP(A124,'Données projet'!$A$139:$I$159,9,0)</f>
        <v>#N/A</v>
      </c>
      <c r="BT124" s="33">
        <f t="array" ref="BT124">INDEX(BS:BS,MIN(IF(ISNUMBER(BS124:BS320),ROW(BS124:BS320),"")))</f>
        <v>0</v>
      </c>
      <c r="BU124" s="33">
        <f t="shared" si="72"/>
        <v>0</v>
      </c>
      <c r="BV124" s="38" t="e">
        <f>BU124*VLOOKUP('Données projet'!$B$13,Paramètres!$A$1:$I$88,3,0)*VLOOKUP('Données projet'!$B$13,Paramètres!$A$1:$I$88,5,0)</f>
        <v>#N/A</v>
      </c>
      <c r="BW124" s="34" t="e">
        <f t="shared" si="73"/>
        <v>#N/A</v>
      </c>
      <c r="BX124" s="44" t="e">
        <f t="shared" si="50"/>
        <v>#N/A</v>
      </c>
      <c r="BY124" s="36">
        <f>IF(ISNA(VLOOKUP(A124,'Données projet'!$A$139:$I$159,3,0)),0,VLOOKUP(A124,'Données projet'!$A$139:$I$159,3,0))</f>
        <v>0</v>
      </c>
      <c r="BZ124" s="36">
        <f>IF(ISNA(VLOOKUP(A124,'Données projet'!$A$139:$I$159,4,0)),0,VLOOKUP(A124,'Données projet'!$A$139:$I$159,4,0))</f>
        <v>0</v>
      </c>
      <c r="CA124" s="37">
        <f>IF(ISNA(VLOOKUP(A124,'Données projet'!$A$139:$I$159,5,0)),0%,VLOOKUP(A124,'Données projet'!$A$139:$I$159,5,0)*VLOOKUP('Données projet'!$B$13,Paramètres!$A$1:$I$88,7,0))</f>
        <v>0</v>
      </c>
      <c r="CB124" s="37">
        <f>IF(ISNA(VLOOKUP(A124,'Données projet'!$A$139:$I$159,6,0)),0%,VLOOKUP(A124,'Données projet'!$A$139:$I$159,6,0)*VLOOKUP('Données projet'!$B$13,Paramètres!$A$1:$I$88,7,0))</f>
        <v>0</v>
      </c>
      <c r="CC124" s="37">
        <f>IF(ISNA(VLOOKUP(A124,'Données projet'!$A$139:$I$159,7,0)),0%,VLOOKUP(A124,'Données projet'!$A$139:$I$159,7,0))</f>
        <v>0</v>
      </c>
      <c r="CD124" s="45">
        <f>EXP(-LN(2)/35)*CD123+(1-EXP(-LN(2)/35))/(LN(2)/35)*BZ124*CA124*VLOOKUP('Données projet'!$B$9,Paramètres!$A$1:$I$88,3,0)*0.475*44/12</f>
        <v>0</v>
      </c>
      <c r="CE124" s="45">
        <f>EXP(-LN(2)/25)*CE123+(1-EXP(-LN(2)/25))/(LN(2)/25)*Calculateur!BZ124*Calculateur!CB124*VLOOKUP('Données projet'!$B$9,Paramètres!$A$1:$I$88,3,0)*0.475*44/12</f>
        <v>0</v>
      </c>
      <c r="CF124" s="45">
        <f>EXP(-LN(2)/2)*CF123+(1-EXP(-LN(2)/2))/(LN(2)/2)*BZ124*CC124*VLOOKUP('Données projet'!$B$9,Paramètres!$A$1:$I$88,3,0)*0.475*44/12</f>
        <v>0</v>
      </c>
      <c r="CG124" s="46">
        <f t="shared" si="51"/>
        <v>0</v>
      </c>
      <c r="CH124" s="32" t="e">
        <f>VLOOKUP(A124,'Données projet'!$A$165:$I$185,2,0)</f>
        <v>#N/A</v>
      </c>
      <c r="CI124" s="33" t="e">
        <f>VLOOKUP(A124,'Données projet'!$A$165:$I$185,9,0)</f>
        <v>#N/A</v>
      </c>
      <c r="CJ124" s="33">
        <f t="array" ref="CJ124">INDEX(CI:CI,MIN(IF(ISNUMBER(CI124:CI320),ROW(CI124:CI320),"")))</f>
        <v>0</v>
      </c>
      <c r="CK124" s="33">
        <f t="shared" si="74"/>
        <v>0</v>
      </c>
      <c r="CL124" s="38" t="e">
        <f>CK124*VLOOKUP('Données projet'!$B$14,Paramètres!$A$1:$I$88,3,0)*VLOOKUP('Données projet'!$B$14,Paramètres!$A$1:$I$88,5,0)</f>
        <v>#N/A</v>
      </c>
      <c r="CM124" s="34" t="e">
        <f t="shared" si="75"/>
        <v>#N/A</v>
      </c>
      <c r="CN124" s="44" t="e">
        <f t="shared" si="52"/>
        <v>#N/A</v>
      </c>
      <c r="CO124" s="36">
        <f>IF(ISNA(VLOOKUP(A124,'Données projet'!$A$165:$I$185,3,0)),0,VLOOKUP(A124,'Données projet'!$A$165:$I$185,3,0))</f>
        <v>0</v>
      </c>
      <c r="CP124" s="36">
        <f>IF(ISNA(VLOOKUP(A124,'Données projet'!$A$165:$I$185,4,0)),0,VLOOKUP(A124,'Données projet'!$A$165:$I$185,4,0))</f>
        <v>0</v>
      </c>
      <c r="CQ124" s="37">
        <f>IF(ISNA(VLOOKUP(A124,'Données projet'!$A$165:$I$185,5,0)),0%,VLOOKUP(A124,'Données projet'!$A$165:$I$185,5,0)*VLOOKUP('Données projet'!$B$14,Paramètres!$A$1:$I$88,7,0))</f>
        <v>0</v>
      </c>
      <c r="CR124" s="37">
        <f>IF(ISNA(VLOOKUP(A124,'Données projet'!$A$165:$I$185,6,0)),0%,VLOOKUP(A124,'Données projet'!$A$165:$I$185,6,0)*VLOOKUP('Données projet'!$B$14,Paramètres!$A$1:$I$88,7,0))</f>
        <v>0</v>
      </c>
      <c r="CS124" s="37">
        <f>IF(ISNA(VLOOKUP(A124,'Données projet'!$A$165:$I$185,7,0)),0%,VLOOKUP(A124,'Données projet'!$A$165:$I$185,7,0))</f>
        <v>0</v>
      </c>
      <c r="CT124" s="45">
        <f>EXP(-LN(2)/35)*CT123+(1-EXP(-LN(2)/35))/(LN(2)/35)*CP124*CQ124*VLOOKUP('Données projet'!$B$9,Paramètres!$A$1:$I$88,3,0)*0.475*44/12</f>
        <v>0</v>
      </c>
      <c r="CU124" s="45">
        <f>EXP(-LN(2)/25)*CU123+(1-EXP(-LN(2)/25))/(LN(2)/25)*Calculateur!CP124*Calculateur!CR124*VLOOKUP('Données projet'!$B$9,Paramètres!$A$1:$I$88,3,0)*0.475*44/12</f>
        <v>0</v>
      </c>
      <c r="CV124" s="45">
        <f>EXP(-LN(2)/2)*CV123+(1-EXP(-LN(2)/2))/(LN(2)/2)*CP124*CS124*VLOOKUP('Données projet'!$B$9,Paramètres!$A$1:$I$88,3,0)*0.475*44/12</f>
        <v>0</v>
      </c>
      <c r="CW124" s="46">
        <f t="shared" si="53"/>
        <v>0</v>
      </c>
      <c r="CX124" s="32" t="e">
        <f>VLOOKUP(A124,'Données projet'!$A$191:$I$211,2,0)</f>
        <v>#N/A</v>
      </c>
      <c r="CY124" s="33" t="e">
        <f>VLOOKUP(A124,'Données projet'!$A$191:$I$211,9,0)</f>
        <v>#N/A</v>
      </c>
      <c r="CZ124" s="33">
        <f t="array" ref="CZ124">INDEX(CY:CY,MIN(IF(ISNUMBER(CY124:CY320),ROW(CY124:CY320),"")))</f>
        <v>0</v>
      </c>
      <c r="DA124" s="33">
        <f t="shared" si="76"/>
        <v>0</v>
      </c>
      <c r="DB124" s="38" t="e">
        <f>DA124*VLOOKUP('Données projet'!$B$15,Paramètres!$A$1:$I$88,3,0)*VLOOKUP('Données projet'!$B$15,Paramètres!$A$1:$I$88,5,0)</f>
        <v>#N/A</v>
      </c>
      <c r="DC124" s="34" t="e">
        <f t="shared" si="77"/>
        <v>#N/A</v>
      </c>
      <c r="DD124" s="44" t="e">
        <f t="shared" si="54"/>
        <v>#N/A</v>
      </c>
      <c r="DE124" s="36">
        <f>IF(ISNA(VLOOKUP(A124,'Données projet'!$A$191:$I$211,3,0)),0,VLOOKUP(A124,'Données projet'!$A$191:$I$211,3,0))</f>
        <v>0</v>
      </c>
      <c r="DF124" s="36">
        <f>IF(ISNA(VLOOKUP(A124,'Données projet'!$A$191:$I$211,4,0)),0,VLOOKUP(A124,'Données projet'!$A$191:$I$211,4,0))</f>
        <v>0</v>
      </c>
      <c r="DG124" s="37">
        <f>IF(ISNA(VLOOKUP(A124,'Données projet'!$A$191:$I$211,5,0)),0%,VLOOKUP(A124,'Données projet'!$A$191:$I$211,5,0)*VLOOKUP('Données projet'!$B$15,Paramètres!$A$1:$I$88,7,0))</f>
        <v>0</v>
      </c>
      <c r="DH124" s="37">
        <f>IF(ISNA(VLOOKUP(A124,'Données projet'!$A$191:$I$211,6,0)),0%,VLOOKUP(A124,'Données projet'!$A$191:$I$211,6,0)*VLOOKUP('Données projet'!$B$15,Paramètres!$A$1:$I$88,7,0))</f>
        <v>0</v>
      </c>
      <c r="DI124" s="37">
        <f>IF(ISNA(VLOOKUP(A124,'Données projet'!$A$191:$I$211,7,0)),0%,VLOOKUP(A124,'Données projet'!$A$191:$I$211,7,0))</f>
        <v>0</v>
      </c>
      <c r="DJ124" s="45">
        <f>EXP(-LN(2)/35)*DJ123+(1-EXP(-LN(2)/35))/(LN(2)/35)*DF124*DG124*VLOOKUP('Données projet'!$B$9,Paramètres!$A$1:$I$88,3,0)*0.475*44/12</f>
        <v>0</v>
      </c>
      <c r="DK124" s="45">
        <f>EXP(-LN(2)/25)*DK123+(1-EXP(-LN(2)/25))/(LN(2)/25)*Calculateur!DF124*Calculateur!DH124*VLOOKUP('Données projet'!$B$9,Paramètres!$A$1:$I$88,3,0)*0.475*44/12</f>
        <v>0</v>
      </c>
      <c r="DL124" s="45">
        <f>EXP(-LN(2)/2)*DL123+(1-EXP(-LN(2)/2))/(LN(2)/2)*DF124*DI124*VLOOKUP('Données projet'!$B$9,Paramètres!$A$1:$I$88,3,0)*0.475*44/12</f>
        <v>0</v>
      </c>
      <c r="DM124" s="46">
        <f t="shared" si="55"/>
        <v>0</v>
      </c>
      <c r="DN124" s="32" t="e">
        <f>VLOOKUP(A124,'Données projet'!$A$217:$I$237,2,0)</f>
        <v>#N/A</v>
      </c>
      <c r="DO124" s="33" t="e">
        <f>VLOOKUP(A124,'Données projet'!$A$217:$I$237,9,0)</f>
        <v>#N/A</v>
      </c>
      <c r="DP124" s="33">
        <f t="array" ref="DP124">INDEX(DO:DO,MIN(IF(ISNUMBER(DO124:DO320),ROW(DO124:DO320),"")))</f>
        <v>0</v>
      </c>
      <c r="DQ124" s="33">
        <f t="shared" si="78"/>
        <v>0</v>
      </c>
      <c r="DR124" s="38" t="e">
        <f>DQ124*VLOOKUP('Données projet'!$B$16,Paramètres!$A$1:$I$88,3,0)*VLOOKUP('Données projet'!$B$16,Paramètres!$A$1:$I$88,5,0)</f>
        <v>#N/A</v>
      </c>
      <c r="DS124" s="34" t="e">
        <f t="shared" si="79"/>
        <v>#N/A</v>
      </c>
      <c r="DT124" s="44" t="e">
        <f t="shared" si="56"/>
        <v>#N/A</v>
      </c>
      <c r="DU124" s="36">
        <f>IF(ISNA(VLOOKUP(A124,'Données projet'!$A$217:$I$237,3,0)),0,VLOOKUP(A124,'Données projet'!$A$217:$I$237,3,0))</f>
        <v>0</v>
      </c>
      <c r="DV124" s="36">
        <f>IF(ISNA(VLOOKUP(A124,'Données projet'!$A$217:$I$237,4,0)),0,VLOOKUP(A124,'Données projet'!$A$217:$I$237,4,0))</f>
        <v>0</v>
      </c>
      <c r="DW124" s="37">
        <f>IF(ISNA(VLOOKUP(A124,'Données projet'!$A$217:$I$237,5,0)),0%,VLOOKUP(A124,'Données projet'!$A$217:$I$237,5,0)*VLOOKUP('Données projet'!$B$16,Paramètres!$A$1:$I$88,7,0))</f>
        <v>0</v>
      </c>
      <c r="DX124" s="37">
        <f>IF(ISNA(VLOOKUP(A124,'Données projet'!$A$217:$I$237,6,0)),0%,VLOOKUP(A124,'Données projet'!$A$217:$I$237,6,0)*VLOOKUP('Données projet'!$B$16,Paramètres!$A$1:$I$88,7,0))</f>
        <v>0</v>
      </c>
      <c r="DY124" s="37">
        <f>IF(ISNA(VLOOKUP(A124,'Données projet'!$A$217:$I$237,7,0)),0%,VLOOKUP(A124,'Données projet'!$A$217:$I$237,7,0))</f>
        <v>0</v>
      </c>
      <c r="DZ124" s="45">
        <f>EXP(-LN(2)/35)*DZ123+(1-EXP(-LN(2)/35))/(LN(2)/35)*DV124*DW124*VLOOKUP('Données projet'!$B$9,Paramètres!$A$1:$I$88,3,0)*0.475*44/12</f>
        <v>0</v>
      </c>
      <c r="EA124" s="45">
        <f>EXP(-LN(2)/25)*EA123+(1-EXP(-LN(2)/25))/(LN(2)/25)*Calculateur!DV124*Calculateur!DX124*VLOOKUP('Données projet'!$B$9,Paramètres!$A$1:$I$88,3,0)*0.475*44/12</f>
        <v>0</v>
      </c>
      <c r="EB124" s="45">
        <f>EXP(-LN(2)/2)*EB123+(1-EXP(-LN(2)/2))/(LN(2)/2)*DV124*DY124*VLOOKUP('Données projet'!$B$9,Paramètres!$A$1:$I$88,3,0)*0.475*44/12</f>
        <v>0</v>
      </c>
      <c r="EC124" s="46">
        <f t="shared" si="57"/>
        <v>0</v>
      </c>
      <c r="ED124" s="32" t="e">
        <f>VLOOKUP(A124,'Données projet'!$A$243:$I$263,2,0)</f>
        <v>#N/A</v>
      </c>
      <c r="EE124" s="33" t="e">
        <f>VLOOKUP(A124,'Données projet'!$A$243:$I$263,9,0)</f>
        <v>#N/A</v>
      </c>
      <c r="EF124" s="33">
        <f t="array" ref="EF124">INDEX(EE:EE,MIN(IF(ISNUMBER(EE124:EE320),ROW(EE124:EE320),"")))</f>
        <v>0</v>
      </c>
      <c r="EG124" s="33">
        <f t="shared" si="80"/>
        <v>0</v>
      </c>
      <c r="EH124" s="38" t="e">
        <f>EG124*VLOOKUP('Données projet'!$B$17,Paramètres!$A$1:$I$88,3,0)*VLOOKUP('Données projet'!$B$17,Paramètres!$A$1:$I$88,5,0)</f>
        <v>#N/A</v>
      </c>
      <c r="EI124" s="34" t="e">
        <f t="shared" si="81"/>
        <v>#N/A</v>
      </c>
      <c r="EJ124" s="44" t="e">
        <f t="shared" si="58"/>
        <v>#N/A</v>
      </c>
      <c r="EK124" s="36">
        <f>IF(ISNA(VLOOKUP(A124,'Données projet'!$A$243:$I$263,3,0)),0,VLOOKUP(A124,'Données projet'!$A$243:$I$263,3,0))</f>
        <v>0</v>
      </c>
      <c r="EL124" s="36">
        <f>IF(ISNA(VLOOKUP(A124,'Données projet'!$A$243:$I$263,4,0)),0,VLOOKUP(A124,'Données projet'!$A$243:$I$263,4,0))</f>
        <v>0</v>
      </c>
      <c r="EM124" s="37">
        <f>IF(ISNA(VLOOKUP(A124,'Données projet'!$A$243:$I$263,5,0)),0%,VLOOKUP(A124,'Données projet'!$A$243:$I$263,5,0)*VLOOKUP('Données projet'!$B$17,Paramètres!$A$1:$I$88,7,0))</f>
        <v>0</v>
      </c>
      <c r="EN124" s="37">
        <f>IF(ISNA(VLOOKUP(A124,'Données projet'!$A$243:$I$263,6,0)),0%,VLOOKUP(A124,'Données projet'!$A$243:$I$263,6,0)*VLOOKUP('Données projet'!$B$17,Paramètres!$A$1:$I$88,7,0))</f>
        <v>0</v>
      </c>
      <c r="EO124" s="37">
        <f>IF(ISNA(VLOOKUP(A124,'Données projet'!$A$243:$I$263,7,0)),0%,VLOOKUP(A124,'Données projet'!$A$243:$I$263,7,0))</f>
        <v>0</v>
      </c>
      <c r="EP124" s="45">
        <f>EXP(-LN(2)/35)*EP123+(1-EXP(-LN(2)/35))/(LN(2)/35)*EL124*EM124*VLOOKUP('Données projet'!$B$9,Paramètres!$A$1:$I$88,3,0)*0.475*44/12</f>
        <v>0</v>
      </c>
      <c r="EQ124" s="45">
        <f>EXP(-LN(2)/25)*EQ123+(1-EXP(-LN(2)/25))/(LN(2)/25)*Calculateur!EL124*Calculateur!EN124*VLOOKUP('Données projet'!$B$9,Paramètres!$A$1:$I$88,3,0)*0.475*44/12</f>
        <v>0</v>
      </c>
      <c r="ER124" s="45">
        <f>EXP(-LN(2)/2)*ER123+(1-EXP(-LN(2)/2))/(LN(2)/2)*EL124*EO124*VLOOKUP('Données projet'!$B$9,Paramètres!$A$1:$I$88,3,0)*0.475*44/12</f>
        <v>0</v>
      </c>
      <c r="ES124" s="46">
        <f t="shared" si="59"/>
        <v>0</v>
      </c>
      <c r="ET124" s="32" t="e">
        <f>VLOOKUP(A124,'Données projet'!$A$269:$I$289,2,0)</f>
        <v>#N/A</v>
      </c>
      <c r="EU124" s="33" t="e">
        <f>VLOOKUP(A124,'Données projet'!$A$269:$I$289,9,0)</f>
        <v>#N/A</v>
      </c>
      <c r="EV124" s="33">
        <f t="array" ref="EV124">INDEX(EU:EU,MIN(IF(ISNUMBER(EU124:EU320),ROW(EU124:EU320),"")))</f>
        <v>0</v>
      </c>
      <c r="EW124" s="33">
        <f t="shared" si="82"/>
        <v>0</v>
      </c>
      <c r="EX124" s="38" t="e">
        <f>EW124*VLOOKUP('Données projet'!$B$18,Paramètres!$A$1:$I$88,3,0)*VLOOKUP('Données projet'!$B$18,Paramètres!$A$1:$I$88,5,0)</f>
        <v>#N/A</v>
      </c>
      <c r="EY124" s="34" t="e">
        <f t="shared" si="83"/>
        <v>#N/A</v>
      </c>
      <c r="EZ124" s="44" t="e">
        <f t="shared" si="60"/>
        <v>#N/A</v>
      </c>
      <c r="FA124" s="36">
        <f>IF(ISNA(VLOOKUP(A124,'Données projet'!$A$269:$I$289,3,0)),0,VLOOKUP(A124,'Données projet'!$A$269:$I$289,3,0))</f>
        <v>0</v>
      </c>
      <c r="FB124" s="36">
        <f>IF(ISNA(VLOOKUP(A124,'Données projet'!$A$269:$I$289,4,0)),0,VLOOKUP(A124,'Données projet'!$A$269:$I$289,4,0))</f>
        <v>0</v>
      </c>
      <c r="FC124" s="37">
        <f>IF(ISNA(VLOOKUP(A124,'Données projet'!$A$269:$I$289,5,0)),0%,VLOOKUP(A124,'Données projet'!$A$269:$I$289,5,0)*VLOOKUP('Données projet'!$B$18,Paramètres!$A$1:$I$88,7,0))</f>
        <v>0</v>
      </c>
      <c r="FD124" s="37">
        <f>IF(ISNA(VLOOKUP(A124,'Données projet'!$A$269:$I$289,6,0)),0%,VLOOKUP(A124,'Données projet'!$A$269:$I$289,6,0)*VLOOKUP('Données projet'!$B$18,Paramètres!$A$1:$I$88,7,0))</f>
        <v>0</v>
      </c>
      <c r="FE124" s="37">
        <f>IF(ISNA(VLOOKUP(A124,'Données projet'!$A$269:$I$289,7,0)),0%,VLOOKUP(A124,'Données projet'!$A$269:$I$289,7,0))</f>
        <v>0</v>
      </c>
      <c r="FF124" s="45">
        <f>EXP(-LN(2)/35)*FF123+(1-EXP(-LN(2)/35))/(LN(2)/35)*FB124*FC124*VLOOKUP('Données projet'!$B$9,Paramètres!$A$1:$I$88,3,0)*0.475*44/12</f>
        <v>0</v>
      </c>
      <c r="FG124" s="45">
        <f>EXP(-LN(2)/25)*FG123+(1-EXP(-LN(2)/25))/(LN(2)/25)*Calculateur!FB124*Calculateur!FD124*VLOOKUP('Données projet'!$B$9,Paramètres!$A$1:$I$88,3,0)*0.475*44/12</f>
        <v>0</v>
      </c>
      <c r="FH124" s="45">
        <f>EXP(-LN(2)/2)*FH123+(1-EXP(-LN(2)/2))/(LN(2)/2)*FB124*FE124*VLOOKUP('Données projet'!$B$9,Paramètres!$A$1:$I$88,3,0)*0.475*44/12</f>
        <v>0</v>
      </c>
      <c r="FI124" s="46">
        <f t="shared" si="61"/>
        <v>0</v>
      </c>
    </row>
    <row r="125" spans="1:165" x14ac:dyDescent="0.25">
      <c r="A125" s="24">
        <f t="shared" si="62"/>
        <v>122</v>
      </c>
      <c r="B125" s="25">
        <f>IF('Scénario référence'!$N$1=1,5,0)</f>
        <v>0</v>
      </c>
      <c r="C125" s="40">
        <f>IF(OR('Scénario référence'!$N$1=2,'Scénario référence'!$N$1=4),C124+1*VLOOKUP('Scénario référence'!$G$14,Paramètres!$A$1:$I$88,3,0)*VLOOKUP('Scénario référence'!$G$14,Paramètres!$A$1:$I$88,5,0),IF(OR('Scénario référence'!$N$1=3,'Scénario référence'!$N$1=5),C124+0.5*VLOOKUP('Scénario référence'!$G$14,Paramètres!$A$1:$I$88,3,0)*VLOOKUP('Scénario référence'!$G$14,Paramètres!$A$1:$I$88,5,0),0))</f>
        <v>66.611999999999966</v>
      </c>
      <c r="D125" s="26">
        <f t="shared" si="63"/>
        <v>18.829683939536395</v>
      </c>
      <c r="E125" s="27">
        <f>IF('Scénario référence'!$N$1=1,B125*44/12,(C125+D125)*0.475*44/12)</f>
        <v>148.81093286135916</v>
      </c>
      <c r="F125" s="28" t="e">
        <f>VLOOKUP(A125,'Données projet'!$A$35:$I$55,2,0)</f>
        <v>#N/A</v>
      </c>
      <c r="G125" s="28" t="e">
        <f>VLOOKUP(A125,'Données projet'!$A$35:$I$55,9,0)</f>
        <v>#N/A</v>
      </c>
      <c r="H125" s="33">
        <f t="array" ref="H125">INDEX(G:G,MIN(IF(ISNUMBER(G125:G321),ROW(G125:G321),"")))</f>
        <v>3.4</v>
      </c>
      <c r="I125" s="28">
        <f t="shared" si="64"/>
        <v>290.79999999999939</v>
      </c>
      <c r="J125" s="41">
        <f>I125*VLOOKUP('Données projet'!$B$9,Paramètres!$A$1:$I$88,3,0)*VLOOKUP('Données projet'!$B$9,Paramètres!$A$1:$I$88,5,0)</f>
        <v>294.87119999999942</v>
      </c>
      <c r="K125" s="41">
        <f t="shared" si="65"/>
        <v>70.100193324246931</v>
      </c>
      <c r="L125" s="42">
        <f t="shared" si="42"/>
        <v>635.65851003972909</v>
      </c>
      <c r="M125" s="30">
        <f>IF(ISNA(VLOOKUP(A125,'Données projet'!$A$35:$I$55,3,0)),0,VLOOKUP(A125,'Données projet'!$A$35:$I$55,3,0))</f>
        <v>0</v>
      </c>
      <c r="N125" s="30">
        <f>IF(ISNA(VLOOKUP(A125,'Données projet'!$A$35:$I$55,4,0)),0,VLOOKUP(A125,'Données projet'!$A$35:$I$55,4,0))</f>
        <v>0</v>
      </c>
      <c r="O125" s="31">
        <f>IF(ISNA(VLOOKUP(A125,'Données projet'!$A$35:$I$55,5,0)),0%,VLOOKUP(A125,'Données projet'!$A$35:$I$55,5,0)*VLOOKUP('Données projet'!$B$9,Paramètres!$A$1:$I$88,7,0))</f>
        <v>0</v>
      </c>
      <c r="P125" s="31">
        <f>IF(ISNA(VLOOKUP(A125,'Données projet'!$A$35:$I$55,6,0)),0%,VLOOKUP(A125,'Données projet'!$A$35:$I$55,6,0)*VLOOKUP('Données projet'!$B$9,Paramètres!$A$1:$I$88,7,0))</f>
        <v>0</v>
      </c>
      <c r="Q125" s="31">
        <f>IF(ISNA(VLOOKUP(A125,'Données projet'!$A$35:$I$55,7,0)),0%,VLOOKUP(A125,'Données projet'!$A$35:$I$55,7,0))</f>
        <v>0</v>
      </c>
      <c r="R125" s="43">
        <f>EXP(-LN(2)/35)*R124+(1-EXP(-LN(2)/35))/(LN(2)/35)*N125*O125*VLOOKUP('Données projet'!$B$9,Paramètres!$A$1:$I$88,3,0)*0.475*44/12</f>
        <v>0</v>
      </c>
      <c r="S125" s="43">
        <f>EXP(-LN(2)/25)*S124+(1-EXP(-LN(2)/25))/(LN(2)/25)*Calculateur!N125*Calculateur!P125*VLOOKUP('Données projet'!$B$9,Paramètres!$A$1:$I$88,3,0)*0.475*44/12</f>
        <v>0</v>
      </c>
      <c r="T125" s="43">
        <f>EXP(-LN(2)/2)*T124+(1-EXP(-LN(2)/2))/(LN(2)/2)*N125*Q125*VLOOKUP('Données projet'!$B$9,Paramètres!$A$1:$I$88,3,0)*0.475*44/12</f>
        <v>0</v>
      </c>
      <c r="U125" s="43">
        <f t="shared" si="43"/>
        <v>0</v>
      </c>
      <c r="V125" s="32" t="e">
        <f>VLOOKUP(A125,'Données projet'!$A$61:$I$81,2,0)</f>
        <v>#N/A</v>
      </c>
      <c r="W125" s="33" t="e">
        <f>VLOOKUP(A125,'Données projet'!$A$61:$I$81,9,0)</f>
        <v>#N/A</v>
      </c>
      <c r="X125" s="33">
        <f t="array" ref="X125">INDEX(W:W,MIN(IF(ISNUMBER(W125:W321),ROW(W125:W321),"")))</f>
        <v>0</v>
      </c>
      <c r="Y125" s="33">
        <f t="shared" si="66"/>
        <v>0</v>
      </c>
      <c r="Z125" s="34" t="e">
        <f>Y125*VLOOKUP('Données projet'!$B$10,Paramètres!$A$1:$I$88,3,0)*VLOOKUP('Données projet'!$B$10,Paramètres!$A$1:$I$88,5,0)</f>
        <v>#N/A</v>
      </c>
      <c r="AA125" s="34" t="e">
        <f t="shared" si="67"/>
        <v>#N/A</v>
      </c>
      <c r="AB125" s="44" t="e">
        <f t="shared" si="44"/>
        <v>#N/A</v>
      </c>
      <c r="AC125" s="36">
        <f>IF(ISNA(VLOOKUP(A125,'Données projet'!$A$61:$I$81,3,0)),0,VLOOKUP(A125,'Données projet'!$A$61:$I$81,3,0))</f>
        <v>0</v>
      </c>
      <c r="AD125" s="36">
        <f>IF(ISNA(VLOOKUP(A125,'Données projet'!$A$61:$I$81,4,0)),0,VLOOKUP(A125,'Données projet'!$A$61:$I$81,4,0))</f>
        <v>0</v>
      </c>
      <c r="AE125" s="37">
        <f>IF(ISNA(VLOOKUP(A125,'Données projet'!$A$61:$I$81,5,0)),0%,VLOOKUP(A125,'Données projet'!$A$61:$I$81,5,0)*VLOOKUP('Données projet'!$B$10,Paramètres!$A$1:$I$88,7,0))</f>
        <v>0</v>
      </c>
      <c r="AF125" s="37">
        <f>IF(ISNA(VLOOKUP(A125,'Données projet'!$A$61:$I$81,6,0)),0%,VLOOKUP(A125,'Données projet'!$A$61:$I$81,6,0)*VLOOKUP('Données projet'!$B$10,Paramètres!$A$1:$I$88,7,0))</f>
        <v>0</v>
      </c>
      <c r="AG125" s="37">
        <f>IF(ISNA(VLOOKUP(A125,'Données projet'!$A$61:$I$81,7,0)),0%,VLOOKUP(A125,'Données projet'!$A$61:$I$81,7,0))</f>
        <v>0</v>
      </c>
      <c r="AH125" s="45">
        <f>EXP(-LN(2)/35)*AH124+(1-EXP(-LN(2)/35))/(LN(2)/35)*AD125*AE125*VLOOKUP('Données projet'!$B$9,Paramètres!$A$1:$I$88,3,0)*0.475*44/12</f>
        <v>0</v>
      </c>
      <c r="AI125" s="45">
        <f>EXP(-LN(2)/25)*AI124+(1-EXP(-LN(2)/25))/(LN(2)/25)*Calculateur!AD125*Calculateur!AF125*VLOOKUP('Données projet'!$B$9,Paramètres!$A$1:$I$88,3,0)*0.475*44/12</f>
        <v>0</v>
      </c>
      <c r="AJ125" s="45">
        <f>EXP(-LN(2)/2)*AJ124+(1-EXP(-LN(2)/2))/(LN(2)/2)*AD125*AG125*VLOOKUP('Données projet'!$B$9,Paramètres!$A$1:$I$88,3,0)*0.475*44/12</f>
        <v>0</v>
      </c>
      <c r="AK125" s="45">
        <f t="shared" si="45"/>
        <v>0</v>
      </c>
      <c r="AL125" s="32" t="e">
        <f>VLOOKUP(A125,'Données projet'!$A$87:$I$107,2,0)</f>
        <v>#N/A</v>
      </c>
      <c r="AM125" s="33" t="e">
        <f>VLOOKUP(A125,'Données projet'!$A$87:$I$107,9,0)</f>
        <v>#N/A</v>
      </c>
      <c r="AN125" s="33">
        <f t="array" ref="AN125">INDEX(AM:AM,MIN(IF(ISNUMBER(AM125:AM321),ROW(AM125:AM321),"")))</f>
        <v>0</v>
      </c>
      <c r="AO125" s="33">
        <f t="shared" si="68"/>
        <v>0</v>
      </c>
      <c r="AP125" s="34" t="e">
        <f>AO125*VLOOKUP('Données projet'!$B$11,Paramètres!$A$1:$I$88,3,0)*VLOOKUP('Données projet'!$B$11,Paramètres!$A$1:$I$88,5,0)</f>
        <v>#N/A</v>
      </c>
      <c r="AQ125" s="34" t="e">
        <f t="shared" si="69"/>
        <v>#N/A</v>
      </c>
      <c r="AR125" s="44" t="e">
        <f t="shared" si="46"/>
        <v>#N/A</v>
      </c>
      <c r="AS125" s="36">
        <f>IF(ISNA(VLOOKUP(A125,'Données projet'!$A$87:$I$107,3,0)),0,VLOOKUP(A125,'Données projet'!$A$87:$I$107,3,0))</f>
        <v>0</v>
      </c>
      <c r="AT125" s="36">
        <f>IF(ISNA(VLOOKUP(A125,'Données projet'!$A$87:$I$107,4,0)),0,VLOOKUP(A125,'Données projet'!$A$87:$I$107,4,0))</f>
        <v>0</v>
      </c>
      <c r="AU125" s="37">
        <f>IF(ISNA(VLOOKUP(A125,'Données projet'!$A$87:$I$107,5,0)),0%,VLOOKUP(A125,'Données projet'!$A$87:$I$107,5,0)*VLOOKUP('Données projet'!$B$11,Paramètres!$A$1:$I$88,7,0))</f>
        <v>0</v>
      </c>
      <c r="AV125" s="37">
        <f>IF(ISNA(VLOOKUP(A125,'Données projet'!$A$87:$I$107,6,0)),0%,VLOOKUP(A125,'Données projet'!$A$87:$I$107,6,0)*VLOOKUP('Données projet'!$B$11,Paramètres!$A$1:$I$88,7,0))</f>
        <v>0</v>
      </c>
      <c r="AW125" s="37">
        <f>IF(ISNA(VLOOKUP(A125,'Données projet'!$A$87:$I$107,7,0)),0%,VLOOKUP(A125,'Données projet'!$A$87:$I$107,7,0))</f>
        <v>0</v>
      </c>
      <c r="AX125" s="45">
        <f>EXP(-LN(2)/35)*AX124+(1-EXP(-LN(2)/35))/(LN(2)/35)*AT125*AU125*VLOOKUP('Données projet'!$B$9,Paramètres!$A$1:$I$88,3,0)*0.475*44/12</f>
        <v>0</v>
      </c>
      <c r="AY125" s="45">
        <f>EXP(-LN(2)/25)*AY124+(1-EXP(-LN(2)/25))/(LN(2)/25)*Calculateur!AT125*Calculateur!AV125*VLOOKUP('Données projet'!$B$9,Paramètres!$A$1:$I$88,3,0)*0.475*44/12</f>
        <v>0</v>
      </c>
      <c r="AZ125" s="45">
        <f>EXP(-LN(2)/2)*AZ124+(1-EXP(-LN(2)/2))/(LN(2)/2)*AT125*AW125*VLOOKUP('Données projet'!$B$9,Paramètres!$A$1:$I$88,3,0)*0.475*44/12</f>
        <v>0</v>
      </c>
      <c r="BA125" s="46">
        <f t="shared" si="47"/>
        <v>0</v>
      </c>
      <c r="BB125" s="32" t="e">
        <f>VLOOKUP(A125,'Données projet'!$A$113:$I$133,2,0)</f>
        <v>#N/A</v>
      </c>
      <c r="BC125" s="33" t="e">
        <f>VLOOKUP(A125,'Données projet'!$A$113:$I$133,9,0)</f>
        <v>#N/A</v>
      </c>
      <c r="BD125" s="33">
        <f t="array" ref="BD125">INDEX(BC:BC,MIN(IF(ISNUMBER(BC125:BC321),ROW(BC125:BC321),"")))</f>
        <v>0</v>
      </c>
      <c r="BE125" s="33">
        <f t="shared" si="70"/>
        <v>0</v>
      </c>
      <c r="BF125" s="34" t="e">
        <f>BE125*VLOOKUP('Données projet'!$B$12,Paramètres!$A$1:$I$88,3,0)*VLOOKUP('Données projet'!$B$12,Paramètres!$A$1:$I$88,5,0)</f>
        <v>#N/A</v>
      </c>
      <c r="BG125" s="34" t="e">
        <f t="shared" si="71"/>
        <v>#N/A</v>
      </c>
      <c r="BH125" s="44" t="e">
        <f t="shared" si="48"/>
        <v>#N/A</v>
      </c>
      <c r="BI125" s="36">
        <f>IF(ISNA(VLOOKUP(A125,'Données projet'!$A$113:$I$133,3,0)),0,VLOOKUP(A125,'Données projet'!$A$113:$I$133,3,0))</f>
        <v>0</v>
      </c>
      <c r="BJ125" s="36">
        <f>IF(ISNA(VLOOKUP(A125,'Données projet'!$A$113:$I$133,4,0)),0,VLOOKUP(A125,'Données projet'!$A$113:$I$133,4,0))</f>
        <v>0</v>
      </c>
      <c r="BK125" s="37">
        <f>IF(ISNA(VLOOKUP(A125,'Données projet'!$A$113:$I$133,5,0)),0%,VLOOKUP(A125,'Données projet'!$A$113:$I$133,5,0)*VLOOKUP('Données projet'!$B$12,Paramètres!$A$1:$I$88,7,0))</f>
        <v>0</v>
      </c>
      <c r="BL125" s="37">
        <f>IF(ISNA(VLOOKUP(A125,'Données projet'!$A$113:$I$133,6,0)),0%,VLOOKUP(A125,'Données projet'!$A$113:$I$133,6,0)*VLOOKUP('Données projet'!$B$12,Paramètres!$A$1:$I$88,7,0))</f>
        <v>0</v>
      </c>
      <c r="BM125" s="37">
        <f>IF(ISNA(VLOOKUP(A125,'Données projet'!$A$113:$I$133,7,0)),0%,VLOOKUP(A125,'Données projet'!$A$113:$I$133,7,0))</f>
        <v>0</v>
      </c>
      <c r="BN125" s="45">
        <f>EXP(-LN(2)/35)*BN124+(1-EXP(-LN(2)/35))/(LN(2)/35)*BJ125*BK125*VLOOKUP('Données projet'!$B$9,Paramètres!$A$1:$I$88,3,0)*0.475*44/12</f>
        <v>0</v>
      </c>
      <c r="BO125" s="45">
        <f>EXP(-LN(2)/25)*BO124+(1-EXP(-LN(2)/25))/(LN(2)/25)*Calculateur!BJ125*Calculateur!BL125*VLOOKUP('Données projet'!$B$9,Paramètres!$A$1:$I$88,3,0)*0.475*44/12</f>
        <v>0</v>
      </c>
      <c r="BP125" s="45">
        <f>EXP(-LN(2)/2)*BP124+(1-EXP(-LN(2)/2))/(LN(2)/2)*BJ125*BM125*VLOOKUP('Données projet'!$B$9,Paramètres!$A$1:$I$88,3,0)*0.475*44/12</f>
        <v>0</v>
      </c>
      <c r="BQ125" s="46">
        <f t="shared" si="49"/>
        <v>0</v>
      </c>
      <c r="BR125" s="32" t="e">
        <f>VLOOKUP(A125,'Données projet'!$A$139:$I$159,2,0)</f>
        <v>#N/A</v>
      </c>
      <c r="BS125" s="33" t="e">
        <f>VLOOKUP(A125,'Données projet'!$A$139:$I$159,9,0)</f>
        <v>#N/A</v>
      </c>
      <c r="BT125" s="33">
        <f t="array" ref="BT125">INDEX(BS:BS,MIN(IF(ISNUMBER(BS125:BS321),ROW(BS125:BS321),"")))</f>
        <v>0</v>
      </c>
      <c r="BU125" s="33">
        <f t="shared" si="72"/>
        <v>0</v>
      </c>
      <c r="BV125" s="38" t="e">
        <f>BU125*VLOOKUP('Données projet'!$B$13,Paramètres!$A$1:$I$88,3,0)*VLOOKUP('Données projet'!$B$13,Paramètres!$A$1:$I$88,5,0)</f>
        <v>#N/A</v>
      </c>
      <c r="BW125" s="34" t="e">
        <f t="shared" si="73"/>
        <v>#N/A</v>
      </c>
      <c r="BX125" s="44" t="e">
        <f t="shared" si="50"/>
        <v>#N/A</v>
      </c>
      <c r="BY125" s="36">
        <f>IF(ISNA(VLOOKUP(A125,'Données projet'!$A$139:$I$159,3,0)),0,VLOOKUP(A125,'Données projet'!$A$139:$I$159,3,0))</f>
        <v>0</v>
      </c>
      <c r="BZ125" s="36">
        <f>IF(ISNA(VLOOKUP(A125,'Données projet'!$A$139:$I$159,4,0)),0,VLOOKUP(A125,'Données projet'!$A$139:$I$159,4,0))</f>
        <v>0</v>
      </c>
      <c r="CA125" s="37">
        <f>IF(ISNA(VLOOKUP(A125,'Données projet'!$A$139:$I$159,5,0)),0%,VLOOKUP(A125,'Données projet'!$A$139:$I$159,5,0)*VLOOKUP('Données projet'!$B$13,Paramètres!$A$1:$I$88,7,0))</f>
        <v>0</v>
      </c>
      <c r="CB125" s="37">
        <f>IF(ISNA(VLOOKUP(A125,'Données projet'!$A$139:$I$159,6,0)),0%,VLOOKUP(A125,'Données projet'!$A$139:$I$159,6,0)*VLOOKUP('Données projet'!$B$13,Paramètres!$A$1:$I$88,7,0))</f>
        <v>0</v>
      </c>
      <c r="CC125" s="37">
        <f>IF(ISNA(VLOOKUP(A125,'Données projet'!$A$139:$I$159,7,0)),0%,VLOOKUP(A125,'Données projet'!$A$139:$I$159,7,0))</f>
        <v>0</v>
      </c>
      <c r="CD125" s="45">
        <f>EXP(-LN(2)/35)*CD124+(1-EXP(-LN(2)/35))/(LN(2)/35)*BZ125*CA125*VLOOKUP('Données projet'!$B$9,Paramètres!$A$1:$I$88,3,0)*0.475*44/12</f>
        <v>0</v>
      </c>
      <c r="CE125" s="45">
        <f>EXP(-LN(2)/25)*CE124+(1-EXP(-LN(2)/25))/(LN(2)/25)*Calculateur!BZ125*Calculateur!CB125*VLOOKUP('Données projet'!$B$9,Paramètres!$A$1:$I$88,3,0)*0.475*44/12</f>
        <v>0</v>
      </c>
      <c r="CF125" s="45">
        <f>EXP(-LN(2)/2)*CF124+(1-EXP(-LN(2)/2))/(LN(2)/2)*BZ125*CC125*VLOOKUP('Données projet'!$B$9,Paramètres!$A$1:$I$88,3,0)*0.475*44/12</f>
        <v>0</v>
      </c>
      <c r="CG125" s="46">
        <f t="shared" si="51"/>
        <v>0</v>
      </c>
      <c r="CH125" s="32" t="e">
        <f>VLOOKUP(A125,'Données projet'!$A$165:$I$185,2,0)</f>
        <v>#N/A</v>
      </c>
      <c r="CI125" s="33" t="e">
        <f>VLOOKUP(A125,'Données projet'!$A$165:$I$185,9,0)</f>
        <v>#N/A</v>
      </c>
      <c r="CJ125" s="33">
        <f t="array" ref="CJ125">INDEX(CI:CI,MIN(IF(ISNUMBER(CI125:CI321),ROW(CI125:CI321),"")))</f>
        <v>0</v>
      </c>
      <c r="CK125" s="33">
        <f t="shared" si="74"/>
        <v>0</v>
      </c>
      <c r="CL125" s="38" t="e">
        <f>CK125*VLOOKUP('Données projet'!$B$14,Paramètres!$A$1:$I$88,3,0)*VLOOKUP('Données projet'!$B$14,Paramètres!$A$1:$I$88,5,0)</f>
        <v>#N/A</v>
      </c>
      <c r="CM125" s="34" t="e">
        <f t="shared" si="75"/>
        <v>#N/A</v>
      </c>
      <c r="CN125" s="44" t="e">
        <f t="shared" si="52"/>
        <v>#N/A</v>
      </c>
      <c r="CO125" s="36">
        <f>IF(ISNA(VLOOKUP(A125,'Données projet'!$A$165:$I$185,3,0)),0,VLOOKUP(A125,'Données projet'!$A$165:$I$185,3,0))</f>
        <v>0</v>
      </c>
      <c r="CP125" s="36">
        <f>IF(ISNA(VLOOKUP(A125,'Données projet'!$A$165:$I$185,4,0)),0,VLOOKUP(A125,'Données projet'!$A$165:$I$185,4,0))</f>
        <v>0</v>
      </c>
      <c r="CQ125" s="37">
        <f>IF(ISNA(VLOOKUP(A125,'Données projet'!$A$165:$I$185,5,0)),0%,VLOOKUP(A125,'Données projet'!$A$165:$I$185,5,0)*VLOOKUP('Données projet'!$B$14,Paramètres!$A$1:$I$88,7,0))</f>
        <v>0</v>
      </c>
      <c r="CR125" s="37">
        <f>IF(ISNA(VLOOKUP(A125,'Données projet'!$A$165:$I$185,6,0)),0%,VLOOKUP(A125,'Données projet'!$A$165:$I$185,6,0)*VLOOKUP('Données projet'!$B$14,Paramètres!$A$1:$I$88,7,0))</f>
        <v>0</v>
      </c>
      <c r="CS125" s="37">
        <f>IF(ISNA(VLOOKUP(A125,'Données projet'!$A$165:$I$185,7,0)),0%,VLOOKUP(A125,'Données projet'!$A$165:$I$185,7,0))</f>
        <v>0</v>
      </c>
      <c r="CT125" s="45">
        <f>EXP(-LN(2)/35)*CT124+(1-EXP(-LN(2)/35))/(LN(2)/35)*CP125*CQ125*VLOOKUP('Données projet'!$B$9,Paramètres!$A$1:$I$88,3,0)*0.475*44/12</f>
        <v>0</v>
      </c>
      <c r="CU125" s="45">
        <f>EXP(-LN(2)/25)*CU124+(1-EXP(-LN(2)/25))/(LN(2)/25)*Calculateur!CP125*Calculateur!CR125*VLOOKUP('Données projet'!$B$9,Paramètres!$A$1:$I$88,3,0)*0.475*44/12</f>
        <v>0</v>
      </c>
      <c r="CV125" s="45">
        <f>EXP(-LN(2)/2)*CV124+(1-EXP(-LN(2)/2))/(LN(2)/2)*CP125*CS125*VLOOKUP('Données projet'!$B$9,Paramètres!$A$1:$I$88,3,0)*0.475*44/12</f>
        <v>0</v>
      </c>
      <c r="CW125" s="46">
        <f t="shared" si="53"/>
        <v>0</v>
      </c>
      <c r="CX125" s="32" t="e">
        <f>VLOOKUP(A125,'Données projet'!$A$191:$I$211,2,0)</f>
        <v>#N/A</v>
      </c>
      <c r="CY125" s="33" t="e">
        <f>VLOOKUP(A125,'Données projet'!$A$191:$I$211,9,0)</f>
        <v>#N/A</v>
      </c>
      <c r="CZ125" s="33">
        <f t="array" ref="CZ125">INDEX(CY:CY,MIN(IF(ISNUMBER(CY125:CY321),ROW(CY125:CY321),"")))</f>
        <v>0</v>
      </c>
      <c r="DA125" s="33">
        <f t="shared" si="76"/>
        <v>0</v>
      </c>
      <c r="DB125" s="38" t="e">
        <f>DA125*VLOOKUP('Données projet'!$B$15,Paramètres!$A$1:$I$88,3,0)*VLOOKUP('Données projet'!$B$15,Paramètres!$A$1:$I$88,5,0)</f>
        <v>#N/A</v>
      </c>
      <c r="DC125" s="34" t="e">
        <f t="shared" si="77"/>
        <v>#N/A</v>
      </c>
      <c r="DD125" s="44" t="e">
        <f t="shared" si="54"/>
        <v>#N/A</v>
      </c>
      <c r="DE125" s="36">
        <f>IF(ISNA(VLOOKUP(A125,'Données projet'!$A$191:$I$211,3,0)),0,VLOOKUP(A125,'Données projet'!$A$191:$I$211,3,0))</f>
        <v>0</v>
      </c>
      <c r="DF125" s="36">
        <f>IF(ISNA(VLOOKUP(A125,'Données projet'!$A$191:$I$211,4,0)),0,VLOOKUP(A125,'Données projet'!$A$191:$I$211,4,0))</f>
        <v>0</v>
      </c>
      <c r="DG125" s="37">
        <f>IF(ISNA(VLOOKUP(A125,'Données projet'!$A$191:$I$211,5,0)),0%,VLOOKUP(A125,'Données projet'!$A$191:$I$211,5,0)*VLOOKUP('Données projet'!$B$15,Paramètres!$A$1:$I$88,7,0))</f>
        <v>0</v>
      </c>
      <c r="DH125" s="37">
        <f>IF(ISNA(VLOOKUP(A125,'Données projet'!$A$191:$I$211,6,0)),0%,VLOOKUP(A125,'Données projet'!$A$191:$I$211,6,0)*VLOOKUP('Données projet'!$B$15,Paramètres!$A$1:$I$88,7,0))</f>
        <v>0</v>
      </c>
      <c r="DI125" s="37">
        <f>IF(ISNA(VLOOKUP(A125,'Données projet'!$A$191:$I$211,7,0)),0%,VLOOKUP(A125,'Données projet'!$A$191:$I$211,7,0))</f>
        <v>0</v>
      </c>
      <c r="DJ125" s="45">
        <f>EXP(-LN(2)/35)*DJ124+(1-EXP(-LN(2)/35))/(LN(2)/35)*DF125*DG125*VLOOKUP('Données projet'!$B$9,Paramètres!$A$1:$I$88,3,0)*0.475*44/12</f>
        <v>0</v>
      </c>
      <c r="DK125" s="45">
        <f>EXP(-LN(2)/25)*DK124+(1-EXP(-LN(2)/25))/(LN(2)/25)*Calculateur!DF125*Calculateur!DH125*VLOOKUP('Données projet'!$B$9,Paramètres!$A$1:$I$88,3,0)*0.475*44/12</f>
        <v>0</v>
      </c>
      <c r="DL125" s="45">
        <f>EXP(-LN(2)/2)*DL124+(1-EXP(-LN(2)/2))/(LN(2)/2)*DF125*DI125*VLOOKUP('Données projet'!$B$9,Paramètres!$A$1:$I$88,3,0)*0.475*44/12</f>
        <v>0</v>
      </c>
      <c r="DM125" s="46">
        <f t="shared" si="55"/>
        <v>0</v>
      </c>
      <c r="DN125" s="32" t="e">
        <f>VLOOKUP(A125,'Données projet'!$A$217:$I$237,2,0)</f>
        <v>#N/A</v>
      </c>
      <c r="DO125" s="33" t="e">
        <f>VLOOKUP(A125,'Données projet'!$A$217:$I$237,9,0)</f>
        <v>#N/A</v>
      </c>
      <c r="DP125" s="33">
        <f t="array" ref="DP125">INDEX(DO:DO,MIN(IF(ISNUMBER(DO125:DO321),ROW(DO125:DO321),"")))</f>
        <v>0</v>
      </c>
      <c r="DQ125" s="33">
        <f t="shared" si="78"/>
        <v>0</v>
      </c>
      <c r="DR125" s="38" t="e">
        <f>DQ125*VLOOKUP('Données projet'!$B$16,Paramètres!$A$1:$I$88,3,0)*VLOOKUP('Données projet'!$B$16,Paramètres!$A$1:$I$88,5,0)</f>
        <v>#N/A</v>
      </c>
      <c r="DS125" s="34" t="e">
        <f t="shared" si="79"/>
        <v>#N/A</v>
      </c>
      <c r="DT125" s="44" t="e">
        <f t="shared" si="56"/>
        <v>#N/A</v>
      </c>
      <c r="DU125" s="36">
        <f>IF(ISNA(VLOOKUP(A125,'Données projet'!$A$217:$I$237,3,0)),0,VLOOKUP(A125,'Données projet'!$A$217:$I$237,3,0))</f>
        <v>0</v>
      </c>
      <c r="DV125" s="36">
        <f>IF(ISNA(VLOOKUP(A125,'Données projet'!$A$217:$I$237,4,0)),0,VLOOKUP(A125,'Données projet'!$A$217:$I$237,4,0))</f>
        <v>0</v>
      </c>
      <c r="DW125" s="37">
        <f>IF(ISNA(VLOOKUP(A125,'Données projet'!$A$217:$I$237,5,0)),0%,VLOOKUP(A125,'Données projet'!$A$217:$I$237,5,0)*VLOOKUP('Données projet'!$B$16,Paramètres!$A$1:$I$88,7,0))</f>
        <v>0</v>
      </c>
      <c r="DX125" s="37">
        <f>IF(ISNA(VLOOKUP(A125,'Données projet'!$A$217:$I$237,6,0)),0%,VLOOKUP(A125,'Données projet'!$A$217:$I$237,6,0)*VLOOKUP('Données projet'!$B$16,Paramètres!$A$1:$I$88,7,0))</f>
        <v>0</v>
      </c>
      <c r="DY125" s="37">
        <f>IF(ISNA(VLOOKUP(A125,'Données projet'!$A$217:$I$237,7,0)),0%,VLOOKUP(A125,'Données projet'!$A$217:$I$237,7,0))</f>
        <v>0</v>
      </c>
      <c r="DZ125" s="45">
        <f>EXP(-LN(2)/35)*DZ124+(1-EXP(-LN(2)/35))/(LN(2)/35)*DV125*DW125*VLOOKUP('Données projet'!$B$9,Paramètres!$A$1:$I$88,3,0)*0.475*44/12</f>
        <v>0</v>
      </c>
      <c r="EA125" s="45">
        <f>EXP(-LN(2)/25)*EA124+(1-EXP(-LN(2)/25))/(LN(2)/25)*Calculateur!DV125*Calculateur!DX125*VLOOKUP('Données projet'!$B$9,Paramètres!$A$1:$I$88,3,0)*0.475*44/12</f>
        <v>0</v>
      </c>
      <c r="EB125" s="45">
        <f>EXP(-LN(2)/2)*EB124+(1-EXP(-LN(2)/2))/(LN(2)/2)*DV125*DY125*VLOOKUP('Données projet'!$B$9,Paramètres!$A$1:$I$88,3,0)*0.475*44/12</f>
        <v>0</v>
      </c>
      <c r="EC125" s="46">
        <f t="shared" si="57"/>
        <v>0</v>
      </c>
      <c r="ED125" s="32" t="e">
        <f>VLOOKUP(A125,'Données projet'!$A$243:$I$263,2,0)</f>
        <v>#N/A</v>
      </c>
      <c r="EE125" s="33" t="e">
        <f>VLOOKUP(A125,'Données projet'!$A$243:$I$263,9,0)</f>
        <v>#N/A</v>
      </c>
      <c r="EF125" s="33">
        <f t="array" ref="EF125">INDEX(EE:EE,MIN(IF(ISNUMBER(EE125:EE321),ROW(EE125:EE321),"")))</f>
        <v>0</v>
      </c>
      <c r="EG125" s="33">
        <f t="shared" si="80"/>
        <v>0</v>
      </c>
      <c r="EH125" s="38" t="e">
        <f>EG125*VLOOKUP('Données projet'!$B$17,Paramètres!$A$1:$I$88,3,0)*VLOOKUP('Données projet'!$B$17,Paramètres!$A$1:$I$88,5,0)</f>
        <v>#N/A</v>
      </c>
      <c r="EI125" s="34" t="e">
        <f t="shared" si="81"/>
        <v>#N/A</v>
      </c>
      <c r="EJ125" s="44" t="e">
        <f t="shared" si="58"/>
        <v>#N/A</v>
      </c>
      <c r="EK125" s="36">
        <f>IF(ISNA(VLOOKUP(A125,'Données projet'!$A$243:$I$263,3,0)),0,VLOOKUP(A125,'Données projet'!$A$243:$I$263,3,0))</f>
        <v>0</v>
      </c>
      <c r="EL125" s="36">
        <f>IF(ISNA(VLOOKUP(A125,'Données projet'!$A$243:$I$263,4,0)),0,VLOOKUP(A125,'Données projet'!$A$243:$I$263,4,0))</f>
        <v>0</v>
      </c>
      <c r="EM125" s="37">
        <f>IF(ISNA(VLOOKUP(A125,'Données projet'!$A$243:$I$263,5,0)),0%,VLOOKUP(A125,'Données projet'!$A$243:$I$263,5,0)*VLOOKUP('Données projet'!$B$17,Paramètres!$A$1:$I$88,7,0))</f>
        <v>0</v>
      </c>
      <c r="EN125" s="37">
        <f>IF(ISNA(VLOOKUP(A125,'Données projet'!$A$243:$I$263,6,0)),0%,VLOOKUP(A125,'Données projet'!$A$243:$I$263,6,0)*VLOOKUP('Données projet'!$B$17,Paramètres!$A$1:$I$88,7,0))</f>
        <v>0</v>
      </c>
      <c r="EO125" s="37">
        <f>IF(ISNA(VLOOKUP(A125,'Données projet'!$A$243:$I$263,7,0)),0%,VLOOKUP(A125,'Données projet'!$A$243:$I$263,7,0))</f>
        <v>0</v>
      </c>
      <c r="EP125" s="45">
        <f>EXP(-LN(2)/35)*EP124+(1-EXP(-LN(2)/35))/(LN(2)/35)*EL125*EM125*VLOOKUP('Données projet'!$B$9,Paramètres!$A$1:$I$88,3,0)*0.475*44/12</f>
        <v>0</v>
      </c>
      <c r="EQ125" s="45">
        <f>EXP(-LN(2)/25)*EQ124+(1-EXP(-LN(2)/25))/(LN(2)/25)*Calculateur!EL125*Calculateur!EN125*VLOOKUP('Données projet'!$B$9,Paramètres!$A$1:$I$88,3,0)*0.475*44/12</f>
        <v>0</v>
      </c>
      <c r="ER125" s="45">
        <f>EXP(-LN(2)/2)*ER124+(1-EXP(-LN(2)/2))/(LN(2)/2)*EL125*EO125*VLOOKUP('Données projet'!$B$9,Paramètres!$A$1:$I$88,3,0)*0.475*44/12</f>
        <v>0</v>
      </c>
      <c r="ES125" s="46">
        <f t="shared" si="59"/>
        <v>0</v>
      </c>
      <c r="ET125" s="32" t="e">
        <f>VLOOKUP(A125,'Données projet'!$A$269:$I$289,2,0)</f>
        <v>#N/A</v>
      </c>
      <c r="EU125" s="33" t="e">
        <f>VLOOKUP(A125,'Données projet'!$A$269:$I$289,9,0)</f>
        <v>#N/A</v>
      </c>
      <c r="EV125" s="33">
        <f t="array" ref="EV125">INDEX(EU:EU,MIN(IF(ISNUMBER(EU125:EU321),ROW(EU125:EU321),"")))</f>
        <v>0</v>
      </c>
      <c r="EW125" s="33">
        <f t="shared" si="82"/>
        <v>0</v>
      </c>
      <c r="EX125" s="38" t="e">
        <f>EW125*VLOOKUP('Données projet'!$B$18,Paramètres!$A$1:$I$88,3,0)*VLOOKUP('Données projet'!$B$18,Paramètres!$A$1:$I$88,5,0)</f>
        <v>#N/A</v>
      </c>
      <c r="EY125" s="34" t="e">
        <f t="shared" si="83"/>
        <v>#N/A</v>
      </c>
      <c r="EZ125" s="44" t="e">
        <f t="shared" si="60"/>
        <v>#N/A</v>
      </c>
      <c r="FA125" s="36">
        <f>IF(ISNA(VLOOKUP(A125,'Données projet'!$A$269:$I$289,3,0)),0,VLOOKUP(A125,'Données projet'!$A$269:$I$289,3,0))</f>
        <v>0</v>
      </c>
      <c r="FB125" s="36">
        <f>IF(ISNA(VLOOKUP(A125,'Données projet'!$A$269:$I$289,4,0)),0,VLOOKUP(A125,'Données projet'!$A$269:$I$289,4,0))</f>
        <v>0</v>
      </c>
      <c r="FC125" s="37">
        <f>IF(ISNA(VLOOKUP(A125,'Données projet'!$A$269:$I$289,5,0)),0%,VLOOKUP(A125,'Données projet'!$A$269:$I$289,5,0)*VLOOKUP('Données projet'!$B$18,Paramètres!$A$1:$I$88,7,0))</f>
        <v>0</v>
      </c>
      <c r="FD125" s="37">
        <f>IF(ISNA(VLOOKUP(A125,'Données projet'!$A$269:$I$289,6,0)),0%,VLOOKUP(A125,'Données projet'!$A$269:$I$289,6,0)*VLOOKUP('Données projet'!$B$18,Paramètres!$A$1:$I$88,7,0))</f>
        <v>0</v>
      </c>
      <c r="FE125" s="37">
        <f>IF(ISNA(VLOOKUP(A125,'Données projet'!$A$269:$I$289,7,0)),0%,VLOOKUP(A125,'Données projet'!$A$269:$I$289,7,0))</f>
        <v>0</v>
      </c>
      <c r="FF125" s="45">
        <f>EXP(-LN(2)/35)*FF124+(1-EXP(-LN(2)/35))/(LN(2)/35)*FB125*FC125*VLOOKUP('Données projet'!$B$9,Paramètres!$A$1:$I$88,3,0)*0.475*44/12</f>
        <v>0</v>
      </c>
      <c r="FG125" s="45">
        <f>EXP(-LN(2)/25)*FG124+(1-EXP(-LN(2)/25))/(LN(2)/25)*Calculateur!FB125*Calculateur!FD125*VLOOKUP('Données projet'!$B$9,Paramètres!$A$1:$I$88,3,0)*0.475*44/12</f>
        <v>0</v>
      </c>
      <c r="FH125" s="45">
        <f>EXP(-LN(2)/2)*FH124+(1-EXP(-LN(2)/2))/(LN(2)/2)*FB125*FE125*VLOOKUP('Données projet'!$B$9,Paramètres!$A$1:$I$88,3,0)*0.475*44/12</f>
        <v>0</v>
      </c>
      <c r="FI125" s="46">
        <f t="shared" si="61"/>
        <v>0</v>
      </c>
    </row>
    <row r="126" spans="1:165" x14ac:dyDescent="0.25">
      <c r="A126" s="24">
        <f t="shared" si="62"/>
        <v>123</v>
      </c>
      <c r="B126" s="25">
        <f>IF('Scénario référence'!$N$1=1,5,0)</f>
        <v>0</v>
      </c>
      <c r="C126" s="40">
        <f>IF(OR('Scénario référence'!$N$1=2,'Scénario référence'!$N$1=4),C125+1*VLOOKUP('Scénario référence'!$G$14,Paramètres!$A$1:$I$88,3,0)*VLOOKUP('Scénario référence'!$G$14,Paramètres!$A$1:$I$88,5,0),IF(OR('Scénario référence'!$N$1=3,'Scénario référence'!$N$1=5),C125+0.5*VLOOKUP('Scénario référence'!$G$14,Paramètres!$A$1:$I$88,3,0)*VLOOKUP('Scénario référence'!$G$14,Paramètres!$A$1:$I$88,5,0),0))</f>
        <v>67.157999999999973</v>
      </c>
      <c r="D126" s="26">
        <f t="shared" si="63"/>
        <v>18.965995379979955</v>
      </c>
      <c r="E126" s="27">
        <f>IF('Scénario référence'!$N$1=1,B126*44/12,(C126+D126)*0.475*44/12)</f>
        <v>149.99929195346505</v>
      </c>
      <c r="F126" s="28" t="e">
        <f>VLOOKUP(A126,'Données projet'!$A$35:$I$55,2,0)</f>
        <v>#N/A</v>
      </c>
      <c r="G126" s="28" t="e">
        <f>VLOOKUP(A126,'Données projet'!$A$35:$I$55,9,0)</f>
        <v>#N/A</v>
      </c>
      <c r="H126" s="33">
        <f t="array" ref="H126">INDEX(G:G,MIN(IF(ISNUMBER(G126:G322),ROW(G126:G322),"")))</f>
        <v>3.4</v>
      </c>
      <c r="I126" s="28">
        <f t="shared" si="64"/>
        <v>294.19999999999936</v>
      </c>
      <c r="J126" s="41">
        <f>I126*VLOOKUP('Données projet'!$B$9,Paramètres!$A$1:$I$88,3,0)*VLOOKUP('Données projet'!$B$9,Paramètres!$A$1:$I$88,5,0)</f>
        <v>298.31879999999938</v>
      </c>
      <c r="K126" s="41">
        <f t="shared" si="65"/>
        <v>70.823904189019785</v>
      </c>
      <c r="L126" s="42">
        <f t="shared" si="42"/>
        <v>642.92354312920827</v>
      </c>
      <c r="M126" s="30">
        <f>IF(ISNA(VLOOKUP(A126,'Données projet'!$A$35:$I$55,3,0)),0,VLOOKUP(A126,'Données projet'!$A$35:$I$55,3,0))</f>
        <v>0</v>
      </c>
      <c r="N126" s="30">
        <f>IF(ISNA(VLOOKUP(A126,'Données projet'!$A$35:$I$55,4,0)),0,VLOOKUP(A126,'Données projet'!$A$35:$I$55,4,0))</f>
        <v>0</v>
      </c>
      <c r="O126" s="31">
        <f>IF(ISNA(VLOOKUP(A126,'Données projet'!$A$35:$I$55,5,0)),0%,VLOOKUP(A126,'Données projet'!$A$35:$I$55,5,0)*VLOOKUP('Données projet'!$B$9,Paramètres!$A$1:$I$88,7,0))</f>
        <v>0</v>
      </c>
      <c r="P126" s="31">
        <f>IF(ISNA(VLOOKUP(A126,'Données projet'!$A$35:$I$55,6,0)),0%,VLOOKUP(A126,'Données projet'!$A$35:$I$55,6,0)*VLOOKUP('Données projet'!$B$9,Paramètres!$A$1:$I$88,7,0))</f>
        <v>0</v>
      </c>
      <c r="Q126" s="31">
        <f>IF(ISNA(VLOOKUP(A126,'Données projet'!$A$35:$I$55,7,0)),0%,VLOOKUP(A126,'Données projet'!$A$35:$I$55,7,0))</f>
        <v>0</v>
      </c>
      <c r="R126" s="43">
        <f>EXP(-LN(2)/35)*R125+(1-EXP(-LN(2)/35))/(LN(2)/35)*N126*O126*VLOOKUP('Données projet'!$B$9,Paramètres!$A$1:$I$88,3,0)*0.475*44/12</f>
        <v>0</v>
      </c>
      <c r="S126" s="43">
        <f>EXP(-LN(2)/25)*S125+(1-EXP(-LN(2)/25))/(LN(2)/25)*Calculateur!N126*Calculateur!P126*VLOOKUP('Données projet'!$B$9,Paramètres!$A$1:$I$88,3,0)*0.475*44/12</f>
        <v>0</v>
      </c>
      <c r="T126" s="43">
        <f>EXP(-LN(2)/2)*T125+(1-EXP(-LN(2)/2))/(LN(2)/2)*N126*Q126*VLOOKUP('Données projet'!$B$9,Paramètres!$A$1:$I$88,3,0)*0.475*44/12</f>
        <v>0</v>
      </c>
      <c r="U126" s="43">
        <f t="shared" si="43"/>
        <v>0</v>
      </c>
      <c r="V126" s="32" t="e">
        <f>VLOOKUP(A126,'Données projet'!$A$61:$I$81,2,0)</f>
        <v>#N/A</v>
      </c>
      <c r="W126" s="33" t="e">
        <f>VLOOKUP(A126,'Données projet'!$A$61:$I$81,9,0)</f>
        <v>#N/A</v>
      </c>
      <c r="X126" s="33">
        <f t="array" ref="X126">INDEX(W:W,MIN(IF(ISNUMBER(W126:W322),ROW(W126:W322),"")))</f>
        <v>0</v>
      </c>
      <c r="Y126" s="33">
        <f t="shared" si="66"/>
        <v>0</v>
      </c>
      <c r="Z126" s="34" t="e">
        <f>Y126*VLOOKUP('Données projet'!$B$10,Paramètres!$A$1:$I$88,3,0)*VLOOKUP('Données projet'!$B$10,Paramètres!$A$1:$I$88,5,0)</f>
        <v>#N/A</v>
      </c>
      <c r="AA126" s="34" t="e">
        <f t="shared" si="67"/>
        <v>#N/A</v>
      </c>
      <c r="AB126" s="44" t="e">
        <f t="shared" si="44"/>
        <v>#N/A</v>
      </c>
      <c r="AC126" s="36">
        <f>IF(ISNA(VLOOKUP(A126,'Données projet'!$A$61:$I$81,3,0)),0,VLOOKUP(A126,'Données projet'!$A$61:$I$81,3,0))</f>
        <v>0</v>
      </c>
      <c r="AD126" s="36">
        <f>IF(ISNA(VLOOKUP(A126,'Données projet'!$A$61:$I$81,4,0)),0,VLOOKUP(A126,'Données projet'!$A$61:$I$81,4,0))</f>
        <v>0</v>
      </c>
      <c r="AE126" s="37">
        <f>IF(ISNA(VLOOKUP(A126,'Données projet'!$A$61:$I$81,5,0)),0%,VLOOKUP(A126,'Données projet'!$A$61:$I$81,5,0)*VLOOKUP('Données projet'!$B$10,Paramètres!$A$1:$I$88,7,0))</f>
        <v>0</v>
      </c>
      <c r="AF126" s="37">
        <f>IF(ISNA(VLOOKUP(A126,'Données projet'!$A$61:$I$81,6,0)),0%,VLOOKUP(A126,'Données projet'!$A$61:$I$81,6,0)*VLOOKUP('Données projet'!$B$10,Paramètres!$A$1:$I$88,7,0))</f>
        <v>0</v>
      </c>
      <c r="AG126" s="37">
        <f>IF(ISNA(VLOOKUP(A126,'Données projet'!$A$61:$I$81,7,0)),0%,VLOOKUP(A126,'Données projet'!$A$61:$I$81,7,0))</f>
        <v>0</v>
      </c>
      <c r="AH126" s="45">
        <f>EXP(-LN(2)/35)*AH125+(1-EXP(-LN(2)/35))/(LN(2)/35)*AD126*AE126*VLOOKUP('Données projet'!$B$9,Paramètres!$A$1:$I$88,3,0)*0.475*44/12</f>
        <v>0</v>
      </c>
      <c r="AI126" s="45">
        <f>EXP(-LN(2)/25)*AI125+(1-EXP(-LN(2)/25))/(LN(2)/25)*Calculateur!AD126*Calculateur!AF126*VLOOKUP('Données projet'!$B$9,Paramètres!$A$1:$I$88,3,0)*0.475*44/12</f>
        <v>0</v>
      </c>
      <c r="AJ126" s="45">
        <f>EXP(-LN(2)/2)*AJ125+(1-EXP(-LN(2)/2))/(LN(2)/2)*AD126*AG126*VLOOKUP('Données projet'!$B$9,Paramètres!$A$1:$I$88,3,0)*0.475*44/12</f>
        <v>0</v>
      </c>
      <c r="AK126" s="45">
        <f t="shared" si="45"/>
        <v>0</v>
      </c>
      <c r="AL126" s="32" t="e">
        <f>VLOOKUP(A126,'Données projet'!$A$87:$I$107,2,0)</f>
        <v>#N/A</v>
      </c>
      <c r="AM126" s="33" t="e">
        <f>VLOOKUP(A126,'Données projet'!$A$87:$I$107,9,0)</f>
        <v>#N/A</v>
      </c>
      <c r="AN126" s="33">
        <f t="array" ref="AN126">INDEX(AM:AM,MIN(IF(ISNUMBER(AM126:AM322),ROW(AM126:AM322),"")))</f>
        <v>0</v>
      </c>
      <c r="AO126" s="33">
        <f t="shared" si="68"/>
        <v>0</v>
      </c>
      <c r="AP126" s="34" t="e">
        <f>AO126*VLOOKUP('Données projet'!$B$11,Paramètres!$A$1:$I$88,3,0)*VLOOKUP('Données projet'!$B$11,Paramètres!$A$1:$I$88,5,0)</f>
        <v>#N/A</v>
      </c>
      <c r="AQ126" s="34" t="e">
        <f t="shared" si="69"/>
        <v>#N/A</v>
      </c>
      <c r="AR126" s="44" t="e">
        <f t="shared" si="46"/>
        <v>#N/A</v>
      </c>
      <c r="AS126" s="36">
        <f>IF(ISNA(VLOOKUP(A126,'Données projet'!$A$87:$I$107,3,0)),0,VLOOKUP(A126,'Données projet'!$A$87:$I$107,3,0))</f>
        <v>0</v>
      </c>
      <c r="AT126" s="36">
        <f>IF(ISNA(VLOOKUP(A126,'Données projet'!$A$87:$I$107,4,0)),0,VLOOKUP(A126,'Données projet'!$A$87:$I$107,4,0))</f>
        <v>0</v>
      </c>
      <c r="AU126" s="37">
        <f>IF(ISNA(VLOOKUP(A126,'Données projet'!$A$87:$I$107,5,0)),0%,VLOOKUP(A126,'Données projet'!$A$87:$I$107,5,0)*VLOOKUP('Données projet'!$B$11,Paramètres!$A$1:$I$88,7,0))</f>
        <v>0</v>
      </c>
      <c r="AV126" s="37">
        <f>IF(ISNA(VLOOKUP(A126,'Données projet'!$A$87:$I$107,6,0)),0%,VLOOKUP(A126,'Données projet'!$A$87:$I$107,6,0)*VLOOKUP('Données projet'!$B$11,Paramètres!$A$1:$I$88,7,0))</f>
        <v>0</v>
      </c>
      <c r="AW126" s="37">
        <f>IF(ISNA(VLOOKUP(A126,'Données projet'!$A$87:$I$107,7,0)),0%,VLOOKUP(A126,'Données projet'!$A$87:$I$107,7,0))</f>
        <v>0</v>
      </c>
      <c r="AX126" s="45">
        <f>EXP(-LN(2)/35)*AX125+(1-EXP(-LN(2)/35))/(LN(2)/35)*AT126*AU126*VLOOKUP('Données projet'!$B$9,Paramètres!$A$1:$I$88,3,0)*0.475*44/12</f>
        <v>0</v>
      </c>
      <c r="AY126" s="45">
        <f>EXP(-LN(2)/25)*AY125+(1-EXP(-LN(2)/25))/(LN(2)/25)*Calculateur!AT126*Calculateur!AV126*VLOOKUP('Données projet'!$B$9,Paramètres!$A$1:$I$88,3,0)*0.475*44/12</f>
        <v>0</v>
      </c>
      <c r="AZ126" s="45">
        <f>EXP(-LN(2)/2)*AZ125+(1-EXP(-LN(2)/2))/(LN(2)/2)*AT126*AW126*VLOOKUP('Données projet'!$B$9,Paramètres!$A$1:$I$88,3,0)*0.475*44/12</f>
        <v>0</v>
      </c>
      <c r="BA126" s="46">
        <f t="shared" si="47"/>
        <v>0</v>
      </c>
      <c r="BB126" s="32" t="e">
        <f>VLOOKUP(A126,'Données projet'!$A$113:$I$133,2,0)</f>
        <v>#N/A</v>
      </c>
      <c r="BC126" s="33" t="e">
        <f>VLOOKUP(A126,'Données projet'!$A$113:$I$133,9,0)</f>
        <v>#N/A</v>
      </c>
      <c r="BD126" s="33">
        <f t="array" ref="BD126">INDEX(BC:BC,MIN(IF(ISNUMBER(BC126:BC322),ROW(BC126:BC322),"")))</f>
        <v>0</v>
      </c>
      <c r="BE126" s="33">
        <f t="shared" si="70"/>
        <v>0</v>
      </c>
      <c r="BF126" s="34" t="e">
        <f>BE126*VLOOKUP('Données projet'!$B$12,Paramètres!$A$1:$I$88,3,0)*VLOOKUP('Données projet'!$B$12,Paramètres!$A$1:$I$88,5,0)</f>
        <v>#N/A</v>
      </c>
      <c r="BG126" s="34" t="e">
        <f t="shared" si="71"/>
        <v>#N/A</v>
      </c>
      <c r="BH126" s="44" t="e">
        <f t="shared" si="48"/>
        <v>#N/A</v>
      </c>
      <c r="BI126" s="36">
        <f>IF(ISNA(VLOOKUP(A126,'Données projet'!$A$113:$I$133,3,0)),0,VLOOKUP(A126,'Données projet'!$A$113:$I$133,3,0))</f>
        <v>0</v>
      </c>
      <c r="BJ126" s="36">
        <f>IF(ISNA(VLOOKUP(A126,'Données projet'!$A$113:$I$133,4,0)),0,VLOOKUP(A126,'Données projet'!$A$113:$I$133,4,0))</f>
        <v>0</v>
      </c>
      <c r="BK126" s="37">
        <f>IF(ISNA(VLOOKUP(A126,'Données projet'!$A$113:$I$133,5,0)),0%,VLOOKUP(A126,'Données projet'!$A$113:$I$133,5,0)*VLOOKUP('Données projet'!$B$12,Paramètres!$A$1:$I$88,7,0))</f>
        <v>0</v>
      </c>
      <c r="BL126" s="37">
        <f>IF(ISNA(VLOOKUP(A126,'Données projet'!$A$113:$I$133,6,0)),0%,VLOOKUP(A126,'Données projet'!$A$113:$I$133,6,0)*VLOOKUP('Données projet'!$B$12,Paramètres!$A$1:$I$88,7,0))</f>
        <v>0</v>
      </c>
      <c r="BM126" s="37">
        <f>IF(ISNA(VLOOKUP(A126,'Données projet'!$A$113:$I$133,7,0)),0%,VLOOKUP(A126,'Données projet'!$A$113:$I$133,7,0))</f>
        <v>0</v>
      </c>
      <c r="BN126" s="45">
        <f>EXP(-LN(2)/35)*BN125+(1-EXP(-LN(2)/35))/(LN(2)/35)*BJ126*BK126*VLOOKUP('Données projet'!$B$9,Paramètres!$A$1:$I$88,3,0)*0.475*44/12</f>
        <v>0</v>
      </c>
      <c r="BO126" s="45">
        <f>EXP(-LN(2)/25)*BO125+(1-EXP(-LN(2)/25))/(LN(2)/25)*Calculateur!BJ126*Calculateur!BL126*VLOOKUP('Données projet'!$B$9,Paramètres!$A$1:$I$88,3,0)*0.475*44/12</f>
        <v>0</v>
      </c>
      <c r="BP126" s="45">
        <f>EXP(-LN(2)/2)*BP125+(1-EXP(-LN(2)/2))/(LN(2)/2)*BJ126*BM126*VLOOKUP('Données projet'!$B$9,Paramètres!$A$1:$I$88,3,0)*0.475*44/12</f>
        <v>0</v>
      </c>
      <c r="BQ126" s="46">
        <f t="shared" si="49"/>
        <v>0</v>
      </c>
      <c r="BR126" s="32" t="e">
        <f>VLOOKUP(A126,'Données projet'!$A$139:$I$159,2,0)</f>
        <v>#N/A</v>
      </c>
      <c r="BS126" s="33" t="e">
        <f>VLOOKUP(A126,'Données projet'!$A$139:$I$159,9,0)</f>
        <v>#N/A</v>
      </c>
      <c r="BT126" s="33">
        <f t="array" ref="BT126">INDEX(BS:BS,MIN(IF(ISNUMBER(BS126:BS322),ROW(BS126:BS322),"")))</f>
        <v>0</v>
      </c>
      <c r="BU126" s="33">
        <f t="shared" si="72"/>
        <v>0</v>
      </c>
      <c r="BV126" s="38" t="e">
        <f>BU126*VLOOKUP('Données projet'!$B$13,Paramètres!$A$1:$I$88,3,0)*VLOOKUP('Données projet'!$B$13,Paramètres!$A$1:$I$88,5,0)</f>
        <v>#N/A</v>
      </c>
      <c r="BW126" s="34" t="e">
        <f t="shared" si="73"/>
        <v>#N/A</v>
      </c>
      <c r="BX126" s="44" t="e">
        <f t="shared" si="50"/>
        <v>#N/A</v>
      </c>
      <c r="BY126" s="36">
        <f>IF(ISNA(VLOOKUP(A126,'Données projet'!$A$139:$I$159,3,0)),0,VLOOKUP(A126,'Données projet'!$A$139:$I$159,3,0))</f>
        <v>0</v>
      </c>
      <c r="BZ126" s="36">
        <f>IF(ISNA(VLOOKUP(A126,'Données projet'!$A$139:$I$159,4,0)),0,VLOOKUP(A126,'Données projet'!$A$139:$I$159,4,0))</f>
        <v>0</v>
      </c>
      <c r="CA126" s="37">
        <f>IF(ISNA(VLOOKUP(A126,'Données projet'!$A$139:$I$159,5,0)),0%,VLOOKUP(A126,'Données projet'!$A$139:$I$159,5,0)*VLOOKUP('Données projet'!$B$13,Paramètres!$A$1:$I$88,7,0))</f>
        <v>0</v>
      </c>
      <c r="CB126" s="37">
        <f>IF(ISNA(VLOOKUP(A126,'Données projet'!$A$139:$I$159,6,0)),0%,VLOOKUP(A126,'Données projet'!$A$139:$I$159,6,0)*VLOOKUP('Données projet'!$B$13,Paramètres!$A$1:$I$88,7,0))</f>
        <v>0</v>
      </c>
      <c r="CC126" s="37">
        <f>IF(ISNA(VLOOKUP(A126,'Données projet'!$A$139:$I$159,7,0)),0%,VLOOKUP(A126,'Données projet'!$A$139:$I$159,7,0))</f>
        <v>0</v>
      </c>
      <c r="CD126" s="45">
        <f>EXP(-LN(2)/35)*CD125+(1-EXP(-LN(2)/35))/(LN(2)/35)*BZ126*CA126*VLOOKUP('Données projet'!$B$9,Paramètres!$A$1:$I$88,3,0)*0.475*44/12</f>
        <v>0</v>
      </c>
      <c r="CE126" s="45">
        <f>EXP(-LN(2)/25)*CE125+(1-EXP(-LN(2)/25))/(LN(2)/25)*Calculateur!BZ126*Calculateur!CB126*VLOOKUP('Données projet'!$B$9,Paramètres!$A$1:$I$88,3,0)*0.475*44/12</f>
        <v>0</v>
      </c>
      <c r="CF126" s="45">
        <f>EXP(-LN(2)/2)*CF125+(1-EXP(-LN(2)/2))/(LN(2)/2)*BZ126*CC126*VLOOKUP('Données projet'!$B$9,Paramètres!$A$1:$I$88,3,0)*0.475*44/12</f>
        <v>0</v>
      </c>
      <c r="CG126" s="46">
        <f t="shared" si="51"/>
        <v>0</v>
      </c>
      <c r="CH126" s="32" t="e">
        <f>VLOOKUP(A126,'Données projet'!$A$165:$I$185,2,0)</f>
        <v>#N/A</v>
      </c>
      <c r="CI126" s="33" t="e">
        <f>VLOOKUP(A126,'Données projet'!$A$165:$I$185,9,0)</f>
        <v>#N/A</v>
      </c>
      <c r="CJ126" s="33">
        <f t="array" ref="CJ126">INDEX(CI:CI,MIN(IF(ISNUMBER(CI126:CI322),ROW(CI126:CI322),"")))</f>
        <v>0</v>
      </c>
      <c r="CK126" s="33">
        <f t="shared" si="74"/>
        <v>0</v>
      </c>
      <c r="CL126" s="38" t="e">
        <f>CK126*VLOOKUP('Données projet'!$B$14,Paramètres!$A$1:$I$88,3,0)*VLOOKUP('Données projet'!$B$14,Paramètres!$A$1:$I$88,5,0)</f>
        <v>#N/A</v>
      </c>
      <c r="CM126" s="34" t="e">
        <f t="shared" si="75"/>
        <v>#N/A</v>
      </c>
      <c r="CN126" s="44" t="e">
        <f t="shared" si="52"/>
        <v>#N/A</v>
      </c>
      <c r="CO126" s="36">
        <f>IF(ISNA(VLOOKUP(A126,'Données projet'!$A$165:$I$185,3,0)),0,VLOOKUP(A126,'Données projet'!$A$165:$I$185,3,0))</f>
        <v>0</v>
      </c>
      <c r="CP126" s="36">
        <f>IF(ISNA(VLOOKUP(A126,'Données projet'!$A$165:$I$185,4,0)),0,VLOOKUP(A126,'Données projet'!$A$165:$I$185,4,0))</f>
        <v>0</v>
      </c>
      <c r="CQ126" s="37">
        <f>IF(ISNA(VLOOKUP(A126,'Données projet'!$A$165:$I$185,5,0)),0%,VLOOKUP(A126,'Données projet'!$A$165:$I$185,5,0)*VLOOKUP('Données projet'!$B$14,Paramètres!$A$1:$I$88,7,0))</f>
        <v>0</v>
      </c>
      <c r="CR126" s="37">
        <f>IF(ISNA(VLOOKUP(A126,'Données projet'!$A$165:$I$185,6,0)),0%,VLOOKUP(A126,'Données projet'!$A$165:$I$185,6,0)*VLOOKUP('Données projet'!$B$14,Paramètres!$A$1:$I$88,7,0))</f>
        <v>0</v>
      </c>
      <c r="CS126" s="37">
        <f>IF(ISNA(VLOOKUP(A126,'Données projet'!$A$165:$I$185,7,0)),0%,VLOOKUP(A126,'Données projet'!$A$165:$I$185,7,0))</f>
        <v>0</v>
      </c>
      <c r="CT126" s="45">
        <f>EXP(-LN(2)/35)*CT125+(1-EXP(-LN(2)/35))/(LN(2)/35)*CP126*CQ126*VLOOKUP('Données projet'!$B$9,Paramètres!$A$1:$I$88,3,0)*0.475*44/12</f>
        <v>0</v>
      </c>
      <c r="CU126" s="45">
        <f>EXP(-LN(2)/25)*CU125+(1-EXP(-LN(2)/25))/(LN(2)/25)*Calculateur!CP126*Calculateur!CR126*VLOOKUP('Données projet'!$B$9,Paramètres!$A$1:$I$88,3,0)*0.475*44/12</f>
        <v>0</v>
      </c>
      <c r="CV126" s="45">
        <f>EXP(-LN(2)/2)*CV125+(1-EXP(-LN(2)/2))/(LN(2)/2)*CP126*CS126*VLOOKUP('Données projet'!$B$9,Paramètres!$A$1:$I$88,3,0)*0.475*44/12</f>
        <v>0</v>
      </c>
      <c r="CW126" s="46">
        <f t="shared" si="53"/>
        <v>0</v>
      </c>
      <c r="CX126" s="32" t="e">
        <f>VLOOKUP(A126,'Données projet'!$A$191:$I$211,2,0)</f>
        <v>#N/A</v>
      </c>
      <c r="CY126" s="33" t="e">
        <f>VLOOKUP(A126,'Données projet'!$A$191:$I$211,9,0)</f>
        <v>#N/A</v>
      </c>
      <c r="CZ126" s="33">
        <f t="array" ref="CZ126">INDEX(CY:CY,MIN(IF(ISNUMBER(CY126:CY322),ROW(CY126:CY322),"")))</f>
        <v>0</v>
      </c>
      <c r="DA126" s="33">
        <f t="shared" si="76"/>
        <v>0</v>
      </c>
      <c r="DB126" s="38" t="e">
        <f>DA126*VLOOKUP('Données projet'!$B$15,Paramètres!$A$1:$I$88,3,0)*VLOOKUP('Données projet'!$B$15,Paramètres!$A$1:$I$88,5,0)</f>
        <v>#N/A</v>
      </c>
      <c r="DC126" s="34" t="e">
        <f t="shared" si="77"/>
        <v>#N/A</v>
      </c>
      <c r="DD126" s="44" t="e">
        <f t="shared" si="54"/>
        <v>#N/A</v>
      </c>
      <c r="DE126" s="36">
        <f>IF(ISNA(VLOOKUP(A126,'Données projet'!$A$191:$I$211,3,0)),0,VLOOKUP(A126,'Données projet'!$A$191:$I$211,3,0))</f>
        <v>0</v>
      </c>
      <c r="DF126" s="36">
        <f>IF(ISNA(VLOOKUP(A126,'Données projet'!$A$191:$I$211,4,0)),0,VLOOKUP(A126,'Données projet'!$A$191:$I$211,4,0))</f>
        <v>0</v>
      </c>
      <c r="DG126" s="37">
        <f>IF(ISNA(VLOOKUP(A126,'Données projet'!$A$191:$I$211,5,0)),0%,VLOOKUP(A126,'Données projet'!$A$191:$I$211,5,0)*VLOOKUP('Données projet'!$B$15,Paramètres!$A$1:$I$88,7,0))</f>
        <v>0</v>
      </c>
      <c r="DH126" s="37">
        <f>IF(ISNA(VLOOKUP(A126,'Données projet'!$A$191:$I$211,6,0)),0%,VLOOKUP(A126,'Données projet'!$A$191:$I$211,6,0)*VLOOKUP('Données projet'!$B$15,Paramètres!$A$1:$I$88,7,0))</f>
        <v>0</v>
      </c>
      <c r="DI126" s="37">
        <f>IF(ISNA(VLOOKUP(A126,'Données projet'!$A$191:$I$211,7,0)),0%,VLOOKUP(A126,'Données projet'!$A$191:$I$211,7,0))</f>
        <v>0</v>
      </c>
      <c r="DJ126" s="45">
        <f>EXP(-LN(2)/35)*DJ125+(1-EXP(-LN(2)/35))/(LN(2)/35)*DF126*DG126*VLOOKUP('Données projet'!$B$9,Paramètres!$A$1:$I$88,3,0)*0.475*44/12</f>
        <v>0</v>
      </c>
      <c r="DK126" s="45">
        <f>EXP(-LN(2)/25)*DK125+(1-EXP(-LN(2)/25))/(LN(2)/25)*Calculateur!DF126*Calculateur!DH126*VLOOKUP('Données projet'!$B$9,Paramètres!$A$1:$I$88,3,0)*0.475*44/12</f>
        <v>0</v>
      </c>
      <c r="DL126" s="45">
        <f>EXP(-LN(2)/2)*DL125+(1-EXP(-LN(2)/2))/(LN(2)/2)*DF126*DI126*VLOOKUP('Données projet'!$B$9,Paramètres!$A$1:$I$88,3,0)*0.475*44/12</f>
        <v>0</v>
      </c>
      <c r="DM126" s="46">
        <f t="shared" si="55"/>
        <v>0</v>
      </c>
      <c r="DN126" s="32" t="e">
        <f>VLOOKUP(A126,'Données projet'!$A$217:$I$237,2,0)</f>
        <v>#N/A</v>
      </c>
      <c r="DO126" s="33" t="e">
        <f>VLOOKUP(A126,'Données projet'!$A$217:$I$237,9,0)</f>
        <v>#N/A</v>
      </c>
      <c r="DP126" s="33">
        <f t="array" ref="DP126">INDEX(DO:DO,MIN(IF(ISNUMBER(DO126:DO322),ROW(DO126:DO322),"")))</f>
        <v>0</v>
      </c>
      <c r="DQ126" s="33">
        <f t="shared" si="78"/>
        <v>0</v>
      </c>
      <c r="DR126" s="38" t="e">
        <f>DQ126*VLOOKUP('Données projet'!$B$16,Paramètres!$A$1:$I$88,3,0)*VLOOKUP('Données projet'!$B$16,Paramètres!$A$1:$I$88,5,0)</f>
        <v>#N/A</v>
      </c>
      <c r="DS126" s="34" t="e">
        <f t="shared" si="79"/>
        <v>#N/A</v>
      </c>
      <c r="DT126" s="44" t="e">
        <f t="shared" si="56"/>
        <v>#N/A</v>
      </c>
      <c r="DU126" s="36">
        <f>IF(ISNA(VLOOKUP(A126,'Données projet'!$A$217:$I$237,3,0)),0,VLOOKUP(A126,'Données projet'!$A$217:$I$237,3,0))</f>
        <v>0</v>
      </c>
      <c r="DV126" s="36">
        <f>IF(ISNA(VLOOKUP(A126,'Données projet'!$A$217:$I$237,4,0)),0,VLOOKUP(A126,'Données projet'!$A$217:$I$237,4,0))</f>
        <v>0</v>
      </c>
      <c r="DW126" s="37">
        <f>IF(ISNA(VLOOKUP(A126,'Données projet'!$A$217:$I$237,5,0)),0%,VLOOKUP(A126,'Données projet'!$A$217:$I$237,5,0)*VLOOKUP('Données projet'!$B$16,Paramètres!$A$1:$I$88,7,0))</f>
        <v>0</v>
      </c>
      <c r="DX126" s="37">
        <f>IF(ISNA(VLOOKUP(A126,'Données projet'!$A$217:$I$237,6,0)),0%,VLOOKUP(A126,'Données projet'!$A$217:$I$237,6,0)*VLOOKUP('Données projet'!$B$16,Paramètres!$A$1:$I$88,7,0))</f>
        <v>0</v>
      </c>
      <c r="DY126" s="37">
        <f>IF(ISNA(VLOOKUP(A126,'Données projet'!$A$217:$I$237,7,0)),0%,VLOOKUP(A126,'Données projet'!$A$217:$I$237,7,0))</f>
        <v>0</v>
      </c>
      <c r="DZ126" s="45">
        <f>EXP(-LN(2)/35)*DZ125+(1-EXP(-LN(2)/35))/(LN(2)/35)*DV126*DW126*VLOOKUP('Données projet'!$B$9,Paramètres!$A$1:$I$88,3,0)*0.475*44/12</f>
        <v>0</v>
      </c>
      <c r="EA126" s="45">
        <f>EXP(-LN(2)/25)*EA125+(1-EXP(-LN(2)/25))/(LN(2)/25)*Calculateur!DV126*Calculateur!DX126*VLOOKUP('Données projet'!$B$9,Paramètres!$A$1:$I$88,3,0)*0.475*44/12</f>
        <v>0</v>
      </c>
      <c r="EB126" s="45">
        <f>EXP(-LN(2)/2)*EB125+(1-EXP(-LN(2)/2))/(LN(2)/2)*DV126*DY126*VLOOKUP('Données projet'!$B$9,Paramètres!$A$1:$I$88,3,0)*0.475*44/12</f>
        <v>0</v>
      </c>
      <c r="EC126" s="46">
        <f t="shared" si="57"/>
        <v>0</v>
      </c>
      <c r="ED126" s="32" t="e">
        <f>VLOOKUP(A126,'Données projet'!$A$243:$I$263,2,0)</f>
        <v>#N/A</v>
      </c>
      <c r="EE126" s="33" t="e">
        <f>VLOOKUP(A126,'Données projet'!$A$243:$I$263,9,0)</f>
        <v>#N/A</v>
      </c>
      <c r="EF126" s="33">
        <f t="array" ref="EF126">INDEX(EE:EE,MIN(IF(ISNUMBER(EE126:EE322),ROW(EE126:EE322),"")))</f>
        <v>0</v>
      </c>
      <c r="EG126" s="33">
        <f t="shared" si="80"/>
        <v>0</v>
      </c>
      <c r="EH126" s="38" t="e">
        <f>EG126*VLOOKUP('Données projet'!$B$17,Paramètres!$A$1:$I$88,3,0)*VLOOKUP('Données projet'!$B$17,Paramètres!$A$1:$I$88,5,0)</f>
        <v>#N/A</v>
      </c>
      <c r="EI126" s="34" t="e">
        <f t="shared" si="81"/>
        <v>#N/A</v>
      </c>
      <c r="EJ126" s="44" t="e">
        <f t="shared" si="58"/>
        <v>#N/A</v>
      </c>
      <c r="EK126" s="36">
        <f>IF(ISNA(VLOOKUP(A126,'Données projet'!$A$243:$I$263,3,0)),0,VLOOKUP(A126,'Données projet'!$A$243:$I$263,3,0))</f>
        <v>0</v>
      </c>
      <c r="EL126" s="36">
        <f>IF(ISNA(VLOOKUP(A126,'Données projet'!$A$243:$I$263,4,0)),0,VLOOKUP(A126,'Données projet'!$A$243:$I$263,4,0))</f>
        <v>0</v>
      </c>
      <c r="EM126" s="37">
        <f>IF(ISNA(VLOOKUP(A126,'Données projet'!$A$243:$I$263,5,0)),0%,VLOOKUP(A126,'Données projet'!$A$243:$I$263,5,0)*VLOOKUP('Données projet'!$B$17,Paramètres!$A$1:$I$88,7,0))</f>
        <v>0</v>
      </c>
      <c r="EN126" s="37">
        <f>IF(ISNA(VLOOKUP(A126,'Données projet'!$A$243:$I$263,6,0)),0%,VLOOKUP(A126,'Données projet'!$A$243:$I$263,6,0)*VLOOKUP('Données projet'!$B$17,Paramètres!$A$1:$I$88,7,0))</f>
        <v>0</v>
      </c>
      <c r="EO126" s="37">
        <f>IF(ISNA(VLOOKUP(A126,'Données projet'!$A$243:$I$263,7,0)),0%,VLOOKUP(A126,'Données projet'!$A$243:$I$263,7,0))</f>
        <v>0</v>
      </c>
      <c r="EP126" s="45">
        <f>EXP(-LN(2)/35)*EP125+(1-EXP(-LN(2)/35))/(LN(2)/35)*EL126*EM126*VLOOKUP('Données projet'!$B$9,Paramètres!$A$1:$I$88,3,0)*0.475*44/12</f>
        <v>0</v>
      </c>
      <c r="EQ126" s="45">
        <f>EXP(-LN(2)/25)*EQ125+(1-EXP(-LN(2)/25))/(LN(2)/25)*Calculateur!EL126*Calculateur!EN126*VLOOKUP('Données projet'!$B$9,Paramètres!$A$1:$I$88,3,0)*0.475*44/12</f>
        <v>0</v>
      </c>
      <c r="ER126" s="45">
        <f>EXP(-LN(2)/2)*ER125+(1-EXP(-LN(2)/2))/(LN(2)/2)*EL126*EO126*VLOOKUP('Données projet'!$B$9,Paramètres!$A$1:$I$88,3,0)*0.475*44/12</f>
        <v>0</v>
      </c>
      <c r="ES126" s="46">
        <f t="shared" si="59"/>
        <v>0</v>
      </c>
      <c r="ET126" s="32" t="e">
        <f>VLOOKUP(A126,'Données projet'!$A$269:$I$289,2,0)</f>
        <v>#N/A</v>
      </c>
      <c r="EU126" s="33" t="e">
        <f>VLOOKUP(A126,'Données projet'!$A$269:$I$289,9,0)</f>
        <v>#N/A</v>
      </c>
      <c r="EV126" s="33">
        <f t="array" ref="EV126">INDEX(EU:EU,MIN(IF(ISNUMBER(EU126:EU322),ROW(EU126:EU322),"")))</f>
        <v>0</v>
      </c>
      <c r="EW126" s="33">
        <f t="shared" si="82"/>
        <v>0</v>
      </c>
      <c r="EX126" s="38" t="e">
        <f>EW126*VLOOKUP('Données projet'!$B$18,Paramètres!$A$1:$I$88,3,0)*VLOOKUP('Données projet'!$B$18,Paramètres!$A$1:$I$88,5,0)</f>
        <v>#N/A</v>
      </c>
      <c r="EY126" s="34" t="e">
        <f t="shared" si="83"/>
        <v>#N/A</v>
      </c>
      <c r="EZ126" s="44" t="e">
        <f t="shared" si="60"/>
        <v>#N/A</v>
      </c>
      <c r="FA126" s="36">
        <f>IF(ISNA(VLOOKUP(A126,'Données projet'!$A$269:$I$289,3,0)),0,VLOOKUP(A126,'Données projet'!$A$269:$I$289,3,0))</f>
        <v>0</v>
      </c>
      <c r="FB126" s="36">
        <f>IF(ISNA(VLOOKUP(A126,'Données projet'!$A$269:$I$289,4,0)),0,VLOOKUP(A126,'Données projet'!$A$269:$I$289,4,0))</f>
        <v>0</v>
      </c>
      <c r="FC126" s="37">
        <f>IF(ISNA(VLOOKUP(A126,'Données projet'!$A$269:$I$289,5,0)),0%,VLOOKUP(A126,'Données projet'!$A$269:$I$289,5,0)*VLOOKUP('Données projet'!$B$18,Paramètres!$A$1:$I$88,7,0))</f>
        <v>0</v>
      </c>
      <c r="FD126" s="37">
        <f>IF(ISNA(VLOOKUP(A126,'Données projet'!$A$269:$I$289,6,0)),0%,VLOOKUP(A126,'Données projet'!$A$269:$I$289,6,0)*VLOOKUP('Données projet'!$B$18,Paramètres!$A$1:$I$88,7,0))</f>
        <v>0</v>
      </c>
      <c r="FE126" s="37">
        <f>IF(ISNA(VLOOKUP(A126,'Données projet'!$A$269:$I$289,7,0)),0%,VLOOKUP(A126,'Données projet'!$A$269:$I$289,7,0))</f>
        <v>0</v>
      </c>
      <c r="FF126" s="45">
        <f>EXP(-LN(2)/35)*FF125+(1-EXP(-LN(2)/35))/(LN(2)/35)*FB126*FC126*VLOOKUP('Données projet'!$B$9,Paramètres!$A$1:$I$88,3,0)*0.475*44/12</f>
        <v>0</v>
      </c>
      <c r="FG126" s="45">
        <f>EXP(-LN(2)/25)*FG125+(1-EXP(-LN(2)/25))/(LN(2)/25)*Calculateur!FB126*Calculateur!FD126*VLOOKUP('Données projet'!$B$9,Paramètres!$A$1:$I$88,3,0)*0.475*44/12</f>
        <v>0</v>
      </c>
      <c r="FH126" s="45">
        <f>EXP(-LN(2)/2)*FH125+(1-EXP(-LN(2)/2))/(LN(2)/2)*FB126*FE126*VLOOKUP('Données projet'!$B$9,Paramètres!$A$1:$I$88,3,0)*0.475*44/12</f>
        <v>0</v>
      </c>
      <c r="FI126" s="46">
        <f t="shared" si="61"/>
        <v>0</v>
      </c>
    </row>
    <row r="127" spans="1:165" x14ac:dyDescent="0.25">
      <c r="A127" s="24">
        <f t="shared" si="62"/>
        <v>124</v>
      </c>
      <c r="B127" s="25">
        <f>IF('Scénario référence'!$N$1=1,5,0)</f>
        <v>0</v>
      </c>
      <c r="C127" s="40">
        <f>IF(OR('Scénario référence'!$N$1=2,'Scénario référence'!$N$1=4),C126+1*VLOOKUP('Scénario référence'!$G$14,Paramètres!$A$1:$I$88,3,0)*VLOOKUP('Scénario référence'!$G$14,Paramètres!$A$1:$I$88,5,0),IF(OR('Scénario référence'!$N$1=3,'Scénario référence'!$N$1=5),C126+0.5*VLOOKUP('Scénario référence'!$G$14,Paramètres!$A$1:$I$88,3,0)*VLOOKUP('Scénario référence'!$G$14,Paramètres!$A$1:$I$88,5,0),0))</f>
        <v>67.703999999999979</v>
      </c>
      <c r="D127" s="26">
        <f t="shared" si="63"/>
        <v>19.102177882771514</v>
      </c>
      <c r="E127" s="27">
        <f>IF('Scénario référence'!$N$1=1,B127*44/12,(C127+D127)*0.475*44/12)</f>
        <v>151.18742647916034</v>
      </c>
      <c r="F127" s="28" t="e">
        <f>VLOOKUP(A127,'Données projet'!$A$35:$I$55,2,0)</f>
        <v>#N/A</v>
      </c>
      <c r="G127" s="28" t="e">
        <f>VLOOKUP(A127,'Données projet'!$A$35:$I$55,9,0)</f>
        <v>#N/A</v>
      </c>
      <c r="H127" s="33">
        <f t="array" ref="H127">INDEX(G:G,MIN(IF(ISNUMBER(G127:G323),ROW(G127:G323),"")))</f>
        <v>3.4</v>
      </c>
      <c r="I127" s="28">
        <f t="shared" si="64"/>
        <v>297.59999999999934</v>
      </c>
      <c r="J127" s="41">
        <f>I127*VLOOKUP('Données projet'!$B$9,Paramètres!$A$1:$I$88,3,0)*VLOOKUP('Données projet'!$B$9,Paramètres!$A$1:$I$88,5,0)</f>
        <v>301.76639999999935</v>
      </c>
      <c r="K127" s="41">
        <f t="shared" si="65"/>
        <v>71.546642144235236</v>
      </c>
      <c r="L127" s="42">
        <f t="shared" si="42"/>
        <v>650.18688173454188</v>
      </c>
      <c r="M127" s="30">
        <f>IF(ISNA(VLOOKUP(A127,'Données projet'!$A$35:$I$55,3,0)),0,VLOOKUP(A127,'Données projet'!$A$35:$I$55,3,0))</f>
        <v>0</v>
      </c>
      <c r="N127" s="30">
        <f>IF(ISNA(VLOOKUP(A127,'Données projet'!$A$35:$I$55,4,0)),0,VLOOKUP(A127,'Données projet'!$A$35:$I$55,4,0))</f>
        <v>0</v>
      </c>
      <c r="O127" s="31">
        <f>IF(ISNA(VLOOKUP(A127,'Données projet'!$A$35:$I$55,5,0)),0%,VLOOKUP(A127,'Données projet'!$A$35:$I$55,5,0)*VLOOKUP('Données projet'!$B$9,Paramètres!$A$1:$I$88,7,0))</f>
        <v>0</v>
      </c>
      <c r="P127" s="31">
        <f>IF(ISNA(VLOOKUP(A127,'Données projet'!$A$35:$I$55,6,0)),0%,VLOOKUP(A127,'Données projet'!$A$35:$I$55,6,0)*VLOOKUP('Données projet'!$B$9,Paramètres!$A$1:$I$88,7,0))</f>
        <v>0</v>
      </c>
      <c r="Q127" s="31">
        <f>IF(ISNA(VLOOKUP(A127,'Données projet'!$A$35:$I$55,7,0)),0%,VLOOKUP(A127,'Données projet'!$A$35:$I$55,7,0))</f>
        <v>0</v>
      </c>
      <c r="R127" s="43">
        <f>EXP(-LN(2)/35)*R126+(1-EXP(-LN(2)/35))/(LN(2)/35)*N127*O127*VLOOKUP('Données projet'!$B$9,Paramètres!$A$1:$I$88,3,0)*0.475*44/12</f>
        <v>0</v>
      </c>
      <c r="S127" s="43">
        <f>EXP(-LN(2)/25)*S126+(1-EXP(-LN(2)/25))/(LN(2)/25)*Calculateur!N127*Calculateur!P127*VLOOKUP('Données projet'!$B$9,Paramètres!$A$1:$I$88,3,0)*0.475*44/12</f>
        <v>0</v>
      </c>
      <c r="T127" s="43">
        <f>EXP(-LN(2)/2)*T126+(1-EXP(-LN(2)/2))/(LN(2)/2)*N127*Q127*VLOOKUP('Données projet'!$B$9,Paramètres!$A$1:$I$88,3,0)*0.475*44/12</f>
        <v>0</v>
      </c>
      <c r="U127" s="43">
        <f t="shared" si="43"/>
        <v>0</v>
      </c>
      <c r="V127" s="32" t="e">
        <f>VLOOKUP(A127,'Données projet'!$A$61:$I$81,2,0)</f>
        <v>#N/A</v>
      </c>
      <c r="W127" s="33" t="e">
        <f>VLOOKUP(A127,'Données projet'!$A$61:$I$81,9,0)</f>
        <v>#N/A</v>
      </c>
      <c r="X127" s="33">
        <f t="array" ref="X127">INDEX(W:W,MIN(IF(ISNUMBER(W127:W323),ROW(W127:W323),"")))</f>
        <v>0</v>
      </c>
      <c r="Y127" s="33">
        <f t="shared" si="66"/>
        <v>0</v>
      </c>
      <c r="Z127" s="34" t="e">
        <f>Y127*VLOOKUP('Données projet'!$B$10,Paramètres!$A$1:$I$88,3,0)*VLOOKUP('Données projet'!$B$10,Paramètres!$A$1:$I$88,5,0)</f>
        <v>#N/A</v>
      </c>
      <c r="AA127" s="34" t="e">
        <f t="shared" si="67"/>
        <v>#N/A</v>
      </c>
      <c r="AB127" s="44" t="e">
        <f t="shared" si="44"/>
        <v>#N/A</v>
      </c>
      <c r="AC127" s="36">
        <f>IF(ISNA(VLOOKUP(A127,'Données projet'!$A$61:$I$81,3,0)),0,VLOOKUP(A127,'Données projet'!$A$61:$I$81,3,0))</f>
        <v>0</v>
      </c>
      <c r="AD127" s="36">
        <f>IF(ISNA(VLOOKUP(A127,'Données projet'!$A$61:$I$81,4,0)),0,VLOOKUP(A127,'Données projet'!$A$61:$I$81,4,0))</f>
        <v>0</v>
      </c>
      <c r="AE127" s="37">
        <f>IF(ISNA(VLOOKUP(A127,'Données projet'!$A$61:$I$81,5,0)),0%,VLOOKUP(A127,'Données projet'!$A$61:$I$81,5,0)*VLOOKUP('Données projet'!$B$10,Paramètres!$A$1:$I$88,7,0))</f>
        <v>0</v>
      </c>
      <c r="AF127" s="37">
        <f>IF(ISNA(VLOOKUP(A127,'Données projet'!$A$61:$I$81,6,0)),0%,VLOOKUP(A127,'Données projet'!$A$61:$I$81,6,0)*VLOOKUP('Données projet'!$B$10,Paramètres!$A$1:$I$88,7,0))</f>
        <v>0</v>
      </c>
      <c r="AG127" s="37">
        <f>IF(ISNA(VLOOKUP(A127,'Données projet'!$A$61:$I$81,7,0)),0%,VLOOKUP(A127,'Données projet'!$A$61:$I$81,7,0))</f>
        <v>0</v>
      </c>
      <c r="AH127" s="45">
        <f>EXP(-LN(2)/35)*AH126+(1-EXP(-LN(2)/35))/(LN(2)/35)*AD127*AE127*VLOOKUP('Données projet'!$B$9,Paramètres!$A$1:$I$88,3,0)*0.475*44/12</f>
        <v>0</v>
      </c>
      <c r="AI127" s="45">
        <f>EXP(-LN(2)/25)*AI126+(1-EXP(-LN(2)/25))/(LN(2)/25)*Calculateur!AD127*Calculateur!AF127*VLOOKUP('Données projet'!$B$9,Paramètres!$A$1:$I$88,3,0)*0.475*44/12</f>
        <v>0</v>
      </c>
      <c r="AJ127" s="45">
        <f>EXP(-LN(2)/2)*AJ126+(1-EXP(-LN(2)/2))/(LN(2)/2)*AD127*AG127*VLOOKUP('Données projet'!$B$9,Paramètres!$A$1:$I$88,3,0)*0.475*44/12</f>
        <v>0</v>
      </c>
      <c r="AK127" s="45">
        <f t="shared" si="45"/>
        <v>0</v>
      </c>
      <c r="AL127" s="32" t="e">
        <f>VLOOKUP(A127,'Données projet'!$A$87:$I$107,2,0)</f>
        <v>#N/A</v>
      </c>
      <c r="AM127" s="33" t="e">
        <f>VLOOKUP(A127,'Données projet'!$A$87:$I$107,9,0)</f>
        <v>#N/A</v>
      </c>
      <c r="AN127" s="33">
        <f t="array" ref="AN127">INDEX(AM:AM,MIN(IF(ISNUMBER(AM127:AM323),ROW(AM127:AM323),"")))</f>
        <v>0</v>
      </c>
      <c r="AO127" s="33">
        <f t="shared" si="68"/>
        <v>0</v>
      </c>
      <c r="AP127" s="34" t="e">
        <f>AO127*VLOOKUP('Données projet'!$B$11,Paramètres!$A$1:$I$88,3,0)*VLOOKUP('Données projet'!$B$11,Paramètres!$A$1:$I$88,5,0)</f>
        <v>#N/A</v>
      </c>
      <c r="AQ127" s="34" t="e">
        <f t="shared" si="69"/>
        <v>#N/A</v>
      </c>
      <c r="AR127" s="44" t="e">
        <f t="shared" si="46"/>
        <v>#N/A</v>
      </c>
      <c r="AS127" s="36">
        <f>IF(ISNA(VLOOKUP(A127,'Données projet'!$A$87:$I$107,3,0)),0,VLOOKUP(A127,'Données projet'!$A$87:$I$107,3,0))</f>
        <v>0</v>
      </c>
      <c r="AT127" s="36">
        <f>IF(ISNA(VLOOKUP(A127,'Données projet'!$A$87:$I$107,4,0)),0,VLOOKUP(A127,'Données projet'!$A$87:$I$107,4,0))</f>
        <v>0</v>
      </c>
      <c r="AU127" s="37">
        <f>IF(ISNA(VLOOKUP(A127,'Données projet'!$A$87:$I$107,5,0)),0%,VLOOKUP(A127,'Données projet'!$A$87:$I$107,5,0)*VLOOKUP('Données projet'!$B$11,Paramètres!$A$1:$I$88,7,0))</f>
        <v>0</v>
      </c>
      <c r="AV127" s="37">
        <f>IF(ISNA(VLOOKUP(A127,'Données projet'!$A$87:$I$107,6,0)),0%,VLOOKUP(A127,'Données projet'!$A$87:$I$107,6,0)*VLOOKUP('Données projet'!$B$11,Paramètres!$A$1:$I$88,7,0))</f>
        <v>0</v>
      </c>
      <c r="AW127" s="37">
        <f>IF(ISNA(VLOOKUP(A127,'Données projet'!$A$87:$I$107,7,0)),0%,VLOOKUP(A127,'Données projet'!$A$87:$I$107,7,0))</f>
        <v>0</v>
      </c>
      <c r="AX127" s="45">
        <f>EXP(-LN(2)/35)*AX126+(1-EXP(-LN(2)/35))/(LN(2)/35)*AT127*AU127*VLOOKUP('Données projet'!$B$9,Paramètres!$A$1:$I$88,3,0)*0.475*44/12</f>
        <v>0</v>
      </c>
      <c r="AY127" s="45">
        <f>EXP(-LN(2)/25)*AY126+(1-EXP(-LN(2)/25))/(LN(2)/25)*Calculateur!AT127*Calculateur!AV127*VLOOKUP('Données projet'!$B$9,Paramètres!$A$1:$I$88,3,0)*0.475*44/12</f>
        <v>0</v>
      </c>
      <c r="AZ127" s="45">
        <f>EXP(-LN(2)/2)*AZ126+(1-EXP(-LN(2)/2))/(LN(2)/2)*AT127*AW127*VLOOKUP('Données projet'!$B$9,Paramètres!$A$1:$I$88,3,0)*0.475*44/12</f>
        <v>0</v>
      </c>
      <c r="BA127" s="46">
        <f t="shared" si="47"/>
        <v>0</v>
      </c>
      <c r="BB127" s="32" t="e">
        <f>VLOOKUP(A127,'Données projet'!$A$113:$I$133,2,0)</f>
        <v>#N/A</v>
      </c>
      <c r="BC127" s="33" t="e">
        <f>VLOOKUP(A127,'Données projet'!$A$113:$I$133,9,0)</f>
        <v>#N/A</v>
      </c>
      <c r="BD127" s="33">
        <f t="array" ref="BD127">INDEX(BC:BC,MIN(IF(ISNUMBER(BC127:BC323),ROW(BC127:BC323),"")))</f>
        <v>0</v>
      </c>
      <c r="BE127" s="33">
        <f t="shared" si="70"/>
        <v>0</v>
      </c>
      <c r="BF127" s="34" t="e">
        <f>BE127*VLOOKUP('Données projet'!$B$12,Paramètres!$A$1:$I$88,3,0)*VLOOKUP('Données projet'!$B$12,Paramètres!$A$1:$I$88,5,0)</f>
        <v>#N/A</v>
      </c>
      <c r="BG127" s="34" t="e">
        <f t="shared" si="71"/>
        <v>#N/A</v>
      </c>
      <c r="BH127" s="44" t="e">
        <f t="shared" si="48"/>
        <v>#N/A</v>
      </c>
      <c r="BI127" s="36">
        <f>IF(ISNA(VLOOKUP(A127,'Données projet'!$A$113:$I$133,3,0)),0,VLOOKUP(A127,'Données projet'!$A$113:$I$133,3,0))</f>
        <v>0</v>
      </c>
      <c r="BJ127" s="36">
        <f>IF(ISNA(VLOOKUP(A127,'Données projet'!$A$113:$I$133,4,0)),0,VLOOKUP(A127,'Données projet'!$A$113:$I$133,4,0))</f>
        <v>0</v>
      </c>
      <c r="BK127" s="37">
        <f>IF(ISNA(VLOOKUP(A127,'Données projet'!$A$113:$I$133,5,0)),0%,VLOOKUP(A127,'Données projet'!$A$113:$I$133,5,0)*VLOOKUP('Données projet'!$B$12,Paramètres!$A$1:$I$88,7,0))</f>
        <v>0</v>
      </c>
      <c r="BL127" s="37">
        <f>IF(ISNA(VLOOKUP(A127,'Données projet'!$A$113:$I$133,6,0)),0%,VLOOKUP(A127,'Données projet'!$A$113:$I$133,6,0)*VLOOKUP('Données projet'!$B$12,Paramètres!$A$1:$I$88,7,0))</f>
        <v>0</v>
      </c>
      <c r="BM127" s="37">
        <f>IF(ISNA(VLOOKUP(A127,'Données projet'!$A$113:$I$133,7,0)),0%,VLOOKUP(A127,'Données projet'!$A$113:$I$133,7,0))</f>
        <v>0</v>
      </c>
      <c r="BN127" s="45">
        <f>EXP(-LN(2)/35)*BN126+(1-EXP(-LN(2)/35))/(LN(2)/35)*BJ127*BK127*VLOOKUP('Données projet'!$B$9,Paramètres!$A$1:$I$88,3,0)*0.475*44/12</f>
        <v>0</v>
      </c>
      <c r="BO127" s="45">
        <f>EXP(-LN(2)/25)*BO126+(1-EXP(-LN(2)/25))/(LN(2)/25)*Calculateur!BJ127*Calculateur!BL127*VLOOKUP('Données projet'!$B$9,Paramètres!$A$1:$I$88,3,0)*0.475*44/12</f>
        <v>0</v>
      </c>
      <c r="BP127" s="45">
        <f>EXP(-LN(2)/2)*BP126+(1-EXP(-LN(2)/2))/(LN(2)/2)*BJ127*BM127*VLOOKUP('Données projet'!$B$9,Paramètres!$A$1:$I$88,3,0)*0.475*44/12</f>
        <v>0</v>
      </c>
      <c r="BQ127" s="46">
        <f t="shared" si="49"/>
        <v>0</v>
      </c>
      <c r="BR127" s="32" t="e">
        <f>VLOOKUP(A127,'Données projet'!$A$139:$I$159,2,0)</f>
        <v>#N/A</v>
      </c>
      <c r="BS127" s="33" t="e">
        <f>VLOOKUP(A127,'Données projet'!$A$139:$I$159,9,0)</f>
        <v>#N/A</v>
      </c>
      <c r="BT127" s="33">
        <f t="array" ref="BT127">INDEX(BS:BS,MIN(IF(ISNUMBER(BS127:BS323),ROW(BS127:BS323),"")))</f>
        <v>0</v>
      </c>
      <c r="BU127" s="33">
        <f t="shared" si="72"/>
        <v>0</v>
      </c>
      <c r="BV127" s="38" t="e">
        <f>BU127*VLOOKUP('Données projet'!$B$13,Paramètres!$A$1:$I$88,3,0)*VLOOKUP('Données projet'!$B$13,Paramètres!$A$1:$I$88,5,0)</f>
        <v>#N/A</v>
      </c>
      <c r="BW127" s="34" t="e">
        <f t="shared" si="73"/>
        <v>#N/A</v>
      </c>
      <c r="BX127" s="44" t="e">
        <f t="shared" si="50"/>
        <v>#N/A</v>
      </c>
      <c r="BY127" s="36">
        <f>IF(ISNA(VLOOKUP(A127,'Données projet'!$A$139:$I$159,3,0)),0,VLOOKUP(A127,'Données projet'!$A$139:$I$159,3,0))</f>
        <v>0</v>
      </c>
      <c r="BZ127" s="36">
        <f>IF(ISNA(VLOOKUP(A127,'Données projet'!$A$139:$I$159,4,0)),0,VLOOKUP(A127,'Données projet'!$A$139:$I$159,4,0))</f>
        <v>0</v>
      </c>
      <c r="CA127" s="37">
        <f>IF(ISNA(VLOOKUP(A127,'Données projet'!$A$139:$I$159,5,0)),0%,VLOOKUP(A127,'Données projet'!$A$139:$I$159,5,0)*VLOOKUP('Données projet'!$B$13,Paramètres!$A$1:$I$88,7,0))</f>
        <v>0</v>
      </c>
      <c r="CB127" s="37">
        <f>IF(ISNA(VLOOKUP(A127,'Données projet'!$A$139:$I$159,6,0)),0%,VLOOKUP(A127,'Données projet'!$A$139:$I$159,6,0)*VLOOKUP('Données projet'!$B$13,Paramètres!$A$1:$I$88,7,0))</f>
        <v>0</v>
      </c>
      <c r="CC127" s="37">
        <f>IF(ISNA(VLOOKUP(A127,'Données projet'!$A$139:$I$159,7,0)),0%,VLOOKUP(A127,'Données projet'!$A$139:$I$159,7,0))</f>
        <v>0</v>
      </c>
      <c r="CD127" s="45">
        <f>EXP(-LN(2)/35)*CD126+(1-EXP(-LN(2)/35))/(LN(2)/35)*BZ127*CA127*VLOOKUP('Données projet'!$B$9,Paramètres!$A$1:$I$88,3,0)*0.475*44/12</f>
        <v>0</v>
      </c>
      <c r="CE127" s="45">
        <f>EXP(-LN(2)/25)*CE126+(1-EXP(-LN(2)/25))/(LN(2)/25)*Calculateur!BZ127*Calculateur!CB127*VLOOKUP('Données projet'!$B$9,Paramètres!$A$1:$I$88,3,0)*0.475*44/12</f>
        <v>0</v>
      </c>
      <c r="CF127" s="45">
        <f>EXP(-LN(2)/2)*CF126+(1-EXP(-LN(2)/2))/(LN(2)/2)*BZ127*CC127*VLOOKUP('Données projet'!$B$9,Paramètres!$A$1:$I$88,3,0)*0.475*44/12</f>
        <v>0</v>
      </c>
      <c r="CG127" s="46">
        <f t="shared" si="51"/>
        <v>0</v>
      </c>
      <c r="CH127" s="32" t="e">
        <f>VLOOKUP(A127,'Données projet'!$A$165:$I$185,2,0)</f>
        <v>#N/A</v>
      </c>
      <c r="CI127" s="33" t="e">
        <f>VLOOKUP(A127,'Données projet'!$A$165:$I$185,9,0)</f>
        <v>#N/A</v>
      </c>
      <c r="CJ127" s="33">
        <f t="array" ref="CJ127">INDEX(CI:CI,MIN(IF(ISNUMBER(CI127:CI323),ROW(CI127:CI323),"")))</f>
        <v>0</v>
      </c>
      <c r="CK127" s="33">
        <f t="shared" si="74"/>
        <v>0</v>
      </c>
      <c r="CL127" s="38" t="e">
        <f>CK127*VLOOKUP('Données projet'!$B$14,Paramètres!$A$1:$I$88,3,0)*VLOOKUP('Données projet'!$B$14,Paramètres!$A$1:$I$88,5,0)</f>
        <v>#N/A</v>
      </c>
      <c r="CM127" s="34" t="e">
        <f t="shared" si="75"/>
        <v>#N/A</v>
      </c>
      <c r="CN127" s="44" t="e">
        <f t="shared" si="52"/>
        <v>#N/A</v>
      </c>
      <c r="CO127" s="36">
        <f>IF(ISNA(VLOOKUP(A127,'Données projet'!$A$165:$I$185,3,0)),0,VLOOKUP(A127,'Données projet'!$A$165:$I$185,3,0))</f>
        <v>0</v>
      </c>
      <c r="CP127" s="36">
        <f>IF(ISNA(VLOOKUP(A127,'Données projet'!$A$165:$I$185,4,0)),0,VLOOKUP(A127,'Données projet'!$A$165:$I$185,4,0))</f>
        <v>0</v>
      </c>
      <c r="CQ127" s="37">
        <f>IF(ISNA(VLOOKUP(A127,'Données projet'!$A$165:$I$185,5,0)),0%,VLOOKUP(A127,'Données projet'!$A$165:$I$185,5,0)*VLOOKUP('Données projet'!$B$14,Paramètres!$A$1:$I$88,7,0))</f>
        <v>0</v>
      </c>
      <c r="CR127" s="37">
        <f>IF(ISNA(VLOOKUP(A127,'Données projet'!$A$165:$I$185,6,0)),0%,VLOOKUP(A127,'Données projet'!$A$165:$I$185,6,0)*VLOOKUP('Données projet'!$B$14,Paramètres!$A$1:$I$88,7,0))</f>
        <v>0</v>
      </c>
      <c r="CS127" s="37">
        <f>IF(ISNA(VLOOKUP(A127,'Données projet'!$A$165:$I$185,7,0)),0%,VLOOKUP(A127,'Données projet'!$A$165:$I$185,7,0))</f>
        <v>0</v>
      </c>
      <c r="CT127" s="45">
        <f>EXP(-LN(2)/35)*CT126+(1-EXP(-LN(2)/35))/(LN(2)/35)*CP127*CQ127*VLOOKUP('Données projet'!$B$9,Paramètres!$A$1:$I$88,3,0)*0.475*44/12</f>
        <v>0</v>
      </c>
      <c r="CU127" s="45">
        <f>EXP(-LN(2)/25)*CU126+(1-EXP(-LN(2)/25))/(LN(2)/25)*Calculateur!CP127*Calculateur!CR127*VLOOKUP('Données projet'!$B$9,Paramètres!$A$1:$I$88,3,0)*0.475*44/12</f>
        <v>0</v>
      </c>
      <c r="CV127" s="45">
        <f>EXP(-LN(2)/2)*CV126+(1-EXP(-LN(2)/2))/(LN(2)/2)*CP127*CS127*VLOOKUP('Données projet'!$B$9,Paramètres!$A$1:$I$88,3,0)*0.475*44/12</f>
        <v>0</v>
      </c>
      <c r="CW127" s="46">
        <f t="shared" si="53"/>
        <v>0</v>
      </c>
      <c r="CX127" s="32" t="e">
        <f>VLOOKUP(A127,'Données projet'!$A$191:$I$211,2,0)</f>
        <v>#N/A</v>
      </c>
      <c r="CY127" s="33" t="e">
        <f>VLOOKUP(A127,'Données projet'!$A$191:$I$211,9,0)</f>
        <v>#N/A</v>
      </c>
      <c r="CZ127" s="33">
        <f t="array" ref="CZ127">INDEX(CY:CY,MIN(IF(ISNUMBER(CY127:CY323),ROW(CY127:CY323),"")))</f>
        <v>0</v>
      </c>
      <c r="DA127" s="33">
        <f t="shared" si="76"/>
        <v>0</v>
      </c>
      <c r="DB127" s="38" t="e">
        <f>DA127*VLOOKUP('Données projet'!$B$15,Paramètres!$A$1:$I$88,3,0)*VLOOKUP('Données projet'!$B$15,Paramètres!$A$1:$I$88,5,0)</f>
        <v>#N/A</v>
      </c>
      <c r="DC127" s="34" t="e">
        <f t="shared" si="77"/>
        <v>#N/A</v>
      </c>
      <c r="DD127" s="44" t="e">
        <f t="shared" si="54"/>
        <v>#N/A</v>
      </c>
      <c r="DE127" s="36">
        <f>IF(ISNA(VLOOKUP(A127,'Données projet'!$A$191:$I$211,3,0)),0,VLOOKUP(A127,'Données projet'!$A$191:$I$211,3,0))</f>
        <v>0</v>
      </c>
      <c r="DF127" s="36">
        <f>IF(ISNA(VLOOKUP(A127,'Données projet'!$A$191:$I$211,4,0)),0,VLOOKUP(A127,'Données projet'!$A$191:$I$211,4,0))</f>
        <v>0</v>
      </c>
      <c r="DG127" s="37">
        <f>IF(ISNA(VLOOKUP(A127,'Données projet'!$A$191:$I$211,5,0)),0%,VLOOKUP(A127,'Données projet'!$A$191:$I$211,5,0)*VLOOKUP('Données projet'!$B$15,Paramètres!$A$1:$I$88,7,0))</f>
        <v>0</v>
      </c>
      <c r="DH127" s="37">
        <f>IF(ISNA(VLOOKUP(A127,'Données projet'!$A$191:$I$211,6,0)),0%,VLOOKUP(A127,'Données projet'!$A$191:$I$211,6,0)*VLOOKUP('Données projet'!$B$15,Paramètres!$A$1:$I$88,7,0))</f>
        <v>0</v>
      </c>
      <c r="DI127" s="37">
        <f>IF(ISNA(VLOOKUP(A127,'Données projet'!$A$191:$I$211,7,0)),0%,VLOOKUP(A127,'Données projet'!$A$191:$I$211,7,0))</f>
        <v>0</v>
      </c>
      <c r="DJ127" s="45">
        <f>EXP(-LN(2)/35)*DJ126+(1-EXP(-LN(2)/35))/(LN(2)/35)*DF127*DG127*VLOOKUP('Données projet'!$B$9,Paramètres!$A$1:$I$88,3,0)*0.475*44/12</f>
        <v>0</v>
      </c>
      <c r="DK127" s="45">
        <f>EXP(-LN(2)/25)*DK126+(1-EXP(-LN(2)/25))/(LN(2)/25)*Calculateur!DF127*Calculateur!DH127*VLOOKUP('Données projet'!$B$9,Paramètres!$A$1:$I$88,3,0)*0.475*44/12</f>
        <v>0</v>
      </c>
      <c r="DL127" s="45">
        <f>EXP(-LN(2)/2)*DL126+(1-EXP(-LN(2)/2))/(LN(2)/2)*DF127*DI127*VLOOKUP('Données projet'!$B$9,Paramètres!$A$1:$I$88,3,0)*0.475*44/12</f>
        <v>0</v>
      </c>
      <c r="DM127" s="46">
        <f t="shared" si="55"/>
        <v>0</v>
      </c>
      <c r="DN127" s="32" t="e">
        <f>VLOOKUP(A127,'Données projet'!$A$217:$I$237,2,0)</f>
        <v>#N/A</v>
      </c>
      <c r="DO127" s="33" t="e">
        <f>VLOOKUP(A127,'Données projet'!$A$217:$I$237,9,0)</f>
        <v>#N/A</v>
      </c>
      <c r="DP127" s="33">
        <f t="array" ref="DP127">INDEX(DO:DO,MIN(IF(ISNUMBER(DO127:DO323),ROW(DO127:DO323),"")))</f>
        <v>0</v>
      </c>
      <c r="DQ127" s="33">
        <f t="shared" si="78"/>
        <v>0</v>
      </c>
      <c r="DR127" s="38" t="e">
        <f>DQ127*VLOOKUP('Données projet'!$B$16,Paramètres!$A$1:$I$88,3,0)*VLOOKUP('Données projet'!$B$16,Paramètres!$A$1:$I$88,5,0)</f>
        <v>#N/A</v>
      </c>
      <c r="DS127" s="34" t="e">
        <f t="shared" si="79"/>
        <v>#N/A</v>
      </c>
      <c r="DT127" s="44" t="e">
        <f t="shared" si="56"/>
        <v>#N/A</v>
      </c>
      <c r="DU127" s="36">
        <f>IF(ISNA(VLOOKUP(A127,'Données projet'!$A$217:$I$237,3,0)),0,VLOOKUP(A127,'Données projet'!$A$217:$I$237,3,0))</f>
        <v>0</v>
      </c>
      <c r="DV127" s="36">
        <f>IF(ISNA(VLOOKUP(A127,'Données projet'!$A$217:$I$237,4,0)),0,VLOOKUP(A127,'Données projet'!$A$217:$I$237,4,0))</f>
        <v>0</v>
      </c>
      <c r="DW127" s="37">
        <f>IF(ISNA(VLOOKUP(A127,'Données projet'!$A$217:$I$237,5,0)),0%,VLOOKUP(A127,'Données projet'!$A$217:$I$237,5,0)*VLOOKUP('Données projet'!$B$16,Paramètres!$A$1:$I$88,7,0))</f>
        <v>0</v>
      </c>
      <c r="DX127" s="37">
        <f>IF(ISNA(VLOOKUP(A127,'Données projet'!$A$217:$I$237,6,0)),0%,VLOOKUP(A127,'Données projet'!$A$217:$I$237,6,0)*VLOOKUP('Données projet'!$B$16,Paramètres!$A$1:$I$88,7,0))</f>
        <v>0</v>
      </c>
      <c r="DY127" s="37">
        <f>IF(ISNA(VLOOKUP(A127,'Données projet'!$A$217:$I$237,7,0)),0%,VLOOKUP(A127,'Données projet'!$A$217:$I$237,7,0))</f>
        <v>0</v>
      </c>
      <c r="DZ127" s="45">
        <f>EXP(-LN(2)/35)*DZ126+(1-EXP(-LN(2)/35))/(LN(2)/35)*DV127*DW127*VLOOKUP('Données projet'!$B$9,Paramètres!$A$1:$I$88,3,0)*0.475*44/12</f>
        <v>0</v>
      </c>
      <c r="EA127" s="45">
        <f>EXP(-LN(2)/25)*EA126+(1-EXP(-LN(2)/25))/(LN(2)/25)*Calculateur!DV127*Calculateur!DX127*VLOOKUP('Données projet'!$B$9,Paramètres!$A$1:$I$88,3,0)*0.475*44/12</f>
        <v>0</v>
      </c>
      <c r="EB127" s="45">
        <f>EXP(-LN(2)/2)*EB126+(1-EXP(-LN(2)/2))/(LN(2)/2)*DV127*DY127*VLOOKUP('Données projet'!$B$9,Paramètres!$A$1:$I$88,3,0)*0.475*44/12</f>
        <v>0</v>
      </c>
      <c r="EC127" s="46">
        <f t="shared" si="57"/>
        <v>0</v>
      </c>
      <c r="ED127" s="32" t="e">
        <f>VLOOKUP(A127,'Données projet'!$A$243:$I$263,2,0)</f>
        <v>#N/A</v>
      </c>
      <c r="EE127" s="33" t="e">
        <f>VLOOKUP(A127,'Données projet'!$A$243:$I$263,9,0)</f>
        <v>#N/A</v>
      </c>
      <c r="EF127" s="33">
        <f t="array" ref="EF127">INDEX(EE:EE,MIN(IF(ISNUMBER(EE127:EE323),ROW(EE127:EE323),"")))</f>
        <v>0</v>
      </c>
      <c r="EG127" s="33">
        <f t="shared" si="80"/>
        <v>0</v>
      </c>
      <c r="EH127" s="38" t="e">
        <f>EG127*VLOOKUP('Données projet'!$B$17,Paramètres!$A$1:$I$88,3,0)*VLOOKUP('Données projet'!$B$17,Paramètres!$A$1:$I$88,5,0)</f>
        <v>#N/A</v>
      </c>
      <c r="EI127" s="34" t="e">
        <f t="shared" si="81"/>
        <v>#N/A</v>
      </c>
      <c r="EJ127" s="44" t="e">
        <f t="shared" si="58"/>
        <v>#N/A</v>
      </c>
      <c r="EK127" s="36">
        <f>IF(ISNA(VLOOKUP(A127,'Données projet'!$A$243:$I$263,3,0)),0,VLOOKUP(A127,'Données projet'!$A$243:$I$263,3,0))</f>
        <v>0</v>
      </c>
      <c r="EL127" s="36">
        <f>IF(ISNA(VLOOKUP(A127,'Données projet'!$A$243:$I$263,4,0)),0,VLOOKUP(A127,'Données projet'!$A$243:$I$263,4,0))</f>
        <v>0</v>
      </c>
      <c r="EM127" s="37">
        <f>IF(ISNA(VLOOKUP(A127,'Données projet'!$A$243:$I$263,5,0)),0%,VLOOKUP(A127,'Données projet'!$A$243:$I$263,5,0)*VLOOKUP('Données projet'!$B$17,Paramètres!$A$1:$I$88,7,0))</f>
        <v>0</v>
      </c>
      <c r="EN127" s="37">
        <f>IF(ISNA(VLOOKUP(A127,'Données projet'!$A$243:$I$263,6,0)),0%,VLOOKUP(A127,'Données projet'!$A$243:$I$263,6,0)*VLOOKUP('Données projet'!$B$17,Paramètres!$A$1:$I$88,7,0))</f>
        <v>0</v>
      </c>
      <c r="EO127" s="37">
        <f>IF(ISNA(VLOOKUP(A127,'Données projet'!$A$243:$I$263,7,0)),0%,VLOOKUP(A127,'Données projet'!$A$243:$I$263,7,0))</f>
        <v>0</v>
      </c>
      <c r="EP127" s="45">
        <f>EXP(-LN(2)/35)*EP126+(1-EXP(-LN(2)/35))/(LN(2)/35)*EL127*EM127*VLOOKUP('Données projet'!$B$9,Paramètres!$A$1:$I$88,3,0)*0.475*44/12</f>
        <v>0</v>
      </c>
      <c r="EQ127" s="45">
        <f>EXP(-LN(2)/25)*EQ126+(1-EXP(-LN(2)/25))/(LN(2)/25)*Calculateur!EL127*Calculateur!EN127*VLOOKUP('Données projet'!$B$9,Paramètres!$A$1:$I$88,3,0)*0.475*44/12</f>
        <v>0</v>
      </c>
      <c r="ER127" s="45">
        <f>EXP(-LN(2)/2)*ER126+(1-EXP(-LN(2)/2))/(LN(2)/2)*EL127*EO127*VLOOKUP('Données projet'!$B$9,Paramètres!$A$1:$I$88,3,0)*0.475*44/12</f>
        <v>0</v>
      </c>
      <c r="ES127" s="46">
        <f t="shared" si="59"/>
        <v>0</v>
      </c>
      <c r="ET127" s="32" t="e">
        <f>VLOOKUP(A127,'Données projet'!$A$269:$I$289,2,0)</f>
        <v>#N/A</v>
      </c>
      <c r="EU127" s="33" t="e">
        <f>VLOOKUP(A127,'Données projet'!$A$269:$I$289,9,0)</f>
        <v>#N/A</v>
      </c>
      <c r="EV127" s="33">
        <f t="array" ref="EV127">INDEX(EU:EU,MIN(IF(ISNUMBER(EU127:EU323),ROW(EU127:EU323),"")))</f>
        <v>0</v>
      </c>
      <c r="EW127" s="33">
        <f t="shared" si="82"/>
        <v>0</v>
      </c>
      <c r="EX127" s="38" t="e">
        <f>EW127*VLOOKUP('Données projet'!$B$18,Paramètres!$A$1:$I$88,3,0)*VLOOKUP('Données projet'!$B$18,Paramètres!$A$1:$I$88,5,0)</f>
        <v>#N/A</v>
      </c>
      <c r="EY127" s="34" t="e">
        <f t="shared" si="83"/>
        <v>#N/A</v>
      </c>
      <c r="EZ127" s="44" t="e">
        <f t="shared" si="60"/>
        <v>#N/A</v>
      </c>
      <c r="FA127" s="36">
        <f>IF(ISNA(VLOOKUP(A127,'Données projet'!$A$269:$I$289,3,0)),0,VLOOKUP(A127,'Données projet'!$A$269:$I$289,3,0))</f>
        <v>0</v>
      </c>
      <c r="FB127" s="36">
        <f>IF(ISNA(VLOOKUP(A127,'Données projet'!$A$269:$I$289,4,0)),0,VLOOKUP(A127,'Données projet'!$A$269:$I$289,4,0))</f>
        <v>0</v>
      </c>
      <c r="FC127" s="37">
        <f>IF(ISNA(VLOOKUP(A127,'Données projet'!$A$269:$I$289,5,0)),0%,VLOOKUP(A127,'Données projet'!$A$269:$I$289,5,0)*VLOOKUP('Données projet'!$B$18,Paramètres!$A$1:$I$88,7,0))</f>
        <v>0</v>
      </c>
      <c r="FD127" s="37">
        <f>IF(ISNA(VLOOKUP(A127,'Données projet'!$A$269:$I$289,6,0)),0%,VLOOKUP(A127,'Données projet'!$A$269:$I$289,6,0)*VLOOKUP('Données projet'!$B$18,Paramètres!$A$1:$I$88,7,0))</f>
        <v>0</v>
      </c>
      <c r="FE127" s="37">
        <f>IF(ISNA(VLOOKUP(A127,'Données projet'!$A$269:$I$289,7,0)),0%,VLOOKUP(A127,'Données projet'!$A$269:$I$289,7,0))</f>
        <v>0</v>
      </c>
      <c r="FF127" s="45">
        <f>EXP(-LN(2)/35)*FF126+(1-EXP(-LN(2)/35))/(LN(2)/35)*FB127*FC127*VLOOKUP('Données projet'!$B$9,Paramètres!$A$1:$I$88,3,0)*0.475*44/12</f>
        <v>0</v>
      </c>
      <c r="FG127" s="45">
        <f>EXP(-LN(2)/25)*FG126+(1-EXP(-LN(2)/25))/(LN(2)/25)*Calculateur!FB127*Calculateur!FD127*VLOOKUP('Données projet'!$B$9,Paramètres!$A$1:$I$88,3,0)*0.475*44/12</f>
        <v>0</v>
      </c>
      <c r="FH127" s="45">
        <f>EXP(-LN(2)/2)*FH126+(1-EXP(-LN(2)/2))/(LN(2)/2)*FB127*FE127*VLOOKUP('Données projet'!$B$9,Paramètres!$A$1:$I$88,3,0)*0.475*44/12</f>
        <v>0</v>
      </c>
      <c r="FI127" s="46">
        <f t="shared" si="61"/>
        <v>0</v>
      </c>
    </row>
    <row r="128" spans="1:165" x14ac:dyDescent="0.25">
      <c r="A128" s="24">
        <f t="shared" si="62"/>
        <v>125</v>
      </c>
      <c r="B128" s="25">
        <f>IF('Scénario référence'!$N$1=1,5,0)</f>
        <v>0</v>
      </c>
      <c r="C128" s="40">
        <f>IF(OR('Scénario référence'!$N$1=2,'Scénario référence'!$N$1=4),C127+1*VLOOKUP('Scénario référence'!$G$14,Paramètres!$A$1:$I$88,3,0)*VLOOKUP('Scénario référence'!$G$14,Paramètres!$A$1:$I$88,5,0),IF(OR('Scénario référence'!$N$1=3,'Scénario référence'!$N$1=5),C127+0.5*VLOOKUP('Scénario référence'!$G$14,Paramètres!$A$1:$I$88,3,0)*VLOOKUP('Scénario référence'!$G$14,Paramètres!$A$1:$I$88,5,0),0))</f>
        <v>68.249999999999986</v>
      </c>
      <c r="D128" s="26">
        <f t="shared" si="63"/>
        <v>19.238232608246435</v>
      </c>
      <c r="E128" s="27">
        <f>IF('Scénario référence'!$N$1=1,B128*44/12,(C128+D128)*0.475*44/12)</f>
        <v>152.3753384593625</v>
      </c>
      <c r="F128" s="28">
        <f>VLOOKUP(A128,'Données projet'!$A$35:$I$55,2,0)</f>
        <v>301</v>
      </c>
      <c r="G128" s="28">
        <f>VLOOKUP(A128,'Données projet'!$A$35:$I$55,9,0)</f>
        <v>3.4</v>
      </c>
      <c r="H128" s="33">
        <f t="array" ref="H128">INDEX(G:G,MIN(IF(ISNUMBER(G128:G324),ROW(G128:G324),"")))</f>
        <v>3.4</v>
      </c>
      <c r="I128" s="28">
        <f t="shared" si="64"/>
        <v>300.99999999999932</v>
      </c>
      <c r="J128" s="41">
        <f>I128*VLOOKUP('Données projet'!$B$9,Paramètres!$A$1:$I$88,3,0)*VLOOKUP('Données projet'!$B$9,Paramètres!$A$1:$I$88,5,0)</f>
        <v>305.21399999999932</v>
      </c>
      <c r="K128" s="41">
        <f t="shared" si="65"/>
        <v>72.268419591231137</v>
      </c>
      <c r="L128" s="42">
        <f t="shared" si="42"/>
        <v>657.44854745472628</v>
      </c>
      <c r="M128" s="30">
        <f>IF(ISNA(VLOOKUP(A128,'Données projet'!$A$35:$I$55,3,0)),0,VLOOKUP(A128,'Données projet'!$A$35:$I$55,3,0))</f>
        <v>11</v>
      </c>
      <c r="N128" s="30">
        <f>IF(ISNA(VLOOKUP(A128,'Données projet'!$A$35:$I$55,4,0)),0,VLOOKUP(A128,'Données projet'!$A$35:$I$55,4,0))</f>
        <v>33</v>
      </c>
      <c r="O128" s="31">
        <f>IF(ISNA(VLOOKUP(A128,'Données projet'!$A$35:$I$55,5,0)),0%,VLOOKUP(A128,'Données projet'!$A$35:$I$55,5,0)*VLOOKUP('Données projet'!$B$9,Paramètres!$A$1:$I$88,7,0))</f>
        <v>0</v>
      </c>
      <c r="P128" s="31">
        <f>IF(ISNA(VLOOKUP(A128,'Données projet'!$A$35:$I$55,6,0)),0%,VLOOKUP(A128,'Données projet'!$A$35:$I$55,6,0)*VLOOKUP('Données projet'!$B$9,Paramètres!$A$1:$I$88,7,0))</f>
        <v>0</v>
      </c>
      <c r="Q128" s="31">
        <f>IF(ISNA(VLOOKUP(A128,'Données projet'!$A$35:$I$55,7,0)),0%,VLOOKUP(A128,'Données projet'!$A$35:$I$55,7,0))</f>
        <v>0</v>
      </c>
      <c r="R128" s="43">
        <f>EXP(-LN(2)/35)*R127+(1-EXP(-LN(2)/35))/(LN(2)/35)*N128*O128*VLOOKUP('Données projet'!$B$9,Paramètres!$A$1:$I$88,3,0)*0.475*44/12</f>
        <v>0</v>
      </c>
      <c r="S128" s="43">
        <f>EXP(-LN(2)/25)*S127+(1-EXP(-LN(2)/25))/(LN(2)/25)*Calculateur!N128*Calculateur!P128*VLOOKUP('Données projet'!$B$9,Paramètres!$A$1:$I$88,3,0)*0.475*44/12</f>
        <v>0</v>
      </c>
      <c r="T128" s="43">
        <f>EXP(-LN(2)/2)*T127+(1-EXP(-LN(2)/2))/(LN(2)/2)*N128*Q128*VLOOKUP('Données projet'!$B$9,Paramètres!$A$1:$I$88,3,0)*0.475*44/12</f>
        <v>0</v>
      </c>
      <c r="U128" s="43">
        <f t="shared" si="43"/>
        <v>0</v>
      </c>
      <c r="V128" s="32" t="e">
        <f>VLOOKUP(A128,'Données projet'!$A$61:$I$81,2,0)</f>
        <v>#N/A</v>
      </c>
      <c r="W128" s="33" t="e">
        <f>VLOOKUP(A128,'Données projet'!$A$61:$I$81,9,0)</f>
        <v>#N/A</v>
      </c>
      <c r="X128" s="33">
        <f t="array" ref="X128">INDEX(W:W,MIN(IF(ISNUMBER(W128:W324),ROW(W128:W324),"")))</f>
        <v>0</v>
      </c>
      <c r="Y128" s="33">
        <f t="shared" si="66"/>
        <v>0</v>
      </c>
      <c r="Z128" s="34" t="e">
        <f>Y128*VLOOKUP('Données projet'!$B$10,Paramètres!$A$1:$I$88,3,0)*VLOOKUP('Données projet'!$B$10,Paramètres!$A$1:$I$88,5,0)</f>
        <v>#N/A</v>
      </c>
      <c r="AA128" s="34" t="e">
        <f t="shared" si="67"/>
        <v>#N/A</v>
      </c>
      <c r="AB128" s="44" t="e">
        <f t="shared" si="44"/>
        <v>#N/A</v>
      </c>
      <c r="AC128" s="36">
        <f>IF(ISNA(VLOOKUP(A128,'Données projet'!$A$61:$I$81,3,0)),0,VLOOKUP(A128,'Données projet'!$A$61:$I$81,3,0))</f>
        <v>0</v>
      </c>
      <c r="AD128" s="36">
        <f>IF(ISNA(VLOOKUP(A128,'Données projet'!$A$61:$I$81,4,0)),0,VLOOKUP(A128,'Données projet'!$A$61:$I$81,4,0))</f>
        <v>0</v>
      </c>
      <c r="AE128" s="37">
        <f>IF(ISNA(VLOOKUP(A128,'Données projet'!$A$61:$I$81,5,0)),0%,VLOOKUP(A128,'Données projet'!$A$61:$I$81,5,0)*VLOOKUP('Données projet'!$B$10,Paramètres!$A$1:$I$88,7,0))</f>
        <v>0</v>
      </c>
      <c r="AF128" s="37">
        <f>IF(ISNA(VLOOKUP(A128,'Données projet'!$A$61:$I$81,6,0)),0%,VLOOKUP(A128,'Données projet'!$A$61:$I$81,6,0)*VLOOKUP('Données projet'!$B$10,Paramètres!$A$1:$I$88,7,0))</f>
        <v>0</v>
      </c>
      <c r="AG128" s="37">
        <f>IF(ISNA(VLOOKUP(A128,'Données projet'!$A$61:$I$81,7,0)),0%,VLOOKUP(A128,'Données projet'!$A$61:$I$81,7,0))</f>
        <v>0</v>
      </c>
      <c r="AH128" s="45">
        <f>EXP(-LN(2)/35)*AH127+(1-EXP(-LN(2)/35))/(LN(2)/35)*AD128*AE128*VLOOKUP('Données projet'!$B$9,Paramètres!$A$1:$I$88,3,0)*0.475*44/12</f>
        <v>0</v>
      </c>
      <c r="AI128" s="45">
        <f>EXP(-LN(2)/25)*AI127+(1-EXP(-LN(2)/25))/(LN(2)/25)*Calculateur!AD128*Calculateur!AF128*VLOOKUP('Données projet'!$B$9,Paramètres!$A$1:$I$88,3,0)*0.475*44/12</f>
        <v>0</v>
      </c>
      <c r="AJ128" s="45">
        <f>EXP(-LN(2)/2)*AJ127+(1-EXP(-LN(2)/2))/(LN(2)/2)*AD128*AG128*VLOOKUP('Données projet'!$B$9,Paramètres!$A$1:$I$88,3,0)*0.475*44/12</f>
        <v>0</v>
      </c>
      <c r="AK128" s="45">
        <f t="shared" si="45"/>
        <v>0</v>
      </c>
      <c r="AL128" s="32" t="e">
        <f>VLOOKUP(A128,'Données projet'!$A$87:$I$107,2,0)</f>
        <v>#N/A</v>
      </c>
      <c r="AM128" s="33" t="e">
        <f>VLOOKUP(A128,'Données projet'!$A$87:$I$107,9,0)</f>
        <v>#N/A</v>
      </c>
      <c r="AN128" s="33">
        <f t="array" ref="AN128">INDEX(AM:AM,MIN(IF(ISNUMBER(AM128:AM324),ROW(AM128:AM324),"")))</f>
        <v>0</v>
      </c>
      <c r="AO128" s="33">
        <f t="shared" si="68"/>
        <v>0</v>
      </c>
      <c r="AP128" s="34" t="e">
        <f>AO128*VLOOKUP('Données projet'!$B$11,Paramètres!$A$1:$I$88,3,0)*VLOOKUP('Données projet'!$B$11,Paramètres!$A$1:$I$88,5,0)</f>
        <v>#N/A</v>
      </c>
      <c r="AQ128" s="34" t="e">
        <f t="shared" si="69"/>
        <v>#N/A</v>
      </c>
      <c r="AR128" s="44" t="e">
        <f t="shared" si="46"/>
        <v>#N/A</v>
      </c>
      <c r="AS128" s="36">
        <f>IF(ISNA(VLOOKUP(A128,'Données projet'!$A$87:$I$107,3,0)),0,VLOOKUP(A128,'Données projet'!$A$87:$I$107,3,0))</f>
        <v>0</v>
      </c>
      <c r="AT128" s="36">
        <f>IF(ISNA(VLOOKUP(A128,'Données projet'!$A$87:$I$107,4,0)),0,VLOOKUP(A128,'Données projet'!$A$87:$I$107,4,0))</f>
        <v>0</v>
      </c>
      <c r="AU128" s="37">
        <f>IF(ISNA(VLOOKUP(A128,'Données projet'!$A$87:$I$107,5,0)),0%,VLOOKUP(A128,'Données projet'!$A$87:$I$107,5,0)*VLOOKUP('Données projet'!$B$11,Paramètres!$A$1:$I$88,7,0))</f>
        <v>0</v>
      </c>
      <c r="AV128" s="37">
        <f>IF(ISNA(VLOOKUP(A128,'Données projet'!$A$87:$I$107,6,0)),0%,VLOOKUP(A128,'Données projet'!$A$87:$I$107,6,0)*VLOOKUP('Données projet'!$B$11,Paramètres!$A$1:$I$88,7,0))</f>
        <v>0</v>
      </c>
      <c r="AW128" s="37">
        <f>IF(ISNA(VLOOKUP(A128,'Données projet'!$A$87:$I$107,7,0)),0%,VLOOKUP(A128,'Données projet'!$A$87:$I$107,7,0))</f>
        <v>0</v>
      </c>
      <c r="AX128" s="45">
        <f>EXP(-LN(2)/35)*AX127+(1-EXP(-LN(2)/35))/(LN(2)/35)*AT128*AU128*VLOOKUP('Données projet'!$B$9,Paramètres!$A$1:$I$88,3,0)*0.475*44/12</f>
        <v>0</v>
      </c>
      <c r="AY128" s="45">
        <f>EXP(-LN(2)/25)*AY127+(1-EXP(-LN(2)/25))/(LN(2)/25)*Calculateur!AT128*Calculateur!AV128*VLOOKUP('Données projet'!$B$9,Paramètres!$A$1:$I$88,3,0)*0.475*44/12</f>
        <v>0</v>
      </c>
      <c r="AZ128" s="45">
        <f>EXP(-LN(2)/2)*AZ127+(1-EXP(-LN(2)/2))/(LN(2)/2)*AT128*AW128*VLOOKUP('Données projet'!$B$9,Paramètres!$A$1:$I$88,3,0)*0.475*44/12</f>
        <v>0</v>
      </c>
      <c r="BA128" s="46">
        <f t="shared" si="47"/>
        <v>0</v>
      </c>
      <c r="BB128" s="32" t="e">
        <f>VLOOKUP(A128,'Données projet'!$A$113:$I$133,2,0)</f>
        <v>#N/A</v>
      </c>
      <c r="BC128" s="33" t="e">
        <f>VLOOKUP(A128,'Données projet'!$A$113:$I$133,9,0)</f>
        <v>#N/A</v>
      </c>
      <c r="BD128" s="33">
        <f t="array" ref="BD128">INDEX(BC:BC,MIN(IF(ISNUMBER(BC128:BC324),ROW(BC128:BC324),"")))</f>
        <v>0</v>
      </c>
      <c r="BE128" s="33">
        <f t="shared" si="70"/>
        <v>0</v>
      </c>
      <c r="BF128" s="34" t="e">
        <f>BE128*VLOOKUP('Données projet'!$B$12,Paramètres!$A$1:$I$88,3,0)*VLOOKUP('Données projet'!$B$12,Paramètres!$A$1:$I$88,5,0)</f>
        <v>#N/A</v>
      </c>
      <c r="BG128" s="34" t="e">
        <f t="shared" si="71"/>
        <v>#N/A</v>
      </c>
      <c r="BH128" s="44" t="e">
        <f t="shared" si="48"/>
        <v>#N/A</v>
      </c>
      <c r="BI128" s="36">
        <f>IF(ISNA(VLOOKUP(A128,'Données projet'!$A$113:$I$133,3,0)),0,VLOOKUP(A128,'Données projet'!$A$113:$I$133,3,0))</f>
        <v>0</v>
      </c>
      <c r="BJ128" s="36">
        <f>IF(ISNA(VLOOKUP(A128,'Données projet'!$A$113:$I$133,4,0)),0,VLOOKUP(A128,'Données projet'!$A$113:$I$133,4,0))</f>
        <v>0</v>
      </c>
      <c r="BK128" s="37">
        <f>IF(ISNA(VLOOKUP(A128,'Données projet'!$A$113:$I$133,5,0)),0%,VLOOKUP(A128,'Données projet'!$A$113:$I$133,5,0)*VLOOKUP('Données projet'!$B$12,Paramètres!$A$1:$I$88,7,0))</f>
        <v>0</v>
      </c>
      <c r="BL128" s="37">
        <f>IF(ISNA(VLOOKUP(A128,'Données projet'!$A$113:$I$133,6,0)),0%,VLOOKUP(A128,'Données projet'!$A$113:$I$133,6,0)*VLOOKUP('Données projet'!$B$12,Paramètres!$A$1:$I$88,7,0))</f>
        <v>0</v>
      </c>
      <c r="BM128" s="37">
        <f>IF(ISNA(VLOOKUP(A128,'Données projet'!$A$113:$I$133,7,0)),0%,VLOOKUP(A128,'Données projet'!$A$113:$I$133,7,0))</f>
        <v>0</v>
      </c>
      <c r="BN128" s="45">
        <f>EXP(-LN(2)/35)*BN127+(1-EXP(-LN(2)/35))/(LN(2)/35)*BJ128*BK128*VLOOKUP('Données projet'!$B$9,Paramètres!$A$1:$I$88,3,0)*0.475*44/12</f>
        <v>0</v>
      </c>
      <c r="BO128" s="45">
        <f>EXP(-LN(2)/25)*BO127+(1-EXP(-LN(2)/25))/(LN(2)/25)*Calculateur!BJ128*Calculateur!BL128*VLOOKUP('Données projet'!$B$9,Paramètres!$A$1:$I$88,3,0)*0.475*44/12</f>
        <v>0</v>
      </c>
      <c r="BP128" s="45">
        <f>EXP(-LN(2)/2)*BP127+(1-EXP(-LN(2)/2))/(LN(2)/2)*BJ128*BM128*VLOOKUP('Données projet'!$B$9,Paramètres!$A$1:$I$88,3,0)*0.475*44/12</f>
        <v>0</v>
      </c>
      <c r="BQ128" s="46">
        <f t="shared" si="49"/>
        <v>0</v>
      </c>
      <c r="BR128" s="32" t="e">
        <f>VLOOKUP(A128,'Données projet'!$A$139:$I$159,2,0)</f>
        <v>#N/A</v>
      </c>
      <c r="BS128" s="33" t="e">
        <f>VLOOKUP(A128,'Données projet'!$A$139:$I$159,9,0)</f>
        <v>#N/A</v>
      </c>
      <c r="BT128" s="33">
        <f t="array" ref="BT128">INDEX(BS:BS,MIN(IF(ISNUMBER(BS128:BS324),ROW(BS128:BS324),"")))</f>
        <v>0</v>
      </c>
      <c r="BU128" s="33">
        <f t="shared" si="72"/>
        <v>0</v>
      </c>
      <c r="BV128" s="38" t="e">
        <f>BU128*VLOOKUP('Données projet'!$B$13,Paramètres!$A$1:$I$88,3,0)*VLOOKUP('Données projet'!$B$13,Paramètres!$A$1:$I$88,5,0)</f>
        <v>#N/A</v>
      </c>
      <c r="BW128" s="34" t="e">
        <f t="shared" si="73"/>
        <v>#N/A</v>
      </c>
      <c r="BX128" s="44" t="e">
        <f t="shared" si="50"/>
        <v>#N/A</v>
      </c>
      <c r="BY128" s="36">
        <f>IF(ISNA(VLOOKUP(A128,'Données projet'!$A$139:$I$159,3,0)),0,VLOOKUP(A128,'Données projet'!$A$139:$I$159,3,0))</f>
        <v>0</v>
      </c>
      <c r="BZ128" s="36">
        <f>IF(ISNA(VLOOKUP(A128,'Données projet'!$A$139:$I$159,4,0)),0,VLOOKUP(A128,'Données projet'!$A$139:$I$159,4,0))</f>
        <v>0</v>
      </c>
      <c r="CA128" s="37">
        <f>IF(ISNA(VLOOKUP(A128,'Données projet'!$A$139:$I$159,5,0)),0%,VLOOKUP(A128,'Données projet'!$A$139:$I$159,5,0)*VLOOKUP('Données projet'!$B$13,Paramètres!$A$1:$I$88,7,0))</f>
        <v>0</v>
      </c>
      <c r="CB128" s="37">
        <f>IF(ISNA(VLOOKUP(A128,'Données projet'!$A$139:$I$159,6,0)),0%,VLOOKUP(A128,'Données projet'!$A$139:$I$159,6,0)*VLOOKUP('Données projet'!$B$13,Paramètres!$A$1:$I$88,7,0))</f>
        <v>0</v>
      </c>
      <c r="CC128" s="37">
        <f>IF(ISNA(VLOOKUP(A128,'Données projet'!$A$139:$I$159,7,0)),0%,VLOOKUP(A128,'Données projet'!$A$139:$I$159,7,0))</f>
        <v>0</v>
      </c>
      <c r="CD128" s="45">
        <f>EXP(-LN(2)/35)*CD127+(1-EXP(-LN(2)/35))/(LN(2)/35)*BZ128*CA128*VLOOKUP('Données projet'!$B$9,Paramètres!$A$1:$I$88,3,0)*0.475*44/12</f>
        <v>0</v>
      </c>
      <c r="CE128" s="45">
        <f>EXP(-LN(2)/25)*CE127+(1-EXP(-LN(2)/25))/(LN(2)/25)*Calculateur!BZ128*Calculateur!CB128*VLOOKUP('Données projet'!$B$9,Paramètres!$A$1:$I$88,3,0)*0.475*44/12</f>
        <v>0</v>
      </c>
      <c r="CF128" s="45">
        <f>EXP(-LN(2)/2)*CF127+(1-EXP(-LN(2)/2))/(LN(2)/2)*BZ128*CC128*VLOOKUP('Données projet'!$B$9,Paramètres!$A$1:$I$88,3,0)*0.475*44/12</f>
        <v>0</v>
      </c>
      <c r="CG128" s="46">
        <f t="shared" si="51"/>
        <v>0</v>
      </c>
      <c r="CH128" s="32" t="e">
        <f>VLOOKUP(A128,'Données projet'!$A$165:$I$185,2,0)</f>
        <v>#N/A</v>
      </c>
      <c r="CI128" s="33" t="e">
        <f>VLOOKUP(A128,'Données projet'!$A$165:$I$185,9,0)</f>
        <v>#N/A</v>
      </c>
      <c r="CJ128" s="33">
        <f t="array" ref="CJ128">INDEX(CI:CI,MIN(IF(ISNUMBER(CI128:CI324),ROW(CI128:CI324),"")))</f>
        <v>0</v>
      </c>
      <c r="CK128" s="33">
        <f t="shared" si="74"/>
        <v>0</v>
      </c>
      <c r="CL128" s="38" t="e">
        <f>CK128*VLOOKUP('Données projet'!$B$14,Paramètres!$A$1:$I$88,3,0)*VLOOKUP('Données projet'!$B$14,Paramètres!$A$1:$I$88,5,0)</f>
        <v>#N/A</v>
      </c>
      <c r="CM128" s="34" t="e">
        <f t="shared" si="75"/>
        <v>#N/A</v>
      </c>
      <c r="CN128" s="44" t="e">
        <f t="shared" si="52"/>
        <v>#N/A</v>
      </c>
      <c r="CO128" s="36">
        <f>IF(ISNA(VLOOKUP(A128,'Données projet'!$A$165:$I$185,3,0)),0,VLOOKUP(A128,'Données projet'!$A$165:$I$185,3,0))</f>
        <v>0</v>
      </c>
      <c r="CP128" s="36">
        <f>IF(ISNA(VLOOKUP(A128,'Données projet'!$A$165:$I$185,4,0)),0,VLOOKUP(A128,'Données projet'!$A$165:$I$185,4,0))</f>
        <v>0</v>
      </c>
      <c r="CQ128" s="37">
        <f>IF(ISNA(VLOOKUP(A128,'Données projet'!$A$165:$I$185,5,0)),0%,VLOOKUP(A128,'Données projet'!$A$165:$I$185,5,0)*VLOOKUP('Données projet'!$B$14,Paramètres!$A$1:$I$88,7,0))</f>
        <v>0</v>
      </c>
      <c r="CR128" s="37">
        <f>IF(ISNA(VLOOKUP(A128,'Données projet'!$A$165:$I$185,6,0)),0%,VLOOKUP(A128,'Données projet'!$A$165:$I$185,6,0)*VLOOKUP('Données projet'!$B$14,Paramètres!$A$1:$I$88,7,0))</f>
        <v>0</v>
      </c>
      <c r="CS128" s="37">
        <f>IF(ISNA(VLOOKUP(A128,'Données projet'!$A$165:$I$185,7,0)),0%,VLOOKUP(A128,'Données projet'!$A$165:$I$185,7,0))</f>
        <v>0</v>
      </c>
      <c r="CT128" s="45">
        <f>EXP(-LN(2)/35)*CT127+(1-EXP(-LN(2)/35))/(LN(2)/35)*CP128*CQ128*VLOOKUP('Données projet'!$B$9,Paramètres!$A$1:$I$88,3,0)*0.475*44/12</f>
        <v>0</v>
      </c>
      <c r="CU128" s="45">
        <f>EXP(-LN(2)/25)*CU127+(1-EXP(-LN(2)/25))/(LN(2)/25)*Calculateur!CP128*Calculateur!CR128*VLOOKUP('Données projet'!$B$9,Paramètres!$A$1:$I$88,3,0)*0.475*44/12</f>
        <v>0</v>
      </c>
      <c r="CV128" s="45">
        <f>EXP(-LN(2)/2)*CV127+(1-EXP(-LN(2)/2))/(LN(2)/2)*CP128*CS128*VLOOKUP('Données projet'!$B$9,Paramètres!$A$1:$I$88,3,0)*0.475*44/12</f>
        <v>0</v>
      </c>
      <c r="CW128" s="46">
        <f t="shared" si="53"/>
        <v>0</v>
      </c>
      <c r="CX128" s="32" t="e">
        <f>VLOOKUP(A128,'Données projet'!$A$191:$I$211,2,0)</f>
        <v>#N/A</v>
      </c>
      <c r="CY128" s="33" t="e">
        <f>VLOOKUP(A128,'Données projet'!$A$191:$I$211,9,0)</f>
        <v>#N/A</v>
      </c>
      <c r="CZ128" s="33">
        <f t="array" ref="CZ128">INDEX(CY:CY,MIN(IF(ISNUMBER(CY128:CY324),ROW(CY128:CY324),"")))</f>
        <v>0</v>
      </c>
      <c r="DA128" s="33">
        <f t="shared" si="76"/>
        <v>0</v>
      </c>
      <c r="DB128" s="38" t="e">
        <f>DA128*VLOOKUP('Données projet'!$B$15,Paramètres!$A$1:$I$88,3,0)*VLOOKUP('Données projet'!$B$15,Paramètres!$A$1:$I$88,5,0)</f>
        <v>#N/A</v>
      </c>
      <c r="DC128" s="34" t="e">
        <f t="shared" si="77"/>
        <v>#N/A</v>
      </c>
      <c r="DD128" s="44" t="e">
        <f t="shared" si="54"/>
        <v>#N/A</v>
      </c>
      <c r="DE128" s="36">
        <f>IF(ISNA(VLOOKUP(A128,'Données projet'!$A$191:$I$211,3,0)),0,VLOOKUP(A128,'Données projet'!$A$191:$I$211,3,0))</f>
        <v>0</v>
      </c>
      <c r="DF128" s="36">
        <f>IF(ISNA(VLOOKUP(A128,'Données projet'!$A$191:$I$211,4,0)),0,VLOOKUP(A128,'Données projet'!$A$191:$I$211,4,0))</f>
        <v>0</v>
      </c>
      <c r="DG128" s="37">
        <f>IF(ISNA(VLOOKUP(A128,'Données projet'!$A$191:$I$211,5,0)),0%,VLOOKUP(A128,'Données projet'!$A$191:$I$211,5,0)*VLOOKUP('Données projet'!$B$15,Paramètres!$A$1:$I$88,7,0))</f>
        <v>0</v>
      </c>
      <c r="DH128" s="37">
        <f>IF(ISNA(VLOOKUP(A128,'Données projet'!$A$191:$I$211,6,0)),0%,VLOOKUP(A128,'Données projet'!$A$191:$I$211,6,0)*VLOOKUP('Données projet'!$B$15,Paramètres!$A$1:$I$88,7,0))</f>
        <v>0</v>
      </c>
      <c r="DI128" s="37">
        <f>IF(ISNA(VLOOKUP(A128,'Données projet'!$A$191:$I$211,7,0)),0%,VLOOKUP(A128,'Données projet'!$A$191:$I$211,7,0))</f>
        <v>0</v>
      </c>
      <c r="DJ128" s="45">
        <f>EXP(-LN(2)/35)*DJ127+(1-EXP(-LN(2)/35))/(LN(2)/35)*DF128*DG128*VLOOKUP('Données projet'!$B$9,Paramètres!$A$1:$I$88,3,0)*0.475*44/12</f>
        <v>0</v>
      </c>
      <c r="DK128" s="45">
        <f>EXP(-LN(2)/25)*DK127+(1-EXP(-LN(2)/25))/(LN(2)/25)*Calculateur!DF128*Calculateur!DH128*VLOOKUP('Données projet'!$B$9,Paramètres!$A$1:$I$88,3,0)*0.475*44/12</f>
        <v>0</v>
      </c>
      <c r="DL128" s="45">
        <f>EXP(-LN(2)/2)*DL127+(1-EXP(-LN(2)/2))/(LN(2)/2)*DF128*DI128*VLOOKUP('Données projet'!$B$9,Paramètres!$A$1:$I$88,3,0)*0.475*44/12</f>
        <v>0</v>
      </c>
      <c r="DM128" s="46">
        <f t="shared" si="55"/>
        <v>0</v>
      </c>
      <c r="DN128" s="32" t="e">
        <f>VLOOKUP(A128,'Données projet'!$A$217:$I$237,2,0)</f>
        <v>#N/A</v>
      </c>
      <c r="DO128" s="33" t="e">
        <f>VLOOKUP(A128,'Données projet'!$A$217:$I$237,9,0)</f>
        <v>#N/A</v>
      </c>
      <c r="DP128" s="33">
        <f t="array" ref="DP128">INDEX(DO:DO,MIN(IF(ISNUMBER(DO128:DO324),ROW(DO128:DO324),"")))</f>
        <v>0</v>
      </c>
      <c r="DQ128" s="33">
        <f t="shared" si="78"/>
        <v>0</v>
      </c>
      <c r="DR128" s="38" t="e">
        <f>DQ128*VLOOKUP('Données projet'!$B$16,Paramètres!$A$1:$I$88,3,0)*VLOOKUP('Données projet'!$B$16,Paramètres!$A$1:$I$88,5,0)</f>
        <v>#N/A</v>
      </c>
      <c r="DS128" s="34" t="e">
        <f t="shared" si="79"/>
        <v>#N/A</v>
      </c>
      <c r="DT128" s="44" t="e">
        <f t="shared" si="56"/>
        <v>#N/A</v>
      </c>
      <c r="DU128" s="36">
        <f>IF(ISNA(VLOOKUP(A128,'Données projet'!$A$217:$I$237,3,0)),0,VLOOKUP(A128,'Données projet'!$A$217:$I$237,3,0))</f>
        <v>0</v>
      </c>
      <c r="DV128" s="36">
        <f>IF(ISNA(VLOOKUP(A128,'Données projet'!$A$217:$I$237,4,0)),0,VLOOKUP(A128,'Données projet'!$A$217:$I$237,4,0))</f>
        <v>0</v>
      </c>
      <c r="DW128" s="37">
        <f>IF(ISNA(VLOOKUP(A128,'Données projet'!$A$217:$I$237,5,0)),0%,VLOOKUP(A128,'Données projet'!$A$217:$I$237,5,0)*VLOOKUP('Données projet'!$B$16,Paramètres!$A$1:$I$88,7,0))</f>
        <v>0</v>
      </c>
      <c r="DX128" s="37">
        <f>IF(ISNA(VLOOKUP(A128,'Données projet'!$A$217:$I$237,6,0)),0%,VLOOKUP(A128,'Données projet'!$A$217:$I$237,6,0)*VLOOKUP('Données projet'!$B$16,Paramètres!$A$1:$I$88,7,0))</f>
        <v>0</v>
      </c>
      <c r="DY128" s="37">
        <f>IF(ISNA(VLOOKUP(A128,'Données projet'!$A$217:$I$237,7,0)),0%,VLOOKUP(A128,'Données projet'!$A$217:$I$237,7,0))</f>
        <v>0</v>
      </c>
      <c r="DZ128" s="45">
        <f>EXP(-LN(2)/35)*DZ127+(1-EXP(-LN(2)/35))/(LN(2)/35)*DV128*DW128*VLOOKUP('Données projet'!$B$9,Paramètres!$A$1:$I$88,3,0)*0.475*44/12</f>
        <v>0</v>
      </c>
      <c r="EA128" s="45">
        <f>EXP(-LN(2)/25)*EA127+(1-EXP(-LN(2)/25))/(LN(2)/25)*Calculateur!DV128*Calculateur!DX128*VLOOKUP('Données projet'!$B$9,Paramètres!$A$1:$I$88,3,0)*0.475*44/12</f>
        <v>0</v>
      </c>
      <c r="EB128" s="45">
        <f>EXP(-LN(2)/2)*EB127+(1-EXP(-LN(2)/2))/(LN(2)/2)*DV128*DY128*VLOOKUP('Données projet'!$B$9,Paramètres!$A$1:$I$88,3,0)*0.475*44/12</f>
        <v>0</v>
      </c>
      <c r="EC128" s="46">
        <f t="shared" si="57"/>
        <v>0</v>
      </c>
      <c r="ED128" s="32" t="e">
        <f>VLOOKUP(A128,'Données projet'!$A$243:$I$263,2,0)</f>
        <v>#N/A</v>
      </c>
      <c r="EE128" s="33" t="e">
        <f>VLOOKUP(A128,'Données projet'!$A$243:$I$263,9,0)</f>
        <v>#N/A</v>
      </c>
      <c r="EF128" s="33">
        <f t="array" ref="EF128">INDEX(EE:EE,MIN(IF(ISNUMBER(EE128:EE324),ROW(EE128:EE324),"")))</f>
        <v>0</v>
      </c>
      <c r="EG128" s="33">
        <f t="shared" si="80"/>
        <v>0</v>
      </c>
      <c r="EH128" s="38" t="e">
        <f>EG128*VLOOKUP('Données projet'!$B$17,Paramètres!$A$1:$I$88,3,0)*VLOOKUP('Données projet'!$B$17,Paramètres!$A$1:$I$88,5,0)</f>
        <v>#N/A</v>
      </c>
      <c r="EI128" s="34" t="e">
        <f t="shared" si="81"/>
        <v>#N/A</v>
      </c>
      <c r="EJ128" s="44" t="e">
        <f t="shared" si="58"/>
        <v>#N/A</v>
      </c>
      <c r="EK128" s="36">
        <f>IF(ISNA(VLOOKUP(A128,'Données projet'!$A$243:$I$263,3,0)),0,VLOOKUP(A128,'Données projet'!$A$243:$I$263,3,0))</f>
        <v>0</v>
      </c>
      <c r="EL128" s="36">
        <f>IF(ISNA(VLOOKUP(A128,'Données projet'!$A$243:$I$263,4,0)),0,VLOOKUP(A128,'Données projet'!$A$243:$I$263,4,0))</f>
        <v>0</v>
      </c>
      <c r="EM128" s="37">
        <f>IF(ISNA(VLOOKUP(A128,'Données projet'!$A$243:$I$263,5,0)),0%,VLOOKUP(A128,'Données projet'!$A$243:$I$263,5,0)*VLOOKUP('Données projet'!$B$17,Paramètres!$A$1:$I$88,7,0))</f>
        <v>0</v>
      </c>
      <c r="EN128" s="37">
        <f>IF(ISNA(VLOOKUP(A128,'Données projet'!$A$243:$I$263,6,0)),0%,VLOOKUP(A128,'Données projet'!$A$243:$I$263,6,0)*VLOOKUP('Données projet'!$B$17,Paramètres!$A$1:$I$88,7,0))</f>
        <v>0</v>
      </c>
      <c r="EO128" s="37">
        <f>IF(ISNA(VLOOKUP(A128,'Données projet'!$A$243:$I$263,7,0)),0%,VLOOKUP(A128,'Données projet'!$A$243:$I$263,7,0))</f>
        <v>0</v>
      </c>
      <c r="EP128" s="45">
        <f>EXP(-LN(2)/35)*EP127+(1-EXP(-LN(2)/35))/(LN(2)/35)*EL128*EM128*VLOOKUP('Données projet'!$B$9,Paramètres!$A$1:$I$88,3,0)*0.475*44/12</f>
        <v>0</v>
      </c>
      <c r="EQ128" s="45">
        <f>EXP(-LN(2)/25)*EQ127+(1-EXP(-LN(2)/25))/(LN(2)/25)*Calculateur!EL128*Calculateur!EN128*VLOOKUP('Données projet'!$B$9,Paramètres!$A$1:$I$88,3,0)*0.475*44/12</f>
        <v>0</v>
      </c>
      <c r="ER128" s="45">
        <f>EXP(-LN(2)/2)*ER127+(1-EXP(-LN(2)/2))/(LN(2)/2)*EL128*EO128*VLOOKUP('Données projet'!$B$9,Paramètres!$A$1:$I$88,3,0)*0.475*44/12</f>
        <v>0</v>
      </c>
      <c r="ES128" s="46">
        <f t="shared" si="59"/>
        <v>0</v>
      </c>
      <c r="ET128" s="32" t="e">
        <f>VLOOKUP(A128,'Données projet'!$A$269:$I$289,2,0)</f>
        <v>#N/A</v>
      </c>
      <c r="EU128" s="33" t="e">
        <f>VLOOKUP(A128,'Données projet'!$A$269:$I$289,9,0)</f>
        <v>#N/A</v>
      </c>
      <c r="EV128" s="33">
        <f t="array" ref="EV128">INDEX(EU:EU,MIN(IF(ISNUMBER(EU128:EU324),ROW(EU128:EU324),"")))</f>
        <v>0</v>
      </c>
      <c r="EW128" s="33">
        <f t="shared" si="82"/>
        <v>0</v>
      </c>
      <c r="EX128" s="38" t="e">
        <f>EW128*VLOOKUP('Données projet'!$B$18,Paramètres!$A$1:$I$88,3,0)*VLOOKUP('Données projet'!$B$18,Paramètres!$A$1:$I$88,5,0)</f>
        <v>#N/A</v>
      </c>
      <c r="EY128" s="34" t="e">
        <f t="shared" si="83"/>
        <v>#N/A</v>
      </c>
      <c r="EZ128" s="44" t="e">
        <f t="shared" si="60"/>
        <v>#N/A</v>
      </c>
      <c r="FA128" s="36">
        <f>IF(ISNA(VLOOKUP(A128,'Données projet'!$A$269:$I$289,3,0)),0,VLOOKUP(A128,'Données projet'!$A$269:$I$289,3,0))</f>
        <v>0</v>
      </c>
      <c r="FB128" s="36">
        <f>IF(ISNA(VLOOKUP(A128,'Données projet'!$A$269:$I$289,4,0)),0,VLOOKUP(A128,'Données projet'!$A$269:$I$289,4,0))</f>
        <v>0</v>
      </c>
      <c r="FC128" s="37">
        <f>IF(ISNA(VLOOKUP(A128,'Données projet'!$A$269:$I$289,5,0)),0%,VLOOKUP(A128,'Données projet'!$A$269:$I$289,5,0)*VLOOKUP('Données projet'!$B$18,Paramètres!$A$1:$I$88,7,0))</f>
        <v>0</v>
      </c>
      <c r="FD128" s="37">
        <f>IF(ISNA(VLOOKUP(A128,'Données projet'!$A$269:$I$289,6,0)),0%,VLOOKUP(A128,'Données projet'!$A$269:$I$289,6,0)*VLOOKUP('Données projet'!$B$18,Paramètres!$A$1:$I$88,7,0))</f>
        <v>0</v>
      </c>
      <c r="FE128" s="37">
        <f>IF(ISNA(VLOOKUP(A128,'Données projet'!$A$269:$I$289,7,0)),0%,VLOOKUP(A128,'Données projet'!$A$269:$I$289,7,0))</f>
        <v>0</v>
      </c>
      <c r="FF128" s="45">
        <f>EXP(-LN(2)/35)*FF127+(1-EXP(-LN(2)/35))/(LN(2)/35)*FB128*FC128*VLOOKUP('Données projet'!$B$9,Paramètres!$A$1:$I$88,3,0)*0.475*44/12</f>
        <v>0</v>
      </c>
      <c r="FG128" s="45">
        <f>EXP(-LN(2)/25)*FG127+(1-EXP(-LN(2)/25))/(LN(2)/25)*Calculateur!FB128*Calculateur!FD128*VLOOKUP('Données projet'!$B$9,Paramètres!$A$1:$I$88,3,0)*0.475*44/12</f>
        <v>0</v>
      </c>
      <c r="FH128" s="45">
        <f>EXP(-LN(2)/2)*FH127+(1-EXP(-LN(2)/2))/(LN(2)/2)*FB128*FE128*VLOOKUP('Données projet'!$B$9,Paramètres!$A$1:$I$88,3,0)*0.475*44/12</f>
        <v>0</v>
      </c>
      <c r="FI128" s="46">
        <f t="shared" si="61"/>
        <v>0</v>
      </c>
    </row>
    <row r="129" spans="1:165" x14ac:dyDescent="0.25">
      <c r="A129" s="24">
        <f t="shared" si="62"/>
        <v>126</v>
      </c>
      <c r="B129" s="25">
        <f>IF('Scénario référence'!$N$1=1,5,0)</f>
        <v>0</v>
      </c>
      <c r="C129" s="40">
        <f>IF(OR('Scénario référence'!$N$1=2,'Scénario référence'!$N$1=4),C128+1*VLOOKUP('Scénario référence'!$G$14,Paramètres!$A$1:$I$88,3,0)*VLOOKUP('Scénario référence'!$G$14,Paramètres!$A$1:$I$88,5,0),IF(OR('Scénario référence'!$N$1=3,'Scénario référence'!$N$1=5),C128+0.5*VLOOKUP('Scénario référence'!$G$14,Paramètres!$A$1:$I$88,3,0)*VLOOKUP('Scénario référence'!$G$14,Paramètres!$A$1:$I$88,5,0),0))</f>
        <v>68.795999999999992</v>
      </c>
      <c r="D129" s="26">
        <f t="shared" si="63"/>
        <v>19.374160697102734</v>
      </c>
      <c r="E129" s="27">
        <f>IF('Scénario référence'!$N$1=1,B129*44/12,(C129+D129)*0.475*44/12)</f>
        <v>153.56302988078724</v>
      </c>
      <c r="F129" s="28" t="e">
        <f>VLOOKUP(A129,'Données projet'!$A$35:$I$55,2,0)</f>
        <v>#N/A</v>
      </c>
      <c r="G129" s="28" t="e">
        <f>VLOOKUP(A129,'Données projet'!$A$35:$I$55,9,0)</f>
        <v>#N/A</v>
      </c>
      <c r="H129" s="33">
        <f t="array" ref="H129">INDEX(G:G,MIN(IF(ISNUMBER(G129:G325),ROW(G129:G325),"")))</f>
        <v>3</v>
      </c>
      <c r="I129" s="28">
        <f t="shared" si="64"/>
        <v>270.99999999999932</v>
      </c>
      <c r="J129" s="41">
        <f>I129*VLOOKUP('Données projet'!$B$9,Paramètres!$A$1:$I$88,3,0)*VLOOKUP('Données projet'!$B$9,Paramètres!$A$1:$I$88,5,0)</f>
        <v>274.7939999999993</v>
      </c>
      <c r="K129" s="41">
        <f t="shared" si="65"/>
        <v>65.865632600455356</v>
      </c>
      <c r="L129" s="42">
        <f t="shared" si="42"/>
        <v>593.31552677912521</v>
      </c>
      <c r="M129" s="30">
        <f>IF(ISNA(VLOOKUP(A129,'Données projet'!$A$35:$I$55,3,0)),0,VLOOKUP(A129,'Données projet'!$A$35:$I$55,3,0))</f>
        <v>0</v>
      </c>
      <c r="N129" s="30">
        <f>IF(ISNA(VLOOKUP(A129,'Données projet'!$A$35:$I$55,4,0)),0,VLOOKUP(A129,'Données projet'!$A$35:$I$55,4,0))</f>
        <v>0</v>
      </c>
      <c r="O129" s="31">
        <f>IF(ISNA(VLOOKUP(A129,'Données projet'!$A$35:$I$55,5,0)),0%,VLOOKUP(A129,'Données projet'!$A$35:$I$55,5,0)*VLOOKUP('Données projet'!$B$9,Paramètres!$A$1:$I$88,7,0))</f>
        <v>0</v>
      </c>
      <c r="P129" s="31">
        <f>IF(ISNA(VLOOKUP(A129,'Données projet'!$A$35:$I$55,6,0)),0%,VLOOKUP(A129,'Données projet'!$A$35:$I$55,6,0)*VLOOKUP('Données projet'!$B$9,Paramètres!$A$1:$I$88,7,0))</f>
        <v>0</v>
      </c>
      <c r="Q129" s="31">
        <f>IF(ISNA(VLOOKUP(A129,'Données projet'!$A$35:$I$55,7,0)),0%,VLOOKUP(A129,'Données projet'!$A$35:$I$55,7,0))</f>
        <v>0</v>
      </c>
      <c r="R129" s="43">
        <f>EXP(-LN(2)/35)*R128+(1-EXP(-LN(2)/35))/(LN(2)/35)*N129*O129*VLOOKUP('Données projet'!$B$9,Paramètres!$A$1:$I$88,3,0)*0.475*44/12</f>
        <v>0</v>
      </c>
      <c r="S129" s="43">
        <f>EXP(-LN(2)/25)*S128+(1-EXP(-LN(2)/25))/(LN(2)/25)*Calculateur!N129*Calculateur!P129*VLOOKUP('Données projet'!$B$9,Paramètres!$A$1:$I$88,3,0)*0.475*44/12</f>
        <v>0</v>
      </c>
      <c r="T129" s="43">
        <f>EXP(-LN(2)/2)*T128+(1-EXP(-LN(2)/2))/(LN(2)/2)*N129*Q129*VLOOKUP('Données projet'!$B$9,Paramètres!$A$1:$I$88,3,0)*0.475*44/12</f>
        <v>0</v>
      </c>
      <c r="U129" s="43">
        <f t="shared" si="43"/>
        <v>0</v>
      </c>
      <c r="V129" s="32" t="e">
        <f>VLOOKUP(A129,'Données projet'!$A$61:$I$81,2,0)</f>
        <v>#N/A</v>
      </c>
      <c r="W129" s="33" t="e">
        <f>VLOOKUP(A129,'Données projet'!$A$61:$I$81,9,0)</f>
        <v>#N/A</v>
      </c>
      <c r="X129" s="33">
        <f t="array" ref="X129">INDEX(W:W,MIN(IF(ISNUMBER(W129:W325),ROW(W129:W325),"")))</f>
        <v>0</v>
      </c>
      <c r="Y129" s="33">
        <f t="shared" si="66"/>
        <v>0</v>
      </c>
      <c r="Z129" s="34" t="e">
        <f>Y129*VLOOKUP('Données projet'!$B$10,Paramètres!$A$1:$I$88,3,0)*VLOOKUP('Données projet'!$B$10,Paramètres!$A$1:$I$88,5,0)</f>
        <v>#N/A</v>
      </c>
      <c r="AA129" s="34" t="e">
        <f t="shared" si="67"/>
        <v>#N/A</v>
      </c>
      <c r="AB129" s="44" t="e">
        <f t="shared" si="44"/>
        <v>#N/A</v>
      </c>
      <c r="AC129" s="36">
        <f>IF(ISNA(VLOOKUP(A129,'Données projet'!$A$61:$I$81,3,0)),0,VLOOKUP(A129,'Données projet'!$A$61:$I$81,3,0))</f>
        <v>0</v>
      </c>
      <c r="AD129" s="36">
        <f>IF(ISNA(VLOOKUP(A129,'Données projet'!$A$61:$I$81,4,0)),0,VLOOKUP(A129,'Données projet'!$A$61:$I$81,4,0))</f>
        <v>0</v>
      </c>
      <c r="AE129" s="37">
        <f>IF(ISNA(VLOOKUP(A129,'Données projet'!$A$61:$I$81,5,0)),0%,VLOOKUP(A129,'Données projet'!$A$61:$I$81,5,0)*VLOOKUP('Données projet'!$B$10,Paramètres!$A$1:$I$88,7,0))</f>
        <v>0</v>
      </c>
      <c r="AF129" s="37">
        <f>IF(ISNA(VLOOKUP(A129,'Données projet'!$A$61:$I$81,6,0)),0%,VLOOKUP(A129,'Données projet'!$A$61:$I$81,6,0)*VLOOKUP('Données projet'!$B$10,Paramètres!$A$1:$I$88,7,0))</f>
        <v>0</v>
      </c>
      <c r="AG129" s="37">
        <f>IF(ISNA(VLOOKUP(A129,'Données projet'!$A$61:$I$81,7,0)),0%,VLOOKUP(A129,'Données projet'!$A$61:$I$81,7,0))</f>
        <v>0</v>
      </c>
      <c r="AH129" s="45">
        <f>EXP(-LN(2)/35)*AH128+(1-EXP(-LN(2)/35))/(LN(2)/35)*AD129*AE129*VLOOKUP('Données projet'!$B$9,Paramètres!$A$1:$I$88,3,0)*0.475*44/12</f>
        <v>0</v>
      </c>
      <c r="AI129" s="45">
        <f>EXP(-LN(2)/25)*AI128+(1-EXP(-LN(2)/25))/(LN(2)/25)*Calculateur!AD129*Calculateur!AF129*VLOOKUP('Données projet'!$B$9,Paramètres!$A$1:$I$88,3,0)*0.475*44/12</f>
        <v>0</v>
      </c>
      <c r="AJ129" s="45">
        <f>EXP(-LN(2)/2)*AJ128+(1-EXP(-LN(2)/2))/(LN(2)/2)*AD129*AG129*VLOOKUP('Données projet'!$B$9,Paramètres!$A$1:$I$88,3,0)*0.475*44/12</f>
        <v>0</v>
      </c>
      <c r="AK129" s="45">
        <f t="shared" si="45"/>
        <v>0</v>
      </c>
      <c r="AL129" s="32" t="e">
        <f>VLOOKUP(A129,'Données projet'!$A$87:$I$107,2,0)</f>
        <v>#N/A</v>
      </c>
      <c r="AM129" s="33" t="e">
        <f>VLOOKUP(A129,'Données projet'!$A$87:$I$107,9,0)</f>
        <v>#N/A</v>
      </c>
      <c r="AN129" s="33">
        <f t="array" ref="AN129">INDEX(AM:AM,MIN(IF(ISNUMBER(AM129:AM325),ROW(AM129:AM325),"")))</f>
        <v>0</v>
      </c>
      <c r="AO129" s="33">
        <f t="shared" si="68"/>
        <v>0</v>
      </c>
      <c r="AP129" s="34" t="e">
        <f>AO129*VLOOKUP('Données projet'!$B$11,Paramètres!$A$1:$I$88,3,0)*VLOOKUP('Données projet'!$B$11,Paramètres!$A$1:$I$88,5,0)</f>
        <v>#N/A</v>
      </c>
      <c r="AQ129" s="34" t="e">
        <f t="shared" si="69"/>
        <v>#N/A</v>
      </c>
      <c r="AR129" s="44" t="e">
        <f t="shared" si="46"/>
        <v>#N/A</v>
      </c>
      <c r="AS129" s="36">
        <f>IF(ISNA(VLOOKUP(A129,'Données projet'!$A$87:$I$107,3,0)),0,VLOOKUP(A129,'Données projet'!$A$87:$I$107,3,0))</f>
        <v>0</v>
      </c>
      <c r="AT129" s="36">
        <f>IF(ISNA(VLOOKUP(A129,'Données projet'!$A$87:$I$107,4,0)),0,VLOOKUP(A129,'Données projet'!$A$87:$I$107,4,0))</f>
        <v>0</v>
      </c>
      <c r="AU129" s="37">
        <f>IF(ISNA(VLOOKUP(A129,'Données projet'!$A$87:$I$107,5,0)),0%,VLOOKUP(A129,'Données projet'!$A$87:$I$107,5,0)*VLOOKUP('Données projet'!$B$11,Paramètres!$A$1:$I$88,7,0))</f>
        <v>0</v>
      </c>
      <c r="AV129" s="37">
        <f>IF(ISNA(VLOOKUP(A129,'Données projet'!$A$87:$I$107,6,0)),0%,VLOOKUP(A129,'Données projet'!$A$87:$I$107,6,0)*VLOOKUP('Données projet'!$B$11,Paramètres!$A$1:$I$88,7,0))</f>
        <v>0</v>
      </c>
      <c r="AW129" s="37">
        <f>IF(ISNA(VLOOKUP(A129,'Données projet'!$A$87:$I$107,7,0)),0%,VLOOKUP(A129,'Données projet'!$A$87:$I$107,7,0))</f>
        <v>0</v>
      </c>
      <c r="AX129" s="45">
        <f>EXP(-LN(2)/35)*AX128+(1-EXP(-LN(2)/35))/(LN(2)/35)*AT129*AU129*VLOOKUP('Données projet'!$B$9,Paramètres!$A$1:$I$88,3,0)*0.475*44/12</f>
        <v>0</v>
      </c>
      <c r="AY129" s="45">
        <f>EXP(-LN(2)/25)*AY128+(1-EXP(-LN(2)/25))/(LN(2)/25)*Calculateur!AT129*Calculateur!AV129*VLOOKUP('Données projet'!$B$9,Paramètres!$A$1:$I$88,3,0)*0.475*44/12</f>
        <v>0</v>
      </c>
      <c r="AZ129" s="45">
        <f>EXP(-LN(2)/2)*AZ128+(1-EXP(-LN(2)/2))/(LN(2)/2)*AT129*AW129*VLOOKUP('Données projet'!$B$9,Paramètres!$A$1:$I$88,3,0)*0.475*44/12</f>
        <v>0</v>
      </c>
      <c r="BA129" s="46">
        <f t="shared" si="47"/>
        <v>0</v>
      </c>
      <c r="BB129" s="32" t="e">
        <f>VLOOKUP(A129,'Données projet'!$A$113:$I$133,2,0)</f>
        <v>#N/A</v>
      </c>
      <c r="BC129" s="33" t="e">
        <f>VLOOKUP(A129,'Données projet'!$A$113:$I$133,9,0)</f>
        <v>#N/A</v>
      </c>
      <c r="BD129" s="33">
        <f t="array" ref="BD129">INDEX(BC:BC,MIN(IF(ISNUMBER(BC129:BC325),ROW(BC129:BC325),"")))</f>
        <v>0</v>
      </c>
      <c r="BE129" s="33">
        <f t="shared" si="70"/>
        <v>0</v>
      </c>
      <c r="BF129" s="34" t="e">
        <f>BE129*VLOOKUP('Données projet'!$B$12,Paramètres!$A$1:$I$88,3,0)*VLOOKUP('Données projet'!$B$12,Paramètres!$A$1:$I$88,5,0)</f>
        <v>#N/A</v>
      </c>
      <c r="BG129" s="34" t="e">
        <f t="shared" si="71"/>
        <v>#N/A</v>
      </c>
      <c r="BH129" s="44" t="e">
        <f t="shared" si="48"/>
        <v>#N/A</v>
      </c>
      <c r="BI129" s="36">
        <f>IF(ISNA(VLOOKUP(A129,'Données projet'!$A$113:$I$133,3,0)),0,VLOOKUP(A129,'Données projet'!$A$113:$I$133,3,0))</f>
        <v>0</v>
      </c>
      <c r="BJ129" s="36">
        <f>IF(ISNA(VLOOKUP(A129,'Données projet'!$A$113:$I$133,4,0)),0,VLOOKUP(A129,'Données projet'!$A$113:$I$133,4,0))</f>
        <v>0</v>
      </c>
      <c r="BK129" s="37">
        <f>IF(ISNA(VLOOKUP(A129,'Données projet'!$A$113:$I$133,5,0)),0%,VLOOKUP(A129,'Données projet'!$A$113:$I$133,5,0)*VLOOKUP('Données projet'!$B$12,Paramètres!$A$1:$I$88,7,0))</f>
        <v>0</v>
      </c>
      <c r="BL129" s="37">
        <f>IF(ISNA(VLOOKUP(A129,'Données projet'!$A$113:$I$133,6,0)),0%,VLOOKUP(A129,'Données projet'!$A$113:$I$133,6,0)*VLOOKUP('Données projet'!$B$12,Paramètres!$A$1:$I$88,7,0))</f>
        <v>0</v>
      </c>
      <c r="BM129" s="37">
        <f>IF(ISNA(VLOOKUP(A129,'Données projet'!$A$113:$I$133,7,0)),0%,VLOOKUP(A129,'Données projet'!$A$113:$I$133,7,0))</f>
        <v>0</v>
      </c>
      <c r="BN129" s="45">
        <f>EXP(-LN(2)/35)*BN128+(1-EXP(-LN(2)/35))/(LN(2)/35)*BJ129*BK129*VLOOKUP('Données projet'!$B$9,Paramètres!$A$1:$I$88,3,0)*0.475*44/12</f>
        <v>0</v>
      </c>
      <c r="BO129" s="45">
        <f>EXP(-LN(2)/25)*BO128+(1-EXP(-LN(2)/25))/(LN(2)/25)*Calculateur!BJ129*Calculateur!BL129*VLOOKUP('Données projet'!$B$9,Paramètres!$A$1:$I$88,3,0)*0.475*44/12</f>
        <v>0</v>
      </c>
      <c r="BP129" s="45">
        <f>EXP(-LN(2)/2)*BP128+(1-EXP(-LN(2)/2))/(LN(2)/2)*BJ129*BM129*VLOOKUP('Données projet'!$B$9,Paramètres!$A$1:$I$88,3,0)*0.475*44/12</f>
        <v>0</v>
      </c>
      <c r="BQ129" s="46">
        <f t="shared" si="49"/>
        <v>0</v>
      </c>
      <c r="BR129" s="32" t="e">
        <f>VLOOKUP(A129,'Données projet'!$A$139:$I$159,2,0)</f>
        <v>#N/A</v>
      </c>
      <c r="BS129" s="33" t="e">
        <f>VLOOKUP(A129,'Données projet'!$A$139:$I$159,9,0)</f>
        <v>#N/A</v>
      </c>
      <c r="BT129" s="33">
        <f t="array" ref="BT129">INDEX(BS:BS,MIN(IF(ISNUMBER(BS129:BS325),ROW(BS129:BS325),"")))</f>
        <v>0</v>
      </c>
      <c r="BU129" s="33">
        <f t="shared" si="72"/>
        <v>0</v>
      </c>
      <c r="BV129" s="38" t="e">
        <f>BU129*VLOOKUP('Données projet'!$B$13,Paramètres!$A$1:$I$88,3,0)*VLOOKUP('Données projet'!$B$13,Paramètres!$A$1:$I$88,5,0)</f>
        <v>#N/A</v>
      </c>
      <c r="BW129" s="34" t="e">
        <f t="shared" si="73"/>
        <v>#N/A</v>
      </c>
      <c r="BX129" s="44" t="e">
        <f t="shared" si="50"/>
        <v>#N/A</v>
      </c>
      <c r="BY129" s="36">
        <f>IF(ISNA(VLOOKUP(A129,'Données projet'!$A$139:$I$159,3,0)),0,VLOOKUP(A129,'Données projet'!$A$139:$I$159,3,0))</f>
        <v>0</v>
      </c>
      <c r="BZ129" s="36">
        <f>IF(ISNA(VLOOKUP(A129,'Données projet'!$A$139:$I$159,4,0)),0,VLOOKUP(A129,'Données projet'!$A$139:$I$159,4,0))</f>
        <v>0</v>
      </c>
      <c r="CA129" s="37">
        <f>IF(ISNA(VLOOKUP(A129,'Données projet'!$A$139:$I$159,5,0)),0%,VLOOKUP(A129,'Données projet'!$A$139:$I$159,5,0)*VLOOKUP('Données projet'!$B$13,Paramètres!$A$1:$I$88,7,0))</f>
        <v>0</v>
      </c>
      <c r="CB129" s="37">
        <f>IF(ISNA(VLOOKUP(A129,'Données projet'!$A$139:$I$159,6,0)),0%,VLOOKUP(A129,'Données projet'!$A$139:$I$159,6,0)*VLOOKUP('Données projet'!$B$13,Paramètres!$A$1:$I$88,7,0))</f>
        <v>0</v>
      </c>
      <c r="CC129" s="37">
        <f>IF(ISNA(VLOOKUP(A129,'Données projet'!$A$139:$I$159,7,0)),0%,VLOOKUP(A129,'Données projet'!$A$139:$I$159,7,0))</f>
        <v>0</v>
      </c>
      <c r="CD129" s="45">
        <f>EXP(-LN(2)/35)*CD128+(1-EXP(-LN(2)/35))/(LN(2)/35)*BZ129*CA129*VLOOKUP('Données projet'!$B$9,Paramètres!$A$1:$I$88,3,0)*0.475*44/12</f>
        <v>0</v>
      </c>
      <c r="CE129" s="45">
        <f>EXP(-LN(2)/25)*CE128+(1-EXP(-LN(2)/25))/(LN(2)/25)*Calculateur!BZ129*Calculateur!CB129*VLOOKUP('Données projet'!$B$9,Paramètres!$A$1:$I$88,3,0)*0.475*44/12</f>
        <v>0</v>
      </c>
      <c r="CF129" s="45">
        <f>EXP(-LN(2)/2)*CF128+(1-EXP(-LN(2)/2))/(LN(2)/2)*BZ129*CC129*VLOOKUP('Données projet'!$B$9,Paramètres!$A$1:$I$88,3,0)*0.475*44/12</f>
        <v>0</v>
      </c>
      <c r="CG129" s="46">
        <f t="shared" si="51"/>
        <v>0</v>
      </c>
      <c r="CH129" s="32" t="e">
        <f>VLOOKUP(A129,'Données projet'!$A$165:$I$185,2,0)</f>
        <v>#N/A</v>
      </c>
      <c r="CI129" s="33" t="e">
        <f>VLOOKUP(A129,'Données projet'!$A$165:$I$185,9,0)</f>
        <v>#N/A</v>
      </c>
      <c r="CJ129" s="33">
        <f t="array" ref="CJ129">INDEX(CI:CI,MIN(IF(ISNUMBER(CI129:CI325),ROW(CI129:CI325),"")))</f>
        <v>0</v>
      </c>
      <c r="CK129" s="33">
        <f t="shared" si="74"/>
        <v>0</v>
      </c>
      <c r="CL129" s="38" t="e">
        <f>CK129*VLOOKUP('Données projet'!$B$14,Paramètres!$A$1:$I$88,3,0)*VLOOKUP('Données projet'!$B$14,Paramètres!$A$1:$I$88,5,0)</f>
        <v>#N/A</v>
      </c>
      <c r="CM129" s="34" t="e">
        <f t="shared" si="75"/>
        <v>#N/A</v>
      </c>
      <c r="CN129" s="44" t="e">
        <f t="shared" si="52"/>
        <v>#N/A</v>
      </c>
      <c r="CO129" s="36">
        <f>IF(ISNA(VLOOKUP(A129,'Données projet'!$A$165:$I$185,3,0)),0,VLOOKUP(A129,'Données projet'!$A$165:$I$185,3,0))</f>
        <v>0</v>
      </c>
      <c r="CP129" s="36">
        <f>IF(ISNA(VLOOKUP(A129,'Données projet'!$A$165:$I$185,4,0)),0,VLOOKUP(A129,'Données projet'!$A$165:$I$185,4,0))</f>
        <v>0</v>
      </c>
      <c r="CQ129" s="37">
        <f>IF(ISNA(VLOOKUP(A129,'Données projet'!$A$165:$I$185,5,0)),0%,VLOOKUP(A129,'Données projet'!$A$165:$I$185,5,0)*VLOOKUP('Données projet'!$B$14,Paramètres!$A$1:$I$88,7,0))</f>
        <v>0</v>
      </c>
      <c r="CR129" s="37">
        <f>IF(ISNA(VLOOKUP(A129,'Données projet'!$A$165:$I$185,6,0)),0%,VLOOKUP(A129,'Données projet'!$A$165:$I$185,6,0)*VLOOKUP('Données projet'!$B$14,Paramètres!$A$1:$I$88,7,0))</f>
        <v>0</v>
      </c>
      <c r="CS129" s="37">
        <f>IF(ISNA(VLOOKUP(A129,'Données projet'!$A$165:$I$185,7,0)),0%,VLOOKUP(A129,'Données projet'!$A$165:$I$185,7,0))</f>
        <v>0</v>
      </c>
      <c r="CT129" s="45">
        <f>EXP(-LN(2)/35)*CT128+(1-EXP(-LN(2)/35))/(LN(2)/35)*CP129*CQ129*VLOOKUP('Données projet'!$B$9,Paramètres!$A$1:$I$88,3,0)*0.475*44/12</f>
        <v>0</v>
      </c>
      <c r="CU129" s="45">
        <f>EXP(-LN(2)/25)*CU128+(1-EXP(-LN(2)/25))/(LN(2)/25)*Calculateur!CP129*Calculateur!CR129*VLOOKUP('Données projet'!$B$9,Paramètres!$A$1:$I$88,3,0)*0.475*44/12</f>
        <v>0</v>
      </c>
      <c r="CV129" s="45">
        <f>EXP(-LN(2)/2)*CV128+(1-EXP(-LN(2)/2))/(LN(2)/2)*CP129*CS129*VLOOKUP('Données projet'!$B$9,Paramètres!$A$1:$I$88,3,0)*0.475*44/12</f>
        <v>0</v>
      </c>
      <c r="CW129" s="46">
        <f t="shared" si="53"/>
        <v>0</v>
      </c>
      <c r="CX129" s="32" t="e">
        <f>VLOOKUP(A129,'Données projet'!$A$191:$I$211,2,0)</f>
        <v>#N/A</v>
      </c>
      <c r="CY129" s="33" t="e">
        <f>VLOOKUP(A129,'Données projet'!$A$191:$I$211,9,0)</f>
        <v>#N/A</v>
      </c>
      <c r="CZ129" s="33">
        <f t="array" ref="CZ129">INDEX(CY:CY,MIN(IF(ISNUMBER(CY129:CY325),ROW(CY129:CY325),"")))</f>
        <v>0</v>
      </c>
      <c r="DA129" s="33">
        <f t="shared" si="76"/>
        <v>0</v>
      </c>
      <c r="DB129" s="38" t="e">
        <f>DA129*VLOOKUP('Données projet'!$B$15,Paramètres!$A$1:$I$88,3,0)*VLOOKUP('Données projet'!$B$15,Paramètres!$A$1:$I$88,5,0)</f>
        <v>#N/A</v>
      </c>
      <c r="DC129" s="34" t="e">
        <f t="shared" si="77"/>
        <v>#N/A</v>
      </c>
      <c r="DD129" s="44" t="e">
        <f t="shared" si="54"/>
        <v>#N/A</v>
      </c>
      <c r="DE129" s="36">
        <f>IF(ISNA(VLOOKUP(A129,'Données projet'!$A$191:$I$211,3,0)),0,VLOOKUP(A129,'Données projet'!$A$191:$I$211,3,0))</f>
        <v>0</v>
      </c>
      <c r="DF129" s="36">
        <f>IF(ISNA(VLOOKUP(A129,'Données projet'!$A$191:$I$211,4,0)),0,VLOOKUP(A129,'Données projet'!$A$191:$I$211,4,0))</f>
        <v>0</v>
      </c>
      <c r="DG129" s="37">
        <f>IF(ISNA(VLOOKUP(A129,'Données projet'!$A$191:$I$211,5,0)),0%,VLOOKUP(A129,'Données projet'!$A$191:$I$211,5,0)*VLOOKUP('Données projet'!$B$15,Paramètres!$A$1:$I$88,7,0))</f>
        <v>0</v>
      </c>
      <c r="DH129" s="37">
        <f>IF(ISNA(VLOOKUP(A129,'Données projet'!$A$191:$I$211,6,0)),0%,VLOOKUP(A129,'Données projet'!$A$191:$I$211,6,0)*VLOOKUP('Données projet'!$B$15,Paramètres!$A$1:$I$88,7,0))</f>
        <v>0</v>
      </c>
      <c r="DI129" s="37">
        <f>IF(ISNA(VLOOKUP(A129,'Données projet'!$A$191:$I$211,7,0)),0%,VLOOKUP(A129,'Données projet'!$A$191:$I$211,7,0))</f>
        <v>0</v>
      </c>
      <c r="DJ129" s="45">
        <f>EXP(-LN(2)/35)*DJ128+(1-EXP(-LN(2)/35))/(LN(2)/35)*DF129*DG129*VLOOKUP('Données projet'!$B$9,Paramètres!$A$1:$I$88,3,0)*0.475*44/12</f>
        <v>0</v>
      </c>
      <c r="DK129" s="45">
        <f>EXP(-LN(2)/25)*DK128+(1-EXP(-LN(2)/25))/(LN(2)/25)*Calculateur!DF129*Calculateur!DH129*VLOOKUP('Données projet'!$B$9,Paramètres!$A$1:$I$88,3,0)*0.475*44/12</f>
        <v>0</v>
      </c>
      <c r="DL129" s="45">
        <f>EXP(-LN(2)/2)*DL128+(1-EXP(-LN(2)/2))/(LN(2)/2)*DF129*DI129*VLOOKUP('Données projet'!$B$9,Paramètres!$A$1:$I$88,3,0)*0.475*44/12</f>
        <v>0</v>
      </c>
      <c r="DM129" s="46">
        <f t="shared" si="55"/>
        <v>0</v>
      </c>
      <c r="DN129" s="32" t="e">
        <f>VLOOKUP(A129,'Données projet'!$A$217:$I$237,2,0)</f>
        <v>#N/A</v>
      </c>
      <c r="DO129" s="33" t="e">
        <f>VLOOKUP(A129,'Données projet'!$A$217:$I$237,9,0)</f>
        <v>#N/A</v>
      </c>
      <c r="DP129" s="33">
        <f t="array" ref="DP129">INDEX(DO:DO,MIN(IF(ISNUMBER(DO129:DO325),ROW(DO129:DO325),"")))</f>
        <v>0</v>
      </c>
      <c r="DQ129" s="33">
        <f t="shared" si="78"/>
        <v>0</v>
      </c>
      <c r="DR129" s="38" t="e">
        <f>DQ129*VLOOKUP('Données projet'!$B$16,Paramètres!$A$1:$I$88,3,0)*VLOOKUP('Données projet'!$B$16,Paramètres!$A$1:$I$88,5,0)</f>
        <v>#N/A</v>
      </c>
      <c r="DS129" s="34" t="e">
        <f t="shared" si="79"/>
        <v>#N/A</v>
      </c>
      <c r="DT129" s="44" t="e">
        <f t="shared" si="56"/>
        <v>#N/A</v>
      </c>
      <c r="DU129" s="36">
        <f>IF(ISNA(VLOOKUP(A129,'Données projet'!$A$217:$I$237,3,0)),0,VLOOKUP(A129,'Données projet'!$A$217:$I$237,3,0))</f>
        <v>0</v>
      </c>
      <c r="DV129" s="36">
        <f>IF(ISNA(VLOOKUP(A129,'Données projet'!$A$217:$I$237,4,0)),0,VLOOKUP(A129,'Données projet'!$A$217:$I$237,4,0))</f>
        <v>0</v>
      </c>
      <c r="DW129" s="37">
        <f>IF(ISNA(VLOOKUP(A129,'Données projet'!$A$217:$I$237,5,0)),0%,VLOOKUP(A129,'Données projet'!$A$217:$I$237,5,0)*VLOOKUP('Données projet'!$B$16,Paramètres!$A$1:$I$88,7,0))</f>
        <v>0</v>
      </c>
      <c r="DX129" s="37">
        <f>IF(ISNA(VLOOKUP(A129,'Données projet'!$A$217:$I$237,6,0)),0%,VLOOKUP(A129,'Données projet'!$A$217:$I$237,6,0)*VLOOKUP('Données projet'!$B$16,Paramètres!$A$1:$I$88,7,0))</f>
        <v>0</v>
      </c>
      <c r="DY129" s="37">
        <f>IF(ISNA(VLOOKUP(A129,'Données projet'!$A$217:$I$237,7,0)),0%,VLOOKUP(A129,'Données projet'!$A$217:$I$237,7,0))</f>
        <v>0</v>
      </c>
      <c r="DZ129" s="45">
        <f>EXP(-LN(2)/35)*DZ128+(1-EXP(-LN(2)/35))/(LN(2)/35)*DV129*DW129*VLOOKUP('Données projet'!$B$9,Paramètres!$A$1:$I$88,3,0)*0.475*44/12</f>
        <v>0</v>
      </c>
      <c r="EA129" s="45">
        <f>EXP(-LN(2)/25)*EA128+(1-EXP(-LN(2)/25))/(LN(2)/25)*Calculateur!DV129*Calculateur!DX129*VLOOKUP('Données projet'!$B$9,Paramètres!$A$1:$I$88,3,0)*0.475*44/12</f>
        <v>0</v>
      </c>
      <c r="EB129" s="45">
        <f>EXP(-LN(2)/2)*EB128+(1-EXP(-LN(2)/2))/(LN(2)/2)*DV129*DY129*VLOOKUP('Données projet'!$B$9,Paramètres!$A$1:$I$88,3,0)*0.475*44/12</f>
        <v>0</v>
      </c>
      <c r="EC129" s="46">
        <f t="shared" si="57"/>
        <v>0</v>
      </c>
      <c r="ED129" s="32" t="e">
        <f>VLOOKUP(A129,'Données projet'!$A$243:$I$263,2,0)</f>
        <v>#N/A</v>
      </c>
      <c r="EE129" s="33" t="e">
        <f>VLOOKUP(A129,'Données projet'!$A$243:$I$263,9,0)</f>
        <v>#N/A</v>
      </c>
      <c r="EF129" s="33">
        <f t="array" ref="EF129">INDEX(EE:EE,MIN(IF(ISNUMBER(EE129:EE325),ROW(EE129:EE325),"")))</f>
        <v>0</v>
      </c>
      <c r="EG129" s="33">
        <f t="shared" si="80"/>
        <v>0</v>
      </c>
      <c r="EH129" s="38" t="e">
        <f>EG129*VLOOKUP('Données projet'!$B$17,Paramètres!$A$1:$I$88,3,0)*VLOOKUP('Données projet'!$B$17,Paramètres!$A$1:$I$88,5,0)</f>
        <v>#N/A</v>
      </c>
      <c r="EI129" s="34" t="e">
        <f t="shared" si="81"/>
        <v>#N/A</v>
      </c>
      <c r="EJ129" s="44" t="e">
        <f t="shared" si="58"/>
        <v>#N/A</v>
      </c>
      <c r="EK129" s="36">
        <f>IF(ISNA(VLOOKUP(A129,'Données projet'!$A$243:$I$263,3,0)),0,VLOOKUP(A129,'Données projet'!$A$243:$I$263,3,0))</f>
        <v>0</v>
      </c>
      <c r="EL129" s="36">
        <f>IF(ISNA(VLOOKUP(A129,'Données projet'!$A$243:$I$263,4,0)),0,VLOOKUP(A129,'Données projet'!$A$243:$I$263,4,0))</f>
        <v>0</v>
      </c>
      <c r="EM129" s="37">
        <f>IF(ISNA(VLOOKUP(A129,'Données projet'!$A$243:$I$263,5,0)),0%,VLOOKUP(A129,'Données projet'!$A$243:$I$263,5,0)*VLOOKUP('Données projet'!$B$17,Paramètres!$A$1:$I$88,7,0))</f>
        <v>0</v>
      </c>
      <c r="EN129" s="37">
        <f>IF(ISNA(VLOOKUP(A129,'Données projet'!$A$243:$I$263,6,0)),0%,VLOOKUP(A129,'Données projet'!$A$243:$I$263,6,0)*VLOOKUP('Données projet'!$B$17,Paramètres!$A$1:$I$88,7,0))</f>
        <v>0</v>
      </c>
      <c r="EO129" s="37">
        <f>IF(ISNA(VLOOKUP(A129,'Données projet'!$A$243:$I$263,7,0)),0%,VLOOKUP(A129,'Données projet'!$A$243:$I$263,7,0))</f>
        <v>0</v>
      </c>
      <c r="EP129" s="45">
        <f>EXP(-LN(2)/35)*EP128+(1-EXP(-LN(2)/35))/(LN(2)/35)*EL129*EM129*VLOOKUP('Données projet'!$B$9,Paramètres!$A$1:$I$88,3,0)*0.475*44/12</f>
        <v>0</v>
      </c>
      <c r="EQ129" s="45">
        <f>EXP(-LN(2)/25)*EQ128+(1-EXP(-LN(2)/25))/(LN(2)/25)*Calculateur!EL129*Calculateur!EN129*VLOOKUP('Données projet'!$B$9,Paramètres!$A$1:$I$88,3,0)*0.475*44/12</f>
        <v>0</v>
      </c>
      <c r="ER129" s="45">
        <f>EXP(-LN(2)/2)*ER128+(1-EXP(-LN(2)/2))/(LN(2)/2)*EL129*EO129*VLOOKUP('Données projet'!$B$9,Paramètres!$A$1:$I$88,3,0)*0.475*44/12</f>
        <v>0</v>
      </c>
      <c r="ES129" s="46">
        <f t="shared" si="59"/>
        <v>0</v>
      </c>
      <c r="ET129" s="32" t="e">
        <f>VLOOKUP(A129,'Données projet'!$A$269:$I$289,2,0)</f>
        <v>#N/A</v>
      </c>
      <c r="EU129" s="33" t="e">
        <f>VLOOKUP(A129,'Données projet'!$A$269:$I$289,9,0)</f>
        <v>#N/A</v>
      </c>
      <c r="EV129" s="33">
        <f t="array" ref="EV129">INDEX(EU:EU,MIN(IF(ISNUMBER(EU129:EU325),ROW(EU129:EU325),"")))</f>
        <v>0</v>
      </c>
      <c r="EW129" s="33">
        <f t="shared" si="82"/>
        <v>0</v>
      </c>
      <c r="EX129" s="38" t="e">
        <f>EW129*VLOOKUP('Données projet'!$B$18,Paramètres!$A$1:$I$88,3,0)*VLOOKUP('Données projet'!$B$18,Paramètres!$A$1:$I$88,5,0)</f>
        <v>#N/A</v>
      </c>
      <c r="EY129" s="34" t="e">
        <f t="shared" si="83"/>
        <v>#N/A</v>
      </c>
      <c r="EZ129" s="44" t="e">
        <f t="shared" si="60"/>
        <v>#N/A</v>
      </c>
      <c r="FA129" s="36">
        <f>IF(ISNA(VLOOKUP(A129,'Données projet'!$A$269:$I$289,3,0)),0,VLOOKUP(A129,'Données projet'!$A$269:$I$289,3,0))</f>
        <v>0</v>
      </c>
      <c r="FB129" s="36">
        <f>IF(ISNA(VLOOKUP(A129,'Données projet'!$A$269:$I$289,4,0)),0,VLOOKUP(A129,'Données projet'!$A$269:$I$289,4,0))</f>
        <v>0</v>
      </c>
      <c r="FC129" s="37">
        <f>IF(ISNA(VLOOKUP(A129,'Données projet'!$A$269:$I$289,5,0)),0%,VLOOKUP(A129,'Données projet'!$A$269:$I$289,5,0)*VLOOKUP('Données projet'!$B$18,Paramètres!$A$1:$I$88,7,0))</f>
        <v>0</v>
      </c>
      <c r="FD129" s="37">
        <f>IF(ISNA(VLOOKUP(A129,'Données projet'!$A$269:$I$289,6,0)),0%,VLOOKUP(A129,'Données projet'!$A$269:$I$289,6,0)*VLOOKUP('Données projet'!$B$18,Paramètres!$A$1:$I$88,7,0))</f>
        <v>0</v>
      </c>
      <c r="FE129" s="37">
        <f>IF(ISNA(VLOOKUP(A129,'Données projet'!$A$269:$I$289,7,0)),0%,VLOOKUP(A129,'Données projet'!$A$269:$I$289,7,0))</f>
        <v>0</v>
      </c>
      <c r="FF129" s="45">
        <f>EXP(-LN(2)/35)*FF128+(1-EXP(-LN(2)/35))/(LN(2)/35)*FB129*FC129*VLOOKUP('Données projet'!$B$9,Paramètres!$A$1:$I$88,3,0)*0.475*44/12</f>
        <v>0</v>
      </c>
      <c r="FG129" s="45">
        <f>EXP(-LN(2)/25)*FG128+(1-EXP(-LN(2)/25))/(LN(2)/25)*Calculateur!FB129*Calculateur!FD129*VLOOKUP('Données projet'!$B$9,Paramètres!$A$1:$I$88,3,0)*0.475*44/12</f>
        <v>0</v>
      </c>
      <c r="FH129" s="45">
        <f>EXP(-LN(2)/2)*FH128+(1-EXP(-LN(2)/2))/(LN(2)/2)*FB129*FE129*VLOOKUP('Données projet'!$B$9,Paramètres!$A$1:$I$88,3,0)*0.475*44/12</f>
        <v>0</v>
      </c>
      <c r="FI129" s="46">
        <f t="shared" si="61"/>
        <v>0</v>
      </c>
    </row>
    <row r="130" spans="1:165" x14ac:dyDescent="0.25">
      <c r="A130" s="24">
        <f t="shared" si="62"/>
        <v>127</v>
      </c>
      <c r="B130" s="25">
        <f>IF('Scénario référence'!$N$1=1,5,0)</f>
        <v>0</v>
      </c>
      <c r="C130" s="40">
        <f>IF(OR('Scénario référence'!$N$1=2,'Scénario référence'!$N$1=4),C129+1*VLOOKUP('Scénario référence'!$G$14,Paramètres!$A$1:$I$88,3,0)*VLOOKUP('Scénario référence'!$G$14,Paramètres!$A$1:$I$88,5,0),IF(OR('Scénario référence'!$N$1=3,'Scénario référence'!$N$1=5),C129+0.5*VLOOKUP('Scénario référence'!$G$14,Paramètres!$A$1:$I$88,3,0)*VLOOKUP('Scénario référence'!$G$14,Paramètres!$A$1:$I$88,5,0),0))</f>
        <v>69.341999999999999</v>
      </c>
      <c r="D130" s="26">
        <f t="shared" si="63"/>
        <v>19.509963270886551</v>
      </c>
      <c r="E130" s="27">
        <f>IF('Scénario référence'!$N$1=1,B130*44/12,(C130+D130)*0.475*44/12)</f>
        <v>154.75050269679409</v>
      </c>
      <c r="F130" s="28" t="e">
        <f>VLOOKUP(A130,'Données projet'!$A$35:$I$55,2,0)</f>
        <v>#N/A</v>
      </c>
      <c r="G130" s="28" t="e">
        <f>VLOOKUP(A130,'Données projet'!$A$35:$I$55,9,0)</f>
        <v>#N/A</v>
      </c>
      <c r="H130" s="33">
        <f t="array" ref="H130">INDEX(G:G,MIN(IF(ISNUMBER(G130:G326),ROW(G130:G326),"")))</f>
        <v>3</v>
      </c>
      <c r="I130" s="28">
        <f t="shared" si="64"/>
        <v>273.99999999999932</v>
      </c>
      <c r="J130" s="41">
        <f>I130*VLOOKUP('Données projet'!$B$9,Paramètres!$A$1:$I$88,3,0)*VLOOKUP('Données projet'!$B$9,Paramètres!$A$1:$I$88,5,0)</f>
        <v>277.83599999999933</v>
      </c>
      <c r="K130" s="41">
        <f t="shared" si="65"/>
        <v>66.509487177652147</v>
      </c>
      <c r="L130" s="42">
        <f t="shared" si="42"/>
        <v>599.73505683440965</v>
      </c>
      <c r="M130" s="30">
        <f>IF(ISNA(VLOOKUP(A130,'Données projet'!$A$35:$I$55,3,0)),0,VLOOKUP(A130,'Données projet'!$A$35:$I$55,3,0))</f>
        <v>0</v>
      </c>
      <c r="N130" s="30">
        <f>IF(ISNA(VLOOKUP(A130,'Données projet'!$A$35:$I$55,4,0)),0,VLOOKUP(A130,'Données projet'!$A$35:$I$55,4,0))</f>
        <v>0</v>
      </c>
      <c r="O130" s="31">
        <f>IF(ISNA(VLOOKUP(A130,'Données projet'!$A$35:$I$55,5,0)),0%,VLOOKUP(A130,'Données projet'!$A$35:$I$55,5,0)*VLOOKUP('Données projet'!$B$9,Paramètres!$A$1:$I$88,7,0))</f>
        <v>0</v>
      </c>
      <c r="P130" s="31">
        <f>IF(ISNA(VLOOKUP(A130,'Données projet'!$A$35:$I$55,6,0)),0%,VLOOKUP(A130,'Données projet'!$A$35:$I$55,6,0)*VLOOKUP('Données projet'!$B$9,Paramètres!$A$1:$I$88,7,0))</f>
        <v>0</v>
      </c>
      <c r="Q130" s="31">
        <f>IF(ISNA(VLOOKUP(A130,'Données projet'!$A$35:$I$55,7,0)),0%,VLOOKUP(A130,'Données projet'!$A$35:$I$55,7,0))</f>
        <v>0</v>
      </c>
      <c r="R130" s="43">
        <f>EXP(-LN(2)/35)*R129+(1-EXP(-LN(2)/35))/(LN(2)/35)*N130*O130*VLOOKUP('Données projet'!$B$9,Paramètres!$A$1:$I$88,3,0)*0.475*44/12</f>
        <v>0</v>
      </c>
      <c r="S130" s="43">
        <f>EXP(-LN(2)/25)*S129+(1-EXP(-LN(2)/25))/(LN(2)/25)*Calculateur!N130*Calculateur!P130*VLOOKUP('Données projet'!$B$9,Paramètres!$A$1:$I$88,3,0)*0.475*44/12</f>
        <v>0</v>
      </c>
      <c r="T130" s="43">
        <f>EXP(-LN(2)/2)*T129+(1-EXP(-LN(2)/2))/(LN(2)/2)*N130*Q130*VLOOKUP('Données projet'!$B$9,Paramètres!$A$1:$I$88,3,0)*0.475*44/12</f>
        <v>0</v>
      </c>
      <c r="U130" s="43">
        <f t="shared" si="43"/>
        <v>0</v>
      </c>
      <c r="V130" s="32" t="e">
        <f>VLOOKUP(A130,'Données projet'!$A$61:$I$81,2,0)</f>
        <v>#N/A</v>
      </c>
      <c r="W130" s="33" t="e">
        <f>VLOOKUP(A130,'Données projet'!$A$61:$I$81,9,0)</f>
        <v>#N/A</v>
      </c>
      <c r="X130" s="33">
        <f t="array" ref="X130">INDEX(W:W,MIN(IF(ISNUMBER(W130:W326),ROW(W130:W326),"")))</f>
        <v>0</v>
      </c>
      <c r="Y130" s="33">
        <f t="shared" si="66"/>
        <v>0</v>
      </c>
      <c r="Z130" s="34" t="e">
        <f>Y130*VLOOKUP('Données projet'!$B$10,Paramètres!$A$1:$I$88,3,0)*VLOOKUP('Données projet'!$B$10,Paramètres!$A$1:$I$88,5,0)</f>
        <v>#N/A</v>
      </c>
      <c r="AA130" s="34" t="e">
        <f t="shared" si="67"/>
        <v>#N/A</v>
      </c>
      <c r="AB130" s="44" t="e">
        <f t="shared" si="44"/>
        <v>#N/A</v>
      </c>
      <c r="AC130" s="36">
        <f>IF(ISNA(VLOOKUP(A130,'Données projet'!$A$61:$I$81,3,0)),0,VLOOKUP(A130,'Données projet'!$A$61:$I$81,3,0))</f>
        <v>0</v>
      </c>
      <c r="AD130" s="36">
        <f>IF(ISNA(VLOOKUP(A130,'Données projet'!$A$61:$I$81,4,0)),0,VLOOKUP(A130,'Données projet'!$A$61:$I$81,4,0))</f>
        <v>0</v>
      </c>
      <c r="AE130" s="37">
        <f>IF(ISNA(VLOOKUP(A130,'Données projet'!$A$61:$I$81,5,0)),0%,VLOOKUP(A130,'Données projet'!$A$61:$I$81,5,0)*VLOOKUP('Données projet'!$B$10,Paramètres!$A$1:$I$88,7,0))</f>
        <v>0</v>
      </c>
      <c r="AF130" s="37">
        <f>IF(ISNA(VLOOKUP(A130,'Données projet'!$A$61:$I$81,6,0)),0%,VLOOKUP(A130,'Données projet'!$A$61:$I$81,6,0)*VLOOKUP('Données projet'!$B$10,Paramètres!$A$1:$I$88,7,0))</f>
        <v>0</v>
      </c>
      <c r="AG130" s="37">
        <f>IF(ISNA(VLOOKUP(A130,'Données projet'!$A$61:$I$81,7,0)),0%,VLOOKUP(A130,'Données projet'!$A$61:$I$81,7,0))</f>
        <v>0</v>
      </c>
      <c r="AH130" s="45">
        <f>EXP(-LN(2)/35)*AH129+(1-EXP(-LN(2)/35))/(LN(2)/35)*AD130*AE130*VLOOKUP('Données projet'!$B$9,Paramètres!$A$1:$I$88,3,0)*0.475*44/12</f>
        <v>0</v>
      </c>
      <c r="AI130" s="45">
        <f>EXP(-LN(2)/25)*AI129+(1-EXP(-LN(2)/25))/(LN(2)/25)*Calculateur!AD130*Calculateur!AF130*VLOOKUP('Données projet'!$B$9,Paramètres!$A$1:$I$88,3,0)*0.475*44/12</f>
        <v>0</v>
      </c>
      <c r="AJ130" s="45">
        <f>EXP(-LN(2)/2)*AJ129+(1-EXP(-LN(2)/2))/(LN(2)/2)*AD130*AG130*VLOOKUP('Données projet'!$B$9,Paramètres!$A$1:$I$88,3,0)*0.475*44/12</f>
        <v>0</v>
      </c>
      <c r="AK130" s="45">
        <f t="shared" si="45"/>
        <v>0</v>
      </c>
      <c r="AL130" s="32" t="e">
        <f>VLOOKUP(A130,'Données projet'!$A$87:$I$107,2,0)</f>
        <v>#N/A</v>
      </c>
      <c r="AM130" s="33" t="e">
        <f>VLOOKUP(A130,'Données projet'!$A$87:$I$107,9,0)</f>
        <v>#N/A</v>
      </c>
      <c r="AN130" s="33">
        <f t="array" ref="AN130">INDEX(AM:AM,MIN(IF(ISNUMBER(AM130:AM326),ROW(AM130:AM326),"")))</f>
        <v>0</v>
      </c>
      <c r="AO130" s="33">
        <f t="shared" si="68"/>
        <v>0</v>
      </c>
      <c r="AP130" s="34" t="e">
        <f>AO130*VLOOKUP('Données projet'!$B$11,Paramètres!$A$1:$I$88,3,0)*VLOOKUP('Données projet'!$B$11,Paramètres!$A$1:$I$88,5,0)</f>
        <v>#N/A</v>
      </c>
      <c r="AQ130" s="34" t="e">
        <f t="shared" si="69"/>
        <v>#N/A</v>
      </c>
      <c r="AR130" s="44" t="e">
        <f t="shared" si="46"/>
        <v>#N/A</v>
      </c>
      <c r="AS130" s="36">
        <f>IF(ISNA(VLOOKUP(A130,'Données projet'!$A$87:$I$107,3,0)),0,VLOOKUP(A130,'Données projet'!$A$87:$I$107,3,0))</f>
        <v>0</v>
      </c>
      <c r="AT130" s="36">
        <f>IF(ISNA(VLOOKUP(A130,'Données projet'!$A$87:$I$107,4,0)),0,VLOOKUP(A130,'Données projet'!$A$87:$I$107,4,0))</f>
        <v>0</v>
      </c>
      <c r="AU130" s="37">
        <f>IF(ISNA(VLOOKUP(A130,'Données projet'!$A$87:$I$107,5,0)),0%,VLOOKUP(A130,'Données projet'!$A$87:$I$107,5,0)*VLOOKUP('Données projet'!$B$11,Paramètres!$A$1:$I$88,7,0))</f>
        <v>0</v>
      </c>
      <c r="AV130" s="37">
        <f>IF(ISNA(VLOOKUP(A130,'Données projet'!$A$87:$I$107,6,0)),0%,VLOOKUP(A130,'Données projet'!$A$87:$I$107,6,0)*VLOOKUP('Données projet'!$B$11,Paramètres!$A$1:$I$88,7,0))</f>
        <v>0</v>
      </c>
      <c r="AW130" s="37">
        <f>IF(ISNA(VLOOKUP(A130,'Données projet'!$A$87:$I$107,7,0)),0%,VLOOKUP(A130,'Données projet'!$A$87:$I$107,7,0))</f>
        <v>0</v>
      </c>
      <c r="AX130" s="45">
        <f>EXP(-LN(2)/35)*AX129+(1-EXP(-LN(2)/35))/(LN(2)/35)*AT130*AU130*VLOOKUP('Données projet'!$B$9,Paramètres!$A$1:$I$88,3,0)*0.475*44/12</f>
        <v>0</v>
      </c>
      <c r="AY130" s="45">
        <f>EXP(-LN(2)/25)*AY129+(1-EXP(-LN(2)/25))/(LN(2)/25)*Calculateur!AT130*Calculateur!AV130*VLOOKUP('Données projet'!$B$9,Paramètres!$A$1:$I$88,3,0)*0.475*44/12</f>
        <v>0</v>
      </c>
      <c r="AZ130" s="45">
        <f>EXP(-LN(2)/2)*AZ129+(1-EXP(-LN(2)/2))/(LN(2)/2)*AT130*AW130*VLOOKUP('Données projet'!$B$9,Paramètres!$A$1:$I$88,3,0)*0.475*44/12</f>
        <v>0</v>
      </c>
      <c r="BA130" s="46">
        <f t="shared" si="47"/>
        <v>0</v>
      </c>
      <c r="BB130" s="32" t="e">
        <f>VLOOKUP(A130,'Données projet'!$A$113:$I$133,2,0)</f>
        <v>#N/A</v>
      </c>
      <c r="BC130" s="33" t="e">
        <f>VLOOKUP(A130,'Données projet'!$A$113:$I$133,9,0)</f>
        <v>#N/A</v>
      </c>
      <c r="BD130" s="33">
        <f t="array" ref="BD130">INDEX(BC:BC,MIN(IF(ISNUMBER(BC130:BC326),ROW(BC130:BC326),"")))</f>
        <v>0</v>
      </c>
      <c r="BE130" s="33">
        <f t="shared" si="70"/>
        <v>0</v>
      </c>
      <c r="BF130" s="34" t="e">
        <f>BE130*VLOOKUP('Données projet'!$B$12,Paramètres!$A$1:$I$88,3,0)*VLOOKUP('Données projet'!$B$12,Paramètres!$A$1:$I$88,5,0)</f>
        <v>#N/A</v>
      </c>
      <c r="BG130" s="34" t="e">
        <f t="shared" si="71"/>
        <v>#N/A</v>
      </c>
      <c r="BH130" s="44" t="e">
        <f t="shared" si="48"/>
        <v>#N/A</v>
      </c>
      <c r="BI130" s="36">
        <f>IF(ISNA(VLOOKUP(A130,'Données projet'!$A$113:$I$133,3,0)),0,VLOOKUP(A130,'Données projet'!$A$113:$I$133,3,0))</f>
        <v>0</v>
      </c>
      <c r="BJ130" s="36">
        <f>IF(ISNA(VLOOKUP(A130,'Données projet'!$A$113:$I$133,4,0)),0,VLOOKUP(A130,'Données projet'!$A$113:$I$133,4,0))</f>
        <v>0</v>
      </c>
      <c r="BK130" s="37">
        <f>IF(ISNA(VLOOKUP(A130,'Données projet'!$A$113:$I$133,5,0)),0%,VLOOKUP(A130,'Données projet'!$A$113:$I$133,5,0)*VLOOKUP('Données projet'!$B$12,Paramètres!$A$1:$I$88,7,0))</f>
        <v>0</v>
      </c>
      <c r="BL130" s="37">
        <f>IF(ISNA(VLOOKUP(A130,'Données projet'!$A$113:$I$133,6,0)),0%,VLOOKUP(A130,'Données projet'!$A$113:$I$133,6,0)*VLOOKUP('Données projet'!$B$12,Paramètres!$A$1:$I$88,7,0))</f>
        <v>0</v>
      </c>
      <c r="BM130" s="37">
        <f>IF(ISNA(VLOOKUP(A130,'Données projet'!$A$113:$I$133,7,0)),0%,VLOOKUP(A130,'Données projet'!$A$113:$I$133,7,0))</f>
        <v>0</v>
      </c>
      <c r="BN130" s="45">
        <f>EXP(-LN(2)/35)*BN129+(1-EXP(-LN(2)/35))/(LN(2)/35)*BJ130*BK130*VLOOKUP('Données projet'!$B$9,Paramètres!$A$1:$I$88,3,0)*0.475*44/12</f>
        <v>0</v>
      </c>
      <c r="BO130" s="45">
        <f>EXP(-LN(2)/25)*BO129+(1-EXP(-LN(2)/25))/(LN(2)/25)*Calculateur!BJ130*Calculateur!BL130*VLOOKUP('Données projet'!$B$9,Paramètres!$A$1:$I$88,3,0)*0.475*44/12</f>
        <v>0</v>
      </c>
      <c r="BP130" s="45">
        <f>EXP(-LN(2)/2)*BP129+(1-EXP(-LN(2)/2))/(LN(2)/2)*BJ130*BM130*VLOOKUP('Données projet'!$B$9,Paramètres!$A$1:$I$88,3,0)*0.475*44/12</f>
        <v>0</v>
      </c>
      <c r="BQ130" s="46">
        <f t="shared" si="49"/>
        <v>0</v>
      </c>
      <c r="BR130" s="32" t="e">
        <f>VLOOKUP(A130,'Données projet'!$A$139:$I$159,2,0)</f>
        <v>#N/A</v>
      </c>
      <c r="BS130" s="33" t="e">
        <f>VLOOKUP(A130,'Données projet'!$A$139:$I$159,9,0)</f>
        <v>#N/A</v>
      </c>
      <c r="BT130" s="33">
        <f t="array" ref="BT130">INDEX(BS:BS,MIN(IF(ISNUMBER(BS130:BS326),ROW(BS130:BS326),"")))</f>
        <v>0</v>
      </c>
      <c r="BU130" s="33">
        <f t="shared" si="72"/>
        <v>0</v>
      </c>
      <c r="BV130" s="38" t="e">
        <f>BU130*VLOOKUP('Données projet'!$B$13,Paramètres!$A$1:$I$88,3,0)*VLOOKUP('Données projet'!$B$13,Paramètres!$A$1:$I$88,5,0)</f>
        <v>#N/A</v>
      </c>
      <c r="BW130" s="34" t="e">
        <f t="shared" si="73"/>
        <v>#N/A</v>
      </c>
      <c r="BX130" s="44" t="e">
        <f t="shared" si="50"/>
        <v>#N/A</v>
      </c>
      <c r="BY130" s="36">
        <f>IF(ISNA(VLOOKUP(A130,'Données projet'!$A$139:$I$159,3,0)),0,VLOOKUP(A130,'Données projet'!$A$139:$I$159,3,0))</f>
        <v>0</v>
      </c>
      <c r="BZ130" s="36">
        <f>IF(ISNA(VLOOKUP(A130,'Données projet'!$A$139:$I$159,4,0)),0,VLOOKUP(A130,'Données projet'!$A$139:$I$159,4,0))</f>
        <v>0</v>
      </c>
      <c r="CA130" s="37">
        <f>IF(ISNA(VLOOKUP(A130,'Données projet'!$A$139:$I$159,5,0)),0%,VLOOKUP(A130,'Données projet'!$A$139:$I$159,5,0)*VLOOKUP('Données projet'!$B$13,Paramètres!$A$1:$I$88,7,0))</f>
        <v>0</v>
      </c>
      <c r="CB130" s="37">
        <f>IF(ISNA(VLOOKUP(A130,'Données projet'!$A$139:$I$159,6,0)),0%,VLOOKUP(A130,'Données projet'!$A$139:$I$159,6,0)*VLOOKUP('Données projet'!$B$13,Paramètres!$A$1:$I$88,7,0))</f>
        <v>0</v>
      </c>
      <c r="CC130" s="37">
        <f>IF(ISNA(VLOOKUP(A130,'Données projet'!$A$139:$I$159,7,0)),0%,VLOOKUP(A130,'Données projet'!$A$139:$I$159,7,0))</f>
        <v>0</v>
      </c>
      <c r="CD130" s="45">
        <f>EXP(-LN(2)/35)*CD129+(1-EXP(-LN(2)/35))/(LN(2)/35)*BZ130*CA130*VLOOKUP('Données projet'!$B$9,Paramètres!$A$1:$I$88,3,0)*0.475*44/12</f>
        <v>0</v>
      </c>
      <c r="CE130" s="45">
        <f>EXP(-LN(2)/25)*CE129+(1-EXP(-LN(2)/25))/(LN(2)/25)*Calculateur!BZ130*Calculateur!CB130*VLOOKUP('Données projet'!$B$9,Paramètres!$A$1:$I$88,3,0)*0.475*44/12</f>
        <v>0</v>
      </c>
      <c r="CF130" s="45">
        <f>EXP(-LN(2)/2)*CF129+(1-EXP(-LN(2)/2))/(LN(2)/2)*BZ130*CC130*VLOOKUP('Données projet'!$B$9,Paramètres!$A$1:$I$88,3,0)*0.475*44/12</f>
        <v>0</v>
      </c>
      <c r="CG130" s="46">
        <f t="shared" si="51"/>
        <v>0</v>
      </c>
      <c r="CH130" s="32" t="e">
        <f>VLOOKUP(A130,'Données projet'!$A$165:$I$185,2,0)</f>
        <v>#N/A</v>
      </c>
      <c r="CI130" s="33" t="e">
        <f>VLOOKUP(A130,'Données projet'!$A$165:$I$185,9,0)</f>
        <v>#N/A</v>
      </c>
      <c r="CJ130" s="33">
        <f t="array" ref="CJ130">INDEX(CI:CI,MIN(IF(ISNUMBER(CI130:CI326),ROW(CI130:CI326),"")))</f>
        <v>0</v>
      </c>
      <c r="CK130" s="33">
        <f t="shared" si="74"/>
        <v>0</v>
      </c>
      <c r="CL130" s="38" t="e">
        <f>CK130*VLOOKUP('Données projet'!$B$14,Paramètres!$A$1:$I$88,3,0)*VLOOKUP('Données projet'!$B$14,Paramètres!$A$1:$I$88,5,0)</f>
        <v>#N/A</v>
      </c>
      <c r="CM130" s="34" t="e">
        <f t="shared" si="75"/>
        <v>#N/A</v>
      </c>
      <c r="CN130" s="44" t="e">
        <f t="shared" si="52"/>
        <v>#N/A</v>
      </c>
      <c r="CO130" s="36">
        <f>IF(ISNA(VLOOKUP(A130,'Données projet'!$A$165:$I$185,3,0)),0,VLOOKUP(A130,'Données projet'!$A$165:$I$185,3,0))</f>
        <v>0</v>
      </c>
      <c r="CP130" s="36">
        <f>IF(ISNA(VLOOKUP(A130,'Données projet'!$A$165:$I$185,4,0)),0,VLOOKUP(A130,'Données projet'!$A$165:$I$185,4,0))</f>
        <v>0</v>
      </c>
      <c r="CQ130" s="37">
        <f>IF(ISNA(VLOOKUP(A130,'Données projet'!$A$165:$I$185,5,0)),0%,VLOOKUP(A130,'Données projet'!$A$165:$I$185,5,0)*VLOOKUP('Données projet'!$B$14,Paramètres!$A$1:$I$88,7,0))</f>
        <v>0</v>
      </c>
      <c r="CR130" s="37">
        <f>IF(ISNA(VLOOKUP(A130,'Données projet'!$A$165:$I$185,6,0)),0%,VLOOKUP(A130,'Données projet'!$A$165:$I$185,6,0)*VLOOKUP('Données projet'!$B$14,Paramètres!$A$1:$I$88,7,0))</f>
        <v>0</v>
      </c>
      <c r="CS130" s="37">
        <f>IF(ISNA(VLOOKUP(A130,'Données projet'!$A$165:$I$185,7,0)),0%,VLOOKUP(A130,'Données projet'!$A$165:$I$185,7,0))</f>
        <v>0</v>
      </c>
      <c r="CT130" s="45">
        <f>EXP(-LN(2)/35)*CT129+(1-EXP(-LN(2)/35))/(LN(2)/35)*CP130*CQ130*VLOOKUP('Données projet'!$B$9,Paramètres!$A$1:$I$88,3,0)*0.475*44/12</f>
        <v>0</v>
      </c>
      <c r="CU130" s="45">
        <f>EXP(-LN(2)/25)*CU129+(1-EXP(-LN(2)/25))/(LN(2)/25)*Calculateur!CP130*Calculateur!CR130*VLOOKUP('Données projet'!$B$9,Paramètres!$A$1:$I$88,3,0)*0.475*44/12</f>
        <v>0</v>
      </c>
      <c r="CV130" s="45">
        <f>EXP(-LN(2)/2)*CV129+(1-EXP(-LN(2)/2))/(LN(2)/2)*CP130*CS130*VLOOKUP('Données projet'!$B$9,Paramètres!$A$1:$I$88,3,0)*0.475*44/12</f>
        <v>0</v>
      </c>
      <c r="CW130" s="46">
        <f t="shared" si="53"/>
        <v>0</v>
      </c>
      <c r="CX130" s="32" t="e">
        <f>VLOOKUP(A130,'Données projet'!$A$191:$I$211,2,0)</f>
        <v>#N/A</v>
      </c>
      <c r="CY130" s="33" t="e">
        <f>VLOOKUP(A130,'Données projet'!$A$191:$I$211,9,0)</f>
        <v>#N/A</v>
      </c>
      <c r="CZ130" s="33">
        <f t="array" ref="CZ130">INDEX(CY:CY,MIN(IF(ISNUMBER(CY130:CY326),ROW(CY130:CY326),"")))</f>
        <v>0</v>
      </c>
      <c r="DA130" s="33">
        <f t="shared" si="76"/>
        <v>0</v>
      </c>
      <c r="DB130" s="38" t="e">
        <f>DA130*VLOOKUP('Données projet'!$B$15,Paramètres!$A$1:$I$88,3,0)*VLOOKUP('Données projet'!$B$15,Paramètres!$A$1:$I$88,5,0)</f>
        <v>#N/A</v>
      </c>
      <c r="DC130" s="34" t="e">
        <f t="shared" si="77"/>
        <v>#N/A</v>
      </c>
      <c r="DD130" s="44" t="e">
        <f t="shared" si="54"/>
        <v>#N/A</v>
      </c>
      <c r="DE130" s="36">
        <f>IF(ISNA(VLOOKUP(A130,'Données projet'!$A$191:$I$211,3,0)),0,VLOOKUP(A130,'Données projet'!$A$191:$I$211,3,0))</f>
        <v>0</v>
      </c>
      <c r="DF130" s="36">
        <f>IF(ISNA(VLOOKUP(A130,'Données projet'!$A$191:$I$211,4,0)),0,VLOOKUP(A130,'Données projet'!$A$191:$I$211,4,0))</f>
        <v>0</v>
      </c>
      <c r="DG130" s="37">
        <f>IF(ISNA(VLOOKUP(A130,'Données projet'!$A$191:$I$211,5,0)),0%,VLOOKUP(A130,'Données projet'!$A$191:$I$211,5,0)*VLOOKUP('Données projet'!$B$15,Paramètres!$A$1:$I$88,7,0))</f>
        <v>0</v>
      </c>
      <c r="DH130" s="37">
        <f>IF(ISNA(VLOOKUP(A130,'Données projet'!$A$191:$I$211,6,0)),0%,VLOOKUP(A130,'Données projet'!$A$191:$I$211,6,0)*VLOOKUP('Données projet'!$B$15,Paramètres!$A$1:$I$88,7,0))</f>
        <v>0</v>
      </c>
      <c r="DI130" s="37">
        <f>IF(ISNA(VLOOKUP(A130,'Données projet'!$A$191:$I$211,7,0)),0%,VLOOKUP(A130,'Données projet'!$A$191:$I$211,7,0))</f>
        <v>0</v>
      </c>
      <c r="DJ130" s="45">
        <f>EXP(-LN(2)/35)*DJ129+(1-EXP(-LN(2)/35))/(LN(2)/35)*DF130*DG130*VLOOKUP('Données projet'!$B$9,Paramètres!$A$1:$I$88,3,0)*0.475*44/12</f>
        <v>0</v>
      </c>
      <c r="DK130" s="45">
        <f>EXP(-LN(2)/25)*DK129+(1-EXP(-LN(2)/25))/(LN(2)/25)*Calculateur!DF130*Calculateur!DH130*VLOOKUP('Données projet'!$B$9,Paramètres!$A$1:$I$88,3,0)*0.475*44/12</f>
        <v>0</v>
      </c>
      <c r="DL130" s="45">
        <f>EXP(-LN(2)/2)*DL129+(1-EXP(-LN(2)/2))/(LN(2)/2)*DF130*DI130*VLOOKUP('Données projet'!$B$9,Paramètres!$A$1:$I$88,3,0)*0.475*44/12</f>
        <v>0</v>
      </c>
      <c r="DM130" s="46">
        <f t="shared" si="55"/>
        <v>0</v>
      </c>
      <c r="DN130" s="32" t="e">
        <f>VLOOKUP(A130,'Données projet'!$A$217:$I$237,2,0)</f>
        <v>#N/A</v>
      </c>
      <c r="DO130" s="33" t="e">
        <f>VLOOKUP(A130,'Données projet'!$A$217:$I$237,9,0)</f>
        <v>#N/A</v>
      </c>
      <c r="DP130" s="33">
        <f t="array" ref="DP130">INDEX(DO:DO,MIN(IF(ISNUMBER(DO130:DO326),ROW(DO130:DO326),"")))</f>
        <v>0</v>
      </c>
      <c r="DQ130" s="33">
        <f t="shared" si="78"/>
        <v>0</v>
      </c>
      <c r="DR130" s="38" t="e">
        <f>DQ130*VLOOKUP('Données projet'!$B$16,Paramètres!$A$1:$I$88,3,0)*VLOOKUP('Données projet'!$B$16,Paramètres!$A$1:$I$88,5,0)</f>
        <v>#N/A</v>
      </c>
      <c r="DS130" s="34" t="e">
        <f t="shared" si="79"/>
        <v>#N/A</v>
      </c>
      <c r="DT130" s="44" t="e">
        <f t="shared" si="56"/>
        <v>#N/A</v>
      </c>
      <c r="DU130" s="36">
        <f>IF(ISNA(VLOOKUP(A130,'Données projet'!$A$217:$I$237,3,0)),0,VLOOKUP(A130,'Données projet'!$A$217:$I$237,3,0))</f>
        <v>0</v>
      </c>
      <c r="DV130" s="36">
        <f>IF(ISNA(VLOOKUP(A130,'Données projet'!$A$217:$I$237,4,0)),0,VLOOKUP(A130,'Données projet'!$A$217:$I$237,4,0))</f>
        <v>0</v>
      </c>
      <c r="DW130" s="37">
        <f>IF(ISNA(VLOOKUP(A130,'Données projet'!$A$217:$I$237,5,0)),0%,VLOOKUP(A130,'Données projet'!$A$217:$I$237,5,0)*VLOOKUP('Données projet'!$B$16,Paramètres!$A$1:$I$88,7,0))</f>
        <v>0</v>
      </c>
      <c r="DX130" s="37">
        <f>IF(ISNA(VLOOKUP(A130,'Données projet'!$A$217:$I$237,6,0)),0%,VLOOKUP(A130,'Données projet'!$A$217:$I$237,6,0)*VLOOKUP('Données projet'!$B$16,Paramètres!$A$1:$I$88,7,0))</f>
        <v>0</v>
      </c>
      <c r="DY130" s="37">
        <f>IF(ISNA(VLOOKUP(A130,'Données projet'!$A$217:$I$237,7,0)),0%,VLOOKUP(A130,'Données projet'!$A$217:$I$237,7,0))</f>
        <v>0</v>
      </c>
      <c r="DZ130" s="45">
        <f>EXP(-LN(2)/35)*DZ129+(1-EXP(-LN(2)/35))/(LN(2)/35)*DV130*DW130*VLOOKUP('Données projet'!$B$9,Paramètres!$A$1:$I$88,3,0)*0.475*44/12</f>
        <v>0</v>
      </c>
      <c r="EA130" s="45">
        <f>EXP(-LN(2)/25)*EA129+(1-EXP(-LN(2)/25))/(LN(2)/25)*Calculateur!DV130*Calculateur!DX130*VLOOKUP('Données projet'!$B$9,Paramètres!$A$1:$I$88,3,0)*0.475*44/12</f>
        <v>0</v>
      </c>
      <c r="EB130" s="45">
        <f>EXP(-LN(2)/2)*EB129+(1-EXP(-LN(2)/2))/(LN(2)/2)*DV130*DY130*VLOOKUP('Données projet'!$B$9,Paramètres!$A$1:$I$88,3,0)*0.475*44/12</f>
        <v>0</v>
      </c>
      <c r="EC130" s="46">
        <f t="shared" si="57"/>
        <v>0</v>
      </c>
      <c r="ED130" s="32" t="e">
        <f>VLOOKUP(A130,'Données projet'!$A$243:$I$263,2,0)</f>
        <v>#N/A</v>
      </c>
      <c r="EE130" s="33" t="e">
        <f>VLOOKUP(A130,'Données projet'!$A$243:$I$263,9,0)</f>
        <v>#N/A</v>
      </c>
      <c r="EF130" s="33">
        <f t="array" ref="EF130">INDEX(EE:EE,MIN(IF(ISNUMBER(EE130:EE326),ROW(EE130:EE326),"")))</f>
        <v>0</v>
      </c>
      <c r="EG130" s="33">
        <f t="shared" si="80"/>
        <v>0</v>
      </c>
      <c r="EH130" s="38" t="e">
        <f>EG130*VLOOKUP('Données projet'!$B$17,Paramètres!$A$1:$I$88,3,0)*VLOOKUP('Données projet'!$B$17,Paramètres!$A$1:$I$88,5,0)</f>
        <v>#N/A</v>
      </c>
      <c r="EI130" s="34" t="e">
        <f t="shared" si="81"/>
        <v>#N/A</v>
      </c>
      <c r="EJ130" s="44" t="e">
        <f t="shared" si="58"/>
        <v>#N/A</v>
      </c>
      <c r="EK130" s="36">
        <f>IF(ISNA(VLOOKUP(A130,'Données projet'!$A$243:$I$263,3,0)),0,VLOOKUP(A130,'Données projet'!$A$243:$I$263,3,0))</f>
        <v>0</v>
      </c>
      <c r="EL130" s="36">
        <f>IF(ISNA(VLOOKUP(A130,'Données projet'!$A$243:$I$263,4,0)),0,VLOOKUP(A130,'Données projet'!$A$243:$I$263,4,0))</f>
        <v>0</v>
      </c>
      <c r="EM130" s="37">
        <f>IF(ISNA(VLOOKUP(A130,'Données projet'!$A$243:$I$263,5,0)),0%,VLOOKUP(A130,'Données projet'!$A$243:$I$263,5,0)*VLOOKUP('Données projet'!$B$17,Paramètres!$A$1:$I$88,7,0))</f>
        <v>0</v>
      </c>
      <c r="EN130" s="37">
        <f>IF(ISNA(VLOOKUP(A130,'Données projet'!$A$243:$I$263,6,0)),0%,VLOOKUP(A130,'Données projet'!$A$243:$I$263,6,0)*VLOOKUP('Données projet'!$B$17,Paramètres!$A$1:$I$88,7,0))</f>
        <v>0</v>
      </c>
      <c r="EO130" s="37">
        <f>IF(ISNA(VLOOKUP(A130,'Données projet'!$A$243:$I$263,7,0)),0%,VLOOKUP(A130,'Données projet'!$A$243:$I$263,7,0))</f>
        <v>0</v>
      </c>
      <c r="EP130" s="45">
        <f>EXP(-LN(2)/35)*EP129+(1-EXP(-LN(2)/35))/(LN(2)/35)*EL130*EM130*VLOOKUP('Données projet'!$B$9,Paramètres!$A$1:$I$88,3,0)*0.475*44/12</f>
        <v>0</v>
      </c>
      <c r="EQ130" s="45">
        <f>EXP(-LN(2)/25)*EQ129+(1-EXP(-LN(2)/25))/(LN(2)/25)*Calculateur!EL130*Calculateur!EN130*VLOOKUP('Données projet'!$B$9,Paramètres!$A$1:$I$88,3,0)*0.475*44/12</f>
        <v>0</v>
      </c>
      <c r="ER130" s="45">
        <f>EXP(-LN(2)/2)*ER129+(1-EXP(-LN(2)/2))/(LN(2)/2)*EL130*EO130*VLOOKUP('Données projet'!$B$9,Paramètres!$A$1:$I$88,3,0)*0.475*44/12</f>
        <v>0</v>
      </c>
      <c r="ES130" s="46">
        <f t="shared" si="59"/>
        <v>0</v>
      </c>
      <c r="ET130" s="32" t="e">
        <f>VLOOKUP(A130,'Données projet'!$A$269:$I$289,2,0)</f>
        <v>#N/A</v>
      </c>
      <c r="EU130" s="33" t="e">
        <f>VLOOKUP(A130,'Données projet'!$A$269:$I$289,9,0)</f>
        <v>#N/A</v>
      </c>
      <c r="EV130" s="33">
        <f t="array" ref="EV130">INDEX(EU:EU,MIN(IF(ISNUMBER(EU130:EU326),ROW(EU130:EU326),"")))</f>
        <v>0</v>
      </c>
      <c r="EW130" s="33">
        <f t="shared" si="82"/>
        <v>0</v>
      </c>
      <c r="EX130" s="38" t="e">
        <f>EW130*VLOOKUP('Données projet'!$B$18,Paramètres!$A$1:$I$88,3,0)*VLOOKUP('Données projet'!$B$18,Paramètres!$A$1:$I$88,5,0)</f>
        <v>#N/A</v>
      </c>
      <c r="EY130" s="34" t="e">
        <f t="shared" si="83"/>
        <v>#N/A</v>
      </c>
      <c r="EZ130" s="44" t="e">
        <f t="shared" si="60"/>
        <v>#N/A</v>
      </c>
      <c r="FA130" s="36">
        <f>IF(ISNA(VLOOKUP(A130,'Données projet'!$A$269:$I$289,3,0)),0,VLOOKUP(A130,'Données projet'!$A$269:$I$289,3,0))</f>
        <v>0</v>
      </c>
      <c r="FB130" s="36">
        <f>IF(ISNA(VLOOKUP(A130,'Données projet'!$A$269:$I$289,4,0)),0,VLOOKUP(A130,'Données projet'!$A$269:$I$289,4,0))</f>
        <v>0</v>
      </c>
      <c r="FC130" s="37">
        <f>IF(ISNA(VLOOKUP(A130,'Données projet'!$A$269:$I$289,5,0)),0%,VLOOKUP(A130,'Données projet'!$A$269:$I$289,5,0)*VLOOKUP('Données projet'!$B$18,Paramètres!$A$1:$I$88,7,0))</f>
        <v>0</v>
      </c>
      <c r="FD130" s="37">
        <f>IF(ISNA(VLOOKUP(A130,'Données projet'!$A$269:$I$289,6,0)),0%,VLOOKUP(A130,'Données projet'!$A$269:$I$289,6,0)*VLOOKUP('Données projet'!$B$18,Paramètres!$A$1:$I$88,7,0))</f>
        <v>0</v>
      </c>
      <c r="FE130" s="37">
        <f>IF(ISNA(VLOOKUP(A130,'Données projet'!$A$269:$I$289,7,0)),0%,VLOOKUP(A130,'Données projet'!$A$269:$I$289,7,0))</f>
        <v>0</v>
      </c>
      <c r="FF130" s="45">
        <f>EXP(-LN(2)/35)*FF129+(1-EXP(-LN(2)/35))/(LN(2)/35)*FB130*FC130*VLOOKUP('Données projet'!$B$9,Paramètres!$A$1:$I$88,3,0)*0.475*44/12</f>
        <v>0</v>
      </c>
      <c r="FG130" s="45">
        <f>EXP(-LN(2)/25)*FG129+(1-EXP(-LN(2)/25))/(LN(2)/25)*Calculateur!FB130*Calculateur!FD130*VLOOKUP('Données projet'!$B$9,Paramètres!$A$1:$I$88,3,0)*0.475*44/12</f>
        <v>0</v>
      </c>
      <c r="FH130" s="45">
        <f>EXP(-LN(2)/2)*FH129+(1-EXP(-LN(2)/2))/(LN(2)/2)*FB130*FE130*VLOOKUP('Données projet'!$B$9,Paramètres!$A$1:$I$88,3,0)*0.475*44/12</f>
        <v>0</v>
      </c>
      <c r="FI130" s="46">
        <f t="shared" si="61"/>
        <v>0</v>
      </c>
    </row>
    <row r="131" spans="1:165" x14ac:dyDescent="0.25">
      <c r="A131" s="24">
        <f t="shared" si="62"/>
        <v>128</v>
      </c>
      <c r="B131" s="25">
        <f>IF('Scénario référence'!$N$1=1,5,0)</f>
        <v>0</v>
      </c>
      <c r="C131" s="40">
        <f>IF(OR('Scénario référence'!$N$1=2,'Scénario référence'!$N$1=4),C130+1*VLOOKUP('Scénario référence'!$G$14,Paramètres!$A$1:$I$88,3,0)*VLOOKUP('Scénario référence'!$G$14,Paramètres!$A$1:$I$88,5,0),IF(OR('Scénario référence'!$N$1=3,'Scénario référence'!$N$1=5),C130+0.5*VLOOKUP('Scénario référence'!$G$14,Paramètres!$A$1:$I$88,3,0)*VLOOKUP('Scénario référence'!$G$14,Paramètres!$A$1:$I$88,5,0),0))</f>
        <v>69.888000000000005</v>
      </c>
      <c r="D131" s="26">
        <f t="shared" si="63"/>
        <v>19.645641432461961</v>
      </c>
      <c r="E131" s="27">
        <f>IF('Scénario référence'!$N$1=1,B131*44/12,(C131+D131)*0.475*44/12)</f>
        <v>155.93775882820458</v>
      </c>
      <c r="F131" s="28" t="e">
        <f>VLOOKUP(A131,'Données projet'!$A$35:$I$55,2,0)</f>
        <v>#N/A</v>
      </c>
      <c r="G131" s="28" t="e">
        <f>VLOOKUP(A131,'Données projet'!$A$35:$I$55,9,0)</f>
        <v>#N/A</v>
      </c>
      <c r="H131" s="33">
        <f t="array" ref="H131">INDEX(G:G,MIN(IF(ISNUMBER(G131:G327),ROW(G131:G327),"")))</f>
        <v>3</v>
      </c>
      <c r="I131" s="28">
        <f t="shared" si="64"/>
        <v>276.99999999999932</v>
      </c>
      <c r="J131" s="41">
        <f>I131*VLOOKUP('Données projet'!$B$9,Paramètres!$A$1:$I$88,3,0)*VLOOKUP('Données projet'!$B$9,Paramètres!$A$1:$I$88,5,0)</f>
        <v>280.8779999999993</v>
      </c>
      <c r="K131" s="41">
        <f t="shared" si="65"/>
        <v>67.152521698072178</v>
      </c>
      <c r="L131" s="42">
        <f t="shared" si="42"/>
        <v>606.15315862414116</v>
      </c>
      <c r="M131" s="30">
        <f>IF(ISNA(VLOOKUP(A131,'Données projet'!$A$35:$I$55,3,0)),0,VLOOKUP(A131,'Données projet'!$A$35:$I$55,3,0))</f>
        <v>0</v>
      </c>
      <c r="N131" s="30">
        <f>IF(ISNA(VLOOKUP(A131,'Données projet'!$A$35:$I$55,4,0)),0,VLOOKUP(A131,'Données projet'!$A$35:$I$55,4,0))</f>
        <v>0</v>
      </c>
      <c r="O131" s="31">
        <f>IF(ISNA(VLOOKUP(A131,'Données projet'!$A$35:$I$55,5,0)),0%,VLOOKUP(A131,'Données projet'!$A$35:$I$55,5,0)*VLOOKUP('Données projet'!$B$9,Paramètres!$A$1:$I$88,7,0))</f>
        <v>0</v>
      </c>
      <c r="P131" s="31">
        <f>IF(ISNA(VLOOKUP(A131,'Données projet'!$A$35:$I$55,6,0)),0%,VLOOKUP(A131,'Données projet'!$A$35:$I$55,6,0)*VLOOKUP('Données projet'!$B$9,Paramètres!$A$1:$I$88,7,0))</f>
        <v>0</v>
      </c>
      <c r="Q131" s="31">
        <f>IF(ISNA(VLOOKUP(A131,'Données projet'!$A$35:$I$55,7,0)),0%,VLOOKUP(A131,'Données projet'!$A$35:$I$55,7,0))</f>
        <v>0</v>
      </c>
      <c r="R131" s="43">
        <f>EXP(-LN(2)/35)*R130+(1-EXP(-LN(2)/35))/(LN(2)/35)*N131*O131*VLOOKUP('Données projet'!$B$9,Paramètres!$A$1:$I$88,3,0)*0.475*44/12</f>
        <v>0</v>
      </c>
      <c r="S131" s="43">
        <f>EXP(-LN(2)/25)*S130+(1-EXP(-LN(2)/25))/(LN(2)/25)*Calculateur!N131*Calculateur!P131*VLOOKUP('Données projet'!$B$9,Paramètres!$A$1:$I$88,3,0)*0.475*44/12</f>
        <v>0</v>
      </c>
      <c r="T131" s="43">
        <f>EXP(-LN(2)/2)*T130+(1-EXP(-LN(2)/2))/(LN(2)/2)*N131*Q131*VLOOKUP('Données projet'!$B$9,Paramètres!$A$1:$I$88,3,0)*0.475*44/12</f>
        <v>0</v>
      </c>
      <c r="U131" s="43">
        <f t="shared" si="43"/>
        <v>0</v>
      </c>
      <c r="V131" s="32" t="e">
        <f>VLOOKUP(A131,'Données projet'!$A$61:$I$81,2,0)</f>
        <v>#N/A</v>
      </c>
      <c r="W131" s="33" t="e">
        <f>VLOOKUP(A131,'Données projet'!$A$61:$I$81,9,0)</f>
        <v>#N/A</v>
      </c>
      <c r="X131" s="33">
        <f t="array" ref="X131">INDEX(W:W,MIN(IF(ISNUMBER(W131:W327),ROW(W131:W327),"")))</f>
        <v>0</v>
      </c>
      <c r="Y131" s="33">
        <f t="shared" si="66"/>
        <v>0</v>
      </c>
      <c r="Z131" s="34" t="e">
        <f>Y131*VLOOKUP('Données projet'!$B$10,Paramètres!$A$1:$I$88,3,0)*VLOOKUP('Données projet'!$B$10,Paramètres!$A$1:$I$88,5,0)</f>
        <v>#N/A</v>
      </c>
      <c r="AA131" s="34" t="e">
        <f t="shared" si="67"/>
        <v>#N/A</v>
      </c>
      <c r="AB131" s="44" t="e">
        <f t="shared" si="44"/>
        <v>#N/A</v>
      </c>
      <c r="AC131" s="36">
        <f>IF(ISNA(VLOOKUP(A131,'Données projet'!$A$61:$I$81,3,0)),0,VLOOKUP(A131,'Données projet'!$A$61:$I$81,3,0))</f>
        <v>0</v>
      </c>
      <c r="AD131" s="36">
        <f>IF(ISNA(VLOOKUP(A131,'Données projet'!$A$61:$I$81,4,0)),0,VLOOKUP(A131,'Données projet'!$A$61:$I$81,4,0))</f>
        <v>0</v>
      </c>
      <c r="AE131" s="37">
        <f>IF(ISNA(VLOOKUP(A131,'Données projet'!$A$61:$I$81,5,0)),0%,VLOOKUP(A131,'Données projet'!$A$61:$I$81,5,0)*VLOOKUP('Données projet'!$B$10,Paramètres!$A$1:$I$88,7,0))</f>
        <v>0</v>
      </c>
      <c r="AF131" s="37">
        <f>IF(ISNA(VLOOKUP(A131,'Données projet'!$A$61:$I$81,6,0)),0%,VLOOKUP(A131,'Données projet'!$A$61:$I$81,6,0)*VLOOKUP('Données projet'!$B$10,Paramètres!$A$1:$I$88,7,0))</f>
        <v>0</v>
      </c>
      <c r="AG131" s="37">
        <f>IF(ISNA(VLOOKUP(A131,'Données projet'!$A$61:$I$81,7,0)),0%,VLOOKUP(A131,'Données projet'!$A$61:$I$81,7,0))</f>
        <v>0</v>
      </c>
      <c r="AH131" s="45">
        <f>EXP(-LN(2)/35)*AH130+(1-EXP(-LN(2)/35))/(LN(2)/35)*AD131*AE131*VLOOKUP('Données projet'!$B$9,Paramètres!$A$1:$I$88,3,0)*0.475*44/12</f>
        <v>0</v>
      </c>
      <c r="AI131" s="45">
        <f>EXP(-LN(2)/25)*AI130+(1-EXP(-LN(2)/25))/(LN(2)/25)*Calculateur!AD131*Calculateur!AF131*VLOOKUP('Données projet'!$B$9,Paramètres!$A$1:$I$88,3,0)*0.475*44/12</f>
        <v>0</v>
      </c>
      <c r="AJ131" s="45">
        <f>EXP(-LN(2)/2)*AJ130+(1-EXP(-LN(2)/2))/(LN(2)/2)*AD131*AG131*VLOOKUP('Données projet'!$B$9,Paramètres!$A$1:$I$88,3,0)*0.475*44/12</f>
        <v>0</v>
      </c>
      <c r="AK131" s="45">
        <f t="shared" si="45"/>
        <v>0</v>
      </c>
      <c r="AL131" s="32" t="e">
        <f>VLOOKUP(A131,'Données projet'!$A$87:$I$107,2,0)</f>
        <v>#N/A</v>
      </c>
      <c r="AM131" s="33" t="e">
        <f>VLOOKUP(A131,'Données projet'!$A$87:$I$107,9,0)</f>
        <v>#N/A</v>
      </c>
      <c r="AN131" s="33">
        <f t="array" ref="AN131">INDEX(AM:AM,MIN(IF(ISNUMBER(AM131:AM327),ROW(AM131:AM327),"")))</f>
        <v>0</v>
      </c>
      <c r="AO131" s="33">
        <f t="shared" si="68"/>
        <v>0</v>
      </c>
      <c r="AP131" s="34" t="e">
        <f>AO131*VLOOKUP('Données projet'!$B$11,Paramètres!$A$1:$I$88,3,0)*VLOOKUP('Données projet'!$B$11,Paramètres!$A$1:$I$88,5,0)</f>
        <v>#N/A</v>
      </c>
      <c r="AQ131" s="34" t="e">
        <f t="shared" si="69"/>
        <v>#N/A</v>
      </c>
      <c r="AR131" s="44" t="e">
        <f t="shared" si="46"/>
        <v>#N/A</v>
      </c>
      <c r="AS131" s="36">
        <f>IF(ISNA(VLOOKUP(A131,'Données projet'!$A$87:$I$107,3,0)),0,VLOOKUP(A131,'Données projet'!$A$87:$I$107,3,0))</f>
        <v>0</v>
      </c>
      <c r="AT131" s="36">
        <f>IF(ISNA(VLOOKUP(A131,'Données projet'!$A$87:$I$107,4,0)),0,VLOOKUP(A131,'Données projet'!$A$87:$I$107,4,0))</f>
        <v>0</v>
      </c>
      <c r="AU131" s="37">
        <f>IF(ISNA(VLOOKUP(A131,'Données projet'!$A$87:$I$107,5,0)),0%,VLOOKUP(A131,'Données projet'!$A$87:$I$107,5,0)*VLOOKUP('Données projet'!$B$11,Paramètres!$A$1:$I$88,7,0))</f>
        <v>0</v>
      </c>
      <c r="AV131" s="37">
        <f>IF(ISNA(VLOOKUP(A131,'Données projet'!$A$87:$I$107,6,0)),0%,VLOOKUP(A131,'Données projet'!$A$87:$I$107,6,0)*VLOOKUP('Données projet'!$B$11,Paramètres!$A$1:$I$88,7,0))</f>
        <v>0</v>
      </c>
      <c r="AW131" s="37">
        <f>IF(ISNA(VLOOKUP(A131,'Données projet'!$A$87:$I$107,7,0)),0%,VLOOKUP(A131,'Données projet'!$A$87:$I$107,7,0))</f>
        <v>0</v>
      </c>
      <c r="AX131" s="45">
        <f>EXP(-LN(2)/35)*AX130+(1-EXP(-LN(2)/35))/(LN(2)/35)*AT131*AU131*VLOOKUP('Données projet'!$B$9,Paramètres!$A$1:$I$88,3,0)*0.475*44/12</f>
        <v>0</v>
      </c>
      <c r="AY131" s="45">
        <f>EXP(-LN(2)/25)*AY130+(1-EXP(-LN(2)/25))/(LN(2)/25)*Calculateur!AT131*Calculateur!AV131*VLOOKUP('Données projet'!$B$9,Paramètres!$A$1:$I$88,3,0)*0.475*44/12</f>
        <v>0</v>
      </c>
      <c r="AZ131" s="45">
        <f>EXP(-LN(2)/2)*AZ130+(1-EXP(-LN(2)/2))/(LN(2)/2)*AT131*AW131*VLOOKUP('Données projet'!$B$9,Paramètres!$A$1:$I$88,3,0)*0.475*44/12</f>
        <v>0</v>
      </c>
      <c r="BA131" s="46">
        <f t="shared" si="47"/>
        <v>0</v>
      </c>
      <c r="BB131" s="32" t="e">
        <f>VLOOKUP(A131,'Données projet'!$A$113:$I$133,2,0)</f>
        <v>#N/A</v>
      </c>
      <c r="BC131" s="33" t="e">
        <f>VLOOKUP(A131,'Données projet'!$A$113:$I$133,9,0)</f>
        <v>#N/A</v>
      </c>
      <c r="BD131" s="33">
        <f t="array" ref="BD131">INDEX(BC:BC,MIN(IF(ISNUMBER(BC131:BC327),ROW(BC131:BC327),"")))</f>
        <v>0</v>
      </c>
      <c r="BE131" s="33">
        <f t="shared" si="70"/>
        <v>0</v>
      </c>
      <c r="BF131" s="34" t="e">
        <f>BE131*VLOOKUP('Données projet'!$B$12,Paramètres!$A$1:$I$88,3,0)*VLOOKUP('Données projet'!$B$12,Paramètres!$A$1:$I$88,5,0)</f>
        <v>#N/A</v>
      </c>
      <c r="BG131" s="34" t="e">
        <f t="shared" si="71"/>
        <v>#N/A</v>
      </c>
      <c r="BH131" s="44" t="e">
        <f t="shared" si="48"/>
        <v>#N/A</v>
      </c>
      <c r="BI131" s="36">
        <f>IF(ISNA(VLOOKUP(A131,'Données projet'!$A$113:$I$133,3,0)),0,VLOOKUP(A131,'Données projet'!$A$113:$I$133,3,0))</f>
        <v>0</v>
      </c>
      <c r="BJ131" s="36">
        <f>IF(ISNA(VLOOKUP(A131,'Données projet'!$A$113:$I$133,4,0)),0,VLOOKUP(A131,'Données projet'!$A$113:$I$133,4,0))</f>
        <v>0</v>
      </c>
      <c r="BK131" s="37">
        <f>IF(ISNA(VLOOKUP(A131,'Données projet'!$A$113:$I$133,5,0)),0%,VLOOKUP(A131,'Données projet'!$A$113:$I$133,5,0)*VLOOKUP('Données projet'!$B$12,Paramètres!$A$1:$I$88,7,0))</f>
        <v>0</v>
      </c>
      <c r="BL131" s="37">
        <f>IF(ISNA(VLOOKUP(A131,'Données projet'!$A$113:$I$133,6,0)),0%,VLOOKUP(A131,'Données projet'!$A$113:$I$133,6,0)*VLOOKUP('Données projet'!$B$12,Paramètres!$A$1:$I$88,7,0))</f>
        <v>0</v>
      </c>
      <c r="BM131" s="37">
        <f>IF(ISNA(VLOOKUP(A131,'Données projet'!$A$113:$I$133,7,0)),0%,VLOOKUP(A131,'Données projet'!$A$113:$I$133,7,0))</f>
        <v>0</v>
      </c>
      <c r="BN131" s="45">
        <f>EXP(-LN(2)/35)*BN130+(1-EXP(-LN(2)/35))/(LN(2)/35)*BJ131*BK131*VLOOKUP('Données projet'!$B$9,Paramètres!$A$1:$I$88,3,0)*0.475*44/12</f>
        <v>0</v>
      </c>
      <c r="BO131" s="45">
        <f>EXP(-LN(2)/25)*BO130+(1-EXP(-LN(2)/25))/(LN(2)/25)*Calculateur!BJ131*Calculateur!BL131*VLOOKUP('Données projet'!$B$9,Paramètres!$A$1:$I$88,3,0)*0.475*44/12</f>
        <v>0</v>
      </c>
      <c r="BP131" s="45">
        <f>EXP(-LN(2)/2)*BP130+(1-EXP(-LN(2)/2))/(LN(2)/2)*BJ131*BM131*VLOOKUP('Données projet'!$B$9,Paramètres!$A$1:$I$88,3,0)*0.475*44/12</f>
        <v>0</v>
      </c>
      <c r="BQ131" s="46">
        <f t="shared" si="49"/>
        <v>0</v>
      </c>
      <c r="BR131" s="32" t="e">
        <f>VLOOKUP(A131,'Données projet'!$A$139:$I$159,2,0)</f>
        <v>#N/A</v>
      </c>
      <c r="BS131" s="33" t="e">
        <f>VLOOKUP(A131,'Données projet'!$A$139:$I$159,9,0)</f>
        <v>#N/A</v>
      </c>
      <c r="BT131" s="33">
        <f t="array" ref="BT131">INDEX(BS:BS,MIN(IF(ISNUMBER(BS131:BS327),ROW(BS131:BS327),"")))</f>
        <v>0</v>
      </c>
      <c r="BU131" s="33">
        <f t="shared" si="72"/>
        <v>0</v>
      </c>
      <c r="BV131" s="38" t="e">
        <f>BU131*VLOOKUP('Données projet'!$B$13,Paramètres!$A$1:$I$88,3,0)*VLOOKUP('Données projet'!$B$13,Paramètres!$A$1:$I$88,5,0)</f>
        <v>#N/A</v>
      </c>
      <c r="BW131" s="34" t="e">
        <f t="shared" si="73"/>
        <v>#N/A</v>
      </c>
      <c r="BX131" s="44" t="e">
        <f t="shared" si="50"/>
        <v>#N/A</v>
      </c>
      <c r="BY131" s="36">
        <f>IF(ISNA(VLOOKUP(A131,'Données projet'!$A$139:$I$159,3,0)),0,VLOOKUP(A131,'Données projet'!$A$139:$I$159,3,0))</f>
        <v>0</v>
      </c>
      <c r="BZ131" s="36">
        <f>IF(ISNA(VLOOKUP(A131,'Données projet'!$A$139:$I$159,4,0)),0,VLOOKUP(A131,'Données projet'!$A$139:$I$159,4,0))</f>
        <v>0</v>
      </c>
      <c r="CA131" s="37">
        <f>IF(ISNA(VLOOKUP(A131,'Données projet'!$A$139:$I$159,5,0)),0%,VLOOKUP(A131,'Données projet'!$A$139:$I$159,5,0)*VLOOKUP('Données projet'!$B$13,Paramètres!$A$1:$I$88,7,0))</f>
        <v>0</v>
      </c>
      <c r="CB131" s="37">
        <f>IF(ISNA(VLOOKUP(A131,'Données projet'!$A$139:$I$159,6,0)),0%,VLOOKUP(A131,'Données projet'!$A$139:$I$159,6,0)*VLOOKUP('Données projet'!$B$13,Paramètres!$A$1:$I$88,7,0))</f>
        <v>0</v>
      </c>
      <c r="CC131" s="37">
        <f>IF(ISNA(VLOOKUP(A131,'Données projet'!$A$139:$I$159,7,0)),0%,VLOOKUP(A131,'Données projet'!$A$139:$I$159,7,0))</f>
        <v>0</v>
      </c>
      <c r="CD131" s="45">
        <f>EXP(-LN(2)/35)*CD130+(1-EXP(-LN(2)/35))/(LN(2)/35)*BZ131*CA131*VLOOKUP('Données projet'!$B$9,Paramètres!$A$1:$I$88,3,0)*0.475*44/12</f>
        <v>0</v>
      </c>
      <c r="CE131" s="45">
        <f>EXP(-LN(2)/25)*CE130+(1-EXP(-LN(2)/25))/(LN(2)/25)*Calculateur!BZ131*Calculateur!CB131*VLOOKUP('Données projet'!$B$9,Paramètres!$A$1:$I$88,3,0)*0.475*44/12</f>
        <v>0</v>
      </c>
      <c r="CF131" s="45">
        <f>EXP(-LN(2)/2)*CF130+(1-EXP(-LN(2)/2))/(LN(2)/2)*BZ131*CC131*VLOOKUP('Données projet'!$B$9,Paramètres!$A$1:$I$88,3,0)*0.475*44/12</f>
        <v>0</v>
      </c>
      <c r="CG131" s="46">
        <f t="shared" si="51"/>
        <v>0</v>
      </c>
      <c r="CH131" s="32" t="e">
        <f>VLOOKUP(A131,'Données projet'!$A$165:$I$185,2,0)</f>
        <v>#N/A</v>
      </c>
      <c r="CI131" s="33" t="e">
        <f>VLOOKUP(A131,'Données projet'!$A$165:$I$185,9,0)</f>
        <v>#N/A</v>
      </c>
      <c r="CJ131" s="33">
        <f t="array" ref="CJ131">INDEX(CI:CI,MIN(IF(ISNUMBER(CI131:CI327),ROW(CI131:CI327),"")))</f>
        <v>0</v>
      </c>
      <c r="CK131" s="33">
        <f t="shared" si="74"/>
        <v>0</v>
      </c>
      <c r="CL131" s="38" t="e">
        <f>CK131*VLOOKUP('Données projet'!$B$14,Paramètres!$A$1:$I$88,3,0)*VLOOKUP('Données projet'!$B$14,Paramètres!$A$1:$I$88,5,0)</f>
        <v>#N/A</v>
      </c>
      <c r="CM131" s="34" t="e">
        <f t="shared" si="75"/>
        <v>#N/A</v>
      </c>
      <c r="CN131" s="44" t="e">
        <f t="shared" si="52"/>
        <v>#N/A</v>
      </c>
      <c r="CO131" s="36">
        <f>IF(ISNA(VLOOKUP(A131,'Données projet'!$A$165:$I$185,3,0)),0,VLOOKUP(A131,'Données projet'!$A$165:$I$185,3,0))</f>
        <v>0</v>
      </c>
      <c r="CP131" s="36">
        <f>IF(ISNA(VLOOKUP(A131,'Données projet'!$A$165:$I$185,4,0)),0,VLOOKUP(A131,'Données projet'!$A$165:$I$185,4,0))</f>
        <v>0</v>
      </c>
      <c r="CQ131" s="37">
        <f>IF(ISNA(VLOOKUP(A131,'Données projet'!$A$165:$I$185,5,0)),0%,VLOOKUP(A131,'Données projet'!$A$165:$I$185,5,0)*VLOOKUP('Données projet'!$B$14,Paramètres!$A$1:$I$88,7,0))</f>
        <v>0</v>
      </c>
      <c r="CR131" s="37">
        <f>IF(ISNA(VLOOKUP(A131,'Données projet'!$A$165:$I$185,6,0)),0%,VLOOKUP(A131,'Données projet'!$A$165:$I$185,6,0)*VLOOKUP('Données projet'!$B$14,Paramètres!$A$1:$I$88,7,0))</f>
        <v>0</v>
      </c>
      <c r="CS131" s="37">
        <f>IF(ISNA(VLOOKUP(A131,'Données projet'!$A$165:$I$185,7,0)),0%,VLOOKUP(A131,'Données projet'!$A$165:$I$185,7,0))</f>
        <v>0</v>
      </c>
      <c r="CT131" s="45">
        <f>EXP(-LN(2)/35)*CT130+(1-EXP(-LN(2)/35))/(LN(2)/35)*CP131*CQ131*VLOOKUP('Données projet'!$B$9,Paramètres!$A$1:$I$88,3,0)*0.475*44/12</f>
        <v>0</v>
      </c>
      <c r="CU131" s="45">
        <f>EXP(-LN(2)/25)*CU130+(1-EXP(-LN(2)/25))/(LN(2)/25)*Calculateur!CP131*Calculateur!CR131*VLOOKUP('Données projet'!$B$9,Paramètres!$A$1:$I$88,3,0)*0.475*44/12</f>
        <v>0</v>
      </c>
      <c r="CV131" s="45">
        <f>EXP(-LN(2)/2)*CV130+(1-EXP(-LN(2)/2))/(LN(2)/2)*CP131*CS131*VLOOKUP('Données projet'!$B$9,Paramètres!$A$1:$I$88,3,0)*0.475*44/12</f>
        <v>0</v>
      </c>
      <c r="CW131" s="46">
        <f t="shared" si="53"/>
        <v>0</v>
      </c>
      <c r="CX131" s="32" t="e">
        <f>VLOOKUP(A131,'Données projet'!$A$191:$I$211,2,0)</f>
        <v>#N/A</v>
      </c>
      <c r="CY131" s="33" t="e">
        <f>VLOOKUP(A131,'Données projet'!$A$191:$I$211,9,0)</f>
        <v>#N/A</v>
      </c>
      <c r="CZ131" s="33">
        <f t="array" ref="CZ131">INDEX(CY:CY,MIN(IF(ISNUMBER(CY131:CY327),ROW(CY131:CY327),"")))</f>
        <v>0</v>
      </c>
      <c r="DA131" s="33">
        <f t="shared" si="76"/>
        <v>0</v>
      </c>
      <c r="DB131" s="38" t="e">
        <f>DA131*VLOOKUP('Données projet'!$B$15,Paramètres!$A$1:$I$88,3,0)*VLOOKUP('Données projet'!$B$15,Paramètres!$A$1:$I$88,5,0)</f>
        <v>#N/A</v>
      </c>
      <c r="DC131" s="34" t="e">
        <f t="shared" si="77"/>
        <v>#N/A</v>
      </c>
      <c r="DD131" s="44" t="e">
        <f t="shared" si="54"/>
        <v>#N/A</v>
      </c>
      <c r="DE131" s="36">
        <f>IF(ISNA(VLOOKUP(A131,'Données projet'!$A$191:$I$211,3,0)),0,VLOOKUP(A131,'Données projet'!$A$191:$I$211,3,0))</f>
        <v>0</v>
      </c>
      <c r="DF131" s="36">
        <f>IF(ISNA(VLOOKUP(A131,'Données projet'!$A$191:$I$211,4,0)),0,VLOOKUP(A131,'Données projet'!$A$191:$I$211,4,0))</f>
        <v>0</v>
      </c>
      <c r="DG131" s="37">
        <f>IF(ISNA(VLOOKUP(A131,'Données projet'!$A$191:$I$211,5,0)),0%,VLOOKUP(A131,'Données projet'!$A$191:$I$211,5,0)*VLOOKUP('Données projet'!$B$15,Paramètres!$A$1:$I$88,7,0))</f>
        <v>0</v>
      </c>
      <c r="DH131" s="37">
        <f>IF(ISNA(VLOOKUP(A131,'Données projet'!$A$191:$I$211,6,0)),0%,VLOOKUP(A131,'Données projet'!$A$191:$I$211,6,0)*VLOOKUP('Données projet'!$B$15,Paramètres!$A$1:$I$88,7,0))</f>
        <v>0</v>
      </c>
      <c r="DI131" s="37">
        <f>IF(ISNA(VLOOKUP(A131,'Données projet'!$A$191:$I$211,7,0)),0%,VLOOKUP(A131,'Données projet'!$A$191:$I$211,7,0))</f>
        <v>0</v>
      </c>
      <c r="DJ131" s="45">
        <f>EXP(-LN(2)/35)*DJ130+(1-EXP(-LN(2)/35))/(LN(2)/35)*DF131*DG131*VLOOKUP('Données projet'!$B$9,Paramètres!$A$1:$I$88,3,0)*0.475*44/12</f>
        <v>0</v>
      </c>
      <c r="DK131" s="45">
        <f>EXP(-LN(2)/25)*DK130+(1-EXP(-LN(2)/25))/(LN(2)/25)*Calculateur!DF131*Calculateur!DH131*VLOOKUP('Données projet'!$B$9,Paramètres!$A$1:$I$88,3,0)*0.475*44/12</f>
        <v>0</v>
      </c>
      <c r="DL131" s="45">
        <f>EXP(-LN(2)/2)*DL130+(1-EXP(-LN(2)/2))/(LN(2)/2)*DF131*DI131*VLOOKUP('Données projet'!$B$9,Paramètres!$A$1:$I$88,3,0)*0.475*44/12</f>
        <v>0</v>
      </c>
      <c r="DM131" s="46">
        <f t="shared" si="55"/>
        <v>0</v>
      </c>
      <c r="DN131" s="32" t="e">
        <f>VLOOKUP(A131,'Données projet'!$A$217:$I$237,2,0)</f>
        <v>#N/A</v>
      </c>
      <c r="DO131" s="33" t="e">
        <f>VLOOKUP(A131,'Données projet'!$A$217:$I$237,9,0)</f>
        <v>#N/A</v>
      </c>
      <c r="DP131" s="33">
        <f t="array" ref="DP131">INDEX(DO:DO,MIN(IF(ISNUMBER(DO131:DO327),ROW(DO131:DO327),"")))</f>
        <v>0</v>
      </c>
      <c r="DQ131" s="33">
        <f t="shared" si="78"/>
        <v>0</v>
      </c>
      <c r="DR131" s="38" t="e">
        <f>DQ131*VLOOKUP('Données projet'!$B$16,Paramètres!$A$1:$I$88,3,0)*VLOOKUP('Données projet'!$B$16,Paramètres!$A$1:$I$88,5,0)</f>
        <v>#N/A</v>
      </c>
      <c r="DS131" s="34" t="e">
        <f t="shared" si="79"/>
        <v>#N/A</v>
      </c>
      <c r="DT131" s="44" t="e">
        <f t="shared" si="56"/>
        <v>#N/A</v>
      </c>
      <c r="DU131" s="36">
        <f>IF(ISNA(VLOOKUP(A131,'Données projet'!$A$217:$I$237,3,0)),0,VLOOKUP(A131,'Données projet'!$A$217:$I$237,3,0))</f>
        <v>0</v>
      </c>
      <c r="DV131" s="36">
        <f>IF(ISNA(VLOOKUP(A131,'Données projet'!$A$217:$I$237,4,0)),0,VLOOKUP(A131,'Données projet'!$A$217:$I$237,4,0))</f>
        <v>0</v>
      </c>
      <c r="DW131" s="37">
        <f>IF(ISNA(VLOOKUP(A131,'Données projet'!$A$217:$I$237,5,0)),0%,VLOOKUP(A131,'Données projet'!$A$217:$I$237,5,0)*VLOOKUP('Données projet'!$B$16,Paramètres!$A$1:$I$88,7,0))</f>
        <v>0</v>
      </c>
      <c r="DX131" s="37">
        <f>IF(ISNA(VLOOKUP(A131,'Données projet'!$A$217:$I$237,6,0)),0%,VLOOKUP(A131,'Données projet'!$A$217:$I$237,6,0)*VLOOKUP('Données projet'!$B$16,Paramètres!$A$1:$I$88,7,0))</f>
        <v>0</v>
      </c>
      <c r="DY131" s="37">
        <f>IF(ISNA(VLOOKUP(A131,'Données projet'!$A$217:$I$237,7,0)),0%,VLOOKUP(A131,'Données projet'!$A$217:$I$237,7,0))</f>
        <v>0</v>
      </c>
      <c r="DZ131" s="45">
        <f>EXP(-LN(2)/35)*DZ130+(1-EXP(-LN(2)/35))/(LN(2)/35)*DV131*DW131*VLOOKUP('Données projet'!$B$9,Paramètres!$A$1:$I$88,3,0)*0.475*44/12</f>
        <v>0</v>
      </c>
      <c r="EA131" s="45">
        <f>EXP(-LN(2)/25)*EA130+(1-EXP(-LN(2)/25))/(LN(2)/25)*Calculateur!DV131*Calculateur!DX131*VLOOKUP('Données projet'!$B$9,Paramètres!$A$1:$I$88,3,0)*0.475*44/12</f>
        <v>0</v>
      </c>
      <c r="EB131" s="45">
        <f>EXP(-LN(2)/2)*EB130+(1-EXP(-LN(2)/2))/(LN(2)/2)*DV131*DY131*VLOOKUP('Données projet'!$B$9,Paramètres!$A$1:$I$88,3,0)*0.475*44/12</f>
        <v>0</v>
      </c>
      <c r="EC131" s="46">
        <f t="shared" si="57"/>
        <v>0</v>
      </c>
      <c r="ED131" s="32" t="e">
        <f>VLOOKUP(A131,'Données projet'!$A$243:$I$263,2,0)</f>
        <v>#N/A</v>
      </c>
      <c r="EE131" s="33" t="e">
        <f>VLOOKUP(A131,'Données projet'!$A$243:$I$263,9,0)</f>
        <v>#N/A</v>
      </c>
      <c r="EF131" s="33">
        <f t="array" ref="EF131">INDEX(EE:EE,MIN(IF(ISNUMBER(EE131:EE327),ROW(EE131:EE327),"")))</f>
        <v>0</v>
      </c>
      <c r="EG131" s="33">
        <f t="shared" si="80"/>
        <v>0</v>
      </c>
      <c r="EH131" s="38" t="e">
        <f>EG131*VLOOKUP('Données projet'!$B$17,Paramètres!$A$1:$I$88,3,0)*VLOOKUP('Données projet'!$B$17,Paramètres!$A$1:$I$88,5,0)</f>
        <v>#N/A</v>
      </c>
      <c r="EI131" s="34" t="e">
        <f t="shared" si="81"/>
        <v>#N/A</v>
      </c>
      <c r="EJ131" s="44" t="e">
        <f t="shared" si="58"/>
        <v>#N/A</v>
      </c>
      <c r="EK131" s="36">
        <f>IF(ISNA(VLOOKUP(A131,'Données projet'!$A$243:$I$263,3,0)),0,VLOOKUP(A131,'Données projet'!$A$243:$I$263,3,0))</f>
        <v>0</v>
      </c>
      <c r="EL131" s="36">
        <f>IF(ISNA(VLOOKUP(A131,'Données projet'!$A$243:$I$263,4,0)),0,VLOOKUP(A131,'Données projet'!$A$243:$I$263,4,0))</f>
        <v>0</v>
      </c>
      <c r="EM131" s="37">
        <f>IF(ISNA(VLOOKUP(A131,'Données projet'!$A$243:$I$263,5,0)),0%,VLOOKUP(A131,'Données projet'!$A$243:$I$263,5,0)*VLOOKUP('Données projet'!$B$17,Paramètres!$A$1:$I$88,7,0))</f>
        <v>0</v>
      </c>
      <c r="EN131" s="37">
        <f>IF(ISNA(VLOOKUP(A131,'Données projet'!$A$243:$I$263,6,0)),0%,VLOOKUP(A131,'Données projet'!$A$243:$I$263,6,0)*VLOOKUP('Données projet'!$B$17,Paramètres!$A$1:$I$88,7,0))</f>
        <v>0</v>
      </c>
      <c r="EO131" s="37">
        <f>IF(ISNA(VLOOKUP(A131,'Données projet'!$A$243:$I$263,7,0)),0%,VLOOKUP(A131,'Données projet'!$A$243:$I$263,7,0))</f>
        <v>0</v>
      </c>
      <c r="EP131" s="45">
        <f>EXP(-LN(2)/35)*EP130+(1-EXP(-LN(2)/35))/(LN(2)/35)*EL131*EM131*VLOOKUP('Données projet'!$B$9,Paramètres!$A$1:$I$88,3,0)*0.475*44/12</f>
        <v>0</v>
      </c>
      <c r="EQ131" s="45">
        <f>EXP(-LN(2)/25)*EQ130+(1-EXP(-LN(2)/25))/(LN(2)/25)*Calculateur!EL131*Calculateur!EN131*VLOOKUP('Données projet'!$B$9,Paramètres!$A$1:$I$88,3,0)*0.475*44/12</f>
        <v>0</v>
      </c>
      <c r="ER131" s="45">
        <f>EXP(-LN(2)/2)*ER130+(1-EXP(-LN(2)/2))/(LN(2)/2)*EL131*EO131*VLOOKUP('Données projet'!$B$9,Paramètres!$A$1:$I$88,3,0)*0.475*44/12</f>
        <v>0</v>
      </c>
      <c r="ES131" s="46">
        <f t="shared" si="59"/>
        <v>0</v>
      </c>
      <c r="ET131" s="32" t="e">
        <f>VLOOKUP(A131,'Données projet'!$A$269:$I$289,2,0)</f>
        <v>#N/A</v>
      </c>
      <c r="EU131" s="33" t="e">
        <f>VLOOKUP(A131,'Données projet'!$A$269:$I$289,9,0)</f>
        <v>#N/A</v>
      </c>
      <c r="EV131" s="33">
        <f t="array" ref="EV131">INDEX(EU:EU,MIN(IF(ISNUMBER(EU131:EU327),ROW(EU131:EU327),"")))</f>
        <v>0</v>
      </c>
      <c r="EW131" s="33">
        <f t="shared" si="82"/>
        <v>0</v>
      </c>
      <c r="EX131" s="38" t="e">
        <f>EW131*VLOOKUP('Données projet'!$B$18,Paramètres!$A$1:$I$88,3,0)*VLOOKUP('Données projet'!$B$18,Paramètres!$A$1:$I$88,5,0)</f>
        <v>#N/A</v>
      </c>
      <c r="EY131" s="34" t="e">
        <f t="shared" si="83"/>
        <v>#N/A</v>
      </c>
      <c r="EZ131" s="44" t="e">
        <f t="shared" si="60"/>
        <v>#N/A</v>
      </c>
      <c r="FA131" s="36">
        <f>IF(ISNA(VLOOKUP(A131,'Données projet'!$A$269:$I$289,3,0)),0,VLOOKUP(A131,'Données projet'!$A$269:$I$289,3,0))</f>
        <v>0</v>
      </c>
      <c r="FB131" s="36">
        <f>IF(ISNA(VLOOKUP(A131,'Données projet'!$A$269:$I$289,4,0)),0,VLOOKUP(A131,'Données projet'!$A$269:$I$289,4,0))</f>
        <v>0</v>
      </c>
      <c r="FC131" s="37">
        <f>IF(ISNA(VLOOKUP(A131,'Données projet'!$A$269:$I$289,5,0)),0%,VLOOKUP(A131,'Données projet'!$A$269:$I$289,5,0)*VLOOKUP('Données projet'!$B$18,Paramètres!$A$1:$I$88,7,0))</f>
        <v>0</v>
      </c>
      <c r="FD131" s="37">
        <f>IF(ISNA(VLOOKUP(A131,'Données projet'!$A$269:$I$289,6,0)),0%,VLOOKUP(A131,'Données projet'!$A$269:$I$289,6,0)*VLOOKUP('Données projet'!$B$18,Paramètres!$A$1:$I$88,7,0))</f>
        <v>0</v>
      </c>
      <c r="FE131" s="37">
        <f>IF(ISNA(VLOOKUP(A131,'Données projet'!$A$269:$I$289,7,0)),0%,VLOOKUP(A131,'Données projet'!$A$269:$I$289,7,0))</f>
        <v>0</v>
      </c>
      <c r="FF131" s="45">
        <f>EXP(-LN(2)/35)*FF130+(1-EXP(-LN(2)/35))/(LN(2)/35)*FB131*FC131*VLOOKUP('Données projet'!$B$9,Paramètres!$A$1:$I$88,3,0)*0.475*44/12</f>
        <v>0</v>
      </c>
      <c r="FG131" s="45">
        <f>EXP(-LN(2)/25)*FG130+(1-EXP(-LN(2)/25))/(LN(2)/25)*Calculateur!FB131*Calculateur!FD131*VLOOKUP('Données projet'!$B$9,Paramètres!$A$1:$I$88,3,0)*0.475*44/12</f>
        <v>0</v>
      </c>
      <c r="FH131" s="45">
        <f>EXP(-LN(2)/2)*FH130+(1-EXP(-LN(2)/2))/(LN(2)/2)*FB131*FE131*VLOOKUP('Données projet'!$B$9,Paramètres!$A$1:$I$88,3,0)*0.475*44/12</f>
        <v>0</v>
      </c>
      <c r="FI131" s="46">
        <f t="shared" si="61"/>
        <v>0</v>
      </c>
    </row>
    <row r="132" spans="1:165" x14ac:dyDescent="0.25">
      <c r="A132" s="24">
        <f t="shared" si="62"/>
        <v>129</v>
      </c>
      <c r="B132" s="25">
        <f>IF('Scénario référence'!$N$1=1,5,0)</f>
        <v>0</v>
      </c>
      <c r="C132" s="40">
        <f>IF(OR('Scénario référence'!$N$1=2,'Scénario référence'!$N$1=4),C131+1*VLOOKUP('Scénario référence'!$G$14,Paramètres!$A$1:$I$88,3,0)*VLOOKUP('Scénario référence'!$G$14,Paramètres!$A$1:$I$88,5,0),IF(OR('Scénario référence'!$N$1=3,'Scénario référence'!$N$1=5),C131+0.5*VLOOKUP('Scénario référence'!$G$14,Paramètres!$A$1:$I$88,3,0)*VLOOKUP('Scénario référence'!$G$14,Paramètres!$A$1:$I$88,5,0),0))</f>
        <v>70.434000000000012</v>
      </c>
      <c r="D132" s="26">
        <f t="shared" si="63"/>
        <v>19.78119626646561</v>
      </c>
      <c r="E132" s="27">
        <f>IF('Scénario référence'!$N$1=1,B132*44/12,(C132+D132)*0.475*44/12)</f>
        <v>157.1248001640943</v>
      </c>
      <c r="F132" s="28" t="e">
        <f>VLOOKUP(A132,'Données projet'!$A$35:$I$55,2,0)</f>
        <v>#N/A</v>
      </c>
      <c r="G132" s="28" t="e">
        <f>VLOOKUP(A132,'Données projet'!$A$35:$I$55,9,0)</f>
        <v>#N/A</v>
      </c>
      <c r="H132" s="33">
        <f t="array" ref="H132">INDEX(G:G,MIN(IF(ISNUMBER(G132:G328),ROW(G132:G328),"")))</f>
        <v>3</v>
      </c>
      <c r="I132" s="28">
        <f t="shared" si="64"/>
        <v>279.99999999999932</v>
      </c>
      <c r="J132" s="41">
        <f>I132*VLOOKUP('Données projet'!$B$9,Paramètres!$A$1:$I$88,3,0)*VLOOKUP('Données projet'!$B$9,Paramètres!$A$1:$I$88,5,0)</f>
        <v>283.91999999999933</v>
      </c>
      <c r="K132" s="41">
        <f t="shared" si="65"/>
        <v>67.794746071143507</v>
      </c>
      <c r="L132" s="42">
        <f t="shared" ref="L132:L153" si="84">(J132+K132)*0.475*44/12</f>
        <v>612.56984940724044</v>
      </c>
      <c r="M132" s="30">
        <f>IF(ISNA(VLOOKUP(A132,'Données projet'!$A$35:$I$55,3,0)),0,VLOOKUP(A132,'Données projet'!$A$35:$I$55,3,0))</f>
        <v>0</v>
      </c>
      <c r="N132" s="30">
        <f>IF(ISNA(VLOOKUP(A132,'Données projet'!$A$35:$I$55,4,0)),0,VLOOKUP(A132,'Données projet'!$A$35:$I$55,4,0))</f>
        <v>0</v>
      </c>
      <c r="O132" s="31">
        <f>IF(ISNA(VLOOKUP(A132,'Données projet'!$A$35:$I$55,5,0)),0%,VLOOKUP(A132,'Données projet'!$A$35:$I$55,5,0)*VLOOKUP('Données projet'!$B$9,Paramètres!$A$1:$I$88,7,0))</f>
        <v>0</v>
      </c>
      <c r="P132" s="31">
        <f>IF(ISNA(VLOOKUP(A132,'Données projet'!$A$35:$I$55,6,0)),0%,VLOOKUP(A132,'Données projet'!$A$35:$I$55,6,0)*VLOOKUP('Données projet'!$B$9,Paramètres!$A$1:$I$88,7,0))</f>
        <v>0</v>
      </c>
      <c r="Q132" s="31">
        <f>IF(ISNA(VLOOKUP(A132,'Données projet'!$A$35:$I$55,7,0)),0%,VLOOKUP(A132,'Données projet'!$A$35:$I$55,7,0))</f>
        <v>0</v>
      </c>
      <c r="R132" s="43">
        <f>EXP(-LN(2)/35)*R131+(1-EXP(-LN(2)/35))/(LN(2)/35)*N132*O132*VLOOKUP('Données projet'!$B$9,Paramètres!$A$1:$I$88,3,0)*0.475*44/12</f>
        <v>0</v>
      </c>
      <c r="S132" s="43">
        <f>EXP(-LN(2)/25)*S131+(1-EXP(-LN(2)/25))/(LN(2)/25)*Calculateur!N132*Calculateur!P132*VLOOKUP('Données projet'!$B$9,Paramètres!$A$1:$I$88,3,0)*0.475*44/12</f>
        <v>0</v>
      </c>
      <c r="T132" s="43">
        <f>EXP(-LN(2)/2)*T131+(1-EXP(-LN(2)/2))/(LN(2)/2)*N132*Q132*VLOOKUP('Données projet'!$B$9,Paramètres!$A$1:$I$88,3,0)*0.475*44/12</f>
        <v>0</v>
      </c>
      <c r="U132" s="43">
        <f t="shared" ref="U132:U153" si="85">SUM(R132:T132)</f>
        <v>0</v>
      </c>
      <c r="V132" s="32" t="e">
        <f>VLOOKUP(A132,'Données projet'!$A$61:$I$81,2,0)</f>
        <v>#N/A</v>
      </c>
      <c r="W132" s="33" t="e">
        <f>VLOOKUP(A132,'Données projet'!$A$61:$I$81,9,0)</f>
        <v>#N/A</v>
      </c>
      <c r="X132" s="33">
        <f t="array" ref="X132">INDEX(W:W,MIN(IF(ISNUMBER(W132:W328),ROW(W132:W328),"")))</f>
        <v>0</v>
      </c>
      <c r="Y132" s="33">
        <f t="shared" si="66"/>
        <v>0</v>
      </c>
      <c r="Z132" s="34" t="e">
        <f>Y132*VLOOKUP('Données projet'!$B$10,Paramètres!$A$1:$I$88,3,0)*VLOOKUP('Données projet'!$B$10,Paramètres!$A$1:$I$88,5,0)</f>
        <v>#N/A</v>
      </c>
      <c r="AA132" s="34" t="e">
        <f t="shared" si="67"/>
        <v>#N/A</v>
      </c>
      <c r="AB132" s="44" t="e">
        <f t="shared" ref="AB132:AB153" si="86">(Z132+AA132)*0.475*44/12</f>
        <v>#N/A</v>
      </c>
      <c r="AC132" s="36">
        <f>IF(ISNA(VLOOKUP(A132,'Données projet'!$A$61:$I$81,3,0)),0,VLOOKUP(A132,'Données projet'!$A$61:$I$81,3,0))</f>
        <v>0</v>
      </c>
      <c r="AD132" s="36">
        <f>IF(ISNA(VLOOKUP(A132,'Données projet'!$A$61:$I$81,4,0)),0,VLOOKUP(A132,'Données projet'!$A$61:$I$81,4,0))</f>
        <v>0</v>
      </c>
      <c r="AE132" s="37">
        <f>IF(ISNA(VLOOKUP(A132,'Données projet'!$A$61:$I$81,5,0)),0%,VLOOKUP(A132,'Données projet'!$A$61:$I$81,5,0)*VLOOKUP('Données projet'!$B$10,Paramètres!$A$1:$I$88,7,0))</f>
        <v>0</v>
      </c>
      <c r="AF132" s="37">
        <f>IF(ISNA(VLOOKUP(A132,'Données projet'!$A$61:$I$81,6,0)),0%,VLOOKUP(A132,'Données projet'!$A$61:$I$81,6,0)*VLOOKUP('Données projet'!$B$10,Paramètres!$A$1:$I$88,7,0))</f>
        <v>0</v>
      </c>
      <c r="AG132" s="37">
        <f>IF(ISNA(VLOOKUP(A132,'Données projet'!$A$61:$I$81,7,0)),0%,VLOOKUP(A132,'Données projet'!$A$61:$I$81,7,0))</f>
        <v>0</v>
      </c>
      <c r="AH132" s="45">
        <f>EXP(-LN(2)/35)*AH131+(1-EXP(-LN(2)/35))/(LN(2)/35)*AD132*AE132*VLOOKUP('Données projet'!$B$9,Paramètres!$A$1:$I$88,3,0)*0.475*44/12</f>
        <v>0</v>
      </c>
      <c r="AI132" s="45">
        <f>EXP(-LN(2)/25)*AI131+(1-EXP(-LN(2)/25))/(LN(2)/25)*Calculateur!AD132*Calculateur!AF132*VLOOKUP('Données projet'!$B$9,Paramètres!$A$1:$I$88,3,0)*0.475*44/12</f>
        <v>0</v>
      </c>
      <c r="AJ132" s="45">
        <f>EXP(-LN(2)/2)*AJ131+(1-EXP(-LN(2)/2))/(LN(2)/2)*AD132*AG132*VLOOKUP('Données projet'!$B$9,Paramètres!$A$1:$I$88,3,0)*0.475*44/12</f>
        <v>0</v>
      </c>
      <c r="AK132" s="45">
        <f t="shared" ref="AK132:AK153" si="87">SUM(AH132:AJ132)</f>
        <v>0</v>
      </c>
      <c r="AL132" s="32" t="e">
        <f>VLOOKUP(A132,'Données projet'!$A$87:$I$107,2,0)</f>
        <v>#N/A</v>
      </c>
      <c r="AM132" s="33" t="e">
        <f>VLOOKUP(A132,'Données projet'!$A$87:$I$107,9,0)</f>
        <v>#N/A</v>
      </c>
      <c r="AN132" s="33">
        <f t="array" ref="AN132">INDEX(AM:AM,MIN(IF(ISNUMBER(AM132:AM328),ROW(AM132:AM328),"")))</f>
        <v>0</v>
      </c>
      <c r="AO132" s="33">
        <f t="shared" si="68"/>
        <v>0</v>
      </c>
      <c r="AP132" s="34" t="e">
        <f>AO132*VLOOKUP('Données projet'!$B$11,Paramètres!$A$1:$I$88,3,0)*VLOOKUP('Données projet'!$B$11,Paramètres!$A$1:$I$88,5,0)</f>
        <v>#N/A</v>
      </c>
      <c r="AQ132" s="34" t="e">
        <f t="shared" si="69"/>
        <v>#N/A</v>
      </c>
      <c r="AR132" s="44" t="e">
        <f t="shared" ref="AR132:AR153" si="88">(AP132+AQ132)*0.475*44/12</f>
        <v>#N/A</v>
      </c>
      <c r="AS132" s="36">
        <f>IF(ISNA(VLOOKUP(A132,'Données projet'!$A$87:$I$107,3,0)),0,VLOOKUP(A132,'Données projet'!$A$87:$I$107,3,0))</f>
        <v>0</v>
      </c>
      <c r="AT132" s="36">
        <f>IF(ISNA(VLOOKUP(A132,'Données projet'!$A$87:$I$107,4,0)),0,VLOOKUP(A132,'Données projet'!$A$87:$I$107,4,0))</f>
        <v>0</v>
      </c>
      <c r="AU132" s="37">
        <f>IF(ISNA(VLOOKUP(A132,'Données projet'!$A$87:$I$107,5,0)),0%,VLOOKUP(A132,'Données projet'!$A$87:$I$107,5,0)*VLOOKUP('Données projet'!$B$11,Paramètres!$A$1:$I$88,7,0))</f>
        <v>0</v>
      </c>
      <c r="AV132" s="37">
        <f>IF(ISNA(VLOOKUP(A132,'Données projet'!$A$87:$I$107,6,0)),0%,VLOOKUP(A132,'Données projet'!$A$87:$I$107,6,0)*VLOOKUP('Données projet'!$B$11,Paramètres!$A$1:$I$88,7,0))</f>
        <v>0</v>
      </c>
      <c r="AW132" s="37">
        <f>IF(ISNA(VLOOKUP(A132,'Données projet'!$A$87:$I$107,7,0)),0%,VLOOKUP(A132,'Données projet'!$A$87:$I$107,7,0))</f>
        <v>0</v>
      </c>
      <c r="AX132" s="45">
        <f>EXP(-LN(2)/35)*AX131+(1-EXP(-LN(2)/35))/(LN(2)/35)*AT132*AU132*VLOOKUP('Données projet'!$B$9,Paramètres!$A$1:$I$88,3,0)*0.475*44/12</f>
        <v>0</v>
      </c>
      <c r="AY132" s="45">
        <f>EXP(-LN(2)/25)*AY131+(1-EXP(-LN(2)/25))/(LN(2)/25)*Calculateur!AT132*Calculateur!AV132*VLOOKUP('Données projet'!$B$9,Paramètres!$A$1:$I$88,3,0)*0.475*44/12</f>
        <v>0</v>
      </c>
      <c r="AZ132" s="45">
        <f>EXP(-LN(2)/2)*AZ131+(1-EXP(-LN(2)/2))/(LN(2)/2)*AT132*AW132*VLOOKUP('Données projet'!$B$9,Paramètres!$A$1:$I$88,3,0)*0.475*44/12</f>
        <v>0</v>
      </c>
      <c r="BA132" s="46">
        <f t="shared" ref="BA132:BA153" si="89">SUM(AX132:AZ132)</f>
        <v>0</v>
      </c>
      <c r="BB132" s="32" t="e">
        <f>VLOOKUP(A132,'Données projet'!$A$113:$I$133,2,0)</f>
        <v>#N/A</v>
      </c>
      <c r="BC132" s="33" t="e">
        <f>VLOOKUP(A132,'Données projet'!$A$113:$I$133,9,0)</f>
        <v>#N/A</v>
      </c>
      <c r="BD132" s="33">
        <f t="array" ref="BD132">INDEX(BC:BC,MIN(IF(ISNUMBER(BC132:BC328),ROW(BC132:BC328),"")))</f>
        <v>0</v>
      </c>
      <c r="BE132" s="33">
        <f t="shared" si="70"/>
        <v>0</v>
      </c>
      <c r="BF132" s="34" t="e">
        <f>BE132*VLOOKUP('Données projet'!$B$12,Paramètres!$A$1:$I$88,3,0)*VLOOKUP('Données projet'!$B$12,Paramètres!$A$1:$I$88,5,0)</f>
        <v>#N/A</v>
      </c>
      <c r="BG132" s="34" t="e">
        <f t="shared" si="71"/>
        <v>#N/A</v>
      </c>
      <c r="BH132" s="44" t="e">
        <f t="shared" ref="BH132:BH153" si="90">(BF132+BG132)*0.475*44/12</f>
        <v>#N/A</v>
      </c>
      <c r="BI132" s="36">
        <f>IF(ISNA(VLOOKUP(A132,'Données projet'!$A$113:$I$133,3,0)),0,VLOOKUP(A132,'Données projet'!$A$113:$I$133,3,0))</f>
        <v>0</v>
      </c>
      <c r="BJ132" s="36">
        <f>IF(ISNA(VLOOKUP(A132,'Données projet'!$A$113:$I$133,4,0)),0,VLOOKUP(A132,'Données projet'!$A$113:$I$133,4,0))</f>
        <v>0</v>
      </c>
      <c r="BK132" s="37">
        <f>IF(ISNA(VLOOKUP(A132,'Données projet'!$A$113:$I$133,5,0)),0%,VLOOKUP(A132,'Données projet'!$A$113:$I$133,5,0)*VLOOKUP('Données projet'!$B$12,Paramètres!$A$1:$I$88,7,0))</f>
        <v>0</v>
      </c>
      <c r="BL132" s="37">
        <f>IF(ISNA(VLOOKUP(A132,'Données projet'!$A$113:$I$133,6,0)),0%,VLOOKUP(A132,'Données projet'!$A$113:$I$133,6,0)*VLOOKUP('Données projet'!$B$12,Paramètres!$A$1:$I$88,7,0))</f>
        <v>0</v>
      </c>
      <c r="BM132" s="37">
        <f>IF(ISNA(VLOOKUP(A132,'Données projet'!$A$113:$I$133,7,0)),0%,VLOOKUP(A132,'Données projet'!$A$113:$I$133,7,0))</f>
        <v>0</v>
      </c>
      <c r="BN132" s="45">
        <f>EXP(-LN(2)/35)*BN131+(1-EXP(-LN(2)/35))/(LN(2)/35)*BJ132*BK132*VLOOKUP('Données projet'!$B$9,Paramètres!$A$1:$I$88,3,0)*0.475*44/12</f>
        <v>0</v>
      </c>
      <c r="BO132" s="45">
        <f>EXP(-LN(2)/25)*BO131+(1-EXP(-LN(2)/25))/(LN(2)/25)*Calculateur!BJ132*Calculateur!BL132*VLOOKUP('Données projet'!$B$9,Paramètres!$A$1:$I$88,3,0)*0.475*44/12</f>
        <v>0</v>
      </c>
      <c r="BP132" s="45">
        <f>EXP(-LN(2)/2)*BP131+(1-EXP(-LN(2)/2))/(LN(2)/2)*BJ132*BM132*VLOOKUP('Données projet'!$B$9,Paramètres!$A$1:$I$88,3,0)*0.475*44/12</f>
        <v>0</v>
      </c>
      <c r="BQ132" s="46">
        <f t="shared" ref="BQ132:BQ153" si="91">SUM(BN132:BP132)</f>
        <v>0</v>
      </c>
      <c r="BR132" s="32" t="e">
        <f>VLOOKUP(A132,'Données projet'!$A$139:$I$159,2,0)</f>
        <v>#N/A</v>
      </c>
      <c r="BS132" s="33" t="e">
        <f>VLOOKUP(A132,'Données projet'!$A$139:$I$159,9,0)</f>
        <v>#N/A</v>
      </c>
      <c r="BT132" s="33">
        <f t="array" ref="BT132">INDEX(BS:BS,MIN(IF(ISNUMBER(BS132:BS328),ROW(BS132:BS328),"")))</f>
        <v>0</v>
      </c>
      <c r="BU132" s="33">
        <f t="shared" si="72"/>
        <v>0</v>
      </c>
      <c r="BV132" s="38" t="e">
        <f>BU132*VLOOKUP('Données projet'!$B$13,Paramètres!$A$1:$I$88,3,0)*VLOOKUP('Données projet'!$B$13,Paramètres!$A$1:$I$88,5,0)</f>
        <v>#N/A</v>
      </c>
      <c r="BW132" s="34" t="e">
        <f t="shared" si="73"/>
        <v>#N/A</v>
      </c>
      <c r="BX132" s="44" t="e">
        <f t="shared" ref="BX132:BX153" si="92">(BV132+BW132)*0.475*44/12</f>
        <v>#N/A</v>
      </c>
      <c r="BY132" s="36">
        <f>IF(ISNA(VLOOKUP(A132,'Données projet'!$A$139:$I$159,3,0)),0,VLOOKUP(A132,'Données projet'!$A$139:$I$159,3,0))</f>
        <v>0</v>
      </c>
      <c r="BZ132" s="36">
        <f>IF(ISNA(VLOOKUP(A132,'Données projet'!$A$139:$I$159,4,0)),0,VLOOKUP(A132,'Données projet'!$A$139:$I$159,4,0))</f>
        <v>0</v>
      </c>
      <c r="CA132" s="37">
        <f>IF(ISNA(VLOOKUP(A132,'Données projet'!$A$139:$I$159,5,0)),0%,VLOOKUP(A132,'Données projet'!$A$139:$I$159,5,0)*VLOOKUP('Données projet'!$B$13,Paramètres!$A$1:$I$88,7,0))</f>
        <v>0</v>
      </c>
      <c r="CB132" s="37">
        <f>IF(ISNA(VLOOKUP(A132,'Données projet'!$A$139:$I$159,6,0)),0%,VLOOKUP(A132,'Données projet'!$A$139:$I$159,6,0)*VLOOKUP('Données projet'!$B$13,Paramètres!$A$1:$I$88,7,0))</f>
        <v>0</v>
      </c>
      <c r="CC132" s="37">
        <f>IF(ISNA(VLOOKUP(A132,'Données projet'!$A$139:$I$159,7,0)),0%,VLOOKUP(A132,'Données projet'!$A$139:$I$159,7,0))</f>
        <v>0</v>
      </c>
      <c r="CD132" s="45">
        <f>EXP(-LN(2)/35)*CD131+(1-EXP(-LN(2)/35))/(LN(2)/35)*BZ132*CA132*VLOOKUP('Données projet'!$B$9,Paramètres!$A$1:$I$88,3,0)*0.475*44/12</f>
        <v>0</v>
      </c>
      <c r="CE132" s="45">
        <f>EXP(-LN(2)/25)*CE131+(1-EXP(-LN(2)/25))/(LN(2)/25)*Calculateur!BZ132*Calculateur!CB132*VLOOKUP('Données projet'!$B$9,Paramètres!$A$1:$I$88,3,0)*0.475*44/12</f>
        <v>0</v>
      </c>
      <c r="CF132" s="45">
        <f>EXP(-LN(2)/2)*CF131+(1-EXP(-LN(2)/2))/(LN(2)/2)*BZ132*CC132*VLOOKUP('Données projet'!$B$9,Paramètres!$A$1:$I$88,3,0)*0.475*44/12</f>
        <v>0</v>
      </c>
      <c r="CG132" s="46">
        <f t="shared" ref="CG132:CG153" si="93">SUM(CD132:CF132)</f>
        <v>0</v>
      </c>
      <c r="CH132" s="32" t="e">
        <f>VLOOKUP(A132,'Données projet'!$A$165:$I$185,2,0)</f>
        <v>#N/A</v>
      </c>
      <c r="CI132" s="33" t="e">
        <f>VLOOKUP(A132,'Données projet'!$A$165:$I$185,9,0)</f>
        <v>#N/A</v>
      </c>
      <c r="CJ132" s="33">
        <f t="array" ref="CJ132">INDEX(CI:CI,MIN(IF(ISNUMBER(CI132:CI328),ROW(CI132:CI328),"")))</f>
        <v>0</v>
      </c>
      <c r="CK132" s="33">
        <f t="shared" si="74"/>
        <v>0</v>
      </c>
      <c r="CL132" s="38" t="e">
        <f>CK132*VLOOKUP('Données projet'!$B$14,Paramètres!$A$1:$I$88,3,0)*VLOOKUP('Données projet'!$B$14,Paramètres!$A$1:$I$88,5,0)</f>
        <v>#N/A</v>
      </c>
      <c r="CM132" s="34" t="e">
        <f t="shared" si="75"/>
        <v>#N/A</v>
      </c>
      <c r="CN132" s="44" t="e">
        <f t="shared" ref="CN132:CN153" si="94">(CL132+CM132)*0.475*44/12</f>
        <v>#N/A</v>
      </c>
      <c r="CO132" s="36">
        <f>IF(ISNA(VLOOKUP(A132,'Données projet'!$A$165:$I$185,3,0)),0,VLOOKUP(A132,'Données projet'!$A$165:$I$185,3,0))</f>
        <v>0</v>
      </c>
      <c r="CP132" s="36">
        <f>IF(ISNA(VLOOKUP(A132,'Données projet'!$A$165:$I$185,4,0)),0,VLOOKUP(A132,'Données projet'!$A$165:$I$185,4,0))</f>
        <v>0</v>
      </c>
      <c r="CQ132" s="37">
        <f>IF(ISNA(VLOOKUP(A132,'Données projet'!$A$165:$I$185,5,0)),0%,VLOOKUP(A132,'Données projet'!$A$165:$I$185,5,0)*VLOOKUP('Données projet'!$B$14,Paramètres!$A$1:$I$88,7,0))</f>
        <v>0</v>
      </c>
      <c r="CR132" s="37">
        <f>IF(ISNA(VLOOKUP(A132,'Données projet'!$A$165:$I$185,6,0)),0%,VLOOKUP(A132,'Données projet'!$A$165:$I$185,6,0)*VLOOKUP('Données projet'!$B$14,Paramètres!$A$1:$I$88,7,0))</f>
        <v>0</v>
      </c>
      <c r="CS132" s="37">
        <f>IF(ISNA(VLOOKUP(A132,'Données projet'!$A$165:$I$185,7,0)),0%,VLOOKUP(A132,'Données projet'!$A$165:$I$185,7,0))</f>
        <v>0</v>
      </c>
      <c r="CT132" s="45">
        <f>EXP(-LN(2)/35)*CT131+(1-EXP(-LN(2)/35))/(LN(2)/35)*CP132*CQ132*VLOOKUP('Données projet'!$B$9,Paramètres!$A$1:$I$88,3,0)*0.475*44/12</f>
        <v>0</v>
      </c>
      <c r="CU132" s="45">
        <f>EXP(-LN(2)/25)*CU131+(1-EXP(-LN(2)/25))/(LN(2)/25)*Calculateur!CP132*Calculateur!CR132*VLOOKUP('Données projet'!$B$9,Paramètres!$A$1:$I$88,3,0)*0.475*44/12</f>
        <v>0</v>
      </c>
      <c r="CV132" s="45">
        <f>EXP(-LN(2)/2)*CV131+(1-EXP(-LN(2)/2))/(LN(2)/2)*CP132*CS132*VLOOKUP('Données projet'!$B$9,Paramètres!$A$1:$I$88,3,0)*0.475*44/12</f>
        <v>0</v>
      </c>
      <c r="CW132" s="46">
        <f t="shared" ref="CW132:CW153" si="95">SUM(CT132:CV132)</f>
        <v>0</v>
      </c>
      <c r="CX132" s="32" t="e">
        <f>VLOOKUP(A132,'Données projet'!$A$191:$I$211,2,0)</f>
        <v>#N/A</v>
      </c>
      <c r="CY132" s="33" t="e">
        <f>VLOOKUP(A132,'Données projet'!$A$191:$I$211,9,0)</f>
        <v>#N/A</v>
      </c>
      <c r="CZ132" s="33">
        <f t="array" ref="CZ132">INDEX(CY:CY,MIN(IF(ISNUMBER(CY132:CY328),ROW(CY132:CY328),"")))</f>
        <v>0</v>
      </c>
      <c r="DA132" s="33">
        <f t="shared" si="76"/>
        <v>0</v>
      </c>
      <c r="DB132" s="38" t="e">
        <f>DA132*VLOOKUP('Données projet'!$B$15,Paramètres!$A$1:$I$88,3,0)*VLOOKUP('Données projet'!$B$15,Paramètres!$A$1:$I$88,5,0)</f>
        <v>#N/A</v>
      </c>
      <c r="DC132" s="34" t="e">
        <f t="shared" si="77"/>
        <v>#N/A</v>
      </c>
      <c r="DD132" s="44" t="e">
        <f t="shared" ref="DD132:DD153" si="96">(DB132+DC132)*0.475*44/12</f>
        <v>#N/A</v>
      </c>
      <c r="DE132" s="36">
        <f>IF(ISNA(VLOOKUP(A132,'Données projet'!$A$191:$I$211,3,0)),0,VLOOKUP(A132,'Données projet'!$A$191:$I$211,3,0))</f>
        <v>0</v>
      </c>
      <c r="DF132" s="36">
        <f>IF(ISNA(VLOOKUP(A132,'Données projet'!$A$191:$I$211,4,0)),0,VLOOKUP(A132,'Données projet'!$A$191:$I$211,4,0))</f>
        <v>0</v>
      </c>
      <c r="DG132" s="37">
        <f>IF(ISNA(VLOOKUP(A132,'Données projet'!$A$191:$I$211,5,0)),0%,VLOOKUP(A132,'Données projet'!$A$191:$I$211,5,0)*VLOOKUP('Données projet'!$B$15,Paramètres!$A$1:$I$88,7,0))</f>
        <v>0</v>
      </c>
      <c r="DH132" s="37">
        <f>IF(ISNA(VLOOKUP(A132,'Données projet'!$A$191:$I$211,6,0)),0%,VLOOKUP(A132,'Données projet'!$A$191:$I$211,6,0)*VLOOKUP('Données projet'!$B$15,Paramètres!$A$1:$I$88,7,0))</f>
        <v>0</v>
      </c>
      <c r="DI132" s="37">
        <f>IF(ISNA(VLOOKUP(A132,'Données projet'!$A$191:$I$211,7,0)),0%,VLOOKUP(A132,'Données projet'!$A$191:$I$211,7,0))</f>
        <v>0</v>
      </c>
      <c r="DJ132" s="45">
        <f>EXP(-LN(2)/35)*DJ131+(1-EXP(-LN(2)/35))/(LN(2)/35)*DF132*DG132*VLOOKUP('Données projet'!$B$9,Paramètres!$A$1:$I$88,3,0)*0.475*44/12</f>
        <v>0</v>
      </c>
      <c r="DK132" s="45">
        <f>EXP(-LN(2)/25)*DK131+(1-EXP(-LN(2)/25))/(LN(2)/25)*Calculateur!DF132*Calculateur!DH132*VLOOKUP('Données projet'!$B$9,Paramètres!$A$1:$I$88,3,0)*0.475*44/12</f>
        <v>0</v>
      </c>
      <c r="DL132" s="45">
        <f>EXP(-LN(2)/2)*DL131+(1-EXP(-LN(2)/2))/(LN(2)/2)*DF132*DI132*VLOOKUP('Données projet'!$B$9,Paramètres!$A$1:$I$88,3,0)*0.475*44/12</f>
        <v>0</v>
      </c>
      <c r="DM132" s="46">
        <f t="shared" ref="DM132:DM153" si="97">SUM(DJ132:DL132)</f>
        <v>0</v>
      </c>
      <c r="DN132" s="32" t="e">
        <f>VLOOKUP(A132,'Données projet'!$A$217:$I$237,2,0)</f>
        <v>#N/A</v>
      </c>
      <c r="DO132" s="33" t="e">
        <f>VLOOKUP(A132,'Données projet'!$A$217:$I$237,9,0)</f>
        <v>#N/A</v>
      </c>
      <c r="DP132" s="33">
        <f t="array" ref="DP132">INDEX(DO:DO,MIN(IF(ISNUMBER(DO132:DO328),ROW(DO132:DO328),"")))</f>
        <v>0</v>
      </c>
      <c r="DQ132" s="33">
        <f t="shared" si="78"/>
        <v>0</v>
      </c>
      <c r="DR132" s="38" t="e">
        <f>DQ132*VLOOKUP('Données projet'!$B$16,Paramètres!$A$1:$I$88,3,0)*VLOOKUP('Données projet'!$B$16,Paramètres!$A$1:$I$88,5,0)</f>
        <v>#N/A</v>
      </c>
      <c r="DS132" s="34" t="e">
        <f t="shared" si="79"/>
        <v>#N/A</v>
      </c>
      <c r="DT132" s="44" t="e">
        <f t="shared" ref="DT132:DT153" si="98">(DR132+DS132)*0.475*44/12</f>
        <v>#N/A</v>
      </c>
      <c r="DU132" s="36">
        <f>IF(ISNA(VLOOKUP(A132,'Données projet'!$A$217:$I$237,3,0)),0,VLOOKUP(A132,'Données projet'!$A$217:$I$237,3,0))</f>
        <v>0</v>
      </c>
      <c r="DV132" s="36">
        <f>IF(ISNA(VLOOKUP(A132,'Données projet'!$A$217:$I$237,4,0)),0,VLOOKUP(A132,'Données projet'!$A$217:$I$237,4,0))</f>
        <v>0</v>
      </c>
      <c r="DW132" s="37">
        <f>IF(ISNA(VLOOKUP(A132,'Données projet'!$A$217:$I$237,5,0)),0%,VLOOKUP(A132,'Données projet'!$A$217:$I$237,5,0)*VLOOKUP('Données projet'!$B$16,Paramètres!$A$1:$I$88,7,0))</f>
        <v>0</v>
      </c>
      <c r="DX132" s="37">
        <f>IF(ISNA(VLOOKUP(A132,'Données projet'!$A$217:$I$237,6,0)),0%,VLOOKUP(A132,'Données projet'!$A$217:$I$237,6,0)*VLOOKUP('Données projet'!$B$16,Paramètres!$A$1:$I$88,7,0))</f>
        <v>0</v>
      </c>
      <c r="DY132" s="37">
        <f>IF(ISNA(VLOOKUP(A132,'Données projet'!$A$217:$I$237,7,0)),0%,VLOOKUP(A132,'Données projet'!$A$217:$I$237,7,0))</f>
        <v>0</v>
      </c>
      <c r="DZ132" s="45">
        <f>EXP(-LN(2)/35)*DZ131+(1-EXP(-LN(2)/35))/(LN(2)/35)*DV132*DW132*VLOOKUP('Données projet'!$B$9,Paramètres!$A$1:$I$88,3,0)*0.475*44/12</f>
        <v>0</v>
      </c>
      <c r="EA132" s="45">
        <f>EXP(-LN(2)/25)*EA131+(1-EXP(-LN(2)/25))/(LN(2)/25)*Calculateur!DV132*Calculateur!DX132*VLOOKUP('Données projet'!$B$9,Paramètres!$A$1:$I$88,3,0)*0.475*44/12</f>
        <v>0</v>
      </c>
      <c r="EB132" s="45">
        <f>EXP(-LN(2)/2)*EB131+(1-EXP(-LN(2)/2))/(LN(2)/2)*DV132*DY132*VLOOKUP('Données projet'!$B$9,Paramètres!$A$1:$I$88,3,0)*0.475*44/12</f>
        <v>0</v>
      </c>
      <c r="EC132" s="46">
        <f t="shared" ref="EC132:EC153" si="99">SUM(DZ132:EB132)</f>
        <v>0</v>
      </c>
      <c r="ED132" s="32" t="e">
        <f>VLOOKUP(A132,'Données projet'!$A$243:$I$263,2,0)</f>
        <v>#N/A</v>
      </c>
      <c r="EE132" s="33" t="e">
        <f>VLOOKUP(A132,'Données projet'!$A$243:$I$263,9,0)</f>
        <v>#N/A</v>
      </c>
      <c r="EF132" s="33">
        <f t="array" ref="EF132">INDEX(EE:EE,MIN(IF(ISNUMBER(EE132:EE328),ROW(EE132:EE328),"")))</f>
        <v>0</v>
      </c>
      <c r="EG132" s="33">
        <f t="shared" si="80"/>
        <v>0</v>
      </c>
      <c r="EH132" s="38" t="e">
        <f>EG132*VLOOKUP('Données projet'!$B$17,Paramètres!$A$1:$I$88,3,0)*VLOOKUP('Données projet'!$B$17,Paramètres!$A$1:$I$88,5,0)</f>
        <v>#N/A</v>
      </c>
      <c r="EI132" s="34" t="e">
        <f t="shared" si="81"/>
        <v>#N/A</v>
      </c>
      <c r="EJ132" s="44" t="e">
        <f t="shared" ref="EJ132:EJ153" si="100">(EH132+EI132)*0.475*44/12</f>
        <v>#N/A</v>
      </c>
      <c r="EK132" s="36">
        <f>IF(ISNA(VLOOKUP(A132,'Données projet'!$A$243:$I$263,3,0)),0,VLOOKUP(A132,'Données projet'!$A$243:$I$263,3,0))</f>
        <v>0</v>
      </c>
      <c r="EL132" s="36">
        <f>IF(ISNA(VLOOKUP(A132,'Données projet'!$A$243:$I$263,4,0)),0,VLOOKUP(A132,'Données projet'!$A$243:$I$263,4,0))</f>
        <v>0</v>
      </c>
      <c r="EM132" s="37">
        <f>IF(ISNA(VLOOKUP(A132,'Données projet'!$A$243:$I$263,5,0)),0%,VLOOKUP(A132,'Données projet'!$A$243:$I$263,5,0)*VLOOKUP('Données projet'!$B$17,Paramètres!$A$1:$I$88,7,0))</f>
        <v>0</v>
      </c>
      <c r="EN132" s="37">
        <f>IF(ISNA(VLOOKUP(A132,'Données projet'!$A$243:$I$263,6,0)),0%,VLOOKUP(A132,'Données projet'!$A$243:$I$263,6,0)*VLOOKUP('Données projet'!$B$17,Paramètres!$A$1:$I$88,7,0))</f>
        <v>0</v>
      </c>
      <c r="EO132" s="37">
        <f>IF(ISNA(VLOOKUP(A132,'Données projet'!$A$243:$I$263,7,0)),0%,VLOOKUP(A132,'Données projet'!$A$243:$I$263,7,0))</f>
        <v>0</v>
      </c>
      <c r="EP132" s="45">
        <f>EXP(-LN(2)/35)*EP131+(1-EXP(-LN(2)/35))/(LN(2)/35)*EL132*EM132*VLOOKUP('Données projet'!$B$9,Paramètres!$A$1:$I$88,3,0)*0.475*44/12</f>
        <v>0</v>
      </c>
      <c r="EQ132" s="45">
        <f>EXP(-LN(2)/25)*EQ131+(1-EXP(-LN(2)/25))/(LN(2)/25)*Calculateur!EL132*Calculateur!EN132*VLOOKUP('Données projet'!$B$9,Paramètres!$A$1:$I$88,3,0)*0.475*44/12</f>
        <v>0</v>
      </c>
      <c r="ER132" s="45">
        <f>EXP(-LN(2)/2)*ER131+(1-EXP(-LN(2)/2))/(LN(2)/2)*EL132*EO132*VLOOKUP('Données projet'!$B$9,Paramètres!$A$1:$I$88,3,0)*0.475*44/12</f>
        <v>0</v>
      </c>
      <c r="ES132" s="46">
        <f t="shared" ref="ES132:ES153" si="101">SUM(EP132:ER132)</f>
        <v>0</v>
      </c>
      <c r="ET132" s="32" t="e">
        <f>VLOOKUP(A132,'Données projet'!$A$269:$I$289,2,0)</f>
        <v>#N/A</v>
      </c>
      <c r="EU132" s="33" t="e">
        <f>VLOOKUP(A132,'Données projet'!$A$269:$I$289,9,0)</f>
        <v>#N/A</v>
      </c>
      <c r="EV132" s="33">
        <f t="array" ref="EV132">INDEX(EU:EU,MIN(IF(ISNUMBER(EU132:EU328),ROW(EU132:EU328),"")))</f>
        <v>0</v>
      </c>
      <c r="EW132" s="33">
        <f t="shared" si="82"/>
        <v>0</v>
      </c>
      <c r="EX132" s="38" t="e">
        <f>EW132*VLOOKUP('Données projet'!$B$18,Paramètres!$A$1:$I$88,3,0)*VLOOKUP('Données projet'!$B$18,Paramètres!$A$1:$I$88,5,0)</f>
        <v>#N/A</v>
      </c>
      <c r="EY132" s="34" t="e">
        <f t="shared" si="83"/>
        <v>#N/A</v>
      </c>
      <c r="EZ132" s="44" t="e">
        <f t="shared" ref="EZ132:EZ153" si="102">(EX132+EY132)*0.475*44/12</f>
        <v>#N/A</v>
      </c>
      <c r="FA132" s="36">
        <f>IF(ISNA(VLOOKUP(A132,'Données projet'!$A$269:$I$289,3,0)),0,VLOOKUP(A132,'Données projet'!$A$269:$I$289,3,0))</f>
        <v>0</v>
      </c>
      <c r="FB132" s="36">
        <f>IF(ISNA(VLOOKUP(A132,'Données projet'!$A$269:$I$289,4,0)),0,VLOOKUP(A132,'Données projet'!$A$269:$I$289,4,0))</f>
        <v>0</v>
      </c>
      <c r="FC132" s="37">
        <f>IF(ISNA(VLOOKUP(A132,'Données projet'!$A$269:$I$289,5,0)),0%,VLOOKUP(A132,'Données projet'!$A$269:$I$289,5,0)*VLOOKUP('Données projet'!$B$18,Paramètres!$A$1:$I$88,7,0))</f>
        <v>0</v>
      </c>
      <c r="FD132" s="37">
        <f>IF(ISNA(VLOOKUP(A132,'Données projet'!$A$269:$I$289,6,0)),0%,VLOOKUP(A132,'Données projet'!$A$269:$I$289,6,0)*VLOOKUP('Données projet'!$B$18,Paramètres!$A$1:$I$88,7,0))</f>
        <v>0</v>
      </c>
      <c r="FE132" s="37">
        <f>IF(ISNA(VLOOKUP(A132,'Données projet'!$A$269:$I$289,7,0)),0%,VLOOKUP(A132,'Données projet'!$A$269:$I$289,7,0))</f>
        <v>0</v>
      </c>
      <c r="FF132" s="45">
        <f>EXP(-LN(2)/35)*FF131+(1-EXP(-LN(2)/35))/(LN(2)/35)*FB132*FC132*VLOOKUP('Données projet'!$B$9,Paramètres!$A$1:$I$88,3,0)*0.475*44/12</f>
        <v>0</v>
      </c>
      <c r="FG132" s="45">
        <f>EXP(-LN(2)/25)*FG131+(1-EXP(-LN(2)/25))/(LN(2)/25)*Calculateur!FB132*Calculateur!FD132*VLOOKUP('Données projet'!$B$9,Paramètres!$A$1:$I$88,3,0)*0.475*44/12</f>
        <v>0</v>
      </c>
      <c r="FH132" s="45">
        <f>EXP(-LN(2)/2)*FH131+(1-EXP(-LN(2)/2))/(LN(2)/2)*FB132*FE132*VLOOKUP('Données projet'!$B$9,Paramètres!$A$1:$I$88,3,0)*0.475*44/12</f>
        <v>0</v>
      </c>
      <c r="FI132" s="46">
        <f t="shared" ref="FI132:FI153" si="103">SUM(FF132:FH132)</f>
        <v>0</v>
      </c>
    </row>
    <row r="133" spans="1:165" x14ac:dyDescent="0.25">
      <c r="A133" s="24">
        <f t="shared" ref="A133:A152" si="104">A132+1</f>
        <v>130</v>
      </c>
      <c r="B133" s="25">
        <f>IF('Scénario référence'!$N$1=1,5,0)</f>
        <v>0</v>
      </c>
      <c r="C133" s="40">
        <f>IF(OR('Scénario référence'!$N$1=2,'Scénario référence'!$N$1=4),C132+1*VLOOKUP('Scénario référence'!$G$14,Paramètres!$A$1:$I$88,3,0)*VLOOKUP('Scénario référence'!$G$14,Paramètres!$A$1:$I$88,5,0),IF(OR('Scénario référence'!$N$1=3,'Scénario référence'!$N$1=5),C132+0.5*VLOOKUP('Scénario référence'!$G$14,Paramètres!$A$1:$I$88,3,0)*VLOOKUP('Scénario référence'!$G$14,Paramètres!$A$1:$I$88,5,0),0))</f>
        <v>70.980000000000018</v>
      </c>
      <c r="D133" s="26">
        <f t="shared" ref="D133:D153" si="105">IFERROR(EXP(-1.0587+0.8836*LN(C133)+0.284),0)</f>
        <v>19.916628839746853</v>
      </c>
      <c r="E133" s="27">
        <f>IF('Scénario référence'!$N$1=1,B133*44/12,(C133+D133)*0.475*44/12)</f>
        <v>158.31162856255912</v>
      </c>
      <c r="F133" s="28" t="e">
        <f>VLOOKUP(A133,'Données projet'!$A$35:$I$55,2,0)</f>
        <v>#N/A</v>
      </c>
      <c r="G133" s="28" t="e">
        <f>VLOOKUP(A133,'Données projet'!$A$35:$I$55,9,0)</f>
        <v>#N/A</v>
      </c>
      <c r="H133" s="33">
        <f t="array" ref="H133">INDEX(G:G,MIN(IF(ISNUMBER(G133:G329),ROW(G133:G329),"")))</f>
        <v>3</v>
      </c>
      <c r="I133" s="28">
        <f t="shared" ref="I133:I153" si="106">I132+H133-N132</f>
        <v>282.99999999999932</v>
      </c>
      <c r="J133" s="41">
        <f>I133*VLOOKUP('Données projet'!$B$9,Paramètres!$A$1:$I$88,3,0)*VLOOKUP('Données projet'!$B$9,Paramètres!$A$1:$I$88,5,0)</f>
        <v>286.96199999999931</v>
      </c>
      <c r="K133" s="41">
        <f t="shared" ref="K133:K153" si="107">EXP(-1.0587+0.8836*LN(J133)+0.284)</f>
        <v>68.436169981717669</v>
      </c>
      <c r="L133" s="42">
        <f t="shared" si="84"/>
        <v>618.98514605149035</v>
      </c>
      <c r="M133" s="30">
        <f>IF(ISNA(VLOOKUP(A133,'Données projet'!$A$35:$I$55,3,0)),0,VLOOKUP(A133,'Données projet'!$A$35:$I$55,3,0))</f>
        <v>0</v>
      </c>
      <c r="N133" s="30">
        <f>IF(ISNA(VLOOKUP(A133,'Données projet'!$A$35:$I$55,4,0)),0,VLOOKUP(A133,'Données projet'!$A$35:$I$55,4,0))</f>
        <v>0</v>
      </c>
      <c r="O133" s="31">
        <f>IF(ISNA(VLOOKUP(A133,'Données projet'!$A$35:$I$55,5,0)),0%,VLOOKUP(A133,'Données projet'!$A$35:$I$55,5,0)*VLOOKUP('Données projet'!$B$9,Paramètres!$A$1:$I$88,7,0))</f>
        <v>0</v>
      </c>
      <c r="P133" s="31">
        <f>IF(ISNA(VLOOKUP(A133,'Données projet'!$A$35:$I$55,6,0)),0%,VLOOKUP(A133,'Données projet'!$A$35:$I$55,6,0)*VLOOKUP('Données projet'!$B$9,Paramètres!$A$1:$I$88,7,0))</f>
        <v>0</v>
      </c>
      <c r="Q133" s="31">
        <f>IF(ISNA(VLOOKUP(A133,'Données projet'!$A$35:$I$55,7,0)),0%,VLOOKUP(A133,'Données projet'!$A$35:$I$55,7,0))</f>
        <v>0</v>
      </c>
      <c r="R133" s="43">
        <f>EXP(-LN(2)/35)*R132+(1-EXP(-LN(2)/35))/(LN(2)/35)*N133*O133*VLOOKUP('Données projet'!$B$9,Paramètres!$A$1:$I$88,3,0)*0.475*44/12</f>
        <v>0</v>
      </c>
      <c r="S133" s="43">
        <f>EXP(-LN(2)/25)*S132+(1-EXP(-LN(2)/25))/(LN(2)/25)*Calculateur!N133*Calculateur!P133*VLOOKUP('Données projet'!$B$9,Paramètres!$A$1:$I$88,3,0)*0.475*44/12</f>
        <v>0</v>
      </c>
      <c r="T133" s="43">
        <f>EXP(-LN(2)/2)*T132+(1-EXP(-LN(2)/2))/(LN(2)/2)*N133*Q133*VLOOKUP('Données projet'!$B$9,Paramètres!$A$1:$I$88,3,0)*0.475*44/12</f>
        <v>0</v>
      </c>
      <c r="U133" s="43">
        <f t="shared" si="85"/>
        <v>0</v>
      </c>
      <c r="V133" s="32" t="e">
        <f>VLOOKUP(A133,'Données projet'!$A$61:$I$81,2,0)</f>
        <v>#N/A</v>
      </c>
      <c r="W133" s="33" t="e">
        <f>VLOOKUP(A133,'Données projet'!$A$61:$I$81,9,0)</f>
        <v>#N/A</v>
      </c>
      <c r="X133" s="33">
        <f t="array" ref="X133">INDEX(W:W,MIN(IF(ISNUMBER(W133:W329),ROW(W133:W329),"")))</f>
        <v>0</v>
      </c>
      <c r="Y133" s="33">
        <f t="shared" ref="Y133:Y153" si="108">Y132+X133-AD132</f>
        <v>0</v>
      </c>
      <c r="Z133" s="34" t="e">
        <f>Y133*VLOOKUP('Données projet'!$B$10,Paramètres!$A$1:$I$88,3,0)*VLOOKUP('Données projet'!$B$10,Paramètres!$A$1:$I$88,5,0)</f>
        <v>#N/A</v>
      </c>
      <c r="AA133" s="34" t="e">
        <f t="shared" ref="AA133:AA153" si="109">EXP(-1.0587+0.8836*LN(Z133)+0.284)</f>
        <v>#N/A</v>
      </c>
      <c r="AB133" s="44" t="e">
        <f t="shared" si="86"/>
        <v>#N/A</v>
      </c>
      <c r="AC133" s="36">
        <f>IF(ISNA(VLOOKUP(A133,'Données projet'!$A$61:$I$81,3,0)),0,VLOOKUP(A133,'Données projet'!$A$61:$I$81,3,0))</f>
        <v>0</v>
      </c>
      <c r="AD133" s="36">
        <f>IF(ISNA(VLOOKUP(A133,'Données projet'!$A$61:$I$81,4,0)),0,VLOOKUP(A133,'Données projet'!$A$61:$I$81,4,0))</f>
        <v>0</v>
      </c>
      <c r="AE133" s="37">
        <f>IF(ISNA(VLOOKUP(A133,'Données projet'!$A$61:$I$81,5,0)),0%,VLOOKUP(A133,'Données projet'!$A$61:$I$81,5,0)*VLOOKUP('Données projet'!$B$10,Paramètres!$A$1:$I$88,7,0))</f>
        <v>0</v>
      </c>
      <c r="AF133" s="37">
        <f>IF(ISNA(VLOOKUP(A133,'Données projet'!$A$61:$I$81,6,0)),0%,VLOOKUP(A133,'Données projet'!$A$61:$I$81,6,0)*VLOOKUP('Données projet'!$B$10,Paramètres!$A$1:$I$88,7,0))</f>
        <v>0</v>
      </c>
      <c r="AG133" s="37">
        <f>IF(ISNA(VLOOKUP(A133,'Données projet'!$A$61:$I$81,7,0)),0%,VLOOKUP(A133,'Données projet'!$A$61:$I$81,7,0))</f>
        <v>0</v>
      </c>
      <c r="AH133" s="45">
        <f>EXP(-LN(2)/35)*AH132+(1-EXP(-LN(2)/35))/(LN(2)/35)*AD133*AE133*VLOOKUP('Données projet'!$B$9,Paramètres!$A$1:$I$88,3,0)*0.475*44/12</f>
        <v>0</v>
      </c>
      <c r="AI133" s="45">
        <f>EXP(-LN(2)/25)*AI132+(1-EXP(-LN(2)/25))/(LN(2)/25)*Calculateur!AD133*Calculateur!AF133*VLOOKUP('Données projet'!$B$9,Paramètres!$A$1:$I$88,3,0)*0.475*44/12</f>
        <v>0</v>
      </c>
      <c r="AJ133" s="45">
        <f>EXP(-LN(2)/2)*AJ132+(1-EXP(-LN(2)/2))/(LN(2)/2)*AD133*AG133*VLOOKUP('Données projet'!$B$9,Paramètres!$A$1:$I$88,3,0)*0.475*44/12</f>
        <v>0</v>
      </c>
      <c r="AK133" s="45">
        <f t="shared" si="87"/>
        <v>0</v>
      </c>
      <c r="AL133" s="32" t="e">
        <f>VLOOKUP(A133,'Données projet'!$A$87:$I$107,2,0)</f>
        <v>#N/A</v>
      </c>
      <c r="AM133" s="33" t="e">
        <f>VLOOKUP(A133,'Données projet'!$A$87:$I$107,9,0)</f>
        <v>#N/A</v>
      </c>
      <c r="AN133" s="33">
        <f t="array" ref="AN133">INDEX(AM:AM,MIN(IF(ISNUMBER(AM133:AM329),ROW(AM133:AM329),"")))</f>
        <v>0</v>
      </c>
      <c r="AO133" s="33">
        <f t="shared" ref="AO133:AO153" si="110">AO132+AN133-AT132</f>
        <v>0</v>
      </c>
      <c r="AP133" s="34" t="e">
        <f>AO133*VLOOKUP('Données projet'!$B$11,Paramètres!$A$1:$I$88,3,0)*VLOOKUP('Données projet'!$B$11,Paramètres!$A$1:$I$88,5,0)</f>
        <v>#N/A</v>
      </c>
      <c r="AQ133" s="34" t="e">
        <f t="shared" ref="AQ133:AQ153" si="111">EXP(-1.0587+0.8836*LN(AP133)+0.284)</f>
        <v>#N/A</v>
      </c>
      <c r="AR133" s="44" t="e">
        <f t="shared" si="88"/>
        <v>#N/A</v>
      </c>
      <c r="AS133" s="36">
        <f>IF(ISNA(VLOOKUP(A133,'Données projet'!$A$87:$I$107,3,0)),0,VLOOKUP(A133,'Données projet'!$A$87:$I$107,3,0))</f>
        <v>0</v>
      </c>
      <c r="AT133" s="36">
        <f>IF(ISNA(VLOOKUP(A133,'Données projet'!$A$87:$I$107,4,0)),0,VLOOKUP(A133,'Données projet'!$A$87:$I$107,4,0))</f>
        <v>0</v>
      </c>
      <c r="AU133" s="37">
        <f>IF(ISNA(VLOOKUP(A133,'Données projet'!$A$87:$I$107,5,0)),0%,VLOOKUP(A133,'Données projet'!$A$87:$I$107,5,0)*VLOOKUP('Données projet'!$B$11,Paramètres!$A$1:$I$88,7,0))</f>
        <v>0</v>
      </c>
      <c r="AV133" s="37">
        <f>IF(ISNA(VLOOKUP(A133,'Données projet'!$A$87:$I$107,6,0)),0%,VLOOKUP(A133,'Données projet'!$A$87:$I$107,6,0)*VLOOKUP('Données projet'!$B$11,Paramètres!$A$1:$I$88,7,0))</f>
        <v>0</v>
      </c>
      <c r="AW133" s="37">
        <f>IF(ISNA(VLOOKUP(A133,'Données projet'!$A$87:$I$107,7,0)),0%,VLOOKUP(A133,'Données projet'!$A$87:$I$107,7,0))</f>
        <v>0</v>
      </c>
      <c r="AX133" s="45">
        <f>EXP(-LN(2)/35)*AX132+(1-EXP(-LN(2)/35))/(LN(2)/35)*AT133*AU133*VLOOKUP('Données projet'!$B$9,Paramètres!$A$1:$I$88,3,0)*0.475*44/12</f>
        <v>0</v>
      </c>
      <c r="AY133" s="45">
        <f>EXP(-LN(2)/25)*AY132+(1-EXP(-LN(2)/25))/(LN(2)/25)*Calculateur!AT133*Calculateur!AV133*VLOOKUP('Données projet'!$B$9,Paramètres!$A$1:$I$88,3,0)*0.475*44/12</f>
        <v>0</v>
      </c>
      <c r="AZ133" s="45">
        <f>EXP(-LN(2)/2)*AZ132+(1-EXP(-LN(2)/2))/(LN(2)/2)*AT133*AW133*VLOOKUP('Données projet'!$B$9,Paramètres!$A$1:$I$88,3,0)*0.475*44/12</f>
        <v>0</v>
      </c>
      <c r="BA133" s="46">
        <f t="shared" si="89"/>
        <v>0</v>
      </c>
      <c r="BB133" s="32" t="e">
        <f>VLOOKUP(A133,'Données projet'!$A$113:$I$133,2,0)</f>
        <v>#N/A</v>
      </c>
      <c r="BC133" s="33" t="e">
        <f>VLOOKUP(A133,'Données projet'!$A$113:$I$133,9,0)</f>
        <v>#N/A</v>
      </c>
      <c r="BD133" s="33">
        <f t="array" ref="BD133">INDEX(BC:BC,MIN(IF(ISNUMBER(BC133:BC329),ROW(BC133:BC329),"")))</f>
        <v>0</v>
      </c>
      <c r="BE133" s="33">
        <f t="shared" ref="BE133:BE153" si="112">BE132+BD133-BJ132</f>
        <v>0</v>
      </c>
      <c r="BF133" s="34" t="e">
        <f>BE133*VLOOKUP('Données projet'!$B$12,Paramètres!$A$1:$I$88,3,0)*VLOOKUP('Données projet'!$B$12,Paramètres!$A$1:$I$88,5,0)</f>
        <v>#N/A</v>
      </c>
      <c r="BG133" s="34" t="e">
        <f t="shared" ref="BG133:BG153" si="113">EXP(-1.0587+0.8836*LN(BF133)+0.284)</f>
        <v>#N/A</v>
      </c>
      <c r="BH133" s="44" t="e">
        <f t="shared" si="90"/>
        <v>#N/A</v>
      </c>
      <c r="BI133" s="36">
        <f>IF(ISNA(VLOOKUP(A133,'Données projet'!$A$113:$I$133,3,0)),0,VLOOKUP(A133,'Données projet'!$A$113:$I$133,3,0))</f>
        <v>0</v>
      </c>
      <c r="BJ133" s="36">
        <f>IF(ISNA(VLOOKUP(A133,'Données projet'!$A$113:$I$133,4,0)),0,VLOOKUP(A133,'Données projet'!$A$113:$I$133,4,0))</f>
        <v>0</v>
      </c>
      <c r="BK133" s="37">
        <f>IF(ISNA(VLOOKUP(A133,'Données projet'!$A$113:$I$133,5,0)),0%,VLOOKUP(A133,'Données projet'!$A$113:$I$133,5,0)*VLOOKUP('Données projet'!$B$12,Paramètres!$A$1:$I$88,7,0))</f>
        <v>0</v>
      </c>
      <c r="BL133" s="37">
        <f>IF(ISNA(VLOOKUP(A133,'Données projet'!$A$113:$I$133,6,0)),0%,VLOOKUP(A133,'Données projet'!$A$113:$I$133,6,0)*VLOOKUP('Données projet'!$B$12,Paramètres!$A$1:$I$88,7,0))</f>
        <v>0</v>
      </c>
      <c r="BM133" s="37">
        <f>IF(ISNA(VLOOKUP(A133,'Données projet'!$A$113:$I$133,7,0)),0%,VLOOKUP(A133,'Données projet'!$A$113:$I$133,7,0))</f>
        <v>0</v>
      </c>
      <c r="BN133" s="45">
        <f>EXP(-LN(2)/35)*BN132+(1-EXP(-LN(2)/35))/(LN(2)/35)*BJ133*BK133*VLOOKUP('Données projet'!$B$9,Paramètres!$A$1:$I$88,3,0)*0.475*44/12</f>
        <v>0</v>
      </c>
      <c r="BO133" s="45">
        <f>EXP(-LN(2)/25)*BO132+(1-EXP(-LN(2)/25))/(LN(2)/25)*Calculateur!BJ133*Calculateur!BL133*VLOOKUP('Données projet'!$B$9,Paramètres!$A$1:$I$88,3,0)*0.475*44/12</f>
        <v>0</v>
      </c>
      <c r="BP133" s="45">
        <f>EXP(-LN(2)/2)*BP132+(1-EXP(-LN(2)/2))/(LN(2)/2)*BJ133*BM133*VLOOKUP('Données projet'!$B$9,Paramètres!$A$1:$I$88,3,0)*0.475*44/12</f>
        <v>0</v>
      </c>
      <c r="BQ133" s="46">
        <f t="shared" si="91"/>
        <v>0</v>
      </c>
      <c r="BR133" s="32" t="e">
        <f>VLOOKUP(A133,'Données projet'!$A$139:$I$159,2,0)</f>
        <v>#N/A</v>
      </c>
      <c r="BS133" s="33" t="e">
        <f>VLOOKUP(A133,'Données projet'!$A$139:$I$159,9,0)</f>
        <v>#N/A</v>
      </c>
      <c r="BT133" s="33">
        <f t="array" ref="BT133">INDEX(BS:BS,MIN(IF(ISNUMBER(BS133:BS329),ROW(BS133:BS329),"")))</f>
        <v>0</v>
      </c>
      <c r="BU133" s="33">
        <f t="shared" ref="BU133:BU153" si="114">BU132+BT133-BZ132</f>
        <v>0</v>
      </c>
      <c r="BV133" s="38" t="e">
        <f>BU133*VLOOKUP('Données projet'!$B$13,Paramètres!$A$1:$I$88,3,0)*VLOOKUP('Données projet'!$B$13,Paramètres!$A$1:$I$88,5,0)</f>
        <v>#N/A</v>
      </c>
      <c r="BW133" s="34" t="e">
        <f t="shared" ref="BW133:BW153" si="115">EXP(-1.0587+0.8836*LN(BV133)+0.284)</f>
        <v>#N/A</v>
      </c>
      <c r="BX133" s="44" t="e">
        <f t="shared" si="92"/>
        <v>#N/A</v>
      </c>
      <c r="BY133" s="36">
        <f>IF(ISNA(VLOOKUP(A133,'Données projet'!$A$139:$I$159,3,0)),0,VLOOKUP(A133,'Données projet'!$A$139:$I$159,3,0))</f>
        <v>0</v>
      </c>
      <c r="BZ133" s="36">
        <f>IF(ISNA(VLOOKUP(A133,'Données projet'!$A$139:$I$159,4,0)),0,VLOOKUP(A133,'Données projet'!$A$139:$I$159,4,0))</f>
        <v>0</v>
      </c>
      <c r="CA133" s="37">
        <f>IF(ISNA(VLOOKUP(A133,'Données projet'!$A$139:$I$159,5,0)),0%,VLOOKUP(A133,'Données projet'!$A$139:$I$159,5,0)*VLOOKUP('Données projet'!$B$13,Paramètres!$A$1:$I$88,7,0))</f>
        <v>0</v>
      </c>
      <c r="CB133" s="37">
        <f>IF(ISNA(VLOOKUP(A133,'Données projet'!$A$139:$I$159,6,0)),0%,VLOOKUP(A133,'Données projet'!$A$139:$I$159,6,0)*VLOOKUP('Données projet'!$B$13,Paramètres!$A$1:$I$88,7,0))</f>
        <v>0</v>
      </c>
      <c r="CC133" s="37">
        <f>IF(ISNA(VLOOKUP(A133,'Données projet'!$A$139:$I$159,7,0)),0%,VLOOKUP(A133,'Données projet'!$A$139:$I$159,7,0))</f>
        <v>0</v>
      </c>
      <c r="CD133" s="45">
        <f>EXP(-LN(2)/35)*CD132+(1-EXP(-LN(2)/35))/(LN(2)/35)*BZ133*CA133*VLOOKUP('Données projet'!$B$9,Paramètres!$A$1:$I$88,3,0)*0.475*44/12</f>
        <v>0</v>
      </c>
      <c r="CE133" s="45">
        <f>EXP(-LN(2)/25)*CE132+(1-EXP(-LN(2)/25))/(LN(2)/25)*Calculateur!BZ133*Calculateur!CB133*VLOOKUP('Données projet'!$B$9,Paramètres!$A$1:$I$88,3,0)*0.475*44/12</f>
        <v>0</v>
      </c>
      <c r="CF133" s="45">
        <f>EXP(-LN(2)/2)*CF132+(1-EXP(-LN(2)/2))/(LN(2)/2)*BZ133*CC133*VLOOKUP('Données projet'!$B$9,Paramètres!$A$1:$I$88,3,0)*0.475*44/12</f>
        <v>0</v>
      </c>
      <c r="CG133" s="46">
        <f t="shared" si="93"/>
        <v>0</v>
      </c>
      <c r="CH133" s="32" t="e">
        <f>VLOOKUP(A133,'Données projet'!$A$165:$I$185,2,0)</f>
        <v>#N/A</v>
      </c>
      <c r="CI133" s="33" t="e">
        <f>VLOOKUP(A133,'Données projet'!$A$165:$I$185,9,0)</f>
        <v>#N/A</v>
      </c>
      <c r="CJ133" s="33">
        <f t="array" ref="CJ133">INDEX(CI:CI,MIN(IF(ISNUMBER(CI133:CI329),ROW(CI133:CI329),"")))</f>
        <v>0</v>
      </c>
      <c r="CK133" s="33">
        <f t="shared" ref="CK133:CK153" si="116">CK132+CJ133-CP132</f>
        <v>0</v>
      </c>
      <c r="CL133" s="38" t="e">
        <f>CK133*VLOOKUP('Données projet'!$B$14,Paramètres!$A$1:$I$88,3,0)*VLOOKUP('Données projet'!$B$14,Paramètres!$A$1:$I$88,5,0)</f>
        <v>#N/A</v>
      </c>
      <c r="CM133" s="34" t="e">
        <f t="shared" ref="CM133:CM153" si="117">EXP(-1.0587+0.8836*LN(CL133)+0.284)</f>
        <v>#N/A</v>
      </c>
      <c r="CN133" s="44" t="e">
        <f t="shared" si="94"/>
        <v>#N/A</v>
      </c>
      <c r="CO133" s="36">
        <f>IF(ISNA(VLOOKUP(A133,'Données projet'!$A$165:$I$185,3,0)),0,VLOOKUP(A133,'Données projet'!$A$165:$I$185,3,0))</f>
        <v>0</v>
      </c>
      <c r="CP133" s="36">
        <f>IF(ISNA(VLOOKUP(A133,'Données projet'!$A$165:$I$185,4,0)),0,VLOOKUP(A133,'Données projet'!$A$165:$I$185,4,0))</f>
        <v>0</v>
      </c>
      <c r="CQ133" s="37">
        <f>IF(ISNA(VLOOKUP(A133,'Données projet'!$A$165:$I$185,5,0)),0%,VLOOKUP(A133,'Données projet'!$A$165:$I$185,5,0)*VLOOKUP('Données projet'!$B$14,Paramètres!$A$1:$I$88,7,0))</f>
        <v>0</v>
      </c>
      <c r="CR133" s="37">
        <f>IF(ISNA(VLOOKUP(A133,'Données projet'!$A$165:$I$185,6,0)),0%,VLOOKUP(A133,'Données projet'!$A$165:$I$185,6,0)*VLOOKUP('Données projet'!$B$14,Paramètres!$A$1:$I$88,7,0))</f>
        <v>0</v>
      </c>
      <c r="CS133" s="37">
        <f>IF(ISNA(VLOOKUP(A133,'Données projet'!$A$165:$I$185,7,0)),0%,VLOOKUP(A133,'Données projet'!$A$165:$I$185,7,0))</f>
        <v>0</v>
      </c>
      <c r="CT133" s="45">
        <f>EXP(-LN(2)/35)*CT132+(1-EXP(-LN(2)/35))/(LN(2)/35)*CP133*CQ133*VLOOKUP('Données projet'!$B$9,Paramètres!$A$1:$I$88,3,0)*0.475*44/12</f>
        <v>0</v>
      </c>
      <c r="CU133" s="45">
        <f>EXP(-LN(2)/25)*CU132+(1-EXP(-LN(2)/25))/(LN(2)/25)*Calculateur!CP133*Calculateur!CR133*VLOOKUP('Données projet'!$B$9,Paramètres!$A$1:$I$88,3,0)*0.475*44/12</f>
        <v>0</v>
      </c>
      <c r="CV133" s="45">
        <f>EXP(-LN(2)/2)*CV132+(1-EXP(-LN(2)/2))/(LN(2)/2)*CP133*CS133*VLOOKUP('Données projet'!$B$9,Paramètres!$A$1:$I$88,3,0)*0.475*44/12</f>
        <v>0</v>
      </c>
      <c r="CW133" s="46">
        <f t="shared" si="95"/>
        <v>0</v>
      </c>
      <c r="CX133" s="32" t="e">
        <f>VLOOKUP(A133,'Données projet'!$A$191:$I$211,2,0)</f>
        <v>#N/A</v>
      </c>
      <c r="CY133" s="33" t="e">
        <f>VLOOKUP(A133,'Données projet'!$A$191:$I$211,9,0)</f>
        <v>#N/A</v>
      </c>
      <c r="CZ133" s="33">
        <f t="array" ref="CZ133">INDEX(CY:CY,MIN(IF(ISNUMBER(CY133:CY329),ROW(CY133:CY329),"")))</f>
        <v>0</v>
      </c>
      <c r="DA133" s="33">
        <f t="shared" ref="DA133:DA153" si="118">DA132+CZ133-DF132</f>
        <v>0</v>
      </c>
      <c r="DB133" s="38" t="e">
        <f>DA133*VLOOKUP('Données projet'!$B$15,Paramètres!$A$1:$I$88,3,0)*VLOOKUP('Données projet'!$B$15,Paramètres!$A$1:$I$88,5,0)</f>
        <v>#N/A</v>
      </c>
      <c r="DC133" s="34" t="e">
        <f t="shared" ref="DC133:DC153" si="119">EXP(-1.0587+0.8836*LN(DB133)+0.284)</f>
        <v>#N/A</v>
      </c>
      <c r="DD133" s="44" t="e">
        <f t="shared" si="96"/>
        <v>#N/A</v>
      </c>
      <c r="DE133" s="36">
        <f>IF(ISNA(VLOOKUP(A133,'Données projet'!$A$191:$I$211,3,0)),0,VLOOKUP(A133,'Données projet'!$A$191:$I$211,3,0))</f>
        <v>0</v>
      </c>
      <c r="DF133" s="36">
        <f>IF(ISNA(VLOOKUP(A133,'Données projet'!$A$191:$I$211,4,0)),0,VLOOKUP(A133,'Données projet'!$A$191:$I$211,4,0))</f>
        <v>0</v>
      </c>
      <c r="DG133" s="37">
        <f>IF(ISNA(VLOOKUP(A133,'Données projet'!$A$191:$I$211,5,0)),0%,VLOOKUP(A133,'Données projet'!$A$191:$I$211,5,0)*VLOOKUP('Données projet'!$B$15,Paramètres!$A$1:$I$88,7,0))</f>
        <v>0</v>
      </c>
      <c r="DH133" s="37">
        <f>IF(ISNA(VLOOKUP(A133,'Données projet'!$A$191:$I$211,6,0)),0%,VLOOKUP(A133,'Données projet'!$A$191:$I$211,6,0)*VLOOKUP('Données projet'!$B$15,Paramètres!$A$1:$I$88,7,0))</f>
        <v>0</v>
      </c>
      <c r="DI133" s="37">
        <f>IF(ISNA(VLOOKUP(A133,'Données projet'!$A$191:$I$211,7,0)),0%,VLOOKUP(A133,'Données projet'!$A$191:$I$211,7,0))</f>
        <v>0</v>
      </c>
      <c r="DJ133" s="45">
        <f>EXP(-LN(2)/35)*DJ132+(1-EXP(-LN(2)/35))/(LN(2)/35)*DF133*DG133*VLOOKUP('Données projet'!$B$9,Paramètres!$A$1:$I$88,3,0)*0.475*44/12</f>
        <v>0</v>
      </c>
      <c r="DK133" s="45">
        <f>EXP(-LN(2)/25)*DK132+(1-EXP(-LN(2)/25))/(LN(2)/25)*Calculateur!DF133*Calculateur!DH133*VLOOKUP('Données projet'!$B$9,Paramètres!$A$1:$I$88,3,0)*0.475*44/12</f>
        <v>0</v>
      </c>
      <c r="DL133" s="45">
        <f>EXP(-LN(2)/2)*DL132+(1-EXP(-LN(2)/2))/(LN(2)/2)*DF133*DI133*VLOOKUP('Données projet'!$B$9,Paramètres!$A$1:$I$88,3,0)*0.475*44/12</f>
        <v>0</v>
      </c>
      <c r="DM133" s="46">
        <f t="shared" si="97"/>
        <v>0</v>
      </c>
      <c r="DN133" s="32" t="e">
        <f>VLOOKUP(A133,'Données projet'!$A$217:$I$237,2,0)</f>
        <v>#N/A</v>
      </c>
      <c r="DO133" s="33" t="e">
        <f>VLOOKUP(A133,'Données projet'!$A$217:$I$237,9,0)</f>
        <v>#N/A</v>
      </c>
      <c r="DP133" s="33">
        <f t="array" ref="DP133">INDEX(DO:DO,MIN(IF(ISNUMBER(DO133:DO329),ROW(DO133:DO329),"")))</f>
        <v>0</v>
      </c>
      <c r="DQ133" s="33">
        <f t="shared" ref="DQ133:DQ153" si="120">DQ132+DP133-DV132</f>
        <v>0</v>
      </c>
      <c r="DR133" s="38" t="e">
        <f>DQ133*VLOOKUP('Données projet'!$B$16,Paramètres!$A$1:$I$88,3,0)*VLOOKUP('Données projet'!$B$16,Paramètres!$A$1:$I$88,5,0)</f>
        <v>#N/A</v>
      </c>
      <c r="DS133" s="34" t="e">
        <f t="shared" ref="DS133:DS153" si="121">EXP(-1.0587+0.8836*LN(DR133)+0.284)</f>
        <v>#N/A</v>
      </c>
      <c r="DT133" s="44" t="e">
        <f t="shared" si="98"/>
        <v>#N/A</v>
      </c>
      <c r="DU133" s="36">
        <f>IF(ISNA(VLOOKUP(A133,'Données projet'!$A$217:$I$237,3,0)),0,VLOOKUP(A133,'Données projet'!$A$217:$I$237,3,0))</f>
        <v>0</v>
      </c>
      <c r="DV133" s="36">
        <f>IF(ISNA(VLOOKUP(A133,'Données projet'!$A$217:$I$237,4,0)),0,VLOOKUP(A133,'Données projet'!$A$217:$I$237,4,0))</f>
        <v>0</v>
      </c>
      <c r="DW133" s="37">
        <f>IF(ISNA(VLOOKUP(A133,'Données projet'!$A$217:$I$237,5,0)),0%,VLOOKUP(A133,'Données projet'!$A$217:$I$237,5,0)*VLOOKUP('Données projet'!$B$16,Paramètres!$A$1:$I$88,7,0))</f>
        <v>0</v>
      </c>
      <c r="DX133" s="37">
        <f>IF(ISNA(VLOOKUP(A133,'Données projet'!$A$217:$I$237,6,0)),0%,VLOOKUP(A133,'Données projet'!$A$217:$I$237,6,0)*VLOOKUP('Données projet'!$B$16,Paramètres!$A$1:$I$88,7,0))</f>
        <v>0</v>
      </c>
      <c r="DY133" s="37">
        <f>IF(ISNA(VLOOKUP(A133,'Données projet'!$A$217:$I$237,7,0)),0%,VLOOKUP(A133,'Données projet'!$A$217:$I$237,7,0))</f>
        <v>0</v>
      </c>
      <c r="DZ133" s="45">
        <f>EXP(-LN(2)/35)*DZ132+(1-EXP(-LN(2)/35))/(LN(2)/35)*DV133*DW133*VLOOKUP('Données projet'!$B$9,Paramètres!$A$1:$I$88,3,0)*0.475*44/12</f>
        <v>0</v>
      </c>
      <c r="EA133" s="45">
        <f>EXP(-LN(2)/25)*EA132+(1-EXP(-LN(2)/25))/(LN(2)/25)*Calculateur!DV133*Calculateur!DX133*VLOOKUP('Données projet'!$B$9,Paramètres!$A$1:$I$88,3,0)*0.475*44/12</f>
        <v>0</v>
      </c>
      <c r="EB133" s="45">
        <f>EXP(-LN(2)/2)*EB132+(1-EXP(-LN(2)/2))/(LN(2)/2)*DV133*DY133*VLOOKUP('Données projet'!$B$9,Paramètres!$A$1:$I$88,3,0)*0.475*44/12</f>
        <v>0</v>
      </c>
      <c r="EC133" s="46">
        <f t="shared" si="99"/>
        <v>0</v>
      </c>
      <c r="ED133" s="32" t="e">
        <f>VLOOKUP(A133,'Données projet'!$A$243:$I$263,2,0)</f>
        <v>#N/A</v>
      </c>
      <c r="EE133" s="33" t="e">
        <f>VLOOKUP(A133,'Données projet'!$A$243:$I$263,9,0)</f>
        <v>#N/A</v>
      </c>
      <c r="EF133" s="33">
        <f t="array" ref="EF133">INDEX(EE:EE,MIN(IF(ISNUMBER(EE133:EE329),ROW(EE133:EE329),"")))</f>
        <v>0</v>
      </c>
      <c r="EG133" s="33">
        <f t="shared" ref="EG133:EG153" si="122">EG132+EF133-EL132</f>
        <v>0</v>
      </c>
      <c r="EH133" s="38" t="e">
        <f>EG133*VLOOKUP('Données projet'!$B$17,Paramètres!$A$1:$I$88,3,0)*VLOOKUP('Données projet'!$B$17,Paramètres!$A$1:$I$88,5,0)</f>
        <v>#N/A</v>
      </c>
      <c r="EI133" s="34" t="e">
        <f t="shared" ref="EI133:EI153" si="123">EXP(-1.0587+0.8836*LN(EH133)+0.284)</f>
        <v>#N/A</v>
      </c>
      <c r="EJ133" s="44" t="e">
        <f t="shared" si="100"/>
        <v>#N/A</v>
      </c>
      <c r="EK133" s="36">
        <f>IF(ISNA(VLOOKUP(A133,'Données projet'!$A$243:$I$263,3,0)),0,VLOOKUP(A133,'Données projet'!$A$243:$I$263,3,0))</f>
        <v>0</v>
      </c>
      <c r="EL133" s="36">
        <f>IF(ISNA(VLOOKUP(A133,'Données projet'!$A$243:$I$263,4,0)),0,VLOOKUP(A133,'Données projet'!$A$243:$I$263,4,0))</f>
        <v>0</v>
      </c>
      <c r="EM133" s="37">
        <f>IF(ISNA(VLOOKUP(A133,'Données projet'!$A$243:$I$263,5,0)),0%,VLOOKUP(A133,'Données projet'!$A$243:$I$263,5,0)*VLOOKUP('Données projet'!$B$17,Paramètres!$A$1:$I$88,7,0))</f>
        <v>0</v>
      </c>
      <c r="EN133" s="37">
        <f>IF(ISNA(VLOOKUP(A133,'Données projet'!$A$243:$I$263,6,0)),0%,VLOOKUP(A133,'Données projet'!$A$243:$I$263,6,0)*VLOOKUP('Données projet'!$B$17,Paramètres!$A$1:$I$88,7,0))</f>
        <v>0</v>
      </c>
      <c r="EO133" s="37">
        <f>IF(ISNA(VLOOKUP(A133,'Données projet'!$A$243:$I$263,7,0)),0%,VLOOKUP(A133,'Données projet'!$A$243:$I$263,7,0))</f>
        <v>0</v>
      </c>
      <c r="EP133" s="45">
        <f>EXP(-LN(2)/35)*EP132+(1-EXP(-LN(2)/35))/(LN(2)/35)*EL133*EM133*VLOOKUP('Données projet'!$B$9,Paramètres!$A$1:$I$88,3,0)*0.475*44/12</f>
        <v>0</v>
      </c>
      <c r="EQ133" s="45">
        <f>EXP(-LN(2)/25)*EQ132+(1-EXP(-LN(2)/25))/(LN(2)/25)*Calculateur!EL133*Calculateur!EN133*VLOOKUP('Données projet'!$B$9,Paramètres!$A$1:$I$88,3,0)*0.475*44/12</f>
        <v>0</v>
      </c>
      <c r="ER133" s="45">
        <f>EXP(-LN(2)/2)*ER132+(1-EXP(-LN(2)/2))/(LN(2)/2)*EL133*EO133*VLOOKUP('Données projet'!$B$9,Paramètres!$A$1:$I$88,3,0)*0.475*44/12</f>
        <v>0</v>
      </c>
      <c r="ES133" s="46">
        <f t="shared" si="101"/>
        <v>0</v>
      </c>
      <c r="ET133" s="32" t="e">
        <f>VLOOKUP(A133,'Données projet'!$A$269:$I$289,2,0)</f>
        <v>#N/A</v>
      </c>
      <c r="EU133" s="33" t="e">
        <f>VLOOKUP(A133,'Données projet'!$A$269:$I$289,9,0)</f>
        <v>#N/A</v>
      </c>
      <c r="EV133" s="33">
        <f t="array" ref="EV133">INDEX(EU:EU,MIN(IF(ISNUMBER(EU133:EU329),ROW(EU133:EU329),"")))</f>
        <v>0</v>
      </c>
      <c r="EW133" s="33">
        <f t="shared" ref="EW133:EW153" si="124">EW132+EV133-FB132</f>
        <v>0</v>
      </c>
      <c r="EX133" s="38" t="e">
        <f>EW133*VLOOKUP('Données projet'!$B$18,Paramètres!$A$1:$I$88,3,0)*VLOOKUP('Données projet'!$B$18,Paramètres!$A$1:$I$88,5,0)</f>
        <v>#N/A</v>
      </c>
      <c r="EY133" s="34" t="e">
        <f t="shared" ref="EY133:EY153" si="125">EXP(-1.0587+0.8836*LN(EX133)+0.284)</f>
        <v>#N/A</v>
      </c>
      <c r="EZ133" s="44" t="e">
        <f t="shared" si="102"/>
        <v>#N/A</v>
      </c>
      <c r="FA133" s="36">
        <f>IF(ISNA(VLOOKUP(A133,'Données projet'!$A$269:$I$289,3,0)),0,VLOOKUP(A133,'Données projet'!$A$269:$I$289,3,0))</f>
        <v>0</v>
      </c>
      <c r="FB133" s="36">
        <f>IF(ISNA(VLOOKUP(A133,'Données projet'!$A$269:$I$289,4,0)),0,VLOOKUP(A133,'Données projet'!$A$269:$I$289,4,0))</f>
        <v>0</v>
      </c>
      <c r="FC133" s="37">
        <f>IF(ISNA(VLOOKUP(A133,'Données projet'!$A$269:$I$289,5,0)),0%,VLOOKUP(A133,'Données projet'!$A$269:$I$289,5,0)*VLOOKUP('Données projet'!$B$18,Paramètres!$A$1:$I$88,7,0))</f>
        <v>0</v>
      </c>
      <c r="FD133" s="37">
        <f>IF(ISNA(VLOOKUP(A133,'Données projet'!$A$269:$I$289,6,0)),0%,VLOOKUP(A133,'Données projet'!$A$269:$I$289,6,0)*VLOOKUP('Données projet'!$B$18,Paramètres!$A$1:$I$88,7,0))</f>
        <v>0</v>
      </c>
      <c r="FE133" s="37">
        <f>IF(ISNA(VLOOKUP(A133,'Données projet'!$A$269:$I$289,7,0)),0%,VLOOKUP(A133,'Données projet'!$A$269:$I$289,7,0))</f>
        <v>0</v>
      </c>
      <c r="FF133" s="45">
        <f>EXP(-LN(2)/35)*FF132+(1-EXP(-LN(2)/35))/(LN(2)/35)*FB133*FC133*VLOOKUP('Données projet'!$B$9,Paramètres!$A$1:$I$88,3,0)*0.475*44/12</f>
        <v>0</v>
      </c>
      <c r="FG133" s="45">
        <f>EXP(-LN(2)/25)*FG132+(1-EXP(-LN(2)/25))/(LN(2)/25)*Calculateur!FB133*Calculateur!FD133*VLOOKUP('Données projet'!$B$9,Paramètres!$A$1:$I$88,3,0)*0.475*44/12</f>
        <v>0</v>
      </c>
      <c r="FH133" s="45">
        <f>EXP(-LN(2)/2)*FH132+(1-EXP(-LN(2)/2))/(LN(2)/2)*FB133*FE133*VLOOKUP('Données projet'!$B$9,Paramètres!$A$1:$I$88,3,0)*0.475*44/12</f>
        <v>0</v>
      </c>
      <c r="FI133" s="46">
        <f t="shared" si="103"/>
        <v>0</v>
      </c>
    </row>
    <row r="134" spans="1:165" x14ac:dyDescent="0.25">
      <c r="A134" s="24">
        <f t="shared" si="104"/>
        <v>131</v>
      </c>
      <c r="B134" s="25">
        <f>IF('Scénario référence'!$N$1=1,5,0)</f>
        <v>0</v>
      </c>
      <c r="C134" s="40">
        <f>IF(OR('Scénario référence'!$N$1=2,'Scénario référence'!$N$1=4),C133+1*VLOOKUP('Scénario référence'!$G$14,Paramètres!$A$1:$I$88,3,0)*VLOOKUP('Scénario référence'!$G$14,Paramètres!$A$1:$I$88,5,0),IF(OR('Scénario référence'!$N$1=3,'Scénario référence'!$N$1=5),C133+0.5*VLOOKUP('Scénario référence'!$G$14,Paramètres!$A$1:$I$88,3,0)*VLOOKUP('Scénario référence'!$G$14,Paramètres!$A$1:$I$88,5,0),0))</f>
        <v>71.526000000000025</v>
      </c>
      <c r="D134" s="26">
        <f t="shared" si="105"/>
        <v>20.051940201794032</v>
      </c>
      <c r="E134" s="27">
        <f>IF('Scénario référence'!$N$1=1,B134*44/12,(C134+D134)*0.475*44/12)</f>
        <v>159.49824585145799</v>
      </c>
      <c r="F134" s="28" t="e">
        <f>VLOOKUP(A134,'Données projet'!$A$35:$I$55,2,0)</f>
        <v>#N/A</v>
      </c>
      <c r="G134" s="28" t="e">
        <f>VLOOKUP(A134,'Données projet'!$A$35:$I$55,9,0)</f>
        <v>#N/A</v>
      </c>
      <c r="H134" s="33">
        <f t="array" ref="H134">INDEX(G:G,MIN(IF(ISNUMBER(G134:G330),ROW(G134:G330),"")))</f>
        <v>3</v>
      </c>
      <c r="I134" s="28">
        <f t="shared" si="106"/>
        <v>285.99999999999932</v>
      </c>
      <c r="J134" s="41">
        <f>I134*VLOOKUP('Données projet'!$B$9,Paramètres!$A$1:$I$88,3,0)*VLOOKUP('Données projet'!$B$9,Paramètres!$A$1:$I$88,5,0)</f>
        <v>290.00399999999934</v>
      </c>
      <c r="K134" s="41">
        <f t="shared" si="107"/>
        <v>69.076802897485763</v>
      </c>
      <c r="L134" s="42">
        <f t="shared" si="84"/>
        <v>625.39906504645319</v>
      </c>
      <c r="M134" s="30">
        <f>IF(ISNA(VLOOKUP(A134,'Données projet'!$A$35:$I$55,3,0)),0,VLOOKUP(A134,'Données projet'!$A$35:$I$55,3,0))</f>
        <v>0</v>
      </c>
      <c r="N134" s="30">
        <f>IF(ISNA(VLOOKUP(A134,'Données projet'!$A$35:$I$55,4,0)),0,VLOOKUP(A134,'Données projet'!$A$35:$I$55,4,0))</f>
        <v>0</v>
      </c>
      <c r="O134" s="31">
        <f>IF(ISNA(VLOOKUP(A134,'Données projet'!$A$35:$I$55,5,0)),0%,VLOOKUP(A134,'Données projet'!$A$35:$I$55,5,0)*VLOOKUP('Données projet'!$B$9,Paramètres!$A$1:$I$88,7,0))</f>
        <v>0</v>
      </c>
      <c r="P134" s="31">
        <f>IF(ISNA(VLOOKUP(A134,'Données projet'!$A$35:$I$55,6,0)),0%,VLOOKUP(A134,'Données projet'!$A$35:$I$55,6,0)*VLOOKUP('Données projet'!$B$9,Paramètres!$A$1:$I$88,7,0))</f>
        <v>0</v>
      </c>
      <c r="Q134" s="31">
        <f>IF(ISNA(VLOOKUP(A134,'Données projet'!$A$35:$I$55,7,0)),0%,VLOOKUP(A134,'Données projet'!$A$35:$I$55,7,0))</f>
        <v>0</v>
      </c>
      <c r="R134" s="43">
        <f>EXP(-LN(2)/35)*R133+(1-EXP(-LN(2)/35))/(LN(2)/35)*N134*O134*VLOOKUP('Données projet'!$B$9,Paramètres!$A$1:$I$88,3,0)*0.475*44/12</f>
        <v>0</v>
      </c>
      <c r="S134" s="43">
        <f>EXP(-LN(2)/25)*S133+(1-EXP(-LN(2)/25))/(LN(2)/25)*Calculateur!N134*Calculateur!P134*VLOOKUP('Données projet'!$B$9,Paramètres!$A$1:$I$88,3,0)*0.475*44/12</f>
        <v>0</v>
      </c>
      <c r="T134" s="43">
        <f>EXP(-LN(2)/2)*T133+(1-EXP(-LN(2)/2))/(LN(2)/2)*N134*Q134*VLOOKUP('Données projet'!$B$9,Paramètres!$A$1:$I$88,3,0)*0.475*44/12</f>
        <v>0</v>
      </c>
      <c r="U134" s="43">
        <f t="shared" si="85"/>
        <v>0</v>
      </c>
      <c r="V134" s="32" t="e">
        <f>VLOOKUP(A134,'Données projet'!$A$61:$I$81,2,0)</f>
        <v>#N/A</v>
      </c>
      <c r="W134" s="33" t="e">
        <f>VLOOKUP(A134,'Données projet'!$A$61:$I$81,9,0)</f>
        <v>#N/A</v>
      </c>
      <c r="X134" s="33">
        <f t="array" ref="X134">INDEX(W:W,MIN(IF(ISNUMBER(W134:W330),ROW(W134:W330),"")))</f>
        <v>0</v>
      </c>
      <c r="Y134" s="33">
        <f t="shared" si="108"/>
        <v>0</v>
      </c>
      <c r="Z134" s="34" t="e">
        <f>Y134*VLOOKUP('Données projet'!$B$10,Paramètres!$A$1:$I$88,3,0)*VLOOKUP('Données projet'!$B$10,Paramètres!$A$1:$I$88,5,0)</f>
        <v>#N/A</v>
      </c>
      <c r="AA134" s="34" t="e">
        <f t="shared" si="109"/>
        <v>#N/A</v>
      </c>
      <c r="AB134" s="44" t="e">
        <f t="shared" si="86"/>
        <v>#N/A</v>
      </c>
      <c r="AC134" s="36">
        <f>IF(ISNA(VLOOKUP(A134,'Données projet'!$A$61:$I$81,3,0)),0,VLOOKUP(A134,'Données projet'!$A$61:$I$81,3,0))</f>
        <v>0</v>
      </c>
      <c r="AD134" s="36">
        <f>IF(ISNA(VLOOKUP(A134,'Données projet'!$A$61:$I$81,4,0)),0,VLOOKUP(A134,'Données projet'!$A$61:$I$81,4,0))</f>
        <v>0</v>
      </c>
      <c r="AE134" s="37">
        <f>IF(ISNA(VLOOKUP(A134,'Données projet'!$A$61:$I$81,5,0)),0%,VLOOKUP(A134,'Données projet'!$A$61:$I$81,5,0)*VLOOKUP('Données projet'!$B$10,Paramètres!$A$1:$I$88,7,0))</f>
        <v>0</v>
      </c>
      <c r="AF134" s="37">
        <f>IF(ISNA(VLOOKUP(A134,'Données projet'!$A$61:$I$81,6,0)),0%,VLOOKUP(A134,'Données projet'!$A$61:$I$81,6,0)*VLOOKUP('Données projet'!$B$10,Paramètres!$A$1:$I$88,7,0))</f>
        <v>0</v>
      </c>
      <c r="AG134" s="37">
        <f>IF(ISNA(VLOOKUP(A134,'Données projet'!$A$61:$I$81,7,0)),0%,VLOOKUP(A134,'Données projet'!$A$61:$I$81,7,0))</f>
        <v>0</v>
      </c>
      <c r="AH134" s="45">
        <f>EXP(-LN(2)/35)*AH133+(1-EXP(-LN(2)/35))/(LN(2)/35)*AD134*AE134*VLOOKUP('Données projet'!$B$9,Paramètres!$A$1:$I$88,3,0)*0.475*44/12</f>
        <v>0</v>
      </c>
      <c r="AI134" s="45">
        <f>EXP(-LN(2)/25)*AI133+(1-EXP(-LN(2)/25))/(LN(2)/25)*Calculateur!AD134*Calculateur!AF134*VLOOKUP('Données projet'!$B$9,Paramètres!$A$1:$I$88,3,0)*0.475*44/12</f>
        <v>0</v>
      </c>
      <c r="AJ134" s="45">
        <f>EXP(-LN(2)/2)*AJ133+(1-EXP(-LN(2)/2))/(LN(2)/2)*AD134*AG134*VLOOKUP('Données projet'!$B$9,Paramètres!$A$1:$I$88,3,0)*0.475*44/12</f>
        <v>0</v>
      </c>
      <c r="AK134" s="45">
        <f t="shared" si="87"/>
        <v>0</v>
      </c>
      <c r="AL134" s="32" t="e">
        <f>VLOOKUP(A134,'Données projet'!$A$87:$I$107,2,0)</f>
        <v>#N/A</v>
      </c>
      <c r="AM134" s="33" t="e">
        <f>VLOOKUP(A134,'Données projet'!$A$87:$I$107,9,0)</f>
        <v>#N/A</v>
      </c>
      <c r="AN134" s="33">
        <f t="array" ref="AN134">INDEX(AM:AM,MIN(IF(ISNUMBER(AM134:AM330),ROW(AM134:AM330),"")))</f>
        <v>0</v>
      </c>
      <c r="AO134" s="33">
        <f t="shared" si="110"/>
        <v>0</v>
      </c>
      <c r="AP134" s="34" t="e">
        <f>AO134*VLOOKUP('Données projet'!$B$11,Paramètres!$A$1:$I$88,3,0)*VLOOKUP('Données projet'!$B$11,Paramètres!$A$1:$I$88,5,0)</f>
        <v>#N/A</v>
      </c>
      <c r="AQ134" s="34" t="e">
        <f t="shared" si="111"/>
        <v>#N/A</v>
      </c>
      <c r="AR134" s="44" t="e">
        <f t="shared" si="88"/>
        <v>#N/A</v>
      </c>
      <c r="AS134" s="36">
        <f>IF(ISNA(VLOOKUP(A134,'Données projet'!$A$87:$I$107,3,0)),0,VLOOKUP(A134,'Données projet'!$A$87:$I$107,3,0))</f>
        <v>0</v>
      </c>
      <c r="AT134" s="36">
        <f>IF(ISNA(VLOOKUP(A134,'Données projet'!$A$87:$I$107,4,0)),0,VLOOKUP(A134,'Données projet'!$A$87:$I$107,4,0))</f>
        <v>0</v>
      </c>
      <c r="AU134" s="37">
        <f>IF(ISNA(VLOOKUP(A134,'Données projet'!$A$87:$I$107,5,0)),0%,VLOOKUP(A134,'Données projet'!$A$87:$I$107,5,0)*VLOOKUP('Données projet'!$B$11,Paramètres!$A$1:$I$88,7,0))</f>
        <v>0</v>
      </c>
      <c r="AV134" s="37">
        <f>IF(ISNA(VLOOKUP(A134,'Données projet'!$A$87:$I$107,6,0)),0%,VLOOKUP(A134,'Données projet'!$A$87:$I$107,6,0)*VLOOKUP('Données projet'!$B$11,Paramètres!$A$1:$I$88,7,0))</f>
        <v>0</v>
      </c>
      <c r="AW134" s="37">
        <f>IF(ISNA(VLOOKUP(A134,'Données projet'!$A$87:$I$107,7,0)),0%,VLOOKUP(A134,'Données projet'!$A$87:$I$107,7,0))</f>
        <v>0</v>
      </c>
      <c r="AX134" s="45">
        <f>EXP(-LN(2)/35)*AX133+(1-EXP(-LN(2)/35))/(LN(2)/35)*AT134*AU134*VLOOKUP('Données projet'!$B$9,Paramètres!$A$1:$I$88,3,0)*0.475*44/12</f>
        <v>0</v>
      </c>
      <c r="AY134" s="45">
        <f>EXP(-LN(2)/25)*AY133+(1-EXP(-LN(2)/25))/(LN(2)/25)*Calculateur!AT134*Calculateur!AV134*VLOOKUP('Données projet'!$B$9,Paramètres!$A$1:$I$88,3,0)*0.475*44/12</f>
        <v>0</v>
      </c>
      <c r="AZ134" s="45">
        <f>EXP(-LN(2)/2)*AZ133+(1-EXP(-LN(2)/2))/(LN(2)/2)*AT134*AW134*VLOOKUP('Données projet'!$B$9,Paramètres!$A$1:$I$88,3,0)*0.475*44/12</f>
        <v>0</v>
      </c>
      <c r="BA134" s="46">
        <f t="shared" si="89"/>
        <v>0</v>
      </c>
      <c r="BB134" s="32" t="e">
        <f>VLOOKUP(A134,'Données projet'!$A$113:$I$133,2,0)</f>
        <v>#N/A</v>
      </c>
      <c r="BC134" s="33" t="e">
        <f>VLOOKUP(A134,'Données projet'!$A$113:$I$133,9,0)</f>
        <v>#N/A</v>
      </c>
      <c r="BD134" s="33">
        <f t="array" ref="BD134">INDEX(BC:BC,MIN(IF(ISNUMBER(BC134:BC330),ROW(BC134:BC330),"")))</f>
        <v>0</v>
      </c>
      <c r="BE134" s="33">
        <f t="shared" si="112"/>
        <v>0</v>
      </c>
      <c r="BF134" s="34" t="e">
        <f>BE134*VLOOKUP('Données projet'!$B$12,Paramètres!$A$1:$I$88,3,0)*VLOOKUP('Données projet'!$B$12,Paramètres!$A$1:$I$88,5,0)</f>
        <v>#N/A</v>
      </c>
      <c r="BG134" s="34" t="e">
        <f t="shared" si="113"/>
        <v>#N/A</v>
      </c>
      <c r="BH134" s="44" t="e">
        <f t="shared" si="90"/>
        <v>#N/A</v>
      </c>
      <c r="BI134" s="36">
        <f>IF(ISNA(VLOOKUP(A134,'Données projet'!$A$113:$I$133,3,0)),0,VLOOKUP(A134,'Données projet'!$A$113:$I$133,3,0))</f>
        <v>0</v>
      </c>
      <c r="BJ134" s="36">
        <f>IF(ISNA(VLOOKUP(A134,'Données projet'!$A$113:$I$133,4,0)),0,VLOOKUP(A134,'Données projet'!$A$113:$I$133,4,0))</f>
        <v>0</v>
      </c>
      <c r="BK134" s="37">
        <f>IF(ISNA(VLOOKUP(A134,'Données projet'!$A$113:$I$133,5,0)),0%,VLOOKUP(A134,'Données projet'!$A$113:$I$133,5,0)*VLOOKUP('Données projet'!$B$12,Paramètres!$A$1:$I$88,7,0))</f>
        <v>0</v>
      </c>
      <c r="BL134" s="37">
        <f>IF(ISNA(VLOOKUP(A134,'Données projet'!$A$113:$I$133,6,0)),0%,VLOOKUP(A134,'Données projet'!$A$113:$I$133,6,0)*VLOOKUP('Données projet'!$B$12,Paramètres!$A$1:$I$88,7,0))</f>
        <v>0</v>
      </c>
      <c r="BM134" s="37">
        <f>IF(ISNA(VLOOKUP(A134,'Données projet'!$A$113:$I$133,7,0)),0%,VLOOKUP(A134,'Données projet'!$A$113:$I$133,7,0))</f>
        <v>0</v>
      </c>
      <c r="BN134" s="45">
        <f>EXP(-LN(2)/35)*BN133+(1-EXP(-LN(2)/35))/(LN(2)/35)*BJ134*BK134*VLOOKUP('Données projet'!$B$9,Paramètres!$A$1:$I$88,3,0)*0.475*44/12</f>
        <v>0</v>
      </c>
      <c r="BO134" s="45">
        <f>EXP(-LN(2)/25)*BO133+(1-EXP(-LN(2)/25))/(LN(2)/25)*Calculateur!BJ134*Calculateur!BL134*VLOOKUP('Données projet'!$B$9,Paramètres!$A$1:$I$88,3,0)*0.475*44/12</f>
        <v>0</v>
      </c>
      <c r="BP134" s="45">
        <f>EXP(-LN(2)/2)*BP133+(1-EXP(-LN(2)/2))/(LN(2)/2)*BJ134*BM134*VLOOKUP('Données projet'!$B$9,Paramètres!$A$1:$I$88,3,0)*0.475*44/12</f>
        <v>0</v>
      </c>
      <c r="BQ134" s="46">
        <f t="shared" si="91"/>
        <v>0</v>
      </c>
      <c r="BR134" s="32" t="e">
        <f>VLOOKUP(A134,'Données projet'!$A$139:$I$159,2,0)</f>
        <v>#N/A</v>
      </c>
      <c r="BS134" s="33" t="e">
        <f>VLOOKUP(A134,'Données projet'!$A$139:$I$159,9,0)</f>
        <v>#N/A</v>
      </c>
      <c r="BT134" s="33">
        <f t="array" ref="BT134">INDEX(BS:BS,MIN(IF(ISNUMBER(BS134:BS330),ROW(BS134:BS330),"")))</f>
        <v>0</v>
      </c>
      <c r="BU134" s="33">
        <f t="shared" si="114"/>
        <v>0</v>
      </c>
      <c r="BV134" s="38" t="e">
        <f>BU134*VLOOKUP('Données projet'!$B$13,Paramètres!$A$1:$I$88,3,0)*VLOOKUP('Données projet'!$B$13,Paramètres!$A$1:$I$88,5,0)</f>
        <v>#N/A</v>
      </c>
      <c r="BW134" s="34" t="e">
        <f t="shared" si="115"/>
        <v>#N/A</v>
      </c>
      <c r="BX134" s="44" t="e">
        <f t="shared" si="92"/>
        <v>#N/A</v>
      </c>
      <c r="BY134" s="36">
        <f>IF(ISNA(VLOOKUP(A134,'Données projet'!$A$139:$I$159,3,0)),0,VLOOKUP(A134,'Données projet'!$A$139:$I$159,3,0))</f>
        <v>0</v>
      </c>
      <c r="BZ134" s="36">
        <f>IF(ISNA(VLOOKUP(A134,'Données projet'!$A$139:$I$159,4,0)),0,VLOOKUP(A134,'Données projet'!$A$139:$I$159,4,0))</f>
        <v>0</v>
      </c>
      <c r="CA134" s="37">
        <f>IF(ISNA(VLOOKUP(A134,'Données projet'!$A$139:$I$159,5,0)),0%,VLOOKUP(A134,'Données projet'!$A$139:$I$159,5,0)*VLOOKUP('Données projet'!$B$13,Paramètres!$A$1:$I$88,7,0))</f>
        <v>0</v>
      </c>
      <c r="CB134" s="37">
        <f>IF(ISNA(VLOOKUP(A134,'Données projet'!$A$139:$I$159,6,0)),0%,VLOOKUP(A134,'Données projet'!$A$139:$I$159,6,0)*VLOOKUP('Données projet'!$B$13,Paramètres!$A$1:$I$88,7,0))</f>
        <v>0</v>
      </c>
      <c r="CC134" s="37">
        <f>IF(ISNA(VLOOKUP(A134,'Données projet'!$A$139:$I$159,7,0)),0%,VLOOKUP(A134,'Données projet'!$A$139:$I$159,7,0))</f>
        <v>0</v>
      </c>
      <c r="CD134" s="45">
        <f>EXP(-LN(2)/35)*CD133+(1-EXP(-LN(2)/35))/(LN(2)/35)*BZ134*CA134*VLOOKUP('Données projet'!$B$9,Paramètres!$A$1:$I$88,3,0)*0.475*44/12</f>
        <v>0</v>
      </c>
      <c r="CE134" s="45">
        <f>EXP(-LN(2)/25)*CE133+(1-EXP(-LN(2)/25))/(LN(2)/25)*Calculateur!BZ134*Calculateur!CB134*VLOOKUP('Données projet'!$B$9,Paramètres!$A$1:$I$88,3,0)*0.475*44/12</f>
        <v>0</v>
      </c>
      <c r="CF134" s="45">
        <f>EXP(-LN(2)/2)*CF133+(1-EXP(-LN(2)/2))/(LN(2)/2)*BZ134*CC134*VLOOKUP('Données projet'!$B$9,Paramètres!$A$1:$I$88,3,0)*0.475*44/12</f>
        <v>0</v>
      </c>
      <c r="CG134" s="46">
        <f t="shared" si="93"/>
        <v>0</v>
      </c>
      <c r="CH134" s="32" t="e">
        <f>VLOOKUP(A134,'Données projet'!$A$165:$I$185,2,0)</f>
        <v>#N/A</v>
      </c>
      <c r="CI134" s="33" t="e">
        <f>VLOOKUP(A134,'Données projet'!$A$165:$I$185,9,0)</f>
        <v>#N/A</v>
      </c>
      <c r="CJ134" s="33">
        <f t="array" ref="CJ134">INDEX(CI:CI,MIN(IF(ISNUMBER(CI134:CI330),ROW(CI134:CI330),"")))</f>
        <v>0</v>
      </c>
      <c r="CK134" s="33">
        <f t="shared" si="116"/>
        <v>0</v>
      </c>
      <c r="CL134" s="38" t="e">
        <f>CK134*VLOOKUP('Données projet'!$B$14,Paramètres!$A$1:$I$88,3,0)*VLOOKUP('Données projet'!$B$14,Paramètres!$A$1:$I$88,5,0)</f>
        <v>#N/A</v>
      </c>
      <c r="CM134" s="34" t="e">
        <f t="shared" si="117"/>
        <v>#N/A</v>
      </c>
      <c r="CN134" s="44" t="e">
        <f t="shared" si="94"/>
        <v>#N/A</v>
      </c>
      <c r="CO134" s="36">
        <f>IF(ISNA(VLOOKUP(A134,'Données projet'!$A$165:$I$185,3,0)),0,VLOOKUP(A134,'Données projet'!$A$165:$I$185,3,0))</f>
        <v>0</v>
      </c>
      <c r="CP134" s="36">
        <f>IF(ISNA(VLOOKUP(A134,'Données projet'!$A$165:$I$185,4,0)),0,VLOOKUP(A134,'Données projet'!$A$165:$I$185,4,0))</f>
        <v>0</v>
      </c>
      <c r="CQ134" s="37">
        <f>IF(ISNA(VLOOKUP(A134,'Données projet'!$A$165:$I$185,5,0)),0%,VLOOKUP(A134,'Données projet'!$A$165:$I$185,5,0)*VLOOKUP('Données projet'!$B$14,Paramètres!$A$1:$I$88,7,0))</f>
        <v>0</v>
      </c>
      <c r="CR134" s="37">
        <f>IF(ISNA(VLOOKUP(A134,'Données projet'!$A$165:$I$185,6,0)),0%,VLOOKUP(A134,'Données projet'!$A$165:$I$185,6,0)*VLOOKUP('Données projet'!$B$14,Paramètres!$A$1:$I$88,7,0))</f>
        <v>0</v>
      </c>
      <c r="CS134" s="37">
        <f>IF(ISNA(VLOOKUP(A134,'Données projet'!$A$165:$I$185,7,0)),0%,VLOOKUP(A134,'Données projet'!$A$165:$I$185,7,0))</f>
        <v>0</v>
      </c>
      <c r="CT134" s="45">
        <f>EXP(-LN(2)/35)*CT133+(1-EXP(-LN(2)/35))/(LN(2)/35)*CP134*CQ134*VLOOKUP('Données projet'!$B$9,Paramètres!$A$1:$I$88,3,0)*0.475*44/12</f>
        <v>0</v>
      </c>
      <c r="CU134" s="45">
        <f>EXP(-LN(2)/25)*CU133+(1-EXP(-LN(2)/25))/(LN(2)/25)*Calculateur!CP134*Calculateur!CR134*VLOOKUP('Données projet'!$B$9,Paramètres!$A$1:$I$88,3,0)*0.475*44/12</f>
        <v>0</v>
      </c>
      <c r="CV134" s="45">
        <f>EXP(-LN(2)/2)*CV133+(1-EXP(-LN(2)/2))/(LN(2)/2)*CP134*CS134*VLOOKUP('Données projet'!$B$9,Paramètres!$A$1:$I$88,3,0)*0.475*44/12</f>
        <v>0</v>
      </c>
      <c r="CW134" s="46">
        <f t="shared" si="95"/>
        <v>0</v>
      </c>
      <c r="CX134" s="32" t="e">
        <f>VLOOKUP(A134,'Données projet'!$A$191:$I$211,2,0)</f>
        <v>#N/A</v>
      </c>
      <c r="CY134" s="33" t="e">
        <f>VLOOKUP(A134,'Données projet'!$A$191:$I$211,9,0)</f>
        <v>#N/A</v>
      </c>
      <c r="CZ134" s="33">
        <f t="array" ref="CZ134">INDEX(CY:CY,MIN(IF(ISNUMBER(CY134:CY330),ROW(CY134:CY330),"")))</f>
        <v>0</v>
      </c>
      <c r="DA134" s="33">
        <f t="shared" si="118"/>
        <v>0</v>
      </c>
      <c r="DB134" s="38" t="e">
        <f>DA134*VLOOKUP('Données projet'!$B$15,Paramètres!$A$1:$I$88,3,0)*VLOOKUP('Données projet'!$B$15,Paramètres!$A$1:$I$88,5,0)</f>
        <v>#N/A</v>
      </c>
      <c r="DC134" s="34" t="e">
        <f t="shared" si="119"/>
        <v>#N/A</v>
      </c>
      <c r="DD134" s="44" t="e">
        <f t="shared" si="96"/>
        <v>#N/A</v>
      </c>
      <c r="DE134" s="36">
        <f>IF(ISNA(VLOOKUP(A134,'Données projet'!$A$191:$I$211,3,0)),0,VLOOKUP(A134,'Données projet'!$A$191:$I$211,3,0))</f>
        <v>0</v>
      </c>
      <c r="DF134" s="36">
        <f>IF(ISNA(VLOOKUP(A134,'Données projet'!$A$191:$I$211,4,0)),0,VLOOKUP(A134,'Données projet'!$A$191:$I$211,4,0))</f>
        <v>0</v>
      </c>
      <c r="DG134" s="37">
        <f>IF(ISNA(VLOOKUP(A134,'Données projet'!$A$191:$I$211,5,0)),0%,VLOOKUP(A134,'Données projet'!$A$191:$I$211,5,0)*VLOOKUP('Données projet'!$B$15,Paramètres!$A$1:$I$88,7,0))</f>
        <v>0</v>
      </c>
      <c r="DH134" s="37">
        <f>IF(ISNA(VLOOKUP(A134,'Données projet'!$A$191:$I$211,6,0)),0%,VLOOKUP(A134,'Données projet'!$A$191:$I$211,6,0)*VLOOKUP('Données projet'!$B$15,Paramètres!$A$1:$I$88,7,0))</f>
        <v>0</v>
      </c>
      <c r="DI134" s="37">
        <f>IF(ISNA(VLOOKUP(A134,'Données projet'!$A$191:$I$211,7,0)),0%,VLOOKUP(A134,'Données projet'!$A$191:$I$211,7,0))</f>
        <v>0</v>
      </c>
      <c r="DJ134" s="45">
        <f>EXP(-LN(2)/35)*DJ133+(1-EXP(-LN(2)/35))/(LN(2)/35)*DF134*DG134*VLOOKUP('Données projet'!$B$9,Paramètres!$A$1:$I$88,3,0)*0.475*44/12</f>
        <v>0</v>
      </c>
      <c r="DK134" s="45">
        <f>EXP(-LN(2)/25)*DK133+(1-EXP(-LN(2)/25))/(LN(2)/25)*Calculateur!DF134*Calculateur!DH134*VLOOKUP('Données projet'!$B$9,Paramètres!$A$1:$I$88,3,0)*0.475*44/12</f>
        <v>0</v>
      </c>
      <c r="DL134" s="45">
        <f>EXP(-LN(2)/2)*DL133+(1-EXP(-LN(2)/2))/(LN(2)/2)*DF134*DI134*VLOOKUP('Données projet'!$B$9,Paramètres!$A$1:$I$88,3,0)*0.475*44/12</f>
        <v>0</v>
      </c>
      <c r="DM134" s="46">
        <f t="shared" si="97"/>
        <v>0</v>
      </c>
      <c r="DN134" s="32" t="e">
        <f>VLOOKUP(A134,'Données projet'!$A$217:$I$237,2,0)</f>
        <v>#N/A</v>
      </c>
      <c r="DO134" s="33" t="e">
        <f>VLOOKUP(A134,'Données projet'!$A$217:$I$237,9,0)</f>
        <v>#N/A</v>
      </c>
      <c r="DP134" s="33">
        <f t="array" ref="DP134">INDEX(DO:DO,MIN(IF(ISNUMBER(DO134:DO330),ROW(DO134:DO330),"")))</f>
        <v>0</v>
      </c>
      <c r="DQ134" s="33">
        <f t="shared" si="120"/>
        <v>0</v>
      </c>
      <c r="DR134" s="38" t="e">
        <f>DQ134*VLOOKUP('Données projet'!$B$16,Paramètres!$A$1:$I$88,3,0)*VLOOKUP('Données projet'!$B$16,Paramètres!$A$1:$I$88,5,0)</f>
        <v>#N/A</v>
      </c>
      <c r="DS134" s="34" t="e">
        <f t="shared" si="121"/>
        <v>#N/A</v>
      </c>
      <c r="DT134" s="44" t="e">
        <f t="shared" si="98"/>
        <v>#N/A</v>
      </c>
      <c r="DU134" s="36">
        <f>IF(ISNA(VLOOKUP(A134,'Données projet'!$A$217:$I$237,3,0)),0,VLOOKUP(A134,'Données projet'!$A$217:$I$237,3,0))</f>
        <v>0</v>
      </c>
      <c r="DV134" s="36">
        <f>IF(ISNA(VLOOKUP(A134,'Données projet'!$A$217:$I$237,4,0)),0,VLOOKUP(A134,'Données projet'!$A$217:$I$237,4,0))</f>
        <v>0</v>
      </c>
      <c r="DW134" s="37">
        <f>IF(ISNA(VLOOKUP(A134,'Données projet'!$A$217:$I$237,5,0)),0%,VLOOKUP(A134,'Données projet'!$A$217:$I$237,5,0)*VLOOKUP('Données projet'!$B$16,Paramètres!$A$1:$I$88,7,0))</f>
        <v>0</v>
      </c>
      <c r="DX134" s="37">
        <f>IF(ISNA(VLOOKUP(A134,'Données projet'!$A$217:$I$237,6,0)),0%,VLOOKUP(A134,'Données projet'!$A$217:$I$237,6,0)*VLOOKUP('Données projet'!$B$16,Paramètres!$A$1:$I$88,7,0))</f>
        <v>0</v>
      </c>
      <c r="DY134" s="37">
        <f>IF(ISNA(VLOOKUP(A134,'Données projet'!$A$217:$I$237,7,0)),0%,VLOOKUP(A134,'Données projet'!$A$217:$I$237,7,0))</f>
        <v>0</v>
      </c>
      <c r="DZ134" s="45">
        <f>EXP(-LN(2)/35)*DZ133+(1-EXP(-LN(2)/35))/(LN(2)/35)*DV134*DW134*VLOOKUP('Données projet'!$B$9,Paramètres!$A$1:$I$88,3,0)*0.475*44/12</f>
        <v>0</v>
      </c>
      <c r="EA134" s="45">
        <f>EXP(-LN(2)/25)*EA133+(1-EXP(-LN(2)/25))/(LN(2)/25)*Calculateur!DV134*Calculateur!DX134*VLOOKUP('Données projet'!$B$9,Paramètres!$A$1:$I$88,3,0)*0.475*44/12</f>
        <v>0</v>
      </c>
      <c r="EB134" s="45">
        <f>EXP(-LN(2)/2)*EB133+(1-EXP(-LN(2)/2))/(LN(2)/2)*DV134*DY134*VLOOKUP('Données projet'!$B$9,Paramètres!$A$1:$I$88,3,0)*0.475*44/12</f>
        <v>0</v>
      </c>
      <c r="EC134" s="46">
        <f t="shared" si="99"/>
        <v>0</v>
      </c>
      <c r="ED134" s="32" t="e">
        <f>VLOOKUP(A134,'Données projet'!$A$243:$I$263,2,0)</f>
        <v>#N/A</v>
      </c>
      <c r="EE134" s="33" t="e">
        <f>VLOOKUP(A134,'Données projet'!$A$243:$I$263,9,0)</f>
        <v>#N/A</v>
      </c>
      <c r="EF134" s="33">
        <f t="array" ref="EF134">INDEX(EE:EE,MIN(IF(ISNUMBER(EE134:EE330),ROW(EE134:EE330),"")))</f>
        <v>0</v>
      </c>
      <c r="EG134" s="33">
        <f t="shared" si="122"/>
        <v>0</v>
      </c>
      <c r="EH134" s="38" t="e">
        <f>EG134*VLOOKUP('Données projet'!$B$17,Paramètres!$A$1:$I$88,3,0)*VLOOKUP('Données projet'!$B$17,Paramètres!$A$1:$I$88,5,0)</f>
        <v>#N/A</v>
      </c>
      <c r="EI134" s="34" t="e">
        <f t="shared" si="123"/>
        <v>#N/A</v>
      </c>
      <c r="EJ134" s="44" t="e">
        <f t="shared" si="100"/>
        <v>#N/A</v>
      </c>
      <c r="EK134" s="36">
        <f>IF(ISNA(VLOOKUP(A134,'Données projet'!$A$243:$I$263,3,0)),0,VLOOKUP(A134,'Données projet'!$A$243:$I$263,3,0))</f>
        <v>0</v>
      </c>
      <c r="EL134" s="36">
        <f>IF(ISNA(VLOOKUP(A134,'Données projet'!$A$243:$I$263,4,0)),0,VLOOKUP(A134,'Données projet'!$A$243:$I$263,4,0))</f>
        <v>0</v>
      </c>
      <c r="EM134" s="37">
        <f>IF(ISNA(VLOOKUP(A134,'Données projet'!$A$243:$I$263,5,0)),0%,VLOOKUP(A134,'Données projet'!$A$243:$I$263,5,0)*VLOOKUP('Données projet'!$B$17,Paramètres!$A$1:$I$88,7,0))</f>
        <v>0</v>
      </c>
      <c r="EN134" s="37">
        <f>IF(ISNA(VLOOKUP(A134,'Données projet'!$A$243:$I$263,6,0)),0%,VLOOKUP(A134,'Données projet'!$A$243:$I$263,6,0)*VLOOKUP('Données projet'!$B$17,Paramètres!$A$1:$I$88,7,0))</f>
        <v>0</v>
      </c>
      <c r="EO134" s="37">
        <f>IF(ISNA(VLOOKUP(A134,'Données projet'!$A$243:$I$263,7,0)),0%,VLOOKUP(A134,'Données projet'!$A$243:$I$263,7,0))</f>
        <v>0</v>
      </c>
      <c r="EP134" s="45">
        <f>EXP(-LN(2)/35)*EP133+(1-EXP(-LN(2)/35))/(LN(2)/35)*EL134*EM134*VLOOKUP('Données projet'!$B$9,Paramètres!$A$1:$I$88,3,0)*0.475*44/12</f>
        <v>0</v>
      </c>
      <c r="EQ134" s="45">
        <f>EXP(-LN(2)/25)*EQ133+(1-EXP(-LN(2)/25))/(LN(2)/25)*Calculateur!EL134*Calculateur!EN134*VLOOKUP('Données projet'!$B$9,Paramètres!$A$1:$I$88,3,0)*0.475*44/12</f>
        <v>0</v>
      </c>
      <c r="ER134" s="45">
        <f>EXP(-LN(2)/2)*ER133+(1-EXP(-LN(2)/2))/(LN(2)/2)*EL134*EO134*VLOOKUP('Données projet'!$B$9,Paramètres!$A$1:$I$88,3,0)*0.475*44/12</f>
        <v>0</v>
      </c>
      <c r="ES134" s="46">
        <f t="shared" si="101"/>
        <v>0</v>
      </c>
      <c r="ET134" s="32" t="e">
        <f>VLOOKUP(A134,'Données projet'!$A$269:$I$289,2,0)</f>
        <v>#N/A</v>
      </c>
      <c r="EU134" s="33" t="e">
        <f>VLOOKUP(A134,'Données projet'!$A$269:$I$289,9,0)</f>
        <v>#N/A</v>
      </c>
      <c r="EV134" s="33">
        <f t="array" ref="EV134">INDEX(EU:EU,MIN(IF(ISNUMBER(EU134:EU330),ROW(EU134:EU330),"")))</f>
        <v>0</v>
      </c>
      <c r="EW134" s="33">
        <f t="shared" si="124"/>
        <v>0</v>
      </c>
      <c r="EX134" s="38" t="e">
        <f>EW134*VLOOKUP('Données projet'!$B$18,Paramètres!$A$1:$I$88,3,0)*VLOOKUP('Données projet'!$B$18,Paramètres!$A$1:$I$88,5,0)</f>
        <v>#N/A</v>
      </c>
      <c r="EY134" s="34" t="e">
        <f t="shared" si="125"/>
        <v>#N/A</v>
      </c>
      <c r="EZ134" s="44" t="e">
        <f t="shared" si="102"/>
        <v>#N/A</v>
      </c>
      <c r="FA134" s="36">
        <f>IF(ISNA(VLOOKUP(A134,'Données projet'!$A$269:$I$289,3,0)),0,VLOOKUP(A134,'Données projet'!$A$269:$I$289,3,0))</f>
        <v>0</v>
      </c>
      <c r="FB134" s="36">
        <f>IF(ISNA(VLOOKUP(A134,'Données projet'!$A$269:$I$289,4,0)),0,VLOOKUP(A134,'Données projet'!$A$269:$I$289,4,0))</f>
        <v>0</v>
      </c>
      <c r="FC134" s="37">
        <f>IF(ISNA(VLOOKUP(A134,'Données projet'!$A$269:$I$289,5,0)),0%,VLOOKUP(A134,'Données projet'!$A$269:$I$289,5,0)*VLOOKUP('Données projet'!$B$18,Paramètres!$A$1:$I$88,7,0))</f>
        <v>0</v>
      </c>
      <c r="FD134" s="37">
        <f>IF(ISNA(VLOOKUP(A134,'Données projet'!$A$269:$I$289,6,0)),0%,VLOOKUP(A134,'Données projet'!$A$269:$I$289,6,0)*VLOOKUP('Données projet'!$B$18,Paramètres!$A$1:$I$88,7,0))</f>
        <v>0</v>
      </c>
      <c r="FE134" s="37">
        <f>IF(ISNA(VLOOKUP(A134,'Données projet'!$A$269:$I$289,7,0)),0%,VLOOKUP(A134,'Données projet'!$A$269:$I$289,7,0))</f>
        <v>0</v>
      </c>
      <c r="FF134" s="45">
        <f>EXP(-LN(2)/35)*FF133+(1-EXP(-LN(2)/35))/(LN(2)/35)*FB134*FC134*VLOOKUP('Données projet'!$B$9,Paramètres!$A$1:$I$88,3,0)*0.475*44/12</f>
        <v>0</v>
      </c>
      <c r="FG134" s="45">
        <f>EXP(-LN(2)/25)*FG133+(1-EXP(-LN(2)/25))/(LN(2)/25)*Calculateur!FB134*Calculateur!FD134*VLOOKUP('Données projet'!$B$9,Paramètres!$A$1:$I$88,3,0)*0.475*44/12</f>
        <v>0</v>
      </c>
      <c r="FH134" s="45">
        <f>EXP(-LN(2)/2)*FH133+(1-EXP(-LN(2)/2))/(LN(2)/2)*FB134*FE134*VLOOKUP('Données projet'!$B$9,Paramètres!$A$1:$I$88,3,0)*0.475*44/12</f>
        <v>0</v>
      </c>
      <c r="FI134" s="46">
        <f t="shared" si="103"/>
        <v>0</v>
      </c>
    </row>
    <row r="135" spans="1:165" x14ac:dyDescent="0.25">
      <c r="A135" s="24">
        <f t="shared" si="104"/>
        <v>132</v>
      </c>
      <c r="B135" s="25">
        <f>IF('Scénario référence'!$N$1=1,5,0)</f>
        <v>0</v>
      </c>
      <c r="C135" s="40">
        <f>IF(OR('Scénario référence'!$N$1=2,'Scénario référence'!$N$1=4),C134+1*VLOOKUP('Scénario référence'!$G$14,Paramètres!$A$1:$I$88,3,0)*VLOOKUP('Scénario référence'!$G$14,Paramètres!$A$1:$I$88,5,0),IF(OR('Scénario référence'!$N$1=3,'Scénario référence'!$N$1=5),C134+0.5*VLOOKUP('Scénario référence'!$G$14,Paramètres!$A$1:$I$88,3,0)*VLOOKUP('Scénario référence'!$G$14,Paramètres!$A$1:$I$88,5,0),0))</f>
        <v>72.072000000000031</v>
      </c>
      <c r="D135" s="26">
        <f t="shared" si="105"/>
        <v>20.187131385147271</v>
      </c>
      <c r="E135" s="27">
        <f>IF('Scénario référence'!$N$1=1,B135*44/12,(C135+D135)*0.475*44/12)</f>
        <v>160.68465382913155</v>
      </c>
      <c r="F135" s="28" t="e">
        <f>VLOOKUP(A135,'Données projet'!$A$35:$I$55,2,0)</f>
        <v>#N/A</v>
      </c>
      <c r="G135" s="28" t="e">
        <f>VLOOKUP(A135,'Données projet'!$A$35:$I$55,9,0)</f>
        <v>#N/A</v>
      </c>
      <c r="H135" s="33">
        <f t="array" ref="H135">INDEX(G:G,MIN(IF(ISNUMBER(G135:G331),ROW(G135:G331),"")))</f>
        <v>3</v>
      </c>
      <c r="I135" s="28">
        <f t="shared" si="106"/>
        <v>288.99999999999932</v>
      </c>
      <c r="J135" s="41">
        <f>I135*VLOOKUP('Données projet'!$B$9,Paramètres!$A$1:$I$88,3,0)*VLOOKUP('Données projet'!$B$9,Paramètres!$A$1:$I$88,5,0)</f>
        <v>293.04599999999931</v>
      </c>
      <c r="K135" s="41">
        <f t="shared" si="107"/>
        <v>69.716654076072487</v>
      </c>
      <c r="L135" s="42">
        <f t="shared" si="84"/>
        <v>631.81162251582498</v>
      </c>
      <c r="M135" s="30">
        <f>IF(ISNA(VLOOKUP(A135,'Données projet'!$A$35:$I$55,3,0)),0,VLOOKUP(A135,'Données projet'!$A$35:$I$55,3,0))</f>
        <v>0</v>
      </c>
      <c r="N135" s="30">
        <f>IF(ISNA(VLOOKUP(A135,'Données projet'!$A$35:$I$55,4,0)),0,VLOOKUP(A135,'Données projet'!$A$35:$I$55,4,0))</f>
        <v>0</v>
      </c>
      <c r="O135" s="31">
        <f>IF(ISNA(VLOOKUP(A135,'Données projet'!$A$35:$I$55,5,0)),0%,VLOOKUP(A135,'Données projet'!$A$35:$I$55,5,0)*VLOOKUP('Données projet'!$B$9,Paramètres!$A$1:$I$88,7,0))</f>
        <v>0</v>
      </c>
      <c r="P135" s="31">
        <f>IF(ISNA(VLOOKUP(A135,'Données projet'!$A$35:$I$55,6,0)),0%,VLOOKUP(A135,'Données projet'!$A$35:$I$55,6,0)*VLOOKUP('Données projet'!$B$9,Paramètres!$A$1:$I$88,7,0))</f>
        <v>0</v>
      </c>
      <c r="Q135" s="31">
        <f>IF(ISNA(VLOOKUP(A135,'Données projet'!$A$35:$I$55,7,0)),0%,VLOOKUP(A135,'Données projet'!$A$35:$I$55,7,0))</f>
        <v>0</v>
      </c>
      <c r="R135" s="43">
        <f>EXP(-LN(2)/35)*R134+(1-EXP(-LN(2)/35))/(LN(2)/35)*N135*O135*VLOOKUP('Données projet'!$B$9,Paramètres!$A$1:$I$88,3,0)*0.475*44/12</f>
        <v>0</v>
      </c>
      <c r="S135" s="43">
        <f>EXP(-LN(2)/25)*S134+(1-EXP(-LN(2)/25))/(LN(2)/25)*Calculateur!N135*Calculateur!P135*VLOOKUP('Données projet'!$B$9,Paramètres!$A$1:$I$88,3,0)*0.475*44/12</f>
        <v>0</v>
      </c>
      <c r="T135" s="43">
        <f>EXP(-LN(2)/2)*T134+(1-EXP(-LN(2)/2))/(LN(2)/2)*N135*Q135*VLOOKUP('Données projet'!$B$9,Paramètres!$A$1:$I$88,3,0)*0.475*44/12</f>
        <v>0</v>
      </c>
      <c r="U135" s="43">
        <f t="shared" si="85"/>
        <v>0</v>
      </c>
      <c r="V135" s="32" t="e">
        <f>VLOOKUP(A135,'Données projet'!$A$61:$I$81,2,0)</f>
        <v>#N/A</v>
      </c>
      <c r="W135" s="33" t="e">
        <f>VLOOKUP(A135,'Données projet'!$A$61:$I$81,9,0)</f>
        <v>#N/A</v>
      </c>
      <c r="X135" s="33">
        <f t="array" ref="X135">INDEX(W:W,MIN(IF(ISNUMBER(W135:W331),ROW(W135:W331),"")))</f>
        <v>0</v>
      </c>
      <c r="Y135" s="33">
        <f t="shared" si="108"/>
        <v>0</v>
      </c>
      <c r="Z135" s="34" t="e">
        <f>Y135*VLOOKUP('Données projet'!$B$10,Paramètres!$A$1:$I$88,3,0)*VLOOKUP('Données projet'!$B$10,Paramètres!$A$1:$I$88,5,0)</f>
        <v>#N/A</v>
      </c>
      <c r="AA135" s="34" t="e">
        <f t="shared" si="109"/>
        <v>#N/A</v>
      </c>
      <c r="AB135" s="44" t="e">
        <f t="shared" si="86"/>
        <v>#N/A</v>
      </c>
      <c r="AC135" s="36">
        <f>IF(ISNA(VLOOKUP(A135,'Données projet'!$A$61:$I$81,3,0)),0,VLOOKUP(A135,'Données projet'!$A$61:$I$81,3,0))</f>
        <v>0</v>
      </c>
      <c r="AD135" s="36">
        <f>IF(ISNA(VLOOKUP(A135,'Données projet'!$A$61:$I$81,4,0)),0,VLOOKUP(A135,'Données projet'!$A$61:$I$81,4,0))</f>
        <v>0</v>
      </c>
      <c r="AE135" s="37">
        <f>IF(ISNA(VLOOKUP(A135,'Données projet'!$A$61:$I$81,5,0)),0%,VLOOKUP(A135,'Données projet'!$A$61:$I$81,5,0)*VLOOKUP('Données projet'!$B$10,Paramètres!$A$1:$I$88,7,0))</f>
        <v>0</v>
      </c>
      <c r="AF135" s="37">
        <f>IF(ISNA(VLOOKUP(A135,'Données projet'!$A$61:$I$81,6,0)),0%,VLOOKUP(A135,'Données projet'!$A$61:$I$81,6,0)*VLOOKUP('Données projet'!$B$10,Paramètres!$A$1:$I$88,7,0))</f>
        <v>0</v>
      </c>
      <c r="AG135" s="37">
        <f>IF(ISNA(VLOOKUP(A135,'Données projet'!$A$61:$I$81,7,0)),0%,VLOOKUP(A135,'Données projet'!$A$61:$I$81,7,0))</f>
        <v>0</v>
      </c>
      <c r="AH135" s="45">
        <f>EXP(-LN(2)/35)*AH134+(1-EXP(-LN(2)/35))/(LN(2)/35)*AD135*AE135*VLOOKUP('Données projet'!$B$9,Paramètres!$A$1:$I$88,3,0)*0.475*44/12</f>
        <v>0</v>
      </c>
      <c r="AI135" s="45">
        <f>EXP(-LN(2)/25)*AI134+(1-EXP(-LN(2)/25))/(LN(2)/25)*Calculateur!AD135*Calculateur!AF135*VLOOKUP('Données projet'!$B$9,Paramètres!$A$1:$I$88,3,0)*0.475*44/12</f>
        <v>0</v>
      </c>
      <c r="AJ135" s="45">
        <f>EXP(-LN(2)/2)*AJ134+(1-EXP(-LN(2)/2))/(LN(2)/2)*AD135*AG135*VLOOKUP('Données projet'!$B$9,Paramètres!$A$1:$I$88,3,0)*0.475*44/12</f>
        <v>0</v>
      </c>
      <c r="AK135" s="45">
        <f t="shared" si="87"/>
        <v>0</v>
      </c>
      <c r="AL135" s="32" t="e">
        <f>VLOOKUP(A135,'Données projet'!$A$87:$I$107,2,0)</f>
        <v>#N/A</v>
      </c>
      <c r="AM135" s="33" t="e">
        <f>VLOOKUP(A135,'Données projet'!$A$87:$I$107,9,0)</f>
        <v>#N/A</v>
      </c>
      <c r="AN135" s="33">
        <f t="array" ref="AN135">INDEX(AM:AM,MIN(IF(ISNUMBER(AM135:AM331),ROW(AM135:AM331),"")))</f>
        <v>0</v>
      </c>
      <c r="AO135" s="33">
        <f t="shared" si="110"/>
        <v>0</v>
      </c>
      <c r="AP135" s="34" t="e">
        <f>AO135*VLOOKUP('Données projet'!$B$11,Paramètres!$A$1:$I$88,3,0)*VLOOKUP('Données projet'!$B$11,Paramètres!$A$1:$I$88,5,0)</f>
        <v>#N/A</v>
      </c>
      <c r="AQ135" s="34" t="e">
        <f t="shared" si="111"/>
        <v>#N/A</v>
      </c>
      <c r="AR135" s="44" t="e">
        <f t="shared" si="88"/>
        <v>#N/A</v>
      </c>
      <c r="AS135" s="36">
        <f>IF(ISNA(VLOOKUP(A135,'Données projet'!$A$87:$I$107,3,0)),0,VLOOKUP(A135,'Données projet'!$A$87:$I$107,3,0))</f>
        <v>0</v>
      </c>
      <c r="AT135" s="36">
        <f>IF(ISNA(VLOOKUP(A135,'Données projet'!$A$87:$I$107,4,0)),0,VLOOKUP(A135,'Données projet'!$A$87:$I$107,4,0))</f>
        <v>0</v>
      </c>
      <c r="AU135" s="37">
        <f>IF(ISNA(VLOOKUP(A135,'Données projet'!$A$87:$I$107,5,0)),0%,VLOOKUP(A135,'Données projet'!$A$87:$I$107,5,0)*VLOOKUP('Données projet'!$B$11,Paramètres!$A$1:$I$88,7,0))</f>
        <v>0</v>
      </c>
      <c r="AV135" s="37">
        <f>IF(ISNA(VLOOKUP(A135,'Données projet'!$A$87:$I$107,6,0)),0%,VLOOKUP(A135,'Données projet'!$A$87:$I$107,6,0)*VLOOKUP('Données projet'!$B$11,Paramètres!$A$1:$I$88,7,0))</f>
        <v>0</v>
      </c>
      <c r="AW135" s="37">
        <f>IF(ISNA(VLOOKUP(A135,'Données projet'!$A$87:$I$107,7,0)),0%,VLOOKUP(A135,'Données projet'!$A$87:$I$107,7,0))</f>
        <v>0</v>
      </c>
      <c r="AX135" s="45">
        <f>EXP(-LN(2)/35)*AX134+(1-EXP(-LN(2)/35))/(LN(2)/35)*AT135*AU135*VLOOKUP('Données projet'!$B$9,Paramètres!$A$1:$I$88,3,0)*0.475*44/12</f>
        <v>0</v>
      </c>
      <c r="AY135" s="45">
        <f>EXP(-LN(2)/25)*AY134+(1-EXP(-LN(2)/25))/(LN(2)/25)*Calculateur!AT135*Calculateur!AV135*VLOOKUP('Données projet'!$B$9,Paramètres!$A$1:$I$88,3,0)*0.475*44/12</f>
        <v>0</v>
      </c>
      <c r="AZ135" s="45">
        <f>EXP(-LN(2)/2)*AZ134+(1-EXP(-LN(2)/2))/(LN(2)/2)*AT135*AW135*VLOOKUP('Données projet'!$B$9,Paramètres!$A$1:$I$88,3,0)*0.475*44/12</f>
        <v>0</v>
      </c>
      <c r="BA135" s="46">
        <f t="shared" si="89"/>
        <v>0</v>
      </c>
      <c r="BB135" s="32" t="e">
        <f>VLOOKUP(A135,'Données projet'!$A$113:$I$133,2,0)</f>
        <v>#N/A</v>
      </c>
      <c r="BC135" s="33" t="e">
        <f>VLOOKUP(A135,'Données projet'!$A$113:$I$133,9,0)</f>
        <v>#N/A</v>
      </c>
      <c r="BD135" s="33">
        <f t="array" ref="BD135">INDEX(BC:BC,MIN(IF(ISNUMBER(BC135:BC331),ROW(BC135:BC331),"")))</f>
        <v>0</v>
      </c>
      <c r="BE135" s="33">
        <f t="shared" si="112"/>
        <v>0</v>
      </c>
      <c r="BF135" s="34" t="e">
        <f>BE135*VLOOKUP('Données projet'!$B$12,Paramètres!$A$1:$I$88,3,0)*VLOOKUP('Données projet'!$B$12,Paramètres!$A$1:$I$88,5,0)</f>
        <v>#N/A</v>
      </c>
      <c r="BG135" s="34" t="e">
        <f t="shared" si="113"/>
        <v>#N/A</v>
      </c>
      <c r="BH135" s="44" t="e">
        <f t="shared" si="90"/>
        <v>#N/A</v>
      </c>
      <c r="BI135" s="36">
        <f>IF(ISNA(VLOOKUP(A135,'Données projet'!$A$113:$I$133,3,0)),0,VLOOKUP(A135,'Données projet'!$A$113:$I$133,3,0))</f>
        <v>0</v>
      </c>
      <c r="BJ135" s="36">
        <f>IF(ISNA(VLOOKUP(A135,'Données projet'!$A$113:$I$133,4,0)),0,VLOOKUP(A135,'Données projet'!$A$113:$I$133,4,0))</f>
        <v>0</v>
      </c>
      <c r="BK135" s="37">
        <f>IF(ISNA(VLOOKUP(A135,'Données projet'!$A$113:$I$133,5,0)),0%,VLOOKUP(A135,'Données projet'!$A$113:$I$133,5,0)*VLOOKUP('Données projet'!$B$12,Paramètres!$A$1:$I$88,7,0))</f>
        <v>0</v>
      </c>
      <c r="BL135" s="37">
        <f>IF(ISNA(VLOOKUP(A135,'Données projet'!$A$113:$I$133,6,0)),0%,VLOOKUP(A135,'Données projet'!$A$113:$I$133,6,0)*VLOOKUP('Données projet'!$B$12,Paramètres!$A$1:$I$88,7,0))</f>
        <v>0</v>
      </c>
      <c r="BM135" s="37">
        <f>IF(ISNA(VLOOKUP(A135,'Données projet'!$A$113:$I$133,7,0)),0%,VLOOKUP(A135,'Données projet'!$A$113:$I$133,7,0))</f>
        <v>0</v>
      </c>
      <c r="BN135" s="45">
        <f>EXP(-LN(2)/35)*BN134+(1-EXP(-LN(2)/35))/(LN(2)/35)*BJ135*BK135*VLOOKUP('Données projet'!$B$9,Paramètres!$A$1:$I$88,3,0)*0.475*44/12</f>
        <v>0</v>
      </c>
      <c r="BO135" s="45">
        <f>EXP(-LN(2)/25)*BO134+(1-EXP(-LN(2)/25))/(LN(2)/25)*Calculateur!BJ135*Calculateur!BL135*VLOOKUP('Données projet'!$B$9,Paramètres!$A$1:$I$88,3,0)*0.475*44/12</f>
        <v>0</v>
      </c>
      <c r="BP135" s="45">
        <f>EXP(-LN(2)/2)*BP134+(1-EXP(-LN(2)/2))/(LN(2)/2)*BJ135*BM135*VLOOKUP('Données projet'!$B$9,Paramètres!$A$1:$I$88,3,0)*0.475*44/12</f>
        <v>0</v>
      </c>
      <c r="BQ135" s="46">
        <f t="shared" si="91"/>
        <v>0</v>
      </c>
      <c r="BR135" s="32" t="e">
        <f>VLOOKUP(A135,'Données projet'!$A$139:$I$159,2,0)</f>
        <v>#N/A</v>
      </c>
      <c r="BS135" s="33" t="e">
        <f>VLOOKUP(A135,'Données projet'!$A$139:$I$159,9,0)</f>
        <v>#N/A</v>
      </c>
      <c r="BT135" s="33">
        <f t="array" ref="BT135">INDEX(BS:BS,MIN(IF(ISNUMBER(BS135:BS331),ROW(BS135:BS331),"")))</f>
        <v>0</v>
      </c>
      <c r="BU135" s="33">
        <f t="shared" si="114"/>
        <v>0</v>
      </c>
      <c r="BV135" s="38" t="e">
        <f>BU135*VLOOKUP('Données projet'!$B$13,Paramètres!$A$1:$I$88,3,0)*VLOOKUP('Données projet'!$B$13,Paramètres!$A$1:$I$88,5,0)</f>
        <v>#N/A</v>
      </c>
      <c r="BW135" s="34" t="e">
        <f t="shared" si="115"/>
        <v>#N/A</v>
      </c>
      <c r="BX135" s="44" t="e">
        <f t="shared" si="92"/>
        <v>#N/A</v>
      </c>
      <c r="BY135" s="36">
        <f>IF(ISNA(VLOOKUP(A135,'Données projet'!$A$139:$I$159,3,0)),0,VLOOKUP(A135,'Données projet'!$A$139:$I$159,3,0))</f>
        <v>0</v>
      </c>
      <c r="BZ135" s="36">
        <f>IF(ISNA(VLOOKUP(A135,'Données projet'!$A$139:$I$159,4,0)),0,VLOOKUP(A135,'Données projet'!$A$139:$I$159,4,0))</f>
        <v>0</v>
      </c>
      <c r="CA135" s="37">
        <f>IF(ISNA(VLOOKUP(A135,'Données projet'!$A$139:$I$159,5,0)),0%,VLOOKUP(A135,'Données projet'!$A$139:$I$159,5,0)*VLOOKUP('Données projet'!$B$13,Paramètres!$A$1:$I$88,7,0))</f>
        <v>0</v>
      </c>
      <c r="CB135" s="37">
        <f>IF(ISNA(VLOOKUP(A135,'Données projet'!$A$139:$I$159,6,0)),0%,VLOOKUP(A135,'Données projet'!$A$139:$I$159,6,0)*VLOOKUP('Données projet'!$B$13,Paramètres!$A$1:$I$88,7,0))</f>
        <v>0</v>
      </c>
      <c r="CC135" s="37">
        <f>IF(ISNA(VLOOKUP(A135,'Données projet'!$A$139:$I$159,7,0)),0%,VLOOKUP(A135,'Données projet'!$A$139:$I$159,7,0))</f>
        <v>0</v>
      </c>
      <c r="CD135" s="45">
        <f>EXP(-LN(2)/35)*CD134+(1-EXP(-LN(2)/35))/(LN(2)/35)*BZ135*CA135*VLOOKUP('Données projet'!$B$9,Paramètres!$A$1:$I$88,3,0)*0.475*44/12</f>
        <v>0</v>
      </c>
      <c r="CE135" s="45">
        <f>EXP(-LN(2)/25)*CE134+(1-EXP(-LN(2)/25))/(LN(2)/25)*Calculateur!BZ135*Calculateur!CB135*VLOOKUP('Données projet'!$B$9,Paramètres!$A$1:$I$88,3,0)*0.475*44/12</f>
        <v>0</v>
      </c>
      <c r="CF135" s="45">
        <f>EXP(-LN(2)/2)*CF134+(1-EXP(-LN(2)/2))/(LN(2)/2)*BZ135*CC135*VLOOKUP('Données projet'!$B$9,Paramètres!$A$1:$I$88,3,0)*0.475*44/12</f>
        <v>0</v>
      </c>
      <c r="CG135" s="46">
        <f t="shared" si="93"/>
        <v>0</v>
      </c>
      <c r="CH135" s="32" t="e">
        <f>VLOOKUP(A135,'Données projet'!$A$165:$I$185,2,0)</f>
        <v>#N/A</v>
      </c>
      <c r="CI135" s="33" t="e">
        <f>VLOOKUP(A135,'Données projet'!$A$165:$I$185,9,0)</f>
        <v>#N/A</v>
      </c>
      <c r="CJ135" s="33">
        <f t="array" ref="CJ135">INDEX(CI:CI,MIN(IF(ISNUMBER(CI135:CI331),ROW(CI135:CI331),"")))</f>
        <v>0</v>
      </c>
      <c r="CK135" s="33">
        <f t="shared" si="116"/>
        <v>0</v>
      </c>
      <c r="CL135" s="38" t="e">
        <f>CK135*VLOOKUP('Données projet'!$B$14,Paramètres!$A$1:$I$88,3,0)*VLOOKUP('Données projet'!$B$14,Paramètres!$A$1:$I$88,5,0)</f>
        <v>#N/A</v>
      </c>
      <c r="CM135" s="34" t="e">
        <f t="shared" si="117"/>
        <v>#N/A</v>
      </c>
      <c r="CN135" s="44" t="e">
        <f t="shared" si="94"/>
        <v>#N/A</v>
      </c>
      <c r="CO135" s="36">
        <f>IF(ISNA(VLOOKUP(A135,'Données projet'!$A$165:$I$185,3,0)),0,VLOOKUP(A135,'Données projet'!$A$165:$I$185,3,0))</f>
        <v>0</v>
      </c>
      <c r="CP135" s="36">
        <f>IF(ISNA(VLOOKUP(A135,'Données projet'!$A$165:$I$185,4,0)),0,VLOOKUP(A135,'Données projet'!$A$165:$I$185,4,0))</f>
        <v>0</v>
      </c>
      <c r="CQ135" s="37">
        <f>IF(ISNA(VLOOKUP(A135,'Données projet'!$A$165:$I$185,5,0)),0%,VLOOKUP(A135,'Données projet'!$A$165:$I$185,5,0)*VLOOKUP('Données projet'!$B$14,Paramètres!$A$1:$I$88,7,0))</f>
        <v>0</v>
      </c>
      <c r="CR135" s="37">
        <f>IF(ISNA(VLOOKUP(A135,'Données projet'!$A$165:$I$185,6,0)),0%,VLOOKUP(A135,'Données projet'!$A$165:$I$185,6,0)*VLOOKUP('Données projet'!$B$14,Paramètres!$A$1:$I$88,7,0))</f>
        <v>0</v>
      </c>
      <c r="CS135" s="37">
        <f>IF(ISNA(VLOOKUP(A135,'Données projet'!$A$165:$I$185,7,0)),0%,VLOOKUP(A135,'Données projet'!$A$165:$I$185,7,0))</f>
        <v>0</v>
      </c>
      <c r="CT135" s="45">
        <f>EXP(-LN(2)/35)*CT134+(1-EXP(-LN(2)/35))/(LN(2)/35)*CP135*CQ135*VLOOKUP('Données projet'!$B$9,Paramètres!$A$1:$I$88,3,0)*0.475*44/12</f>
        <v>0</v>
      </c>
      <c r="CU135" s="45">
        <f>EXP(-LN(2)/25)*CU134+(1-EXP(-LN(2)/25))/(LN(2)/25)*Calculateur!CP135*Calculateur!CR135*VLOOKUP('Données projet'!$B$9,Paramètres!$A$1:$I$88,3,0)*0.475*44/12</f>
        <v>0</v>
      </c>
      <c r="CV135" s="45">
        <f>EXP(-LN(2)/2)*CV134+(1-EXP(-LN(2)/2))/(LN(2)/2)*CP135*CS135*VLOOKUP('Données projet'!$B$9,Paramètres!$A$1:$I$88,3,0)*0.475*44/12</f>
        <v>0</v>
      </c>
      <c r="CW135" s="46">
        <f t="shared" si="95"/>
        <v>0</v>
      </c>
      <c r="CX135" s="32" t="e">
        <f>VLOOKUP(A135,'Données projet'!$A$191:$I$211,2,0)</f>
        <v>#N/A</v>
      </c>
      <c r="CY135" s="33" t="e">
        <f>VLOOKUP(A135,'Données projet'!$A$191:$I$211,9,0)</f>
        <v>#N/A</v>
      </c>
      <c r="CZ135" s="33">
        <f t="array" ref="CZ135">INDEX(CY:CY,MIN(IF(ISNUMBER(CY135:CY331),ROW(CY135:CY331),"")))</f>
        <v>0</v>
      </c>
      <c r="DA135" s="33">
        <f t="shared" si="118"/>
        <v>0</v>
      </c>
      <c r="DB135" s="38" t="e">
        <f>DA135*VLOOKUP('Données projet'!$B$15,Paramètres!$A$1:$I$88,3,0)*VLOOKUP('Données projet'!$B$15,Paramètres!$A$1:$I$88,5,0)</f>
        <v>#N/A</v>
      </c>
      <c r="DC135" s="34" t="e">
        <f t="shared" si="119"/>
        <v>#N/A</v>
      </c>
      <c r="DD135" s="44" t="e">
        <f t="shared" si="96"/>
        <v>#N/A</v>
      </c>
      <c r="DE135" s="36">
        <f>IF(ISNA(VLOOKUP(A135,'Données projet'!$A$191:$I$211,3,0)),0,VLOOKUP(A135,'Données projet'!$A$191:$I$211,3,0))</f>
        <v>0</v>
      </c>
      <c r="DF135" s="36">
        <f>IF(ISNA(VLOOKUP(A135,'Données projet'!$A$191:$I$211,4,0)),0,VLOOKUP(A135,'Données projet'!$A$191:$I$211,4,0))</f>
        <v>0</v>
      </c>
      <c r="DG135" s="37">
        <f>IF(ISNA(VLOOKUP(A135,'Données projet'!$A$191:$I$211,5,0)),0%,VLOOKUP(A135,'Données projet'!$A$191:$I$211,5,0)*VLOOKUP('Données projet'!$B$15,Paramètres!$A$1:$I$88,7,0))</f>
        <v>0</v>
      </c>
      <c r="DH135" s="37">
        <f>IF(ISNA(VLOOKUP(A135,'Données projet'!$A$191:$I$211,6,0)),0%,VLOOKUP(A135,'Données projet'!$A$191:$I$211,6,0)*VLOOKUP('Données projet'!$B$15,Paramètres!$A$1:$I$88,7,0))</f>
        <v>0</v>
      </c>
      <c r="DI135" s="37">
        <f>IF(ISNA(VLOOKUP(A135,'Données projet'!$A$191:$I$211,7,0)),0%,VLOOKUP(A135,'Données projet'!$A$191:$I$211,7,0))</f>
        <v>0</v>
      </c>
      <c r="DJ135" s="45">
        <f>EXP(-LN(2)/35)*DJ134+(1-EXP(-LN(2)/35))/(LN(2)/35)*DF135*DG135*VLOOKUP('Données projet'!$B$9,Paramètres!$A$1:$I$88,3,0)*0.475*44/12</f>
        <v>0</v>
      </c>
      <c r="DK135" s="45">
        <f>EXP(-LN(2)/25)*DK134+(1-EXP(-LN(2)/25))/(LN(2)/25)*Calculateur!DF135*Calculateur!DH135*VLOOKUP('Données projet'!$B$9,Paramètres!$A$1:$I$88,3,0)*0.475*44/12</f>
        <v>0</v>
      </c>
      <c r="DL135" s="45">
        <f>EXP(-LN(2)/2)*DL134+(1-EXP(-LN(2)/2))/(LN(2)/2)*DF135*DI135*VLOOKUP('Données projet'!$B$9,Paramètres!$A$1:$I$88,3,0)*0.475*44/12</f>
        <v>0</v>
      </c>
      <c r="DM135" s="46">
        <f t="shared" si="97"/>
        <v>0</v>
      </c>
      <c r="DN135" s="32" t="e">
        <f>VLOOKUP(A135,'Données projet'!$A$217:$I$237,2,0)</f>
        <v>#N/A</v>
      </c>
      <c r="DO135" s="33" t="e">
        <f>VLOOKUP(A135,'Données projet'!$A$217:$I$237,9,0)</f>
        <v>#N/A</v>
      </c>
      <c r="DP135" s="33">
        <f t="array" ref="DP135">INDEX(DO:DO,MIN(IF(ISNUMBER(DO135:DO331),ROW(DO135:DO331),"")))</f>
        <v>0</v>
      </c>
      <c r="DQ135" s="33">
        <f t="shared" si="120"/>
        <v>0</v>
      </c>
      <c r="DR135" s="38" t="e">
        <f>DQ135*VLOOKUP('Données projet'!$B$16,Paramètres!$A$1:$I$88,3,0)*VLOOKUP('Données projet'!$B$16,Paramètres!$A$1:$I$88,5,0)</f>
        <v>#N/A</v>
      </c>
      <c r="DS135" s="34" t="e">
        <f t="shared" si="121"/>
        <v>#N/A</v>
      </c>
      <c r="DT135" s="44" t="e">
        <f t="shared" si="98"/>
        <v>#N/A</v>
      </c>
      <c r="DU135" s="36">
        <f>IF(ISNA(VLOOKUP(A135,'Données projet'!$A$217:$I$237,3,0)),0,VLOOKUP(A135,'Données projet'!$A$217:$I$237,3,0))</f>
        <v>0</v>
      </c>
      <c r="DV135" s="36">
        <f>IF(ISNA(VLOOKUP(A135,'Données projet'!$A$217:$I$237,4,0)),0,VLOOKUP(A135,'Données projet'!$A$217:$I$237,4,0))</f>
        <v>0</v>
      </c>
      <c r="DW135" s="37">
        <f>IF(ISNA(VLOOKUP(A135,'Données projet'!$A$217:$I$237,5,0)),0%,VLOOKUP(A135,'Données projet'!$A$217:$I$237,5,0)*VLOOKUP('Données projet'!$B$16,Paramètres!$A$1:$I$88,7,0))</f>
        <v>0</v>
      </c>
      <c r="DX135" s="37">
        <f>IF(ISNA(VLOOKUP(A135,'Données projet'!$A$217:$I$237,6,0)),0%,VLOOKUP(A135,'Données projet'!$A$217:$I$237,6,0)*VLOOKUP('Données projet'!$B$16,Paramètres!$A$1:$I$88,7,0))</f>
        <v>0</v>
      </c>
      <c r="DY135" s="37">
        <f>IF(ISNA(VLOOKUP(A135,'Données projet'!$A$217:$I$237,7,0)),0%,VLOOKUP(A135,'Données projet'!$A$217:$I$237,7,0))</f>
        <v>0</v>
      </c>
      <c r="DZ135" s="45">
        <f>EXP(-LN(2)/35)*DZ134+(1-EXP(-LN(2)/35))/(LN(2)/35)*DV135*DW135*VLOOKUP('Données projet'!$B$9,Paramètres!$A$1:$I$88,3,0)*0.475*44/12</f>
        <v>0</v>
      </c>
      <c r="EA135" s="45">
        <f>EXP(-LN(2)/25)*EA134+(1-EXP(-LN(2)/25))/(LN(2)/25)*Calculateur!DV135*Calculateur!DX135*VLOOKUP('Données projet'!$B$9,Paramètres!$A$1:$I$88,3,0)*0.475*44/12</f>
        <v>0</v>
      </c>
      <c r="EB135" s="45">
        <f>EXP(-LN(2)/2)*EB134+(1-EXP(-LN(2)/2))/(LN(2)/2)*DV135*DY135*VLOOKUP('Données projet'!$B$9,Paramètres!$A$1:$I$88,3,0)*0.475*44/12</f>
        <v>0</v>
      </c>
      <c r="EC135" s="46">
        <f t="shared" si="99"/>
        <v>0</v>
      </c>
      <c r="ED135" s="32" t="e">
        <f>VLOOKUP(A135,'Données projet'!$A$243:$I$263,2,0)</f>
        <v>#N/A</v>
      </c>
      <c r="EE135" s="33" t="e">
        <f>VLOOKUP(A135,'Données projet'!$A$243:$I$263,9,0)</f>
        <v>#N/A</v>
      </c>
      <c r="EF135" s="33">
        <f t="array" ref="EF135">INDEX(EE:EE,MIN(IF(ISNUMBER(EE135:EE331),ROW(EE135:EE331),"")))</f>
        <v>0</v>
      </c>
      <c r="EG135" s="33">
        <f t="shared" si="122"/>
        <v>0</v>
      </c>
      <c r="EH135" s="38" t="e">
        <f>EG135*VLOOKUP('Données projet'!$B$17,Paramètres!$A$1:$I$88,3,0)*VLOOKUP('Données projet'!$B$17,Paramètres!$A$1:$I$88,5,0)</f>
        <v>#N/A</v>
      </c>
      <c r="EI135" s="34" t="e">
        <f t="shared" si="123"/>
        <v>#N/A</v>
      </c>
      <c r="EJ135" s="44" t="e">
        <f t="shared" si="100"/>
        <v>#N/A</v>
      </c>
      <c r="EK135" s="36">
        <f>IF(ISNA(VLOOKUP(A135,'Données projet'!$A$243:$I$263,3,0)),0,VLOOKUP(A135,'Données projet'!$A$243:$I$263,3,0))</f>
        <v>0</v>
      </c>
      <c r="EL135" s="36">
        <f>IF(ISNA(VLOOKUP(A135,'Données projet'!$A$243:$I$263,4,0)),0,VLOOKUP(A135,'Données projet'!$A$243:$I$263,4,0))</f>
        <v>0</v>
      </c>
      <c r="EM135" s="37">
        <f>IF(ISNA(VLOOKUP(A135,'Données projet'!$A$243:$I$263,5,0)),0%,VLOOKUP(A135,'Données projet'!$A$243:$I$263,5,0)*VLOOKUP('Données projet'!$B$17,Paramètres!$A$1:$I$88,7,0))</f>
        <v>0</v>
      </c>
      <c r="EN135" s="37">
        <f>IF(ISNA(VLOOKUP(A135,'Données projet'!$A$243:$I$263,6,0)),0%,VLOOKUP(A135,'Données projet'!$A$243:$I$263,6,0)*VLOOKUP('Données projet'!$B$17,Paramètres!$A$1:$I$88,7,0))</f>
        <v>0</v>
      </c>
      <c r="EO135" s="37">
        <f>IF(ISNA(VLOOKUP(A135,'Données projet'!$A$243:$I$263,7,0)),0%,VLOOKUP(A135,'Données projet'!$A$243:$I$263,7,0))</f>
        <v>0</v>
      </c>
      <c r="EP135" s="45">
        <f>EXP(-LN(2)/35)*EP134+(1-EXP(-LN(2)/35))/(LN(2)/35)*EL135*EM135*VLOOKUP('Données projet'!$B$9,Paramètres!$A$1:$I$88,3,0)*0.475*44/12</f>
        <v>0</v>
      </c>
      <c r="EQ135" s="45">
        <f>EXP(-LN(2)/25)*EQ134+(1-EXP(-LN(2)/25))/(LN(2)/25)*Calculateur!EL135*Calculateur!EN135*VLOOKUP('Données projet'!$B$9,Paramètres!$A$1:$I$88,3,0)*0.475*44/12</f>
        <v>0</v>
      </c>
      <c r="ER135" s="45">
        <f>EXP(-LN(2)/2)*ER134+(1-EXP(-LN(2)/2))/(LN(2)/2)*EL135*EO135*VLOOKUP('Données projet'!$B$9,Paramètres!$A$1:$I$88,3,0)*0.475*44/12</f>
        <v>0</v>
      </c>
      <c r="ES135" s="46">
        <f t="shared" si="101"/>
        <v>0</v>
      </c>
      <c r="ET135" s="32" t="e">
        <f>VLOOKUP(A135,'Données projet'!$A$269:$I$289,2,0)</f>
        <v>#N/A</v>
      </c>
      <c r="EU135" s="33" t="e">
        <f>VLOOKUP(A135,'Données projet'!$A$269:$I$289,9,0)</f>
        <v>#N/A</v>
      </c>
      <c r="EV135" s="33">
        <f t="array" ref="EV135">INDEX(EU:EU,MIN(IF(ISNUMBER(EU135:EU331),ROW(EU135:EU331),"")))</f>
        <v>0</v>
      </c>
      <c r="EW135" s="33">
        <f t="shared" si="124"/>
        <v>0</v>
      </c>
      <c r="EX135" s="38" t="e">
        <f>EW135*VLOOKUP('Données projet'!$B$18,Paramètres!$A$1:$I$88,3,0)*VLOOKUP('Données projet'!$B$18,Paramètres!$A$1:$I$88,5,0)</f>
        <v>#N/A</v>
      </c>
      <c r="EY135" s="34" t="e">
        <f t="shared" si="125"/>
        <v>#N/A</v>
      </c>
      <c r="EZ135" s="44" t="e">
        <f t="shared" si="102"/>
        <v>#N/A</v>
      </c>
      <c r="FA135" s="36">
        <f>IF(ISNA(VLOOKUP(A135,'Données projet'!$A$269:$I$289,3,0)),0,VLOOKUP(A135,'Données projet'!$A$269:$I$289,3,0))</f>
        <v>0</v>
      </c>
      <c r="FB135" s="36">
        <f>IF(ISNA(VLOOKUP(A135,'Données projet'!$A$269:$I$289,4,0)),0,VLOOKUP(A135,'Données projet'!$A$269:$I$289,4,0))</f>
        <v>0</v>
      </c>
      <c r="FC135" s="37">
        <f>IF(ISNA(VLOOKUP(A135,'Données projet'!$A$269:$I$289,5,0)),0%,VLOOKUP(A135,'Données projet'!$A$269:$I$289,5,0)*VLOOKUP('Données projet'!$B$18,Paramètres!$A$1:$I$88,7,0))</f>
        <v>0</v>
      </c>
      <c r="FD135" s="37">
        <f>IF(ISNA(VLOOKUP(A135,'Données projet'!$A$269:$I$289,6,0)),0%,VLOOKUP(A135,'Données projet'!$A$269:$I$289,6,0)*VLOOKUP('Données projet'!$B$18,Paramètres!$A$1:$I$88,7,0))</f>
        <v>0</v>
      </c>
      <c r="FE135" s="37">
        <f>IF(ISNA(VLOOKUP(A135,'Données projet'!$A$269:$I$289,7,0)),0%,VLOOKUP(A135,'Données projet'!$A$269:$I$289,7,0))</f>
        <v>0</v>
      </c>
      <c r="FF135" s="45">
        <f>EXP(-LN(2)/35)*FF134+(1-EXP(-LN(2)/35))/(LN(2)/35)*FB135*FC135*VLOOKUP('Données projet'!$B$9,Paramètres!$A$1:$I$88,3,0)*0.475*44/12</f>
        <v>0</v>
      </c>
      <c r="FG135" s="45">
        <f>EXP(-LN(2)/25)*FG134+(1-EXP(-LN(2)/25))/(LN(2)/25)*Calculateur!FB135*Calculateur!FD135*VLOOKUP('Données projet'!$B$9,Paramètres!$A$1:$I$88,3,0)*0.475*44/12</f>
        <v>0</v>
      </c>
      <c r="FH135" s="45">
        <f>EXP(-LN(2)/2)*FH134+(1-EXP(-LN(2)/2))/(LN(2)/2)*FB135*FE135*VLOOKUP('Données projet'!$B$9,Paramètres!$A$1:$I$88,3,0)*0.475*44/12</f>
        <v>0</v>
      </c>
      <c r="FI135" s="46">
        <f t="shared" si="103"/>
        <v>0</v>
      </c>
    </row>
    <row r="136" spans="1:165" x14ac:dyDescent="0.25">
      <c r="A136" s="24">
        <f t="shared" si="104"/>
        <v>133</v>
      </c>
      <c r="B136" s="25">
        <f>IF('Scénario référence'!$N$1=1,5,0)</f>
        <v>0</v>
      </c>
      <c r="C136" s="40">
        <f>IF(OR('Scénario référence'!$N$1=2,'Scénario référence'!$N$1=4),C135+1*VLOOKUP('Scénario référence'!$G$14,Paramètres!$A$1:$I$88,3,0)*VLOOKUP('Scénario référence'!$G$14,Paramètres!$A$1:$I$88,5,0),IF(OR('Scénario référence'!$N$1=3,'Scénario référence'!$N$1=5),C135+0.5*VLOOKUP('Scénario référence'!$G$14,Paramètres!$A$1:$I$88,3,0)*VLOOKUP('Scénario référence'!$G$14,Paramètres!$A$1:$I$88,5,0),0))</f>
        <v>72.618000000000038</v>
      </c>
      <c r="D136" s="26">
        <f t="shared" si="105"/>
        <v>20.322203405798462</v>
      </c>
      <c r="E136" s="27">
        <f>IF('Scénario référence'!$N$1=1,B136*44/12,(C136+D136)*0.475*44/12)</f>
        <v>161.87085426509904</v>
      </c>
      <c r="F136" s="28" t="e">
        <f>VLOOKUP(A136,'Données projet'!$A$35:$I$55,2,0)</f>
        <v>#N/A</v>
      </c>
      <c r="G136" s="28" t="e">
        <f>VLOOKUP(A136,'Données projet'!$A$35:$I$55,9,0)</f>
        <v>#N/A</v>
      </c>
      <c r="H136" s="33">
        <f t="array" ref="H136">INDEX(G:G,MIN(IF(ISNUMBER(G136:G332),ROW(G136:G332),"")))</f>
        <v>3</v>
      </c>
      <c r="I136" s="28">
        <f t="shared" si="106"/>
        <v>291.99999999999932</v>
      </c>
      <c r="J136" s="41">
        <f>I136*VLOOKUP('Données projet'!$B$9,Paramètres!$A$1:$I$88,3,0)*VLOOKUP('Données projet'!$B$9,Paramètres!$A$1:$I$88,5,0)</f>
        <v>296.08799999999934</v>
      </c>
      <c r="K136" s="41">
        <f t="shared" si="107"/>
        <v>70.355732571828923</v>
      </c>
      <c r="L136" s="42">
        <f t="shared" si="84"/>
        <v>638.22283422926751</v>
      </c>
      <c r="M136" s="30">
        <f>IF(ISNA(VLOOKUP(A136,'Données projet'!$A$35:$I$55,3,0)),0,VLOOKUP(A136,'Données projet'!$A$35:$I$55,3,0))</f>
        <v>0</v>
      </c>
      <c r="N136" s="30">
        <f>IF(ISNA(VLOOKUP(A136,'Données projet'!$A$35:$I$55,4,0)),0,VLOOKUP(A136,'Données projet'!$A$35:$I$55,4,0))</f>
        <v>0</v>
      </c>
      <c r="O136" s="31">
        <f>IF(ISNA(VLOOKUP(A136,'Données projet'!$A$35:$I$55,5,0)),0%,VLOOKUP(A136,'Données projet'!$A$35:$I$55,5,0)*VLOOKUP('Données projet'!$B$9,Paramètres!$A$1:$I$88,7,0))</f>
        <v>0</v>
      </c>
      <c r="P136" s="31">
        <f>IF(ISNA(VLOOKUP(A136,'Données projet'!$A$35:$I$55,6,0)),0%,VLOOKUP(A136,'Données projet'!$A$35:$I$55,6,0)*VLOOKUP('Données projet'!$B$9,Paramètres!$A$1:$I$88,7,0))</f>
        <v>0</v>
      </c>
      <c r="Q136" s="31">
        <f>IF(ISNA(VLOOKUP(A136,'Données projet'!$A$35:$I$55,7,0)),0%,VLOOKUP(A136,'Données projet'!$A$35:$I$55,7,0))</f>
        <v>0</v>
      </c>
      <c r="R136" s="43">
        <f>EXP(-LN(2)/35)*R135+(1-EXP(-LN(2)/35))/(LN(2)/35)*N136*O136*VLOOKUP('Données projet'!$B$9,Paramètres!$A$1:$I$88,3,0)*0.475*44/12</f>
        <v>0</v>
      </c>
      <c r="S136" s="43">
        <f>EXP(-LN(2)/25)*S135+(1-EXP(-LN(2)/25))/(LN(2)/25)*Calculateur!N136*Calculateur!P136*VLOOKUP('Données projet'!$B$9,Paramètres!$A$1:$I$88,3,0)*0.475*44/12</f>
        <v>0</v>
      </c>
      <c r="T136" s="43">
        <f>EXP(-LN(2)/2)*T135+(1-EXP(-LN(2)/2))/(LN(2)/2)*N136*Q136*VLOOKUP('Données projet'!$B$9,Paramètres!$A$1:$I$88,3,0)*0.475*44/12</f>
        <v>0</v>
      </c>
      <c r="U136" s="43">
        <f t="shared" si="85"/>
        <v>0</v>
      </c>
      <c r="V136" s="32" t="e">
        <f>VLOOKUP(A136,'Données projet'!$A$61:$I$81,2,0)</f>
        <v>#N/A</v>
      </c>
      <c r="W136" s="33" t="e">
        <f>VLOOKUP(A136,'Données projet'!$A$61:$I$81,9,0)</f>
        <v>#N/A</v>
      </c>
      <c r="X136" s="33">
        <f t="array" ref="X136">INDEX(W:W,MIN(IF(ISNUMBER(W136:W332),ROW(W136:W332),"")))</f>
        <v>0</v>
      </c>
      <c r="Y136" s="33">
        <f t="shared" si="108"/>
        <v>0</v>
      </c>
      <c r="Z136" s="34" t="e">
        <f>Y136*VLOOKUP('Données projet'!$B$10,Paramètres!$A$1:$I$88,3,0)*VLOOKUP('Données projet'!$B$10,Paramètres!$A$1:$I$88,5,0)</f>
        <v>#N/A</v>
      </c>
      <c r="AA136" s="34" t="e">
        <f t="shared" si="109"/>
        <v>#N/A</v>
      </c>
      <c r="AB136" s="44" t="e">
        <f t="shared" si="86"/>
        <v>#N/A</v>
      </c>
      <c r="AC136" s="36">
        <f>IF(ISNA(VLOOKUP(A136,'Données projet'!$A$61:$I$81,3,0)),0,VLOOKUP(A136,'Données projet'!$A$61:$I$81,3,0))</f>
        <v>0</v>
      </c>
      <c r="AD136" s="36">
        <f>IF(ISNA(VLOOKUP(A136,'Données projet'!$A$61:$I$81,4,0)),0,VLOOKUP(A136,'Données projet'!$A$61:$I$81,4,0))</f>
        <v>0</v>
      </c>
      <c r="AE136" s="37">
        <f>IF(ISNA(VLOOKUP(A136,'Données projet'!$A$61:$I$81,5,0)),0%,VLOOKUP(A136,'Données projet'!$A$61:$I$81,5,0)*VLOOKUP('Données projet'!$B$10,Paramètres!$A$1:$I$88,7,0))</f>
        <v>0</v>
      </c>
      <c r="AF136" s="37">
        <f>IF(ISNA(VLOOKUP(A136,'Données projet'!$A$61:$I$81,6,0)),0%,VLOOKUP(A136,'Données projet'!$A$61:$I$81,6,0)*VLOOKUP('Données projet'!$B$10,Paramètres!$A$1:$I$88,7,0))</f>
        <v>0</v>
      </c>
      <c r="AG136" s="37">
        <f>IF(ISNA(VLOOKUP(A136,'Données projet'!$A$61:$I$81,7,0)),0%,VLOOKUP(A136,'Données projet'!$A$61:$I$81,7,0))</f>
        <v>0</v>
      </c>
      <c r="AH136" s="45">
        <f>EXP(-LN(2)/35)*AH135+(1-EXP(-LN(2)/35))/(LN(2)/35)*AD136*AE136*VLOOKUP('Données projet'!$B$9,Paramètres!$A$1:$I$88,3,0)*0.475*44/12</f>
        <v>0</v>
      </c>
      <c r="AI136" s="45">
        <f>EXP(-LN(2)/25)*AI135+(1-EXP(-LN(2)/25))/(LN(2)/25)*Calculateur!AD136*Calculateur!AF136*VLOOKUP('Données projet'!$B$9,Paramètres!$A$1:$I$88,3,0)*0.475*44/12</f>
        <v>0</v>
      </c>
      <c r="AJ136" s="45">
        <f>EXP(-LN(2)/2)*AJ135+(1-EXP(-LN(2)/2))/(LN(2)/2)*AD136*AG136*VLOOKUP('Données projet'!$B$9,Paramètres!$A$1:$I$88,3,0)*0.475*44/12</f>
        <v>0</v>
      </c>
      <c r="AK136" s="45">
        <f t="shared" si="87"/>
        <v>0</v>
      </c>
      <c r="AL136" s="32" t="e">
        <f>VLOOKUP(A136,'Données projet'!$A$87:$I$107,2,0)</f>
        <v>#N/A</v>
      </c>
      <c r="AM136" s="33" t="e">
        <f>VLOOKUP(A136,'Données projet'!$A$87:$I$107,9,0)</f>
        <v>#N/A</v>
      </c>
      <c r="AN136" s="33">
        <f t="array" ref="AN136">INDEX(AM:AM,MIN(IF(ISNUMBER(AM136:AM332),ROW(AM136:AM332),"")))</f>
        <v>0</v>
      </c>
      <c r="AO136" s="33">
        <f t="shared" si="110"/>
        <v>0</v>
      </c>
      <c r="AP136" s="34" t="e">
        <f>AO136*VLOOKUP('Données projet'!$B$11,Paramètres!$A$1:$I$88,3,0)*VLOOKUP('Données projet'!$B$11,Paramètres!$A$1:$I$88,5,0)</f>
        <v>#N/A</v>
      </c>
      <c r="AQ136" s="34" t="e">
        <f t="shared" si="111"/>
        <v>#N/A</v>
      </c>
      <c r="AR136" s="44" t="e">
        <f t="shared" si="88"/>
        <v>#N/A</v>
      </c>
      <c r="AS136" s="36">
        <f>IF(ISNA(VLOOKUP(A136,'Données projet'!$A$87:$I$107,3,0)),0,VLOOKUP(A136,'Données projet'!$A$87:$I$107,3,0))</f>
        <v>0</v>
      </c>
      <c r="AT136" s="36">
        <f>IF(ISNA(VLOOKUP(A136,'Données projet'!$A$87:$I$107,4,0)),0,VLOOKUP(A136,'Données projet'!$A$87:$I$107,4,0))</f>
        <v>0</v>
      </c>
      <c r="AU136" s="37">
        <f>IF(ISNA(VLOOKUP(A136,'Données projet'!$A$87:$I$107,5,0)),0%,VLOOKUP(A136,'Données projet'!$A$87:$I$107,5,0)*VLOOKUP('Données projet'!$B$11,Paramètres!$A$1:$I$88,7,0))</f>
        <v>0</v>
      </c>
      <c r="AV136" s="37">
        <f>IF(ISNA(VLOOKUP(A136,'Données projet'!$A$87:$I$107,6,0)),0%,VLOOKUP(A136,'Données projet'!$A$87:$I$107,6,0)*VLOOKUP('Données projet'!$B$11,Paramètres!$A$1:$I$88,7,0))</f>
        <v>0</v>
      </c>
      <c r="AW136" s="37">
        <f>IF(ISNA(VLOOKUP(A136,'Données projet'!$A$87:$I$107,7,0)),0%,VLOOKUP(A136,'Données projet'!$A$87:$I$107,7,0))</f>
        <v>0</v>
      </c>
      <c r="AX136" s="45">
        <f>EXP(-LN(2)/35)*AX135+(1-EXP(-LN(2)/35))/(LN(2)/35)*AT136*AU136*VLOOKUP('Données projet'!$B$9,Paramètres!$A$1:$I$88,3,0)*0.475*44/12</f>
        <v>0</v>
      </c>
      <c r="AY136" s="45">
        <f>EXP(-LN(2)/25)*AY135+(1-EXP(-LN(2)/25))/(LN(2)/25)*Calculateur!AT136*Calculateur!AV136*VLOOKUP('Données projet'!$B$9,Paramètres!$A$1:$I$88,3,0)*0.475*44/12</f>
        <v>0</v>
      </c>
      <c r="AZ136" s="45">
        <f>EXP(-LN(2)/2)*AZ135+(1-EXP(-LN(2)/2))/(LN(2)/2)*AT136*AW136*VLOOKUP('Données projet'!$B$9,Paramètres!$A$1:$I$88,3,0)*0.475*44/12</f>
        <v>0</v>
      </c>
      <c r="BA136" s="46">
        <f t="shared" si="89"/>
        <v>0</v>
      </c>
      <c r="BB136" s="32" t="e">
        <f>VLOOKUP(A136,'Données projet'!$A$113:$I$133,2,0)</f>
        <v>#N/A</v>
      </c>
      <c r="BC136" s="33" t="e">
        <f>VLOOKUP(A136,'Données projet'!$A$113:$I$133,9,0)</f>
        <v>#N/A</v>
      </c>
      <c r="BD136" s="33">
        <f t="array" ref="BD136">INDEX(BC:BC,MIN(IF(ISNUMBER(BC136:BC332),ROW(BC136:BC332),"")))</f>
        <v>0</v>
      </c>
      <c r="BE136" s="33">
        <f t="shared" si="112"/>
        <v>0</v>
      </c>
      <c r="BF136" s="34" t="e">
        <f>BE136*VLOOKUP('Données projet'!$B$12,Paramètres!$A$1:$I$88,3,0)*VLOOKUP('Données projet'!$B$12,Paramètres!$A$1:$I$88,5,0)</f>
        <v>#N/A</v>
      </c>
      <c r="BG136" s="34" t="e">
        <f t="shared" si="113"/>
        <v>#N/A</v>
      </c>
      <c r="BH136" s="44" t="e">
        <f t="shared" si="90"/>
        <v>#N/A</v>
      </c>
      <c r="BI136" s="36">
        <f>IF(ISNA(VLOOKUP(A136,'Données projet'!$A$113:$I$133,3,0)),0,VLOOKUP(A136,'Données projet'!$A$113:$I$133,3,0))</f>
        <v>0</v>
      </c>
      <c r="BJ136" s="36">
        <f>IF(ISNA(VLOOKUP(A136,'Données projet'!$A$113:$I$133,4,0)),0,VLOOKUP(A136,'Données projet'!$A$113:$I$133,4,0))</f>
        <v>0</v>
      </c>
      <c r="BK136" s="37">
        <f>IF(ISNA(VLOOKUP(A136,'Données projet'!$A$113:$I$133,5,0)),0%,VLOOKUP(A136,'Données projet'!$A$113:$I$133,5,0)*VLOOKUP('Données projet'!$B$12,Paramètres!$A$1:$I$88,7,0))</f>
        <v>0</v>
      </c>
      <c r="BL136" s="37">
        <f>IF(ISNA(VLOOKUP(A136,'Données projet'!$A$113:$I$133,6,0)),0%,VLOOKUP(A136,'Données projet'!$A$113:$I$133,6,0)*VLOOKUP('Données projet'!$B$12,Paramètres!$A$1:$I$88,7,0))</f>
        <v>0</v>
      </c>
      <c r="BM136" s="37">
        <f>IF(ISNA(VLOOKUP(A136,'Données projet'!$A$113:$I$133,7,0)),0%,VLOOKUP(A136,'Données projet'!$A$113:$I$133,7,0))</f>
        <v>0</v>
      </c>
      <c r="BN136" s="45">
        <f>EXP(-LN(2)/35)*BN135+(1-EXP(-LN(2)/35))/(LN(2)/35)*BJ136*BK136*VLOOKUP('Données projet'!$B$9,Paramètres!$A$1:$I$88,3,0)*0.475*44/12</f>
        <v>0</v>
      </c>
      <c r="BO136" s="45">
        <f>EXP(-LN(2)/25)*BO135+(1-EXP(-LN(2)/25))/(LN(2)/25)*Calculateur!BJ136*Calculateur!BL136*VLOOKUP('Données projet'!$B$9,Paramètres!$A$1:$I$88,3,0)*0.475*44/12</f>
        <v>0</v>
      </c>
      <c r="BP136" s="45">
        <f>EXP(-LN(2)/2)*BP135+(1-EXP(-LN(2)/2))/(LN(2)/2)*BJ136*BM136*VLOOKUP('Données projet'!$B$9,Paramètres!$A$1:$I$88,3,0)*0.475*44/12</f>
        <v>0</v>
      </c>
      <c r="BQ136" s="46">
        <f t="shared" si="91"/>
        <v>0</v>
      </c>
      <c r="BR136" s="32" t="e">
        <f>VLOOKUP(A136,'Données projet'!$A$139:$I$159,2,0)</f>
        <v>#N/A</v>
      </c>
      <c r="BS136" s="33" t="e">
        <f>VLOOKUP(A136,'Données projet'!$A$139:$I$159,9,0)</f>
        <v>#N/A</v>
      </c>
      <c r="BT136" s="33">
        <f t="array" ref="BT136">INDEX(BS:BS,MIN(IF(ISNUMBER(BS136:BS332),ROW(BS136:BS332),"")))</f>
        <v>0</v>
      </c>
      <c r="BU136" s="33">
        <f t="shared" si="114"/>
        <v>0</v>
      </c>
      <c r="BV136" s="38" t="e">
        <f>BU136*VLOOKUP('Données projet'!$B$13,Paramètres!$A$1:$I$88,3,0)*VLOOKUP('Données projet'!$B$13,Paramètres!$A$1:$I$88,5,0)</f>
        <v>#N/A</v>
      </c>
      <c r="BW136" s="34" t="e">
        <f t="shared" si="115"/>
        <v>#N/A</v>
      </c>
      <c r="BX136" s="44" t="e">
        <f t="shared" si="92"/>
        <v>#N/A</v>
      </c>
      <c r="BY136" s="36">
        <f>IF(ISNA(VLOOKUP(A136,'Données projet'!$A$139:$I$159,3,0)),0,VLOOKUP(A136,'Données projet'!$A$139:$I$159,3,0))</f>
        <v>0</v>
      </c>
      <c r="BZ136" s="36">
        <f>IF(ISNA(VLOOKUP(A136,'Données projet'!$A$139:$I$159,4,0)),0,VLOOKUP(A136,'Données projet'!$A$139:$I$159,4,0))</f>
        <v>0</v>
      </c>
      <c r="CA136" s="37">
        <f>IF(ISNA(VLOOKUP(A136,'Données projet'!$A$139:$I$159,5,0)),0%,VLOOKUP(A136,'Données projet'!$A$139:$I$159,5,0)*VLOOKUP('Données projet'!$B$13,Paramètres!$A$1:$I$88,7,0))</f>
        <v>0</v>
      </c>
      <c r="CB136" s="37">
        <f>IF(ISNA(VLOOKUP(A136,'Données projet'!$A$139:$I$159,6,0)),0%,VLOOKUP(A136,'Données projet'!$A$139:$I$159,6,0)*VLOOKUP('Données projet'!$B$13,Paramètres!$A$1:$I$88,7,0))</f>
        <v>0</v>
      </c>
      <c r="CC136" s="37">
        <f>IF(ISNA(VLOOKUP(A136,'Données projet'!$A$139:$I$159,7,0)),0%,VLOOKUP(A136,'Données projet'!$A$139:$I$159,7,0))</f>
        <v>0</v>
      </c>
      <c r="CD136" s="45">
        <f>EXP(-LN(2)/35)*CD135+(1-EXP(-LN(2)/35))/(LN(2)/35)*BZ136*CA136*VLOOKUP('Données projet'!$B$9,Paramètres!$A$1:$I$88,3,0)*0.475*44/12</f>
        <v>0</v>
      </c>
      <c r="CE136" s="45">
        <f>EXP(-LN(2)/25)*CE135+(1-EXP(-LN(2)/25))/(LN(2)/25)*Calculateur!BZ136*Calculateur!CB136*VLOOKUP('Données projet'!$B$9,Paramètres!$A$1:$I$88,3,0)*0.475*44/12</f>
        <v>0</v>
      </c>
      <c r="CF136" s="45">
        <f>EXP(-LN(2)/2)*CF135+(1-EXP(-LN(2)/2))/(LN(2)/2)*BZ136*CC136*VLOOKUP('Données projet'!$B$9,Paramètres!$A$1:$I$88,3,0)*0.475*44/12</f>
        <v>0</v>
      </c>
      <c r="CG136" s="46">
        <f t="shared" si="93"/>
        <v>0</v>
      </c>
      <c r="CH136" s="32" t="e">
        <f>VLOOKUP(A136,'Données projet'!$A$165:$I$185,2,0)</f>
        <v>#N/A</v>
      </c>
      <c r="CI136" s="33" t="e">
        <f>VLOOKUP(A136,'Données projet'!$A$165:$I$185,9,0)</f>
        <v>#N/A</v>
      </c>
      <c r="CJ136" s="33">
        <f t="array" ref="CJ136">INDEX(CI:CI,MIN(IF(ISNUMBER(CI136:CI332),ROW(CI136:CI332),"")))</f>
        <v>0</v>
      </c>
      <c r="CK136" s="33">
        <f t="shared" si="116"/>
        <v>0</v>
      </c>
      <c r="CL136" s="38" t="e">
        <f>CK136*VLOOKUP('Données projet'!$B$14,Paramètres!$A$1:$I$88,3,0)*VLOOKUP('Données projet'!$B$14,Paramètres!$A$1:$I$88,5,0)</f>
        <v>#N/A</v>
      </c>
      <c r="CM136" s="34" t="e">
        <f t="shared" si="117"/>
        <v>#N/A</v>
      </c>
      <c r="CN136" s="44" t="e">
        <f t="shared" si="94"/>
        <v>#N/A</v>
      </c>
      <c r="CO136" s="36">
        <f>IF(ISNA(VLOOKUP(A136,'Données projet'!$A$165:$I$185,3,0)),0,VLOOKUP(A136,'Données projet'!$A$165:$I$185,3,0))</f>
        <v>0</v>
      </c>
      <c r="CP136" s="36">
        <f>IF(ISNA(VLOOKUP(A136,'Données projet'!$A$165:$I$185,4,0)),0,VLOOKUP(A136,'Données projet'!$A$165:$I$185,4,0))</f>
        <v>0</v>
      </c>
      <c r="CQ136" s="37">
        <f>IF(ISNA(VLOOKUP(A136,'Données projet'!$A$165:$I$185,5,0)),0%,VLOOKUP(A136,'Données projet'!$A$165:$I$185,5,0)*VLOOKUP('Données projet'!$B$14,Paramètres!$A$1:$I$88,7,0))</f>
        <v>0</v>
      </c>
      <c r="CR136" s="37">
        <f>IF(ISNA(VLOOKUP(A136,'Données projet'!$A$165:$I$185,6,0)),0%,VLOOKUP(A136,'Données projet'!$A$165:$I$185,6,0)*VLOOKUP('Données projet'!$B$14,Paramètres!$A$1:$I$88,7,0))</f>
        <v>0</v>
      </c>
      <c r="CS136" s="37">
        <f>IF(ISNA(VLOOKUP(A136,'Données projet'!$A$165:$I$185,7,0)),0%,VLOOKUP(A136,'Données projet'!$A$165:$I$185,7,0))</f>
        <v>0</v>
      </c>
      <c r="CT136" s="45">
        <f>EXP(-LN(2)/35)*CT135+(1-EXP(-LN(2)/35))/(LN(2)/35)*CP136*CQ136*VLOOKUP('Données projet'!$B$9,Paramètres!$A$1:$I$88,3,0)*0.475*44/12</f>
        <v>0</v>
      </c>
      <c r="CU136" s="45">
        <f>EXP(-LN(2)/25)*CU135+(1-EXP(-LN(2)/25))/(LN(2)/25)*Calculateur!CP136*Calculateur!CR136*VLOOKUP('Données projet'!$B$9,Paramètres!$A$1:$I$88,3,0)*0.475*44/12</f>
        <v>0</v>
      </c>
      <c r="CV136" s="45">
        <f>EXP(-LN(2)/2)*CV135+(1-EXP(-LN(2)/2))/(LN(2)/2)*CP136*CS136*VLOOKUP('Données projet'!$B$9,Paramètres!$A$1:$I$88,3,0)*0.475*44/12</f>
        <v>0</v>
      </c>
      <c r="CW136" s="46">
        <f t="shared" si="95"/>
        <v>0</v>
      </c>
      <c r="CX136" s="32" t="e">
        <f>VLOOKUP(A136,'Données projet'!$A$191:$I$211,2,0)</f>
        <v>#N/A</v>
      </c>
      <c r="CY136" s="33" t="e">
        <f>VLOOKUP(A136,'Données projet'!$A$191:$I$211,9,0)</f>
        <v>#N/A</v>
      </c>
      <c r="CZ136" s="33">
        <f t="array" ref="CZ136">INDEX(CY:CY,MIN(IF(ISNUMBER(CY136:CY332),ROW(CY136:CY332),"")))</f>
        <v>0</v>
      </c>
      <c r="DA136" s="33">
        <f t="shared" si="118"/>
        <v>0</v>
      </c>
      <c r="DB136" s="38" t="e">
        <f>DA136*VLOOKUP('Données projet'!$B$15,Paramètres!$A$1:$I$88,3,0)*VLOOKUP('Données projet'!$B$15,Paramètres!$A$1:$I$88,5,0)</f>
        <v>#N/A</v>
      </c>
      <c r="DC136" s="34" t="e">
        <f t="shared" si="119"/>
        <v>#N/A</v>
      </c>
      <c r="DD136" s="44" t="e">
        <f t="shared" si="96"/>
        <v>#N/A</v>
      </c>
      <c r="DE136" s="36">
        <f>IF(ISNA(VLOOKUP(A136,'Données projet'!$A$191:$I$211,3,0)),0,VLOOKUP(A136,'Données projet'!$A$191:$I$211,3,0))</f>
        <v>0</v>
      </c>
      <c r="DF136" s="36">
        <f>IF(ISNA(VLOOKUP(A136,'Données projet'!$A$191:$I$211,4,0)),0,VLOOKUP(A136,'Données projet'!$A$191:$I$211,4,0))</f>
        <v>0</v>
      </c>
      <c r="DG136" s="37">
        <f>IF(ISNA(VLOOKUP(A136,'Données projet'!$A$191:$I$211,5,0)),0%,VLOOKUP(A136,'Données projet'!$A$191:$I$211,5,0)*VLOOKUP('Données projet'!$B$15,Paramètres!$A$1:$I$88,7,0))</f>
        <v>0</v>
      </c>
      <c r="DH136" s="37">
        <f>IF(ISNA(VLOOKUP(A136,'Données projet'!$A$191:$I$211,6,0)),0%,VLOOKUP(A136,'Données projet'!$A$191:$I$211,6,0)*VLOOKUP('Données projet'!$B$15,Paramètres!$A$1:$I$88,7,0))</f>
        <v>0</v>
      </c>
      <c r="DI136" s="37">
        <f>IF(ISNA(VLOOKUP(A136,'Données projet'!$A$191:$I$211,7,0)),0%,VLOOKUP(A136,'Données projet'!$A$191:$I$211,7,0))</f>
        <v>0</v>
      </c>
      <c r="DJ136" s="45">
        <f>EXP(-LN(2)/35)*DJ135+(1-EXP(-LN(2)/35))/(LN(2)/35)*DF136*DG136*VLOOKUP('Données projet'!$B$9,Paramètres!$A$1:$I$88,3,0)*0.475*44/12</f>
        <v>0</v>
      </c>
      <c r="DK136" s="45">
        <f>EXP(-LN(2)/25)*DK135+(1-EXP(-LN(2)/25))/(LN(2)/25)*Calculateur!DF136*Calculateur!DH136*VLOOKUP('Données projet'!$B$9,Paramètres!$A$1:$I$88,3,0)*0.475*44/12</f>
        <v>0</v>
      </c>
      <c r="DL136" s="45">
        <f>EXP(-LN(2)/2)*DL135+(1-EXP(-LN(2)/2))/(LN(2)/2)*DF136*DI136*VLOOKUP('Données projet'!$B$9,Paramètres!$A$1:$I$88,3,0)*0.475*44/12</f>
        <v>0</v>
      </c>
      <c r="DM136" s="46">
        <f t="shared" si="97"/>
        <v>0</v>
      </c>
      <c r="DN136" s="32" t="e">
        <f>VLOOKUP(A136,'Données projet'!$A$217:$I$237,2,0)</f>
        <v>#N/A</v>
      </c>
      <c r="DO136" s="33" t="e">
        <f>VLOOKUP(A136,'Données projet'!$A$217:$I$237,9,0)</f>
        <v>#N/A</v>
      </c>
      <c r="DP136" s="33">
        <f t="array" ref="DP136">INDEX(DO:DO,MIN(IF(ISNUMBER(DO136:DO332),ROW(DO136:DO332),"")))</f>
        <v>0</v>
      </c>
      <c r="DQ136" s="33">
        <f t="shared" si="120"/>
        <v>0</v>
      </c>
      <c r="DR136" s="38" t="e">
        <f>DQ136*VLOOKUP('Données projet'!$B$16,Paramètres!$A$1:$I$88,3,0)*VLOOKUP('Données projet'!$B$16,Paramètres!$A$1:$I$88,5,0)</f>
        <v>#N/A</v>
      </c>
      <c r="DS136" s="34" t="e">
        <f t="shared" si="121"/>
        <v>#N/A</v>
      </c>
      <c r="DT136" s="44" t="e">
        <f t="shared" si="98"/>
        <v>#N/A</v>
      </c>
      <c r="DU136" s="36">
        <f>IF(ISNA(VLOOKUP(A136,'Données projet'!$A$217:$I$237,3,0)),0,VLOOKUP(A136,'Données projet'!$A$217:$I$237,3,0))</f>
        <v>0</v>
      </c>
      <c r="DV136" s="36">
        <f>IF(ISNA(VLOOKUP(A136,'Données projet'!$A$217:$I$237,4,0)),0,VLOOKUP(A136,'Données projet'!$A$217:$I$237,4,0))</f>
        <v>0</v>
      </c>
      <c r="DW136" s="37">
        <f>IF(ISNA(VLOOKUP(A136,'Données projet'!$A$217:$I$237,5,0)),0%,VLOOKUP(A136,'Données projet'!$A$217:$I$237,5,0)*VLOOKUP('Données projet'!$B$16,Paramètres!$A$1:$I$88,7,0))</f>
        <v>0</v>
      </c>
      <c r="DX136" s="37">
        <f>IF(ISNA(VLOOKUP(A136,'Données projet'!$A$217:$I$237,6,0)),0%,VLOOKUP(A136,'Données projet'!$A$217:$I$237,6,0)*VLOOKUP('Données projet'!$B$16,Paramètres!$A$1:$I$88,7,0))</f>
        <v>0</v>
      </c>
      <c r="DY136" s="37">
        <f>IF(ISNA(VLOOKUP(A136,'Données projet'!$A$217:$I$237,7,0)),0%,VLOOKUP(A136,'Données projet'!$A$217:$I$237,7,0))</f>
        <v>0</v>
      </c>
      <c r="DZ136" s="45">
        <f>EXP(-LN(2)/35)*DZ135+(1-EXP(-LN(2)/35))/(LN(2)/35)*DV136*DW136*VLOOKUP('Données projet'!$B$9,Paramètres!$A$1:$I$88,3,0)*0.475*44/12</f>
        <v>0</v>
      </c>
      <c r="EA136" s="45">
        <f>EXP(-LN(2)/25)*EA135+(1-EXP(-LN(2)/25))/(LN(2)/25)*Calculateur!DV136*Calculateur!DX136*VLOOKUP('Données projet'!$B$9,Paramètres!$A$1:$I$88,3,0)*0.475*44/12</f>
        <v>0</v>
      </c>
      <c r="EB136" s="45">
        <f>EXP(-LN(2)/2)*EB135+(1-EXP(-LN(2)/2))/(LN(2)/2)*DV136*DY136*VLOOKUP('Données projet'!$B$9,Paramètres!$A$1:$I$88,3,0)*0.475*44/12</f>
        <v>0</v>
      </c>
      <c r="EC136" s="46">
        <f t="shared" si="99"/>
        <v>0</v>
      </c>
      <c r="ED136" s="32" t="e">
        <f>VLOOKUP(A136,'Données projet'!$A$243:$I$263,2,0)</f>
        <v>#N/A</v>
      </c>
      <c r="EE136" s="33" t="e">
        <f>VLOOKUP(A136,'Données projet'!$A$243:$I$263,9,0)</f>
        <v>#N/A</v>
      </c>
      <c r="EF136" s="33">
        <f t="array" ref="EF136">INDEX(EE:EE,MIN(IF(ISNUMBER(EE136:EE332),ROW(EE136:EE332),"")))</f>
        <v>0</v>
      </c>
      <c r="EG136" s="33">
        <f t="shared" si="122"/>
        <v>0</v>
      </c>
      <c r="EH136" s="38" t="e">
        <f>EG136*VLOOKUP('Données projet'!$B$17,Paramètres!$A$1:$I$88,3,0)*VLOOKUP('Données projet'!$B$17,Paramètres!$A$1:$I$88,5,0)</f>
        <v>#N/A</v>
      </c>
      <c r="EI136" s="34" t="e">
        <f t="shared" si="123"/>
        <v>#N/A</v>
      </c>
      <c r="EJ136" s="44" t="e">
        <f t="shared" si="100"/>
        <v>#N/A</v>
      </c>
      <c r="EK136" s="36">
        <f>IF(ISNA(VLOOKUP(A136,'Données projet'!$A$243:$I$263,3,0)),0,VLOOKUP(A136,'Données projet'!$A$243:$I$263,3,0))</f>
        <v>0</v>
      </c>
      <c r="EL136" s="36">
        <f>IF(ISNA(VLOOKUP(A136,'Données projet'!$A$243:$I$263,4,0)),0,VLOOKUP(A136,'Données projet'!$A$243:$I$263,4,0))</f>
        <v>0</v>
      </c>
      <c r="EM136" s="37">
        <f>IF(ISNA(VLOOKUP(A136,'Données projet'!$A$243:$I$263,5,0)),0%,VLOOKUP(A136,'Données projet'!$A$243:$I$263,5,0)*VLOOKUP('Données projet'!$B$17,Paramètres!$A$1:$I$88,7,0))</f>
        <v>0</v>
      </c>
      <c r="EN136" s="37">
        <f>IF(ISNA(VLOOKUP(A136,'Données projet'!$A$243:$I$263,6,0)),0%,VLOOKUP(A136,'Données projet'!$A$243:$I$263,6,0)*VLOOKUP('Données projet'!$B$17,Paramètres!$A$1:$I$88,7,0))</f>
        <v>0</v>
      </c>
      <c r="EO136" s="37">
        <f>IF(ISNA(VLOOKUP(A136,'Données projet'!$A$243:$I$263,7,0)),0%,VLOOKUP(A136,'Données projet'!$A$243:$I$263,7,0))</f>
        <v>0</v>
      </c>
      <c r="EP136" s="45">
        <f>EXP(-LN(2)/35)*EP135+(1-EXP(-LN(2)/35))/(LN(2)/35)*EL136*EM136*VLOOKUP('Données projet'!$B$9,Paramètres!$A$1:$I$88,3,0)*0.475*44/12</f>
        <v>0</v>
      </c>
      <c r="EQ136" s="45">
        <f>EXP(-LN(2)/25)*EQ135+(1-EXP(-LN(2)/25))/(LN(2)/25)*Calculateur!EL136*Calculateur!EN136*VLOOKUP('Données projet'!$B$9,Paramètres!$A$1:$I$88,3,0)*0.475*44/12</f>
        <v>0</v>
      </c>
      <c r="ER136" s="45">
        <f>EXP(-LN(2)/2)*ER135+(1-EXP(-LN(2)/2))/(LN(2)/2)*EL136*EO136*VLOOKUP('Données projet'!$B$9,Paramètres!$A$1:$I$88,3,0)*0.475*44/12</f>
        <v>0</v>
      </c>
      <c r="ES136" s="46">
        <f t="shared" si="101"/>
        <v>0</v>
      </c>
      <c r="ET136" s="32" t="e">
        <f>VLOOKUP(A136,'Données projet'!$A$269:$I$289,2,0)</f>
        <v>#N/A</v>
      </c>
      <c r="EU136" s="33" t="e">
        <f>VLOOKUP(A136,'Données projet'!$A$269:$I$289,9,0)</f>
        <v>#N/A</v>
      </c>
      <c r="EV136" s="33">
        <f t="array" ref="EV136">INDEX(EU:EU,MIN(IF(ISNUMBER(EU136:EU332),ROW(EU136:EU332),"")))</f>
        <v>0</v>
      </c>
      <c r="EW136" s="33">
        <f t="shared" si="124"/>
        <v>0</v>
      </c>
      <c r="EX136" s="38" t="e">
        <f>EW136*VLOOKUP('Données projet'!$B$18,Paramètres!$A$1:$I$88,3,0)*VLOOKUP('Données projet'!$B$18,Paramètres!$A$1:$I$88,5,0)</f>
        <v>#N/A</v>
      </c>
      <c r="EY136" s="34" t="e">
        <f t="shared" si="125"/>
        <v>#N/A</v>
      </c>
      <c r="EZ136" s="44" t="e">
        <f t="shared" si="102"/>
        <v>#N/A</v>
      </c>
      <c r="FA136" s="36">
        <f>IF(ISNA(VLOOKUP(A136,'Données projet'!$A$269:$I$289,3,0)),0,VLOOKUP(A136,'Données projet'!$A$269:$I$289,3,0))</f>
        <v>0</v>
      </c>
      <c r="FB136" s="36">
        <f>IF(ISNA(VLOOKUP(A136,'Données projet'!$A$269:$I$289,4,0)),0,VLOOKUP(A136,'Données projet'!$A$269:$I$289,4,0))</f>
        <v>0</v>
      </c>
      <c r="FC136" s="37">
        <f>IF(ISNA(VLOOKUP(A136,'Données projet'!$A$269:$I$289,5,0)),0%,VLOOKUP(A136,'Données projet'!$A$269:$I$289,5,0)*VLOOKUP('Données projet'!$B$18,Paramètres!$A$1:$I$88,7,0))</f>
        <v>0</v>
      </c>
      <c r="FD136" s="37">
        <f>IF(ISNA(VLOOKUP(A136,'Données projet'!$A$269:$I$289,6,0)),0%,VLOOKUP(A136,'Données projet'!$A$269:$I$289,6,0)*VLOOKUP('Données projet'!$B$18,Paramètres!$A$1:$I$88,7,0))</f>
        <v>0</v>
      </c>
      <c r="FE136" s="37">
        <f>IF(ISNA(VLOOKUP(A136,'Données projet'!$A$269:$I$289,7,0)),0%,VLOOKUP(A136,'Données projet'!$A$269:$I$289,7,0))</f>
        <v>0</v>
      </c>
      <c r="FF136" s="45">
        <f>EXP(-LN(2)/35)*FF135+(1-EXP(-LN(2)/35))/(LN(2)/35)*FB136*FC136*VLOOKUP('Données projet'!$B$9,Paramètres!$A$1:$I$88,3,0)*0.475*44/12</f>
        <v>0</v>
      </c>
      <c r="FG136" s="45">
        <f>EXP(-LN(2)/25)*FG135+(1-EXP(-LN(2)/25))/(LN(2)/25)*Calculateur!FB136*Calculateur!FD136*VLOOKUP('Données projet'!$B$9,Paramètres!$A$1:$I$88,3,0)*0.475*44/12</f>
        <v>0</v>
      </c>
      <c r="FH136" s="45">
        <f>EXP(-LN(2)/2)*FH135+(1-EXP(-LN(2)/2))/(LN(2)/2)*FB136*FE136*VLOOKUP('Données projet'!$B$9,Paramètres!$A$1:$I$88,3,0)*0.475*44/12</f>
        <v>0</v>
      </c>
      <c r="FI136" s="46">
        <f t="shared" si="103"/>
        <v>0</v>
      </c>
    </row>
    <row r="137" spans="1:165" x14ac:dyDescent="0.25">
      <c r="A137" s="24">
        <f t="shared" si="104"/>
        <v>134</v>
      </c>
      <c r="B137" s="25">
        <f>IF('Scénario référence'!$N$1=1,5,0)</f>
        <v>0</v>
      </c>
      <c r="C137" s="40">
        <f>IF(OR('Scénario référence'!$N$1=2,'Scénario référence'!$N$1=4),C136+1*VLOOKUP('Scénario référence'!$G$14,Paramètres!$A$1:$I$88,3,0)*VLOOKUP('Scénario référence'!$G$14,Paramètres!$A$1:$I$88,5,0),IF(OR('Scénario référence'!$N$1=3,'Scénario référence'!$N$1=5),C136+0.5*VLOOKUP('Scénario référence'!$G$14,Paramètres!$A$1:$I$88,3,0)*VLOOKUP('Scénario référence'!$G$14,Paramètres!$A$1:$I$88,5,0),0))</f>
        <v>73.164000000000044</v>
      </c>
      <c r="D137" s="26">
        <f t="shared" si="105"/>
        <v>20.457157263578868</v>
      </c>
      <c r="E137" s="27">
        <f>IF('Scénario référence'!$N$1=1,B137*44/12,(C137+D137)*0.475*44/12)</f>
        <v>163.05684890073326</v>
      </c>
      <c r="F137" s="28" t="e">
        <f>VLOOKUP(A137,'Données projet'!$A$35:$I$55,2,0)</f>
        <v>#N/A</v>
      </c>
      <c r="G137" s="28" t="e">
        <f>VLOOKUP(A137,'Données projet'!$A$35:$I$55,9,0)</f>
        <v>#N/A</v>
      </c>
      <c r="H137" s="33">
        <f t="array" ref="H137">INDEX(G:G,MIN(IF(ISNUMBER(G137:G333),ROW(G137:G333),"")))</f>
        <v>3</v>
      </c>
      <c r="I137" s="28">
        <f t="shared" si="106"/>
        <v>294.99999999999932</v>
      </c>
      <c r="J137" s="41">
        <f>I137*VLOOKUP('Données projet'!$B$9,Paramètres!$A$1:$I$88,3,0)*VLOOKUP('Données projet'!$B$9,Paramètres!$A$1:$I$88,5,0)</f>
        <v>299.12999999999937</v>
      </c>
      <c r="K137" s="41">
        <f t="shared" si="107"/>
        <v>70.994047242337089</v>
      </c>
      <c r="L137" s="42">
        <f t="shared" si="84"/>
        <v>644.63271561373597</v>
      </c>
      <c r="M137" s="30">
        <f>IF(ISNA(VLOOKUP(A137,'Données projet'!$A$35:$I$55,3,0)),0,VLOOKUP(A137,'Données projet'!$A$35:$I$55,3,0))</f>
        <v>0</v>
      </c>
      <c r="N137" s="30">
        <f>IF(ISNA(VLOOKUP(A137,'Données projet'!$A$35:$I$55,4,0)),0,VLOOKUP(A137,'Données projet'!$A$35:$I$55,4,0))</f>
        <v>0</v>
      </c>
      <c r="O137" s="31">
        <f>IF(ISNA(VLOOKUP(A137,'Données projet'!$A$35:$I$55,5,0)),0%,VLOOKUP(A137,'Données projet'!$A$35:$I$55,5,0)*VLOOKUP('Données projet'!$B$9,Paramètres!$A$1:$I$88,7,0))</f>
        <v>0</v>
      </c>
      <c r="P137" s="31">
        <f>IF(ISNA(VLOOKUP(A137,'Données projet'!$A$35:$I$55,6,0)),0%,VLOOKUP(A137,'Données projet'!$A$35:$I$55,6,0)*VLOOKUP('Données projet'!$B$9,Paramètres!$A$1:$I$88,7,0))</f>
        <v>0</v>
      </c>
      <c r="Q137" s="31">
        <f>IF(ISNA(VLOOKUP(A137,'Données projet'!$A$35:$I$55,7,0)),0%,VLOOKUP(A137,'Données projet'!$A$35:$I$55,7,0))</f>
        <v>0</v>
      </c>
      <c r="R137" s="43">
        <f>EXP(-LN(2)/35)*R136+(1-EXP(-LN(2)/35))/(LN(2)/35)*N137*O137*VLOOKUP('Données projet'!$B$9,Paramètres!$A$1:$I$88,3,0)*0.475*44/12</f>
        <v>0</v>
      </c>
      <c r="S137" s="43">
        <f>EXP(-LN(2)/25)*S136+(1-EXP(-LN(2)/25))/(LN(2)/25)*Calculateur!N137*Calculateur!P137*VLOOKUP('Données projet'!$B$9,Paramètres!$A$1:$I$88,3,0)*0.475*44/12</f>
        <v>0</v>
      </c>
      <c r="T137" s="43">
        <f>EXP(-LN(2)/2)*T136+(1-EXP(-LN(2)/2))/(LN(2)/2)*N137*Q137*VLOOKUP('Données projet'!$B$9,Paramètres!$A$1:$I$88,3,0)*0.475*44/12</f>
        <v>0</v>
      </c>
      <c r="U137" s="43">
        <f t="shared" si="85"/>
        <v>0</v>
      </c>
      <c r="V137" s="32" t="e">
        <f>VLOOKUP(A137,'Données projet'!$A$61:$I$81,2,0)</f>
        <v>#N/A</v>
      </c>
      <c r="W137" s="33" t="e">
        <f>VLOOKUP(A137,'Données projet'!$A$61:$I$81,9,0)</f>
        <v>#N/A</v>
      </c>
      <c r="X137" s="33">
        <f t="array" ref="X137">INDEX(W:W,MIN(IF(ISNUMBER(W137:W333),ROW(W137:W333),"")))</f>
        <v>0</v>
      </c>
      <c r="Y137" s="33">
        <f t="shared" si="108"/>
        <v>0</v>
      </c>
      <c r="Z137" s="34" t="e">
        <f>Y137*VLOOKUP('Données projet'!$B$10,Paramètres!$A$1:$I$88,3,0)*VLOOKUP('Données projet'!$B$10,Paramètres!$A$1:$I$88,5,0)</f>
        <v>#N/A</v>
      </c>
      <c r="AA137" s="34" t="e">
        <f t="shared" si="109"/>
        <v>#N/A</v>
      </c>
      <c r="AB137" s="44" t="e">
        <f t="shared" si="86"/>
        <v>#N/A</v>
      </c>
      <c r="AC137" s="36">
        <f>IF(ISNA(VLOOKUP(A137,'Données projet'!$A$61:$I$81,3,0)),0,VLOOKUP(A137,'Données projet'!$A$61:$I$81,3,0))</f>
        <v>0</v>
      </c>
      <c r="AD137" s="36">
        <f>IF(ISNA(VLOOKUP(A137,'Données projet'!$A$61:$I$81,4,0)),0,VLOOKUP(A137,'Données projet'!$A$61:$I$81,4,0))</f>
        <v>0</v>
      </c>
      <c r="AE137" s="37">
        <f>IF(ISNA(VLOOKUP(A137,'Données projet'!$A$61:$I$81,5,0)),0%,VLOOKUP(A137,'Données projet'!$A$61:$I$81,5,0)*VLOOKUP('Données projet'!$B$10,Paramètres!$A$1:$I$88,7,0))</f>
        <v>0</v>
      </c>
      <c r="AF137" s="37">
        <f>IF(ISNA(VLOOKUP(A137,'Données projet'!$A$61:$I$81,6,0)),0%,VLOOKUP(A137,'Données projet'!$A$61:$I$81,6,0)*VLOOKUP('Données projet'!$B$10,Paramètres!$A$1:$I$88,7,0))</f>
        <v>0</v>
      </c>
      <c r="AG137" s="37">
        <f>IF(ISNA(VLOOKUP(A137,'Données projet'!$A$61:$I$81,7,0)),0%,VLOOKUP(A137,'Données projet'!$A$61:$I$81,7,0))</f>
        <v>0</v>
      </c>
      <c r="AH137" s="45">
        <f>EXP(-LN(2)/35)*AH136+(1-EXP(-LN(2)/35))/(LN(2)/35)*AD137*AE137*VLOOKUP('Données projet'!$B$9,Paramètres!$A$1:$I$88,3,0)*0.475*44/12</f>
        <v>0</v>
      </c>
      <c r="AI137" s="45">
        <f>EXP(-LN(2)/25)*AI136+(1-EXP(-LN(2)/25))/(LN(2)/25)*Calculateur!AD137*Calculateur!AF137*VLOOKUP('Données projet'!$B$9,Paramètres!$A$1:$I$88,3,0)*0.475*44/12</f>
        <v>0</v>
      </c>
      <c r="AJ137" s="45">
        <f>EXP(-LN(2)/2)*AJ136+(1-EXP(-LN(2)/2))/(LN(2)/2)*AD137*AG137*VLOOKUP('Données projet'!$B$9,Paramètres!$A$1:$I$88,3,0)*0.475*44/12</f>
        <v>0</v>
      </c>
      <c r="AK137" s="45">
        <f t="shared" si="87"/>
        <v>0</v>
      </c>
      <c r="AL137" s="32" t="e">
        <f>VLOOKUP(A137,'Données projet'!$A$87:$I$107,2,0)</f>
        <v>#N/A</v>
      </c>
      <c r="AM137" s="33" t="e">
        <f>VLOOKUP(A137,'Données projet'!$A$87:$I$107,9,0)</f>
        <v>#N/A</v>
      </c>
      <c r="AN137" s="33">
        <f t="array" ref="AN137">INDEX(AM:AM,MIN(IF(ISNUMBER(AM137:AM333),ROW(AM137:AM333),"")))</f>
        <v>0</v>
      </c>
      <c r="AO137" s="33">
        <f t="shared" si="110"/>
        <v>0</v>
      </c>
      <c r="AP137" s="34" t="e">
        <f>AO137*VLOOKUP('Données projet'!$B$11,Paramètres!$A$1:$I$88,3,0)*VLOOKUP('Données projet'!$B$11,Paramètres!$A$1:$I$88,5,0)</f>
        <v>#N/A</v>
      </c>
      <c r="AQ137" s="34" t="e">
        <f t="shared" si="111"/>
        <v>#N/A</v>
      </c>
      <c r="AR137" s="44" t="e">
        <f t="shared" si="88"/>
        <v>#N/A</v>
      </c>
      <c r="AS137" s="36">
        <f>IF(ISNA(VLOOKUP(A137,'Données projet'!$A$87:$I$107,3,0)),0,VLOOKUP(A137,'Données projet'!$A$87:$I$107,3,0))</f>
        <v>0</v>
      </c>
      <c r="AT137" s="36">
        <f>IF(ISNA(VLOOKUP(A137,'Données projet'!$A$87:$I$107,4,0)),0,VLOOKUP(A137,'Données projet'!$A$87:$I$107,4,0))</f>
        <v>0</v>
      </c>
      <c r="AU137" s="37">
        <f>IF(ISNA(VLOOKUP(A137,'Données projet'!$A$87:$I$107,5,0)),0%,VLOOKUP(A137,'Données projet'!$A$87:$I$107,5,0)*VLOOKUP('Données projet'!$B$11,Paramètres!$A$1:$I$88,7,0))</f>
        <v>0</v>
      </c>
      <c r="AV137" s="37">
        <f>IF(ISNA(VLOOKUP(A137,'Données projet'!$A$87:$I$107,6,0)),0%,VLOOKUP(A137,'Données projet'!$A$87:$I$107,6,0)*VLOOKUP('Données projet'!$B$11,Paramètres!$A$1:$I$88,7,0))</f>
        <v>0</v>
      </c>
      <c r="AW137" s="37">
        <f>IF(ISNA(VLOOKUP(A137,'Données projet'!$A$87:$I$107,7,0)),0%,VLOOKUP(A137,'Données projet'!$A$87:$I$107,7,0))</f>
        <v>0</v>
      </c>
      <c r="AX137" s="45">
        <f>EXP(-LN(2)/35)*AX136+(1-EXP(-LN(2)/35))/(LN(2)/35)*AT137*AU137*VLOOKUP('Données projet'!$B$9,Paramètres!$A$1:$I$88,3,0)*0.475*44/12</f>
        <v>0</v>
      </c>
      <c r="AY137" s="45">
        <f>EXP(-LN(2)/25)*AY136+(1-EXP(-LN(2)/25))/(LN(2)/25)*Calculateur!AT137*Calculateur!AV137*VLOOKUP('Données projet'!$B$9,Paramètres!$A$1:$I$88,3,0)*0.475*44/12</f>
        <v>0</v>
      </c>
      <c r="AZ137" s="45">
        <f>EXP(-LN(2)/2)*AZ136+(1-EXP(-LN(2)/2))/(LN(2)/2)*AT137*AW137*VLOOKUP('Données projet'!$B$9,Paramètres!$A$1:$I$88,3,0)*0.475*44/12</f>
        <v>0</v>
      </c>
      <c r="BA137" s="46">
        <f t="shared" si="89"/>
        <v>0</v>
      </c>
      <c r="BB137" s="32" t="e">
        <f>VLOOKUP(A137,'Données projet'!$A$113:$I$133,2,0)</f>
        <v>#N/A</v>
      </c>
      <c r="BC137" s="33" t="e">
        <f>VLOOKUP(A137,'Données projet'!$A$113:$I$133,9,0)</f>
        <v>#N/A</v>
      </c>
      <c r="BD137" s="33">
        <f t="array" ref="BD137">INDEX(BC:BC,MIN(IF(ISNUMBER(BC137:BC333),ROW(BC137:BC333),"")))</f>
        <v>0</v>
      </c>
      <c r="BE137" s="33">
        <f t="shared" si="112"/>
        <v>0</v>
      </c>
      <c r="BF137" s="34" t="e">
        <f>BE137*VLOOKUP('Données projet'!$B$12,Paramètres!$A$1:$I$88,3,0)*VLOOKUP('Données projet'!$B$12,Paramètres!$A$1:$I$88,5,0)</f>
        <v>#N/A</v>
      </c>
      <c r="BG137" s="34" t="e">
        <f t="shared" si="113"/>
        <v>#N/A</v>
      </c>
      <c r="BH137" s="44" t="e">
        <f t="shared" si="90"/>
        <v>#N/A</v>
      </c>
      <c r="BI137" s="36">
        <f>IF(ISNA(VLOOKUP(A137,'Données projet'!$A$113:$I$133,3,0)),0,VLOOKUP(A137,'Données projet'!$A$113:$I$133,3,0))</f>
        <v>0</v>
      </c>
      <c r="BJ137" s="36">
        <f>IF(ISNA(VLOOKUP(A137,'Données projet'!$A$113:$I$133,4,0)),0,VLOOKUP(A137,'Données projet'!$A$113:$I$133,4,0))</f>
        <v>0</v>
      </c>
      <c r="BK137" s="37">
        <f>IF(ISNA(VLOOKUP(A137,'Données projet'!$A$113:$I$133,5,0)),0%,VLOOKUP(A137,'Données projet'!$A$113:$I$133,5,0)*VLOOKUP('Données projet'!$B$12,Paramètres!$A$1:$I$88,7,0))</f>
        <v>0</v>
      </c>
      <c r="BL137" s="37">
        <f>IF(ISNA(VLOOKUP(A137,'Données projet'!$A$113:$I$133,6,0)),0%,VLOOKUP(A137,'Données projet'!$A$113:$I$133,6,0)*VLOOKUP('Données projet'!$B$12,Paramètres!$A$1:$I$88,7,0))</f>
        <v>0</v>
      </c>
      <c r="BM137" s="37">
        <f>IF(ISNA(VLOOKUP(A137,'Données projet'!$A$113:$I$133,7,0)),0%,VLOOKUP(A137,'Données projet'!$A$113:$I$133,7,0))</f>
        <v>0</v>
      </c>
      <c r="BN137" s="45">
        <f>EXP(-LN(2)/35)*BN136+(1-EXP(-LN(2)/35))/(LN(2)/35)*BJ137*BK137*VLOOKUP('Données projet'!$B$9,Paramètres!$A$1:$I$88,3,0)*0.475*44/12</f>
        <v>0</v>
      </c>
      <c r="BO137" s="45">
        <f>EXP(-LN(2)/25)*BO136+(1-EXP(-LN(2)/25))/(LN(2)/25)*Calculateur!BJ137*Calculateur!BL137*VLOOKUP('Données projet'!$B$9,Paramètres!$A$1:$I$88,3,0)*0.475*44/12</f>
        <v>0</v>
      </c>
      <c r="BP137" s="45">
        <f>EXP(-LN(2)/2)*BP136+(1-EXP(-LN(2)/2))/(LN(2)/2)*BJ137*BM137*VLOOKUP('Données projet'!$B$9,Paramètres!$A$1:$I$88,3,0)*0.475*44/12</f>
        <v>0</v>
      </c>
      <c r="BQ137" s="46">
        <f t="shared" si="91"/>
        <v>0</v>
      </c>
      <c r="BR137" s="32" t="e">
        <f>VLOOKUP(A137,'Données projet'!$A$139:$I$159,2,0)</f>
        <v>#N/A</v>
      </c>
      <c r="BS137" s="33" t="e">
        <f>VLOOKUP(A137,'Données projet'!$A$139:$I$159,9,0)</f>
        <v>#N/A</v>
      </c>
      <c r="BT137" s="33">
        <f t="array" ref="BT137">INDEX(BS:BS,MIN(IF(ISNUMBER(BS137:BS333),ROW(BS137:BS333),"")))</f>
        <v>0</v>
      </c>
      <c r="BU137" s="33">
        <f t="shared" si="114"/>
        <v>0</v>
      </c>
      <c r="BV137" s="38" t="e">
        <f>BU137*VLOOKUP('Données projet'!$B$13,Paramètres!$A$1:$I$88,3,0)*VLOOKUP('Données projet'!$B$13,Paramètres!$A$1:$I$88,5,0)</f>
        <v>#N/A</v>
      </c>
      <c r="BW137" s="34" t="e">
        <f t="shared" si="115"/>
        <v>#N/A</v>
      </c>
      <c r="BX137" s="44" t="e">
        <f t="shared" si="92"/>
        <v>#N/A</v>
      </c>
      <c r="BY137" s="36">
        <f>IF(ISNA(VLOOKUP(A137,'Données projet'!$A$139:$I$159,3,0)),0,VLOOKUP(A137,'Données projet'!$A$139:$I$159,3,0))</f>
        <v>0</v>
      </c>
      <c r="BZ137" s="36">
        <f>IF(ISNA(VLOOKUP(A137,'Données projet'!$A$139:$I$159,4,0)),0,VLOOKUP(A137,'Données projet'!$A$139:$I$159,4,0))</f>
        <v>0</v>
      </c>
      <c r="CA137" s="37">
        <f>IF(ISNA(VLOOKUP(A137,'Données projet'!$A$139:$I$159,5,0)),0%,VLOOKUP(A137,'Données projet'!$A$139:$I$159,5,0)*VLOOKUP('Données projet'!$B$13,Paramètres!$A$1:$I$88,7,0))</f>
        <v>0</v>
      </c>
      <c r="CB137" s="37">
        <f>IF(ISNA(VLOOKUP(A137,'Données projet'!$A$139:$I$159,6,0)),0%,VLOOKUP(A137,'Données projet'!$A$139:$I$159,6,0)*VLOOKUP('Données projet'!$B$13,Paramètres!$A$1:$I$88,7,0))</f>
        <v>0</v>
      </c>
      <c r="CC137" s="37">
        <f>IF(ISNA(VLOOKUP(A137,'Données projet'!$A$139:$I$159,7,0)),0%,VLOOKUP(A137,'Données projet'!$A$139:$I$159,7,0))</f>
        <v>0</v>
      </c>
      <c r="CD137" s="45">
        <f>EXP(-LN(2)/35)*CD136+(1-EXP(-LN(2)/35))/(LN(2)/35)*BZ137*CA137*VLOOKUP('Données projet'!$B$9,Paramètres!$A$1:$I$88,3,0)*0.475*44/12</f>
        <v>0</v>
      </c>
      <c r="CE137" s="45">
        <f>EXP(-LN(2)/25)*CE136+(1-EXP(-LN(2)/25))/(LN(2)/25)*Calculateur!BZ137*Calculateur!CB137*VLOOKUP('Données projet'!$B$9,Paramètres!$A$1:$I$88,3,0)*0.475*44/12</f>
        <v>0</v>
      </c>
      <c r="CF137" s="45">
        <f>EXP(-LN(2)/2)*CF136+(1-EXP(-LN(2)/2))/(LN(2)/2)*BZ137*CC137*VLOOKUP('Données projet'!$B$9,Paramètres!$A$1:$I$88,3,0)*0.475*44/12</f>
        <v>0</v>
      </c>
      <c r="CG137" s="46">
        <f t="shared" si="93"/>
        <v>0</v>
      </c>
      <c r="CH137" s="32" t="e">
        <f>VLOOKUP(A137,'Données projet'!$A$165:$I$185,2,0)</f>
        <v>#N/A</v>
      </c>
      <c r="CI137" s="33" t="e">
        <f>VLOOKUP(A137,'Données projet'!$A$165:$I$185,9,0)</f>
        <v>#N/A</v>
      </c>
      <c r="CJ137" s="33">
        <f t="array" ref="CJ137">INDEX(CI:CI,MIN(IF(ISNUMBER(CI137:CI333),ROW(CI137:CI333),"")))</f>
        <v>0</v>
      </c>
      <c r="CK137" s="33">
        <f t="shared" si="116"/>
        <v>0</v>
      </c>
      <c r="CL137" s="38" t="e">
        <f>CK137*VLOOKUP('Données projet'!$B$14,Paramètres!$A$1:$I$88,3,0)*VLOOKUP('Données projet'!$B$14,Paramètres!$A$1:$I$88,5,0)</f>
        <v>#N/A</v>
      </c>
      <c r="CM137" s="34" t="e">
        <f t="shared" si="117"/>
        <v>#N/A</v>
      </c>
      <c r="CN137" s="44" t="e">
        <f t="shared" si="94"/>
        <v>#N/A</v>
      </c>
      <c r="CO137" s="36">
        <f>IF(ISNA(VLOOKUP(A137,'Données projet'!$A$165:$I$185,3,0)),0,VLOOKUP(A137,'Données projet'!$A$165:$I$185,3,0))</f>
        <v>0</v>
      </c>
      <c r="CP137" s="36">
        <f>IF(ISNA(VLOOKUP(A137,'Données projet'!$A$165:$I$185,4,0)),0,VLOOKUP(A137,'Données projet'!$A$165:$I$185,4,0))</f>
        <v>0</v>
      </c>
      <c r="CQ137" s="37">
        <f>IF(ISNA(VLOOKUP(A137,'Données projet'!$A$165:$I$185,5,0)),0%,VLOOKUP(A137,'Données projet'!$A$165:$I$185,5,0)*VLOOKUP('Données projet'!$B$14,Paramètres!$A$1:$I$88,7,0))</f>
        <v>0</v>
      </c>
      <c r="CR137" s="37">
        <f>IF(ISNA(VLOOKUP(A137,'Données projet'!$A$165:$I$185,6,0)),0%,VLOOKUP(A137,'Données projet'!$A$165:$I$185,6,0)*VLOOKUP('Données projet'!$B$14,Paramètres!$A$1:$I$88,7,0))</f>
        <v>0</v>
      </c>
      <c r="CS137" s="37">
        <f>IF(ISNA(VLOOKUP(A137,'Données projet'!$A$165:$I$185,7,0)),0%,VLOOKUP(A137,'Données projet'!$A$165:$I$185,7,0))</f>
        <v>0</v>
      </c>
      <c r="CT137" s="45">
        <f>EXP(-LN(2)/35)*CT136+(1-EXP(-LN(2)/35))/(LN(2)/35)*CP137*CQ137*VLOOKUP('Données projet'!$B$9,Paramètres!$A$1:$I$88,3,0)*0.475*44/12</f>
        <v>0</v>
      </c>
      <c r="CU137" s="45">
        <f>EXP(-LN(2)/25)*CU136+(1-EXP(-LN(2)/25))/(LN(2)/25)*Calculateur!CP137*Calculateur!CR137*VLOOKUP('Données projet'!$B$9,Paramètres!$A$1:$I$88,3,0)*0.475*44/12</f>
        <v>0</v>
      </c>
      <c r="CV137" s="45">
        <f>EXP(-LN(2)/2)*CV136+(1-EXP(-LN(2)/2))/(LN(2)/2)*CP137*CS137*VLOOKUP('Données projet'!$B$9,Paramètres!$A$1:$I$88,3,0)*0.475*44/12</f>
        <v>0</v>
      </c>
      <c r="CW137" s="46">
        <f t="shared" si="95"/>
        <v>0</v>
      </c>
      <c r="CX137" s="32" t="e">
        <f>VLOOKUP(A137,'Données projet'!$A$191:$I$211,2,0)</f>
        <v>#N/A</v>
      </c>
      <c r="CY137" s="33" t="e">
        <f>VLOOKUP(A137,'Données projet'!$A$191:$I$211,9,0)</f>
        <v>#N/A</v>
      </c>
      <c r="CZ137" s="33">
        <f t="array" ref="CZ137">INDEX(CY:CY,MIN(IF(ISNUMBER(CY137:CY333),ROW(CY137:CY333),"")))</f>
        <v>0</v>
      </c>
      <c r="DA137" s="33">
        <f t="shared" si="118"/>
        <v>0</v>
      </c>
      <c r="DB137" s="38" t="e">
        <f>DA137*VLOOKUP('Données projet'!$B$15,Paramètres!$A$1:$I$88,3,0)*VLOOKUP('Données projet'!$B$15,Paramètres!$A$1:$I$88,5,0)</f>
        <v>#N/A</v>
      </c>
      <c r="DC137" s="34" t="e">
        <f t="shared" si="119"/>
        <v>#N/A</v>
      </c>
      <c r="DD137" s="44" t="e">
        <f t="shared" si="96"/>
        <v>#N/A</v>
      </c>
      <c r="DE137" s="36">
        <f>IF(ISNA(VLOOKUP(A137,'Données projet'!$A$191:$I$211,3,0)),0,VLOOKUP(A137,'Données projet'!$A$191:$I$211,3,0))</f>
        <v>0</v>
      </c>
      <c r="DF137" s="36">
        <f>IF(ISNA(VLOOKUP(A137,'Données projet'!$A$191:$I$211,4,0)),0,VLOOKUP(A137,'Données projet'!$A$191:$I$211,4,0))</f>
        <v>0</v>
      </c>
      <c r="DG137" s="37">
        <f>IF(ISNA(VLOOKUP(A137,'Données projet'!$A$191:$I$211,5,0)),0%,VLOOKUP(A137,'Données projet'!$A$191:$I$211,5,0)*VLOOKUP('Données projet'!$B$15,Paramètres!$A$1:$I$88,7,0))</f>
        <v>0</v>
      </c>
      <c r="DH137" s="37">
        <f>IF(ISNA(VLOOKUP(A137,'Données projet'!$A$191:$I$211,6,0)),0%,VLOOKUP(A137,'Données projet'!$A$191:$I$211,6,0)*VLOOKUP('Données projet'!$B$15,Paramètres!$A$1:$I$88,7,0))</f>
        <v>0</v>
      </c>
      <c r="DI137" s="37">
        <f>IF(ISNA(VLOOKUP(A137,'Données projet'!$A$191:$I$211,7,0)),0%,VLOOKUP(A137,'Données projet'!$A$191:$I$211,7,0))</f>
        <v>0</v>
      </c>
      <c r="DJ137" s="45">
        <f>EXP(-LN(2)/35)*DJ136+(1-EXP(-LN(2)/35))/(LN(2)/35)*DF137*DG137*VLOOKUP('Données projet'!$B$9,Paramètres!$A$1:$I$88,3,0)*0.475*44/12</f>
        <v>0</v>
      </c>
      <c r="DK137" s="45">
        <f>EXP(-LN(2)/25)*DK136+(1-EXP(-LN(2)/25))/(LN(2)/25)*Calculateur!DF137*Calculateur!DH137*VLOOKUP('Données projet'!$B$9,Paramètres!$A$1:$I$88,3,0)*0.475*44/12</f>
        <v>0</v>
      </c>
      <c r="DL137" s="45">
        <f>EXP(-LN(2)/2)*DL136+(1-EXP(-LN(2)/2))/(LN(2)/2)*DF137*DI137*VLOOKUP('Données projet'!$B$9,Paramètres!$A$1:$I$88,3,0)*0.475*44/12</f>
        <v>0</v>
      </c>
      <c r="DM137" s="46">
        <f t="shared" si="97"/>
        <v>0</v>
      </c>
      <c r="DN137" s="32" t="e">
        <f>VLOOKUP(A137,'Données projet'!$A$217:$I$237,2,0)</f>
        <v>#N/A</v>
      </c>
      <c r="DO137" s="33" t="e">
        <f>VLOOKUP(A137,'Données projet'!$A$217:$I$237,9,0)</f>
        <v>#N/A</v>
      </c>
      <c r="DP137" s="33">
        <f t="array" ref="DP137">INDEX(DO:DO,MIN(IF(ISNUMBER(DO137:DO333),ROW(DO137:DO333),"")))</f>
        <v>0</v>
      </c>
      <c r="DQ137" s="33">
        <f t="shared" si="120"/>
        <v>0</v>
      </c>
      <c r="DR137" s="38" t="e">
        <f>DQ137*VLOOKUP('Données projet'!$B$16,Paramètres!$A$1:$I$88,3,0)*VLOOKUP('Données projet'!$B$16,Paramètres!$A$1:$I$88,5,0)</f>
        <v>#N/A</v>
      </c>
      <c r="DS137" s="34" t="e">
        <f t="shared" si="121"/>
        <v>#N/A</v>
      </c>
      <c r="DT137" s="44" t="e">
        <f t="shared" si="98"/>
        <v>#N/A</v>
      </c>
      <c r="DU137" s="36">
        <f>IF(ISNA(VLOOKUP(A137,'Données projet'!$A$217:$I$237,3,0)),0,VLOOKUP(A137,'Données projet'!$A$217:$I$237,3,0))</f>
        <v>0</v>
      </c>
      <c r="DV137" s="36">
        <f>IF(ISNA(VLOOKUP(A137,'Données projet'!$A$217:$I$237,4,0)),0,VLOOKUP(A137,'Données projet'!$A$217:$I$237,4,0))</f>
        <v>0</v>
      </c>
      <c r="DW137" s="37">
        <f>IF(ISNA(VLOOKUP(A137,'Données projet'!$A$217:$I$237,5,0)),0%,VLOOKUP(A137,'Données projet'!$A$217:$I$237,5,0)*VLOOKUP('Données projet'!$B$16,Paramètres!$A$1:$I$88,7,0))</f>
        <v>0</v>
      </c>
      <c r="DX137" s="37">
        <f>IF(ISNA(VLOOKUP(A137,'Données projet'!$A$217:$I$237,6,0)),0%,VLOOKUP(A137,'Données projet'!$A$217:$I$237,6,0)*VLOOKUP('Données projet'!$B$16,Paramètres!$A$1:$I$88,7,0))</f>
        <v>0</v>
      </c>
      <c r="DY137" s="37">
        <f>IF(ISNA(VLOOKUP(A137,'Données projet'!$A$217:$I$237,7,0)),0%,VLOOKUP(A137,'Données projet'!$A$217:$I$237,7,0))</f>
        <v>0</v>
      </c>
      <c r="DZ137" s="45">
        <f>EXP(-LN(2)/35)*DZ136+(1-EXP(-LN(2)/35))/(LN(2)/35)*DV137*DW137*VLOOKUP('Données projet'!$B$9,Paramètres!$A$1:$I$88,3,0)*0.475*44/12</f>
        <v>0</v>
      </c>
      <c r="EA137" s="45">
        <f>EXP(-LN(2)/25)*EA136+(1-EXP(-LN(2)/25))/(LN(2)/25)*Calculateur!DV137*Calculateur!DX137*VLOOKUP('Données projet'!$B$9,Paramètres!$A$1:$I$88,3,0)*0.475*44/12</f>
        <v>0</v>
      </c>
      <c r="EB137" s="45">
        <f>EXP(-LN(2)/2)*EB136+(1-EXP(-LN(2)/2))/(LN(2)/2)*DV137*DY137*VLOOKUP('Données projet'!$B$9,Paramètres!$A$1:$I$88,3,0)*0.475*44/12</f>
        <v>0</v>
      </c>
      <c r="EC137" s="46">
        <f t="shared" si="99"/>
        <v>0</v>
      </c>
      <c r="ED137" s="32" t="e">
        <f>VLOOKUP(A137,'Données projet'!$A$243:$I$263,2,0)</f>
        <v>#N/A</v>
      </c>
      <c r="EE137" s="33" t="e">
        <f>VLOOKUP(A137,'Données projet'!$A$243:$I$263,9,0)</f>
        <v>#N/A</v>
      </c>
      <c r="EF137" s="33">
        <f t="array" ref="EF137">INDEX(EE:EE,MIN(IF(ISNUMBER(EE137:EE333),ROW(EE137:EE333),"")))</f>
        <v>0</v>
      </c>
      <c r="EG137" s="33">
        <f t="shared" si="122"/>
        <v>0</v>
      </c>
      <c r="EH137" s="38" t="e">
        <f>EG137*VLOOKUP('Données projet'!$B$17,Paramètres!$A$1:$I$88,3,0)*VLOOKUP('Données projet'!$B$17,Paramètres!$A$1:$I$88,5,0)</f>
        <v>#N/A</v>
      </c>
      <c r="EI137" s="34" t="e">
        <f t="shared" si="123"/>
        <v>#N/A</v>
      </c>
      <c r="EJ137" s="44" t="e">
        <f t="shared" si="100"/>
        <v>#N/A</v>
      </c>
      <c r="EK137" s="36">
        <f>IF(ISNA(VLOOKUP(A137,'Données projet'!$A$243:$I$263,3,0)),0,VLOOKUP(A137,'Données projet'!$A$243:$I$263,3,0))</f>
        <v>0</v>
      </c>
      <c r="EL137" s="36">
        <f>IF(ISNA(VLOOKUP(A137,'Données projet'!$A$243:$I$263,4,0)),0,VLOOKUP(A137,'Données projet'!$A$243:$I$263,4,0))</f>
        <v>0</v>
      </c>
      <c r="EM137" s="37">
        <f>IF(ISNA(VLOOKUP(A137,'Données projet'!$A$243:$I$263,5,0)),0%,VLOOKUP(A137,'Données projet'!$A$243:$I$263,5,0)*VLOOKUP('Données projet'!$B$17,Paramètres!$A$1:$I$88,7,0))</f>
        <v>0</v>
      </c>
      <c r="EN137" s="37">
        <f>IF(ISNA(VLOOKUP(A137,'Données projet'!$A$243:$I$263,6,0)),0%,VLOOKUP(A137,'Données projet'!$A$243:$I$263,6,0)*VLOOKUP('Données projet'!$B$17,Paramètres!$A$1:$I$88,7,0))</f>
        <v>0</v>
      </c>
      <c r="EO137" s="37">
        <f>IF(ISNA(VLOOKUP(A137,'Données projet'!$A$243:$I$263,7,0)),0%,VLOOKUP(A137,'Données projet'!$A$243:$I$263,7,0))</f>
        <v>0</v>
      </c>
      <c r="EP137" s="45">
        <f>EXP(-LN(2)/35)*EP136+(1-EXP(-LN(2)/35))/(LN(2)/35)*EL137*EM137*VLOOKUP('Données projet'!$B$9,Paramètres!$A$1:$I$88,3,0)*0.475*44/12</f>
        <v>0</v>
      </c>
      <c r="EQ137" s="45">
        <f>EXP(-LN(2)/25)*EQ136+(1-EXP(-LN(2)/25))/(LN(2)/25)*Calculateur!EL137*Calculateur!EN137*VLOOKUP('Données projet'!$B$9,Paramètres!$A$1:$I$88,3,0)*0.475*44/12</f>
        <v>0</v>
      </c>
      <c r="ER137" s="45">
        <f>EXP(-LN(2)/2)*ER136+(1-EXP(-LN(2)/2))/(LN(2)/2)*EL137*EO137*VLOOKUP('Données projet'!$B$9,Paramètres!$A$1:$I$88,3,0)*0.475*44/12</f>
        <v>0</v>
      </c>
      <c r="ES137" s="46">
        <f t="shared" si="101"/>
        <v>0</v>
      </c>
      <c r="ET137" s="32" t="e">
        <f>VLOOKUP(A137,'Données projet'!$A$269:$I$289,2,0)</f>
        <v>#N/A</v>
      </c>
      <c r="EU137" s="33" t="e">
        <f>VLOOKUP(A137,'Données projet'!$A$269:$I$289,9,0)</f>
        <v>#N/A</v>
      </c>
      <c r="EV137" s="33">
        <f t="array" ref="EV137">INDEX(EU:EU,MIN(IF(ISNUMBER(EU137:EU333),ROW(EU137:EU333),"")))</f>
        <v>0</v>
      </c>
      <c r="EW137" s="33">
        <f t="shared" si="124"/>
        <v>0</v>
      </c>
      <c r="EX137" s="38" t="e">
        <f>EW137*VLOOKUP('Données projet'!$B$18,Paramètres!$A$1:$I$88,3,0)*VLOOKUP('Données projet'!$B$18,Paramètres!$A$1:$I$88,5,0)</f>
        <v>#N/A</v>
      </c>
      <c r="EY137" s="34" t="e">
        <f t="shared" si="125"/>
        <v>#N/A</v>
      </c>
      <c r="EZ137" s="44" t="e">
        <f t="shared" si="102"/>
        <v>#N/A</v>
      </c>
      <c r="FA137" s="36">
        <f>IF(ISNA(VLOOKUP(A137,'Données projet'!$A$269:$I$289,3,0)),0,VLOOKUP(A137,'Données projet'!$A$269:$I$289,3,0))</f>
        <v>0</v>
      </c>
      <c r="FB137" s="36">
        <f>IF(ISNA(VLOOKUP(A137,'Données projet'!$A$269:$I$289,4,0)),0,VLOOKUP(A137,'Données projet'!$A$269:$I$289,4,0))</f>
        <v>0</v>
      </c>
      <c r="FC137" s="37">
        <f>IF(ISNA(VLOOKUP(A137,'Données projet'!$A$269:$I$289,5,0)),0%,VLOOKUP(A137,'Données projet'!$A$269:$I$289,5,0)*VLOOKUP('Données projet'!$B$18,Paramètres!$A$1:$I$88,7,0))</f>
        <v>0</v>
      </c>
      <c r="FD137" s="37">
        <f>IF(ISNA(VLOOKUP(A137,'Données projet'!$A$269:$I$289,6,0)),0%,VLOOKUP(A137,'Données projet'!$A$269:$I$289,6,0)*VLOOKUP('Données projet'!$B$18,Paramètres!$A$1:$I$88,7,0))</f>
        <v>0</v>
      </c>
      <c r="FE137" s="37">
        <f>IF(ISNA(VLOOKUP(A137,'Données projet'!$A$269:$I$289,7,0)),0%,VLOOKUP(A137,'Données projet'!$A$269:$I$289,7,0))</f>
        <v>0</v>
      </c>
      <c r="FF137" s="45">
        <f>EXP(-LN(2)/35)*FF136+(1-EXP(-LN(2)/35))/(LN(2)/35)*FB137*FC137*VLOOKUP('Données projet'!$B$9,Paramètres!$A$1:$I$88,3,0)*0.475*44/12</f>
        <v>0</v>
      </c>
      <c r="FG137" s="45">
        <f>EXP(-LN(2)/25)*FG136+(1-EXP(-LN(2)/25))/(LN(2)/25)*Calculateur!FB137*Calculateur!FD137*VLOOKUP('Données projet'!$B$9,Paramètres!$A$1:$I$88,3,0)*0.475*44/12</f>
        <v>0</v>
      </c>
      <c r="FH137" s="45">
        <f>EXP(-LN(2)/2)*FH136+(1-EXP(-LN(2)/2))/(LN(2)/2)*FB137*FE137*VLOOKUP('Données projet'!$B$9,Paramètres!$A$1:$I$88,3,0)*0.475*44/12</f>
        <v>0</v>
      </c>
      <c r="FI137" s="46">
        <f t="shared" si="103"/>
        <v>0</v>
      </c>
    </row>
    <row r="138" spans="1:165" x14ac:dyDescent="0.25">
      <c r="A138" s="24">
        <f t="shared" si="104"/>
        <v>135</v>
      </c>
      <c r="B138" s="25">
        <f>IF('Scénario référence'!$N$1=1,5,0)</f>
        <v>0</v>
      </c>
      <c r="C138" s="40">
        <f>IF(OR('Scénario référence'!$N$1=2,'Scénario référence'!$N$1=4),C137+1*VLOOKUP('Scénario référence'!$G$14,Paramètres!$A$1:$I$88,3,0)*VLOOKUP('Scénario référence'!$G$14,Paramètres!$A$1:$I$88,5,0),IF(OR('Scénario référence'!$N$1=3,'Scénario référence'!$N$1=5),C137+0.5*VLOOKUP('Scénario référence'!$G$14,Paramètres!$A$1:$I$88,3,0)*VLOOKUP('Scénario référence'!$G$14,Paramètres!$A$1:$I$88,5,0),0))</f>
        <v>73.710000000000051</v>
      </c>
      <c r="D138" s="26">
        <f t="shared" si="105"/>
        <v>20.591993942534774</v>
      </c>
      <c r="E138" s="27">
        <f>IF('Scénario référence'!$N$1=1,B138*44/12,(C138+D138)*0.475*44/12)</f>
        <v>164.2426394499148</v>
      </c>
      <c r="F138" s="28">
        <f>VLOOKUP(A138,'Données projet'!$A$35:$I$55,2,0)</f>
        <v>298</v>
      </c>
      <c r="G138" s="28">
        <f>VLOOKUP(A138,'Données projet'!$A$35:$I$55,9,0)</f>
        <v>3</v>
      </c>
      <c r="H138" s="33">
        <f t="array" ref="H138">INDEX(G:G,MIN(IF(ISNUMBER(G138:G334),ROW(G138:G334),"")))</f>
        <v>3</v>
      </c>
      <c r="I138" s="28">
        <f t="shared" si="106"/>
        <v>297.99999999999932</v>
      </c>
      <c r="J138" s="41">
        <f>I138*VLOOKUP('Données projet'!$B$9,Paramètres!$A$1:$I$88,3,0)*VLOOKUP('Données projet'!$B$9,Paramètres!$A$1:$I$88,5,0)</f>
        <v>302.17199999999934</v>
      </c>
      <c r="K138" s="41">
        <f t="shared" si="107"/>
        <v>71.631606754643101</v>
      </c>
      <c r="L138" s="42">
        <f t="shared" si="84"/>
        <v>651.04128176433551</v>
      </c>
      <c r="M138" s="30">
        <f>IF(ISNA(VLOOKUP(A138,'Données projet'!$A$35:$I$55,3,0)),0,VLOOKUP(A138,'Données projet'!$A$35:$I$55,3,0))</f>
        <v>12</v>
      </c>
      <c r="N138" s="30">
        <f>IF(ISNA(VLOOKUP(A138,'Données projet'!$A$35:$I$55,4,0)),0,VLOOKUP(A138,'Données projet'!$A$35:$I$55,4,0))</f>
        <v>29</v>
      </c>
      <c r="O138" s="31">
        <f>IF(ISNA(VLOOKUP(A138,'Données projet'!$A$35:$I$55,5,0)),0%,VLOOKUP(A138,'Données projet'!$A$35:$I$55,5,0)*VLOOKUP('Données projet'!$B$9,Paramètres!$A$1:$I$88,7,0))</f>
        <v>0</v>
      </c>
      <c r="P138" s="31">
        <f>IF(ISNA(VLOOKUP(A138,'Données projet'!$A$35:$I$55,6,0)),0%,VLOOKUP(A138,'Données projet'!$A$35:$I$55,6,0)*VLOOKUP('Données projet'!$B$9,Paramètres!$A$1:$I$88,7,0))</f>
        <v>0</v>
      </c>
      <c r="Q138" s="31">
        <f>IF(ISNA(VLOOKUP(A138,'Données projet'!$A$35:$I$55,7,0)),0%,VLOOKUP(A138,'Données projet'!$A$35:$I$55,7,0))</f>
        <v>0</v>
      </c>
      <c r="R138" s="43">
        <f>EXP(-LN(2)/35)*R137+(1-EXP(-LN(2)/35))/(LN(2)/35)*N138*O138*VLOOKUP('Données projet'!$B$9,Paramètres!$A$1:$I$88,3,0)*0.475*44/12</f>
        <v>0</v>
      </c>
      <c r="S138" s="43">
        <f>EXP(-LN(2)/25)*S137+(1-EXP(-LN(2)/25))/(LN(2)/25)*Calculateur!N138*Calculateur!P138*VLOOKUP('Données projet'!$B$9,Paramètres!$A$1:$I$88,3,0)*0.475*44/12</f>
        <v>0</v>
      </c>
      <c r="T138" s="43">
        <f>EXP(-LN(2)/2)*T137+(1-EXP(-LN(2)/2))/(LN(2)/2)*N138*Q138*VLOOKUP('Données projet'!$B$9,Paramètres!$A$1:$I$88,3,0)*0.475*44/12</f>
        <v>0</v>
      </c>
      <c r="U138" s="43">
        <f t="shared" si="85"/>
        <v>0</v>
      </c>
      <c r="V138" s="32" t="e">
        <f>VLOOKUP(A138,'Données projet'!$A$61:$I$81,2,0)</f>
        <v>#N/A</v>
      </c>
      <c r="W138" s="33" t="e">
        <f>VLOOKUP(A138,'Données projet'!$A$61:$I$81,9,0)</f>
        <v>#N/A</v>
      </c>
      <c r="X138" s="33">
        <f t="array" ref="X138">INDEX(W:W,MIN(IF(ISNUMBER(W138:W334),ROW(W138:W334),"")))</f>
        <v>0</v>
      </c>
      <c r="Y138" s="33">
        <f t="shared" si="108"/>
        <v>0</v>
      </c>
      <c r="Z138" s="34" t="e">
        <f>Y138*VLOOKUP('Données projet'!$B$10,Paramètres!$A$1:$I$88,3,0)*VLOOKUP('Données projet'!$B$10,Paramètres!$A$1:$I$88,5,0)</f>
        <v>#N/A</v>
      </c>
      <c r="AA138" s="34" t="e">
        <f t="shared" si="109"/>
        <v>#N/A</v>
      </c>
      <c r="AB138" s="44" t="e">
        <f t="shared" si="86"/>
        <v>#N/A</v>
      </c>
      <c r="AC138" s="36">
        <f>IF(ISNA(VLOOKUP(A138,'Données projet'!$A$61:$I$81,3,0)),0,VLOOKUP(A138,'Données projet'!$A$61:$I$81,3,0))</f>
        <v>0</v>
      </c>
      <c r="AD138" s="36">
        <f>IF(ISNA(VLOOKUP(A138,'Données projet'!$A$61:$I$81,4,0)),0,VLOOKUP(A138,'Données projet'!$A$61:$I$81,4,0))</f>
        <v>0</v>
      </c>
      <c r="AE138" s="37">
        <f>IF(ISNA(VLOOKUP(A138,'Données projet'!$A$61:$I$81,5,0)),0%,VLOOKUP(A138,'Données projet'!$A$61:$I$81,5,0)*VLOOKUP('Données projet'!$B$10,Paramètres!$A$1:$I$88,7,0))</f>
        <v>0</v>
      </c>
      <c r="AF138" s="37">
        <f>IF(ISNA(VLOOKUP(A138,'Données projet'!$A$61:$I$81,6,0)),0%,VLOOKUP(A138,'Données projet'!$A$61:$I$81,6,0)*VLOOKUP('Données projet'!$B$10,Paramètres!$A$1:$I$88,7,0))</f>
        <v>0</v>
      </c>
      <c r="AG138" s="37">
        <f>IF(ISNA(VLOOKUP(A138,'Données projet'!$A$61:$I$81,7,0)),0%,VLOOKUP(A138,'Données projet'!$A$61:$I$81,7,0))</f>
        <v>0</v>
      </c>
      <c r="AH138" s="45">
        <f>EXP(-LN(2)/35)*AH137+(1-EXP(-LN(2)/35))/(LN(2)/35)*AD138*AE138*VLOOKUP('Données projet'!$B$9,Paramètres!$A$1:$I$88,3,0)*0.475*44/12</f>
        <v>0</v>
      </c>
      <c r="AI138" s="45">
        <f>EXP(-LN(2)/25)*AI137+(1-EXP(-LN(2)/25))/(LN(2)/25)*Calculateur!AD138*Calculateur!AF138*VLOOKUP('Données projet'!$B$9,Paramètres!$A$1:$I$88,3,0)*0.475*44/12</f>
        <v>0</v>
      </c>
      <c r="AJ138" s="45">
        <f>EXP(-LN(2)/2)*AJ137+(1-EXP(-LN(2)/2))/(LN(2)/2)*AD138*AG138*VLOOKUP('Données projet'!$B$9,Paramètres!$A$1:$I$88,3,0)*0.475*44/12</f>
        <v>0</v>
      </c>
      <c r="AK138" s="45">
        <f t="shared" si="87"/>
        <v>0</v>
      </c>
      <c r="AL138" s="32" t="e">
        <f>VLOOKUP(A138,'Données projet'!$A$87:$I$107,2,0)</f>
        <v>#N/A</v>
      </c>
      <c r="AM138" s="33" t="e">
        <f>VLOOKUP(A138,'Données projet'!$A$87:$I$107,9,0)</f>
        <v>#N/A</v>
      </c>
      <c r="AN138" s="33">
        <f t="array" ref="AN138">INDEX(AM:AM,MIN(IF(ISNUMBER(AM138:AM334),ROW(AM138:AM334),"")))</f>
        <v>0</v>
      </c>
      <c r="AO138" s="33">
        <f t="shared" si="110"/>
        <v>0</v>
      </c>
      <c r="AP138" s="34" t="e">
        <f>AO138*VLOOKUP('Données projet'!$B$11,Paramètres!$A$1:$I$88,3,0)*VLOOKUP('Données projet'!$B$11,Paramètres!$A$1:$I$88,5,0)</f>
        <v>#N/A</v>
      </c>
      <c r="AQ138" s="34" t="e">
        <f t="shared" si="111"/>
        <v>#N/A</v>
      </c>
      <c r="AR138" s="44" t="e">
        <f t="shared" si="88"/>
        <v>#N/A</v>
      </c>
      <c r="AS138" s="36">
        <f>IF(ISNA(VLOOKUP(A138,'Données projet'!$A$87:$I$107,3,0)),0,VLOOKUP(A138,'Données projet'!$A$87:$I$107,3,0))</f>
        <v>0</v>
      </c>
      <c r="AT138" s="36">
        <f>IF(ISNA(VLOOKUP(A138,'Données projet'!$A$87:$I$107,4,0)),0,VLOOKUP(A138,'Données projet'!$A$87:$I$107,4,0))</f>
        <v>0</v>
      </c>
      <c r="AU138" s="37">
        <f>IF(ISNA(VLOOKUP(A138,'Données projet'!$A$87:$I$107,5,0)),0%,VLOOKUP(A138,'Données projet'!$A$87:$I$107,5,0)*VLOOKUP('Données projet'!$B$11,Paramètres!$A$1:$I$88,7,0))</f>
        <v>0</v>
      </c>
      <c r="AV138" s="37">
        <f>IF(ISNA(VLOOKUP(A138,'Données projet'!$A$87:$I$107,6,0)),0%,VLOOKUP(A138,'Données projet'!$A$87:$I$107,6,0)*VLOOKUP('Données projet'!$B$11,Paramètres!$A$1:$I$88,7,0))</f>
        <v>0</v>
      </c>
      <c r="AW138" s="37">
        <f>IF(ISNA(VLOOKUP(A138,'Données projet'!$A$87:$I$107,7,0)),0%,VLOOKUP(A138,'Données projet'!$A$87:$I$107,7,0))</f>
        <v>0</v>
      </c>
      <c r="AX138" s="45">
        <f>EXP(-LN(2)/35)*AX137+(1-EXP(-LN(2)/35))/(LN(2)/35)*AT138*AU138*VLOOKUP('Données projet'!$B$9,Paramètres!$A$1:$I$88,3,0)*0.475*44/12</f>
        <v>0</v>
      </c>
      <c r="AY138" s="45">
        <f>EXP(-LN(2)/25)*AY137+(1-EXP(-LN(2)/25))/(LN(2)/25)*Calculateur!AT138*Calculateur!AV138*VLOOKUP('Données projet'!$B$9,Paramètres!$A$1:$I$88,3,0)*0.475*44/12</f>
        <v>0</v>
      </c>
      <c r="AZ138" s="45">
        <f>EXP(-LN(2)/2)*AZ137+(1-EXP(-LN(2)/2))/(LN(2)/2)*AT138*AW138*VLOOKUP('Données projet'!$B$9,Paramètres!$A$1:$I$88,3,0)*0.475*44/12</f>
        <v>0</v>
      </c>
      <c r="BA138" s="46">
        <f t="shared" si="89"/>
        <v>0</v>
      </c>
      <c r="BB138" s="32" t="e">
        <f>VLOOKUP(A138,'Données projet'!$A$113:$I$133,2,0)</f>
        <v>#N/A</v>
      </c>
      <c r="BC138" s="33" t="e">
        <f>VLOOKUP(A138,'Données projet'!$A$113:$I$133,9,0)</f>
        <v>#N/A</v>
      </c>
      <c r="BD138" s="33">
        <f t="array" ref="BD138">INDEX(BC:BC,MIN(IF(ISNUMBER(BC138:BC334),ROW(BC138:BC334),"")))</f>
        <v>0</v>
      </c>
      <c r="BE138" s="33">
        <f t="shared" si="112"/>
        <v>0</v>
      </c>
      <c r="BF138" s="34" t="e">
        <f>BE138*VLOOKUP('Données projet'!$B$12,Paramètres!$A$1:$I$88,3,0)*VLOOKUP('Données projet'!$B$12,Paramètres!$A$1:$I$88,5,0)</f>
        <v>#N/A</v>
      </c>
      <c r="BG138" s="34" t="e">
        <f t="shared" si="113"/>
        <v>#N/A</v>
      </c>
      <c r="BH138" s="44" t="e">
        <f t="shared" si="90"/>
        <v>#N/A</v>
      </c>
      <c r="BI138" s="36">
        <f>IF(ISNA(VLOOKUP(A138,'Données projet'!$A$113:$I$133,3,0)),0,VLOOKUP(A138,'Données projet'!$A$113:$I$133,3,0))</f>
        <v>0</v>
      </c>
      <c r="BJ138" s="36">
        <f>IF(ISNA(VLOOKUP(A138,'Données projet'!$A$113:$I$133,4,0)),0,VLOOKUP(A138,'Données projet'!$A$113:$I$133,4,0))</f>
        <v>0</v>
      </c>
      <c r="BK138" s="37">
        <f>IF(ISNA(VLOOKUP(A138,'Données projet'!$A$113:$I$133,5,0)),0%,VLOOKUP(A138,'Données projet'!$A$113:$I$133,5,0)*VLOOKUP('Données projet'!$B$12,Paramètres!$A$1:$I$88,7,0))</f>
        <v>0</v>
      </c>
      <c r="BL138" s="37">
        <f>IF(ISNA(VLOOKUP(A138,'Données projet'!$A$113:$I$133,6,0)),0%,VLOOKUP(A138,'Données projet'!$A$113:$I$133,6,0)*VLOOKUP('Données projet'!$B$12,Paramètres!$A$1:$I$88,7,0))</f>
        <v>0</v>
      </c>
      <c r="BM138" s="37">
        <f>IF(ISNA(VLOOKUP(A138,'Données projet'!$A$113:$I$133,7,0)),0%,VLOOKUP(A138,'Données projet'!$A$113:$I$133,7,0))</f>
        <v>0</v>
      </c>
      <c r="BN138" s="45">
        <f>EXP(-LN(2)/35)*BN137+(1-EXP(-LN(2)/35))/(LN(2)/35)*BJ138*BK138*VLOOKUP('Données projet'!$B$9,Paramètres!$A$1:$I$88,3,0)*0.475*44/12</f>
        <v>0</v>
      </c>
      <c r="BO138" s="45">
        <f>EXP(-LN(2)/25)*BO137+(1-EXP(-LN(2)/25))/(LN(2)/25)*Calculateur!BJ138*Calculateur!BL138*VLOOKUP('Données projet'!$B$9,Paramètres!$A$1:$I$88,3,0)*0.475*44/12</f>
        <v>0</v>
      </c>
      <c r="BP138" s="45">
        <f>EXP(-LN(2)/2)*BP137+(1-EXP(-LN(2)/2))/(LN(2)/2)*BJ138*BM138*VLOOKUP('Données projet'!$B$9,Paramètres!$A$1:$I$88,3,0)*0.475*44/12</f>
        <v>0</v>
      </c>
      <c r="BQ138" s="46">
        <f t="shared" si="91"/>
        <v>0</v>
      </c>
      <c r="BR138" s="32" t="e">
        <f>VLOOKUP(A138,'Données projet'!$A$139:$I$159,2,0)</f>
        <v>#N/A</v>
      </c>
      <c r="BS138" s="33" t="e">
        <f>VLOOKUP(A138,'Données projet'!$A$139:$I$159,9,0)</f>
        <v>#N/A</v>
      </c>
      <c r="BT138" s="33">
        <f t="array" ref="BT138">INDEX(BS:BS,MIN(IF(ISNUMBER(BS138:BS334),ROW(BS138:BS334),"")))</f>
        <v>0</v>
      </c>
      <c r="BU138" s="33">
        <f t="shared" si="114"/>
        <v>0</v>
      </c>
      <c r="BV138" s="38" t="e">
        <f>BU138*VLOOKUP('Données projet'!$B$13,Paramètres!$A$1:$I$88,3,0)*VLOOKUP('Données projet'!$B$13,Paramètres!$A$1:$I$88,5,0)</f>
        <v>#N/A</v>
      </c>
      <c r="BW138" s="34" t="e">
        <f t="shared" si="115"/>
        <v>#N/A</v>
      </c>
      <c r="BX138" s="44" t="e">
        <f t="shared" si="92"/>
        <v>#N/A</v>
      </c>
      <c r="BY138" s="36">
        <f>IF(ISNA(VLOOKUP(A138,'Données projet'!$A$139:$I$159,3,0)),0,VLOOKUP(A138,'Données projet'!$A$139:$I$159,3,0))</f>
        <v>0</v>
      </c>
      <c r="BZ138" s="36">
        <f>IF(ISNA(VLOOKUP(A138,'Données projet'!$A$139:$I$159,4,0)),0,VLOOKUP(A138,'Données projet'!$A$139:$I$159,4,0))</f>
        <v>0</v>
      </c>
      <c r="CA138" s="37">
        <f>IF(ISNA(VLOOKUP(A138,'Données projet'!$A$139:$I$159,5,0)),0%,VLOOKUP(A138,'Données projet'!$A$139:$I$159,5,0)*VLOOKUP('Données projet'!$B$13,Paramètres!$A$1:$I$88,7,0))</f>
        <v>0</v>
      </c>
      <c r="CB138" s="37">
        <f>IF(ISNA(VLOOKUP(A138,'Données projet'!$A$139:$I$159,6,0)),0%,VLOOKUP(A138,'Données projet'!$A$139:$I$159,6,0)*VLOOKUP('Données projet'!$B$13,Paramètres!$A$1:$I$88,7,0))</f>
        <v>0</v>
      </c>
      <c r="CC138" s="37">
        <f>IF(ISNA(VLOOKUP(A138,'Données projet'!$A$139:$I$159,7,0)),0%,VLOOKUP(A138,'Données projet'!$A$139:$I$159,7,0))</f>
        <v>0</v>
      </c>
      <c r="CD138" s="45">
        <f>EXP(-LN(2)/35)*CD137+(1-EXP(-LN(2)/35))/(LN(2)/35)*BZ138*CA138*VLOOKUP('Données projet'!$B$9,Paramètres!$A$1:$I$88,3,0)*0.475*44/12</f>
        <v>0</v>
      </c>
      <c r="CE138" s="45">
        <f>EXP(-LN(2)/25)*CE137+(1-EXP(-LN(2)/25))/(LN(2)/25)*Calculateur!BZ138*Calculateur!CB138*VLOOKUP('Données projet'!$B$9,Paramètres!$A$1:$I$88,3,0)*0.475*44/12</f>
        <v>0</v>
      </c>
      <c r="CF138" s="45">
        <f>EXP(-LN(2)/2)*CF137+(1-EXP(-LN(2)/2))/(LN(2)/2)*BZ138*CC138*VLOOKUP('Données projet'!$B$9,Paramètres!$A$1:$I$88,3,0)*0.475*44/12</f>
        <v>0</v>
      </c>
      <c r="CG138" s="46">
        <f t="shared" si="93"/>
        <v>0</v>
      </c>
      <c r="CH138" s="32" t="e">
        <f>VLOOKUP(A138,'Données projet'!$A$165:$I$185,2,0)</f>
        <v>#N/A</v>
      </c>
      <c r="CI138" s="33" t="e">
        <f>VLOOKUP(A138,'Données projet'!$A$165:$I$185,9,0)</f>
        <v>#N/A</v>
      </c>
      <c r="CJ138" s="33">
        <f t="array" ref="CJ138">INDEX(CI:CI,MIN(IF(ISNUMBER(CI138:CI334),ROW(CI138:CI334),"")))</f>
        <v>0</v>
      </c>
      <c r="CK138" s="33">
        <f t="shared" si="116"/>
        <v>0</v>
      </c>
      <c r="CL138" s="38" t="e">
        <f>CK138*VLOOKUP('Données projet'!$B$14,Paramètres!$A$1:$I$88,3,0)*VLOOKUP('Données projet'!$B$14,Paramètres!$A$1:$I$88,5,0)</f>
        <v>#N/A</v>
      </c>
      <c r="CM138" s="34" t="e">
        <f t="shared" si="117"/>
        <v>#N/A</v>
      </c>
      <c r="CN138" s="44" t="e">
        <f t="shared" si="94"/>
        <v>#N/A</v>
      </c>
      <c r="CO138" s="36">
        <f>IF(ISNA(VLOOKUP(A138,'Données projet'!$A$165:$I$185,3,0)),0,VLOOKUP(A138,'Données projet'!$A$165:$I$185,3,0))</f>
        <v>0</v>
      </c>
      <c r="CP138" s="36">
        <f>IF(ISNA(VLOOKUP(A138,'Données projet'!$A$165:$I$185,4,0)),0,VLOOKUP(A138,'Données projet'!$A$165:$I$185,4,0))</f>
        <v>0</v>
      </c>
      <c r="CQ138" s="37">
        <f>IF(ISNA(VLOOKUP(A138,'Données projet'!$A$165:$I$185,5,0)),0%,VLOOKUP(A138,'Données projet'!$A$165:$I$185,5,0)*VLOOKUP('Données projet'!$B$14,Paramètres!$A$1:$I$88,7,0))</f>
        <v>0</v>
      </c>
      <c r="CR138" s="37">
        <f>IF(ISNA(VLOOKUP(A138,'Données projet'!$A$165:$I$185,6,0)),0%,VLOOKUP(A138,'Données projet'!$A$165:$I$185,6,0)*VLOOKUP('Données projet'!$B$14,Paramètres!$A$1:$I$88,7,0))</f>
        <v>0</v>
      </c>
      <c r="CS138" s="37">
        <f>IF(ISNA(VLOOKUP(A138,'Données projet'!$A$165:$I$185,7,0)),0%,VLOOKUP(A138,'Données projet'!$A$165:$I$185,7,0))</f>
        <v>0</v>
      </c>
      <c r="CT138" s="45">
        <f>EXP(-LN(2)/35)*CT137+(1-EXP(-LN(2)/35))/(LN(2)/35)*CP138*CQ138*VLOOKUP('Données projet'!$B$9,Paramètres!$A$1:$I$88,3,0)*0.475*44/12</f>
        <v>0</v>
      </c>
      <c r="CU138" s="45">
        <f>EXP(-LN(2)/25)*CU137+(1-EXP(-LN(2)/25))/(LN(2)/25)*Calculateur!CP138*Calculateur!CR138*VLOOKUP('Données projet'!$B$9,Paramètres!$A$1:$I$88,3,0)*0.475*44/12</f>
        <v>0</v>
      </c>
      <c r="CV138" s="45">
        <f>EXP(-LN(2)/2)*CV137+(1-EXP(-LN(2)/2))/(LN(2)/2)*CP138*CS138*VLOOKUP('Données projet'!$B$9,Paramètres!$A$1:$I$88,3,0)*0.475*44/12</f>
        <v>0</v>
      </c>
      <c r="CW138" s="46">
        <f t="shared" si="95"/>
        <v>0</v>
      </c>
      <c r="CX138" s="32" t="e">
        <f>VLOOKUP(A138,'Données projet'!$A$191:$I$211,2,0)</f>
        <v>#N/A</v>
      </c>
      <c r="CY138" s="33" t="e">
        <f>VLOOKUP(A138,'Données projet'!$A$191:$I$211,9,0)</f>
        <v>#N/A</v>
      </c>
      <c r="CZ138" s="33">
        <f t="array" ref="CZ138">INDEX(CY:CY,MIN(IF(ISNUMBER(CY138:CY334),ROW(CY138:CY334),"")))</f>
        <v>0</v>
      </c>
      <c r="DA138" s="33">
        <f t="shared" si="118"/>
        <v>0</v>
      </c>
      <c r="DB138" s="38" t="e">
        <f>DA138*VLOOKUP('Données projet'!$B$15,Paramètres!$A$1:$I$88,3,0)*VLOOKUP('Données projet'!$B$15,Paramètres!$A$1:$I$88,5,0)</f>
        <v>#N/A</v>
      </c>
      <c r="DC138" s="34" t="e">
        <f t="shared" si="119"/>
        <v>#N/A</v>
      </c>
      <c r="DD138" s="44" t="e">
        <f t="shared" si="96"/>
        <v>#N/A</v>
      </c>
      <c r="DE138" s="36">
        <f>IF(ISNA(VLOOKUP(A138,'Données projet'!$A$191:$I$211,3,0)),0,VLOOKUP(A138,'Données projet'!$A$191:$I$211,3,0))</f>
        <v>0</v>
      </c>
      <c r="DF138" s="36">
        <f>IF(ISNA(VLOOKUP(A138,'Données projet'!$A$191:$I$211,4,0)),0,VLOOKUP(A138,'Données projet'!$A$191:$I$211,4,0))</f>
        <v>0</v>
      </c>
      <c r="DG138" s="37">
        <f>IF(ISNA(VLOOKUP(A138,'Données projet'!$A$191:$I$211,5,0)),0%,VLOOKUP(A138,'Données projet'!$A$191:$I$211,5,0)*VLOOKUP('Données projet'!$B$15,Paramètres!$A$1:$I$88,7,0))</f>
        <v>0</v>
      </c>
      <c r="DH138" s="37">
        <f>IF(ISNA(VLOOKUP(A138,'Données projet'!$A$191:$I$211,6,0)),0%,VLOOKUP(A138,'Données projet'!$A$191:$I$211,6,0)*VLOOKUP('Données projet'!$B$15,Paramètres!$A$1:$I$88,7,0))</f>
        <v>0</v>
      </c>
      <c r="DI138" s="37">
        <f>IF(ISNA(VLOOKUP(A138,'Données projet'!$A$191:$I$211,7,0)),0%,VLOOKUP(A138,'Données projet'!$A$191:$I$211,7,0))</f>
        <v>0</v>
      </c>
      <c r="DJ138" s="45">
        <f>EXP(-LN(2)/35)*DJ137+(1-EXP(-LN(2)/35))/(LN(2)/35)*DF138*DG138*VLOOKUP('Données projet'!$B$9,Paramètres!$A$1:$I$88,3,0)*0.475*44/12</f>
        <v>0</v>
      </c>
      <c r="DK138" s="45">
        <f>EXP(-LN(2)/25)*DK137+(1-EXP(-LN(2)/25))/(LN(2)/25)*Calculateur!DF138*Calculateur!DH138*VLOOKUP('Données projet'!$B$9,Paramètres!$A$1:$I$88,3,0)*0.475*44/12</f>
        <v>0</v>
      </c>
      <c r="DL138" s="45">
        <f>EXP(-LN(2)/2)*DL137+(1-EXP(-LN(2)/2))/(LN(2)/2)*DF138*DI138*VLOOKUP('Données projet'!$B$9,Paramètres!$A$1:$I$88,3,0)*0.475*44/12</f>
        <v>0</v>
      </c>
      <c r="DM138" s="46">
        <f t="shared" si="97"/>
        <v>0</v>
      </c>
      <c r="DN138" s="32" t="e">
        <f>VLOOKUP(A138,'Données projet'!$A$217:$I$237,2,0)</f>
        <v>#N/A</v>
      </c>
      <c r="DO138" s="33" t="e">
        <f>VLOOKUP(A138,'Données projet'!$A$217:$I$237,9,0)</f>
        <v>#N/A</v>
      </c>
      <c r="DP138" s="33">
        <f t="array" ref="DP138">INDEX(DO:DO,MIN(IF(ISNUMBER(DO138:DO334),ROW(DO138:DO334),"")))</f>
        <v>0</v>
      </c>
      <c r="DQ138" s="33">
        <f t="shared" si="120"/>
        <v>0</v>
      </c>
      <c r="DR138" s="38" t="e">
        <f>DQ138*VLOOKUP('Données projet'!$B$16,Paramètres!$A$1:$I$88,3,0)*VLOOKUP('Données projet'!$B$16,Paramètres!$A$1:$I$88,5,0)</f>
        <v>#N/A</v>
      </c>
      <c r="DS138" s="34" t="e">
        <f t="shared" si="121"/>
        <v>#N/A</v>
      </c>
      <c r="DT138" s="44" t="e">
        <f t="shared" si="98"/>
        <v>#N/A</v>
      </c>
      <c r="DU138" s="36">
        <f>IF(ISNA(VLOOKUP(A138,'Données projet'!$A$217:$I$237,3,0)),0,VLOOKUP(A138,'Données projet'!$A$217:$I$237,3,0))</f>
        <v>0</v>
      </c>
      <c r="DV138" s="36">
        <f>IF(ISNA(VLOOKUP(A138,'Données projet'!$A$217:$I$237,4,0)),0,VLOOKUP(A138,'Données projet'!$A$217:$I$237,4,0))</f>
        <v>0</v>
      </c>
      <c r="DW138" s="37">
        <f>IF(ISNA(VLOOKUP(A138,'Données projet'!$A$217:$I$237,5,0)),0%,VLOOKUP(A138,'Données projet'!$A$217:$I$237,5,0)*VLOOKUP('Données projet'!$B$16,Paramètres!$A$1:$I$88,7,0))</f>
        <v>0</v>
      </c>
      <c r="DX138" s="37">
        <f>IF(ISNA(VLOOKUP(A138,'Données projet'!$A$217:$I$237,6,0)),0%,VLOOKUP(A138,'Données projet'!$A$217:$I$237,6,0)*VLOOKUP('Données projet'!$B$16,Paramètres!$A$1:$I$88,7,0))</f>
        <v>0</v>
      </c>
      <c r="DY138" s="37">
        <f>IF(ISNA(VLOOKUP(A138,'Données projet'!$A$217:$I$237,7,0)),0%,VLOOKUP(A138,'Données projet'!$A$217:$I$237,7,0))</f>
        <v>0</v>
      </c>
      <c r="DZ138" s="45">
        <f>EXP(-LN(2)/35)*DZ137+(1-EXP(-LN(2)/35))/(LN(2)/35)*DV138*DW138*VLOOKUP('Données projet'!$B$9,Paramètres!$A$1:$I$88,3,0)*0.475*44/12</f>
        <v>0</v>
      </c>
      <c r="EA138" s="45">
        <f>EXP(-LN(2)/25)*EA137+(1-EXP(-LN(2)/25))/(LN(2)/25)*Calculateur!DV138*Calculateur!DX138*VLOOKUP('Données projet'!$B$9,Paramètres!$A$1:$I$88,3,0)*0.475*44/12</f>
        <v>0</v>
      </c>
      <c r="EB138" s="45">
        <f>EXP(-LN(2)/2)*EB137+(1-EXP(-LN(2)/2))/(LN(2)/2)*DV138*DY138*VLOOKUP('Données projet'!$B$9,Paramètres!$A$1:$I$88,3,0)*0.475*44/12</f>
        <v>0</v>
      </c>
      <c r="EC138" s="46">
        <f t="shared" si="99"/>
        <v>0</v>
      </c>
      <c r="ED138" s="32" t="e">
        <f>VLOOKUP(A138,'Données projet'!$A$243:$I$263,2,0)</f>
        <v>#N/A</v>
      </c>
      <c r="EE138" s="33" t="e">
        <f>VLOOKUP(A138,'Données projet'!$A$243:$I$263,9,0)</f>
        <v>#N/A</v>
      </c>
      <c r="EF138" s="33">
        <f t="array" ref="EF138">INDEX(EE:EE,MIN(IF(ISNUMBER(EE138:EE334),ROW(EE138:EE334),"")))</f>
        <v>0</v>
      </c>
      <c r="EG138" s="33">
        <f t="shared" si="122"/>
        <v>0</v>
      </c>
      <c r="EH138" s="38" t="e">
        <f>EG138*VLOOKUP('Données projet'!$B$17,Paramètres!$A$1:$I$88,3,0)*VLOOKUP('Données projet'!$B$17,Paramètres!$A$1:$I$88,5,0)</f>
        <v>#N/A</v>
      </c>
      <c r="EI138" s="34" t="e">
        <f t="shared" si="123"/>
        <v>#N/A</v>
      </c>
      <c r="EJ138" s="44" t="e">
        <f t="shared" si="100"/>
        <v>#N/A</v>
      </c>
      <c r="EK138" s="36">
        <f>IF(ISNA(VLOOKUP(A138,'Données projet'!$A$243:$I$263,3,0)),0,VLOOKUP(A138,'Données projet'!$A$243:$I$263,3,0))</f>
        <v>0</v>
      </c>
      <c r="EL138" s="36">
        <f>IF(ISNA(VLOOKUP(A138,'Données projet'!$A$243:$I$263,4,0)),0,VLOOKUP(A138,'Données projet'!$A$243:$I$263,4,0))</f>
        <v>0</v>
      </c>
      <c r="EM138" s="37">
        <f>IF(ISNA(VLOOKUP(A138,'Données projet'!$A$243:$I$263,5,0)),0%,VLOOKUP(A138,'Données projet'!$A$243:$I$263,5,0)*VLOOKUP('Données projet'!$B$17,Paramètres!$A$1:$I$88,7,0))</f>
        <v>0</v>
      </c>
      <c r="EN138" s="37">
        <f>IF(ISNA(VLOOKUP(A138,'Données projet'!$A$243:$I$263,6,0)),0%,VLOOKUP(A138,'Données projet'!$A$243:$I$263,6,0)*VLOOKUP('Données projet'!$B$17,Paramètres!$A$1:$I$88,7,0))</f>
        <v>0</v>
      </c>
      <c r="EO138" s="37">
        <f>IF(ISNA(VLOOKUP(A138,'Données projet'!$A$243:$I$263,7,0)),0%,VLOOKUP(A138,'Données projet'!$A$243:$I$263,7,0))</f>
        <v>0</v>
      </c>
      <c r="EP138" s="45">
        <f>EXP(-LN(2)/35)*EP137+(1-EXP(-LN(2)/35))/(LN(2)/35)*EL138*EM138*VLOOKUP('Données projet'!$B$9,Paramètres!$A$1:$I$88,3,0)*0.475*44/12</f>
        <v>0</v>
      </c>
      <c r="EQ138" s="45">
        <f>EXP(-LN(2)/25)*EQ137+(1-EXP(-LN(2)/25))/(LN(2)/25)*Calculateur!EL138*Calculateur!EN138*VLOOKUP('Données projet'!$B$9,Paramètres!$A$1:$I$88,3,0)*0.475*44/12</f>
        <v>0</v>
      </c>
      <c r="ER138" s="45">
        <f>EXP(-LN(2)/2)*ER137+(1-EXP(-LN(2)/2))/(LN(2)/2)*EL138*EO138*VLOOKUP('Données projet'!$B$9,Paramètres!$A$1:$I$88,3,0)*0.475*44/12</f>
        <v>0</v>
      </c>
      <c r="ES138" s="46">
        <f t="shared" si="101"/>
        <v>0</v>
      </c>
      <c r="ET138" s="32" t="e">
        <f>VLOOKUP(A138,'Données projet'!$A$269:$I$289,2,0)</f>
        <v>#N/A</v>
      </c>
      <c r="EU138" s="33" t="e">
        <f>VLOOKUP(A138,'Données projet'!$A$269:$I$289,9,0)</f>
        <v>#N/A</v>
      </c>
      <c r="EV138" s="33">
        <f t="array" ref="EV138">INDEX(EU:EU,MIN(IF(ISNUMBER(EU138:EU334),ROW(EU138:EU334),"")))</f>
        <v>0</v>
      </c>
      <c r="EW138" s="33">
        <f t="shared" si="124"/>
        <v>0</v>
      </c>
      <c r="EX138" s="38" t="e">
        <f>EW138*VLOOKUP('Données projet'!$B$18,Paramètres!$A$1:$I$88,3,0)*VLOOKUP('Données projet'!$B$18,Paramètres!$A$1:$I$88,5,0)</f>
        <v>#N/A</v>
      </c>
      <c r="EY138" s="34" t="e">
        <f t="shared" si="125"/>
        <v>#N/A</v>
      </c>
      <c r="EZ138" s="44" t="e">
        <f t="shared" si="102"/>
        <v>#N/A</v>
      </c>
      <c r="FA138" s="36">
        <f>IF(ISNA(VLOOKUP(A138,'Données projet'!$A$269:$I$289,3,0)),0,VLOOKUP(A138,'Données projet'!$A$269:$I$289,3,0))</f>
        <v>0</v>
      </c>
      <c r="FB138" s="36">
        <f>IF(ISNA(VLOOKUP(A138,'Données projet'!$A$269:$I$289,4,0)),0,VLOOKUP(A138,'Données projet'!$A$269:$I$289,4,0))</f>
        <v>0</v>
      </c>
      <c r="FC138" s="37">
        <f>IF(ISNA(VLOOKUP(A138,'Données projet'!$A$269:$I$289,5,0)),0%,VLOOKUP(A138,'Données projet'!$A$269:$I$289,5,0)*VLOOKUP('Données projet'!$B$18,Paramètres!$A$1:$I$88,7,0))</f>
        <v>0</v>
      </c>
      <c r="FD138" s="37">
        <f>IF(ISNA(VLOOKUP(A138,'Données projet'!$A$269:$I$289,6,0)),0%,VLOOKUP(A138,'Données projet'!$A$269:$I$289,6,0)*VLOOKUP('Données projet'!$B$18,Paramètres!$A$1:$I$88,7,0))</f>
        <v>0</v>
      </c>
      <c r="FE138" s="37">
        <f>IF(ISNA(VLOOKUP(A138,'Données projet'!$A$269:$I$289,7,0)),0%,VLOOKUP(A138,'Données projet'!$A$269:$I$289,7,0))</f>
        <v>0</v>
      </c>
      <c r="FF138" s="45">
        <f>EXP(-LN(2)/35)*FF137+(1-EXP(-LN(2)/35))/(LN(2)/35)*FB138*FC138*VLOOKUP('Données projet'!$B$9,Paramètres!$A$1:$I$88,3,0)*0.475*44/12</f>
        <v>0</v>
      </c>
      <c r="FG138" s="45">
        <f>EXP(-LN(2)/25)*FG137+(1-EXP(-LN(2)/25))/(LN(2)/25)*Calculateur!FB138*Calculateur!FD138*VLOOKUP('Données projet'!$B$9,Paramètres!$A$1:$I$88,3,0)*0.475*44/12</f>
        <v>0</v>
      </c>
      <c r="FH138" s="45">
        <f>EXP(-LN(2)/2)*FH137+(1-EXP(-LN(2)/2))/(LN(2)/2)*FB138*FE138*VLOOKUP('Données projet'!$B$9,Paramètres!$A$1:$I$88,3,0)*0.475*44/12</f>
        <v>0</v>
      </c>
      <c r="FI138" s="46">
        <f t="shared" si="103"/>
        <v>0</v>
      </c>
    </row>
    <row r="139" spans="1:165" x14ac:dyDescent="0.25">
      <c r="A139" s="24">
        <f t="shared" si="104"/>
        <v>136</v>
      </c>
      <c r="B139" s="25">
        <f>IF('Scénario référence'!$N$1=1,5,0)</f>
        <v>0</v>
      </c>
      <c r="C139" s="40">
        <f>IF(OR('Scénario référence'!$N$1=2,'Scénario référence'!$N$1=4),C138+1*VLOOKUP('Scénario référence'!$G$14,Paramètres!$A$1:$I$88,3,0)*VLOOKUP('Scénario référence'!$G$14,Paramètres!$A$1:$I$88,5,0),IF(OR('Scénario référence'!$N$1=3,'Scénario référence'!$N$1=5),C138+0.5*VLOOKUP('Scénario référence'!$G$14,Paramètres!$A$1:$I$88,3,0)*VLOOKUP('Scénario référence'!$G$14,Paramètres!$A$1:$I$88,5,0),0))</f>
        <v>74.256000000000057</v>
      </c>
      <c r="D139" s="26">
        <f t="shared" si="105"/>
        <v>20.726714411291841</v>
      </c>
      <c r="E139" s="27">
        <f>IF('Scénario référence'!$N$1=1,B139*44/12,(C139+D139)*0.475*44/12)</f>
        <v>165.42822759966671</v>
      </c>
      <c r="F139" s="28" t="e">
        <f>VLOOKUP(A139,'Données projet'!$A$35:$I$55,2,0)</f>
        <v>#N/A</v>
      </c>
      <c r="G139" s="28" t="e">
        <f>VLOOKUP(A139,'Données projet'!$A$35:$I$55,9,0)</f>
        <v>#N/A</v>
      </c>
      <c r="H139" s="33">
        <f t="array" ref="H139">INDEX(G:G,MIN(IF(ISNUMBER(G139:G335),ROW(G139:G335),"")))</f>
        <v>2.6</v>
      </c>
      <c r="I139" s="28">
        <f t="shared" si="106"/>
        <v>271.59999999999934</v>
      </c>
      <c r="J139" s="41">
        <f>I139*VLOOKUP('Données projet'!$B$9,Paramètres!$A$1:$I$88,3,0)*VLOOKUP('Données projet'!$B$9,Paramètres!$A$1:$I$88,5,0)</f>
        <v>275.40239999999932</v>
      </c>
      <c r="K139" s="41">
        <f t="shared" si="107"/>
        <v>65.994469603831334</v>
      </c>
      <c r="L139" s="42">
        <f t="shared" si="84"/>
        <v>594.59954789333835</v>
      </c>
      <c r="M139" s="30">
        <f>IF(ISNA(VLOOKUP(A139,'Données projet'!$A$35:$I$55,3,0)),0,VLOOKUP(A139,'Données projet'!$A$35:$I$55,3,0))</f>
        <v>0</v>
      </c>
      <c r="N139" s="30">
        <f>IF(ISNA(VLOOKUP(A139,'Données projet'!$A$35:$I$55,4,0)),0,VLOOKUP(A139,'Données projet'!$A$35:$I$55,4,0))</f>
        <v>0</v>
      </c>
      <c r="O139" s="31">
        <f>IF(ISNA(VLOOKUP(A139,'Données projet'!$A$35:$I$55,5,0)),0%,VLOOKUP(A139,'Données projet'!$A$35:$I$55,5,0)*VLOOKUP('Données projet'!$B$9,Paramètres!$A$1:$I$88,7,0))</f>
        <v>0</v>
      </c>
      <c r="P139" s="31">
        <f>IF(ISNA(VLOOKUP(A139,'Données projet'!$A$35:$I$55,6,0)),0%,VLOOKUP(A139,'Données projet'!$A$35:$I$55,6,0)*VLOOKUP('Données projet'!$B$9,Paramètres!$A$1:$I$88,7,0))</f>
        <v>0</v>
      </c>
      <c r="Q139" s="31">
        <f>IF(ISNA(VLOOKUP(A139,'Données projet'!$A$35:$I$55,7,0)),0%,VLOOKUP(A139,'Données projet'!$A$35:$I$55,7,0))</f>
        <v>0</v>
      </c>
      <c r="R139" s="43">
        <f>EXP(-LN(2)/35)*R138+(1-EXP(-LN(2)/35))/(LN(2)/35)*N139*O139*VLOOKUP('Données projet'!$B$9,Paramètres!$A$1:$I$88,3,0)*0.475*44/12</f>
        <v>0</v>
      </c>
      <c r="S139" s="43">
        <f>EXP(-LN(2)/25)*S138+(1-EXP(-LN(2)/25))/(LN(2)/25)*Calculateur!N139*Calculateur!P139*VLOOKUP('Données projet'!$B$9,Paramètres!$A$1:$I$88,3,0)*0.475*44/12</f>
        <v>0</v>
      </c>
      <c r="T139" s="43">
        <f>EXP(-LN(2)/2)*T138+(1-EXP(-LN(2)/2))/(LN(2)/2)*N139*Q139*VLOOKUP('Données projet'!$B$9,Paramètres!$A$1:$I$88,3,0)*0.475*44/12</f>
        <v>0</v>
      </c>
      <c r="U139" s="43">
        <f t="shared" si="85"/>
        <v>0</v>
      </c>
      <c r="V139" s="32" t="e">
        <f>VLOOKUP(A139,'Données projet'!$A$61:$I$81,2,0)</f>
        <v>#N/A</v>
      </c>
      <c r="W139" s="33" t="e">
        <f>VLOOKUP(A139,'Données projet'!$A$61:$I$81,9,0)</f>
        <v>#N/A</v>
      </c>
      <c r="X139" s="33">
        <f t="array" ref="X139">INDEX(W:W,MIN(IF(ISNUMBER(W139:W335),ROW(W139:W335),"")))</f>
        <v>0</v>
      </c>
      <c r="Y139" s="33">
        <f t="shared" si="108"/>
        <v>0</v>
      </c>
      <c r="Z139" s="34" t="e">
        <f>Y139*VLOOKUP('Données projet'!$B$10,Paramètres!$A$1:$I$88,3,0)*VLOOKUP('Données projet'!$B$10,Paramètres!$A$1:$I$88,5,0)</f>
        <v>#N/A</v>
      </c>
      <c r="AA139" s="34" t="e">
        <f t="shared" si="109"/>
        <v>#N/A</v>
      </c>
      <c r="AB139" s="44" t="e">
        <f t="shared" si="86"/>
        <v>#N/A</v>
      </c>
      <c r="AC139" s="36">
        <f>IF(ISNA(VLOOKUP(A139,'Données projet'!$A$61:$I$81,3,0)),0,VLOOKUP(A139,'Données projet'!$A$61:$I$81,3,0))</f>
        <v>0</v>
      </c>
      <c r="AD139" s="36">
        <f>IF(ISNA(VLOOKUP(A139,'Données projet'!$A$61:$I$81,4,0)),0,VLOOKUP(A139,'Données projet'!$A$61:$I$81,4,0))</f>
        <v>0</v>
      </c>
      <c r="AE139" s="37">
        <f>IF(ISNA(VLOOKUP(A139,'Données projet'!$A$61:$I$81,5,0)),0%,VLOOKUP(A139,'Données projet'!$A$61:$I$81,5,0)*VLOOKUP('Données projet'!$B$10,Paramètres!$A$1:$I$88,7,0))</f>
        <v>0</v>
      </c>
      <c r="AF139" s="37">
        <f>IF(ISNA(VLOOKUP(A139,'Données projet'!$A$61:$I$81,6,0)),0%,VLOOKUP(A139,'Données projet'!$A$61:$I$81,6,0)*VLOOKUP('Données projet'!$B$10,Paramètres!$A$1:$I$88,7,0))</f>
        <v>0</v>
      </c>
      <c r="AG139" s="37">
        <f>IF(ISNA(VLOOKUP(A139,'Données projet'!$A$61:$I$81,7,0)),0%,VLOOKUP(A139,'Données projet'!$A$61:$I$81,7,0))</f>
        <v>0</v>
      </c>
      <c r="AH139" s="45">
        <f>EXP(-LN(2)/35)*AH138+(1-EXP(-LN(2)/35))/(LN(2)/35)*AD139*AE139*VLOOKUP('Données projet'!$B$9,Paramètres!$A$1:$I$88,3,0)*0.475*44/12</f>
        <v>0</v>
      </c>
      <c r="AI139" s="45">
        <f>EXP(-LN(2)/25)*AI138+(1-EXP(-LN(2)/25))/(LN(2)/25)*Calculateur!AD139*Calculateur!AF139*VLOOKUP('Données projet'!$B$9,Paramètres!$A$1:$I$88,3,0)*0.475*44/12</f>
        <v>0</v>
      </c>
      <c r="AJ139" s="45">
        <f>EXP(-LN(2)/2)*AJ138+(1-EXP(-LN(2)/2))/(LN(2)/2)*AD139*AG139*VLOOKUP('Données projet'!$B$9,Paramètres!$A$1:$I$88,3,0)*0.475*44/12</f>
        <v>0</v>
      </c>
      <c r="AK139" s="45">
        <f t="shared" si="87"/>
        <v>0</v>
      </c>
      <c r="AL139" s="32" t="e">
        <f>VLOOKUP(A139,'Données projet'!$A$87:$I$107,2,0)</f>
        <v>#N/A</v>
      </c>
      <c r="AM139" s="33" t="e">
        <f>VLOOKUP(A139,'Données projet'!$A$87:$I$107,9,0)</f>
        <v>#N/A</v>
      </c>
      <c r="AN139" s="33">
        <f t="array" ref="AN139">INDEX(AM:AM,MIN(IF(ISNUMBER(AM139:AM335),ROW(AM139:AM335),"")))</f>
        <v>0</v>
      </c>
      <c r="AO139" s="33">
        <f t="shared" si="110"/>
        <v>0</v>
      </c>
      <c r="AP139" s="34" t="e">
        <f>AO139*VLOOKUP('Données projet'!$B$11,Paramètres!$A$1:$I$88,3,0)*VLOOKUP('Données projet'!$B$11,Paramètres!$A$1:$I$88,5,0)</f>
        <v>#N/A</v>
      </c>
      <c r="AQ139" s="34" t="e">
        <f t="shared" si="111"/>
        <v>#N/A</v>
      </c>
      <c r="AR139" s="44" t="e">
        <f t="shared" si="88"/>
        <v>#N/A</v>
      </c>
      <c r="AS139" s="36">
        <f>IF(ISNA(VLOOKUP(A139,'Données projet'!$A$87:$I$107,3,0)),0,VLOOKUP(A139,'Données projet'!$A$87:$I$107,3,0))</f>
        <v>0</v>
      </c>
      <c r="AT139" s="36">
        <f>IF(ISNA(VLOOKUP(A139,'Données projet'!$A$87:$I$107,4,0)),0,VLOOKUP(A139,'Données projet'!$A$87:$I$107,4,0))</f>
        <v>0</v>
      </c>
      <c r="AU139" s="37">
        <f>IF(ISNA(VLOOKUP(A139,'Données projet'!$A$87:$I$107,5,0)),0%,VLOOKUP(A139,'Données projet'!$A$87:$I$107,5,0)*VLOOKUP('Données projet'!$B$11,Paramètres!$A$1:$I$88,7,0))</f>
        <v>0</v>
      </c>
      <c r="AV139" s="37">
        <f>IF(ISNA(VLOOKUP(A139,'Données projet'!$A$87:$I$107,6,0)),0%,VLOOKUP(A139,'Données projet'!$A$87:$I$107,6,0)*VLOOKUP('Données projet'!$B$11,Paramètres!$A$1:$I$88,7,0))</f>
        <v>0</v>
      </c>
      <c r="AW139" s="37">
        <f>IF(ISNA(VLOOKUP(A139,'Données projet'!$A$87:$I$107,7,0)),0%,VLOOKUP(A139,'Données projet'!$A$87:$I$107,7,0))</f>
        <v>0</v>
      </c>
      <c r="AX139" s="45">
        <f>EXP(-LN(2)/35)*AX138+(1-EXP(-LN(2)/35))/(LN(2)/35)*AT139*AU139*VLOOKUP('Données projet'!$B$9,Paramètres!$A$1:$I$88,3,0)*0.475*44/12</f>
        <v>0</v>
      </c>
      <c r="AY139" s="45">
        <f>EXP(-LN(2)/25)*AY138+(1-EXP(-LN(2)/25))/(LN(2)/25)*Calculateur!AT139*Calculateur!AV139*VLOOKUP('Données projet'!$B$9,Paramètres!$A$1:$I$88,3,0)*0.475*44/12</f>
        <v>0</v>
      </c>
      <c r="AZ139" s="45">
        <f>EXP(-LN(2)/2)*AZ138+(1-EXP(-LN(2)/2))/(LN(2)/2)*AT139*AW139*VLOOKUP('Données projet'!$B$9,Paramètres!$A$1:$I$88,3,0)*0.475*44/12</f>
        <v>0</v>
      </c>
      <c r="BA139" s="46">
        <f t="shared" si="89"/>
        <v>0</v>
      </c>
      <c r="BB139" s="32" t="e">
        <f>VLOOKUP(A139,'Données projet'!$A$113:$I$133,2,0)</f>
        <v>#N/A</v>
      </c>
      <c r="BC139" s="33" t="e">
        <f>VLOOKUP(A139,'Données projet'!$A$113:$I$133,9,0)</f>
        <v>#N/A</v>
      </c>
      <c r="BD139" s="33">
        <f t="array" ref="BD139">INDEX(BC:BC,MIN(IF(ISNUMBER(BC139:BC335),ROW(BC139:BC335),"")))</f>
        <v>0</v>
      </c>
      <c r="BE139" s="33">
        <f t="shared" si="112"/>
        <v>0</v>
      </c>
      <c r="BF139" s="34" t="e">
        <f>BE139*VLOOKUP('Données projet'!$B$12,Paramètres!$A$1:$I$88,3,0)*VLOOKUP('Données projet'!$B$12,Paramètres!$A$1:$I$88,5,0)</f>
        <v>#N/A</v>
      </c>
      <c r="BG139" s="34" t="e">
        <f t="shared" si="113"/>
        <v>#N/A</v>
      </c>
      <c r="BH139" s="44" t="e">
        <f t="shared" si="90"/>
        <v>#N/A</v>
      </c>
      <c r="BI139" s="36">
        <f>IF(ISNA(VLOOKUP(A139,'Données projet'!$A$113:$I$133,3,0)),0,VLOOKUP(A139,'Données projet'!$A$113:$I$133,3,0))</f>
        <v>0</v>
      </c>
      <c r="BJ139" s="36">
        <f>IF(ISNA(VLOOKUP(A139,'Données projet'!$A$113:$I$133,4,0)),0,VLOOKUP(A139,'Données projet'!$A$113:$I$133,4,0))</f>
        <v>0</v>
      </c>
      <c r="BK139" s="37">
        <f>IF(ISNA(VLOOKUP(A139,'Données projet'!$A$113:$I$133,5,0)),0%,VLOOKUP(A139,'Données projet'!$A$113:$I$133,5,0)*VLOOKUP('Données projet'!$B$12,Paramètres!$A$1:$I$88,7,0))</f>
        <v>0</v>
      </c>
      <c r="BL139" s="37">
        <f>IF(ISNA(VLOOKUP(A139,'Données projet'!$A$113:$I$133,6,0)),0%,VLOOKUP(A139,'Données projet'!$A$113:$I$133,6,0)*VLOOKUP('Données projet'!$B$12,Paramètres!$A$1:$I$88,7,0))</f>
        <v>0</v>
      </c>
      <c r="BM139" s="37">
        <f>IF(ISNA(VLOOKUP(A139,'Données projet'!$A$113:$I$133,7,0)),0%,VLOOKUP(A139,'Données projet'!$A$113:$I$133,7,0))</f>
        <v>0</v>
      </c>
      <c r="BN139" s="45">
        <f>EXP(-LN(2)/35)*BN138+(1-EXP(-LN(2)/35))/(LN(2)/35)*BJ139*BK139*VLOOKUP('Données projet'!$B$9,Paramètres!$A$1:$I$88,3,0)*0.475*44/12</f>
        <v>0</v>
      </c>
      <c r="BO139" s="45">
        <f>EXP(-LN(2)/25)*BO138+(1-EXP(-LN(2)/25))/(LN(2)/25)*Calculateur!BJ139*Calculateur!BL139*VLOOKUP('Données projet'!$B$9,Paramètres!$A$1:$I$88,3,0)*0.475*44/12</f>
        <v>0</v>
      </c>
      <c r="BP139" s="45">
        <f>EXP(-LN(2)/2)*BP138+(1-EXP(-LN(2)/2))/(LN(2)/2)*BJ139*BM139*VLOOKUP('Données projet'!$B$9,Paramètres!$A$1:$I$88,3,0)*0.475*44/12</f>
        <v>0</v>
      </c>
      <c r="BQ139" s="46">
        <f t="shared" si="91"/>
        <v>0</v>
      </c>
      <c r="BR139" s="32" t="e">
        <f>VLOOKUP(A139,'Données projet'!$A$139:$I$159,2,0)</f>
        <v>#N/A</v>
      </c>
      <c r="BS139" s="33" t="e">
        <f>VLOOKUP(A139,'Données projet'!$A$139:$I$159,9,0)</f>
        <v>#N/A</v>
      </c>
      <c r="BT139" s="33">
        <f t="array" ref="BT139">INDEX(BS:BS,MIN(IF(ISNUMBER(BS139:BS335),ROW(BS139:BS335),"")))</f>
        <v>0</v>
      </c>
      <c r="BU139" s="33">
        <f t="shared" si="114"/>
        <v>0</v>
      </c>
      <c r="BV139" s="38" t="e">
        <f>BU139*VLOOKUP('Données projet'!$B$13,Paramètres!$A$1:$I$88,3,0)*VLOOKUP('Données projet'!$B$13,Paramètres!$A$1:$I$88,5,0)</f>
        <v>#N/A</v>
      </c>
      <c r="BW139" s="34" t="e">
        <f t="shared" si="115"/>
        <v>#N/A</v>
      </c>
      <c r="BX139" s="44" t="e">
        <f t="shared" si="92"/>
        <v>#N/A</v>
      </c>
      <c r="BY139" s="36">
        <f>IF(ISNA(VLOOKUP(A139,'Données projet'!$A$139:$I$159,3,0)),0,VLOOKUP(A139,'Données projet'!$A$139:$I$159,3,0))</f>
        <v>0</v>
      </c>
      <c r="BZ139" s="36">
        <f>IF(ISNA(VLOOKUP(A139,'Données projet'!$A$139:$I$159,4,0)),0,VLOOKUP(A139,'Données projet'!$A$139:$I$159,4,0))</f>
        <v>0</v>
      </c>
      <c r="CA139" s="37">
        <f>IF(ISNA(VLOOKUP(A139,'Données projet'!$A$139:$I$159,5,0)),0%,VLOOKUP(A139,'Données projet'!$A$139:$I$159,5,0)*VLOOKUP('Données projet'!$B$13,Paramètres!$A$1:$I$88,7,0))</f>
        <v>0</v>
      </c>
      <c r="CB139" s="37">
        <f>IF(ISNA(VLOOKUP(A139,'Données projet'!$A$139:$I$159,6,0)),0%,VLOOKUP(A139,'Données projet'!$A$139:$I$159,6,0)*VLOOKUP('Données projet'!$B$13,Paramètres!$A$1:$I$88,7,0))</f>
        <v>0</v>
      </c>
      <c r="CC139" s="37">
        <f>IF(ISNA(VLOOKUP(A139,'Données projet'!$A$139:$I$159,7,0)),0%,VLOOKUP(A139,'Données projet'!$A$139:$I$159,7,0))</f>
        <v>0</v>
      </c>
      <c r="CD139" s="45">
        <f>EXP(-LN(2)/35)*CD138+(1-EXP(-LN(2)/35))/(LN(2)/35)*BZ139*CA139*VLOOKUP('Données projet'!$B$9,Paramètres!$A$1:$I$88,3,0)*0.475*44/12</f>
        <v>0</v>
      </c>
      <c r="CE139" s="45">
        <f>EXP(-LN(2)/25)*CE138+(1-EXP(-LN(2)/25))/(LN(2)/25)*Calculateur!BZ139*Calculateur!CB139*VLOOKUP('Données projet'!$B$9,Paramètres!$A$1:$I$88,3,0)*0.475*44/12</f>
        <v>0</v>
      </c>
      <c r="CF139" s="45">
        <f>EXP(-LN(2)/2)*CF138+(1-EXP(-LN(2)/2))/(LN(2)/2)*BZ139*CC139*VLOOKUP('Données projet'!$B$9,Paramètres!$A$1:$I$88,3,0)*0.475*44/12</f>
        <v>0</v>
      </c>
      <c r="CG139" s="46">
        <f t="shared" si="93"/>
        <v>0</v>
      </c>
      <c r="CH139" s="32" t="e">
        <f>VLOOKUP(A139,'Données projet'!$A$165:$I$185,2,0)</f>
        <v>#N/A</v>
      </c>
      <c r="CI139" s="33" t="e">
        <f>VLOOKUP(A139,'Données projet'!$A$165:$I$185,9,0)</f>
        <v>#N/A</v>
      </c>
      <c r="CJ139" s="33">
        <f t="array" ref="CJ139">INDEX(CI:CI,MIN(IF(ISNUMBER(CI139:CI335),ROW(CI139:CI335),"")))</f>
        <v>0</v>
      </c>
      <c r="CK139" s="33">
        <f t="shared" si="116"/>
        <v>0</v>
      </c>
      <c r="CL139" s="38" t="e">
        <f>CK139*VLOOKUP('Données projet'!$B$14,Paramètres!$A$1:$I$88,3,0)*VLOOKUP('Données projet'!$B$14,Paramètres!$A$1:$I$88,5,0)</f>
        <v>#N/A</v>
      </c>
      <c r="CM139" s="34" t="e">
        <f t="shared" si="117"/>
        <v>#N/A</v>
      </c>
      <c r="CN139" s="44" t="e">
        <f t="shared" si="94"/>
        <v>#N/A</v>
      </c>
      <c r="CO139" s="36">
        <f>IF(ISNA(VLOOKUP(A139,'Données projet'!$A$165:$I$185,3,0)),0,VLOOKUP(A139,'Données projet'!$A$165:$I$185,3,0))</f>
        <v>0</v>
      </c>
      <c r="CP139" s="36">
        <f>IF(ISNA(VLOOKUP(A139,'Données projet'!$A$165:$I$185,4,0)),0,VLOOKUP(A139,'Données projet'!$A$165:$I$185,4,0))</f>
        <v>0</v>
      </c>
      <c r="CQ139" s="37">
        <f>IF(ISNA(VLOOKUP(A139,'Données projet'!$A$165:$I$185,5,0)),0%,VLOOKUP(A139,'Données projet'!$A$165:$I$185,5,0)*VLOOKUP('Données projet'!$B$14,Paramètres!$A$1:$I$88,7,0))</f>
        <v>0</v>
      </c>
      <c r="CR139" s="37">
        <f>IF(ISNA(VLOOKUP(A139,'Données projet'!$A$165:$I$185,6,0)),0%,VLOOKUP(A139,'Données projet'!$A$165:$I$185,6,0)*VLOOKUP('Données projet'!$B$14,Paramètres!$A$1:$I$88,7,0))</f>
        <v>0</v>
      </c>
      <c r="CS139" s="37">
        <f>IF(ISNA(VLOOKUP(A139,'Données projet'!$A$165:$I$185,7,0)),0%,VLOOKUP(A139,'Données projet'!$A$165:$I$185,7,0))</f>
        <v>0</v>
      </c>
      <c r="CT139" s="45">
        <f>EXP(-LN(2)/35)*CT138+(1-EXP(-LN(2)/35))/(LN(2)/35)*CP139*CQ139*VLOOKUP('Données projet'!$B$9,Paramètres!$A$1:$I$88,3,0)*0.475*44/12</f>
        <v>0</v>
      </c>
      <c r="CU139" s="45">
        <f>EXP(-LN(2)/25)*CU138+(1-EXP(-LN(2)/25))/(LN(2)/25)*Calculateur!CP139*Calculateur!CR139*VLOOKUP('Données projet'!$B$9,Paramètres!$A$1:$I$88,3,0)*0.475*44/12</f>
        <v>0</v>
      </c>
      <c r="CV139" s="45">
        <f>EXP(-LN(2)/2)*CV138+(1-EXP(-LN(2)/2))/(LN(2)/2)*CP139*CS139*VLOOKUP('Données projet'!$B$9,Paramètres!$A$1:$I$88,3,0)*0.475*44/12</f>
        <v>0</v>
      </c>
      <c r="CW139" s="46">
        <f t="shared" si="95"/>
        <v>0</v>
      </c>
      <c r="CX139" s="32" t="e">
        <f>VLOOKUP(A139,'Données projet'!$A$191:$I$211,2,0)</f>
        <v>#N/A</v>
      </c>
      <c r="CY139" s="33" t="e">
        <f>VLOOKUP(A139,'Données projet'!$A$191:$I$211,9,0)</f>
        <v>#N/A</v>
      </c>
      <c r="CZ139" s="33">
        <f t="array" ref="CZ139">INDEX(CY:CY,MIN(IF(ISNUMBER(CY139:CY335),ROW(CY139:CY335),"")))</f>
        <v>0</v>
      </c>
      <c r="DA139" s="33">
        <f t="shared" si="118"/>
        <v>0</v>
      </c>
      <c r="DB139" s="38" t="e">
        <f>DA139*VLOOKUP('Données projet'!$B$15,Paramètres!$A$1:$I$88,3,0)*VLOOKUP('Données projet'!$B$15,Paramètres!$A$1:$I$88,5,0)</f>
        <v>#N/A</v>
      </c>
      <c r="DC139" s="34" t="e">
        <f t="shared" si="119"/>
        <v>#N/A</v>
      </c>
      <c r="DD139" s="44" t="e">
        <f t="shared" si="96"/>
        <v>#N/A</v>
      </c>
      <c r="DE139" s="36">
        <f>IF(ISNA(VLOOKUP(A139,'Données projet'!$A$191:$I$211,3,0)),0,VLOOKUP(A139,'Données projet'!$A$191:$I$211,3,0))</f>
        <v>0</v>
      </c>
      <c r="DF139" s="36">
        <f>IF(ISNA(VLOOKUP(A139,'Données projet'!$A$191:$I$211,4,0)),0,VLOOKUP(A139,'Données projet'!$A$191:$I$211,4,0))</f>
        <v>0</v>
      </c>
      <c r="DG139" s="37">
        <f>IF(ISNA(VLOOKUP(A139,'Données projet'!$A$191:$I$211,5,0)),0%,VLOOKUP(A139,'Données projet'!$A$191:$I$211,5,0)*VLOOKUP('Données projet'!$B$15,Paramètres!$A$1:$I$88,7,0))</f>
        <v>0</v>
      </c>
      <c r="DH139" s="37">
        <f>IF(ISNA(VLOOKUP(A139,'Données projet'!$A$191:$I$211,6,0)),0%,VLOOKUP(A139,'Données projet'!$A$191:$I$211,6,0)*VLOOKUP('Données projet'!$B$15,Paramètres!$A$1:$I$88,7,0))</f>
        <v>0</v>
      </c>
      <c r="DI139" s="37">
        <f>IF(ISNA(VLOOKUP(A139,'Données projet'!$A$191:$I$211,7,0)),0%,VLOOKUP(A139,'Données projet'!$A$191:$I$211,7,0))</f>
        <v>0</v>
      </c>
      <c r="DJ139" s="45">
        <f>EXP(-LN(2)/35)*DJ138+(1-EXP(-LN(2)/35))/(LN(2)/35)*DF139*DG139*VLOOKUP('Données projet'!$B$9,Paramètres!$A$1:$I$88,3,0)*0.475*44/12</f>
        <v>0</v>
      </c>
      <c r="DK139" s="45">
        <f>EXP(-LN(2)/25)*DK138+(1-EXP(-LN(2)/25))/(LN(2)/25)*Calculateur!DF139*Calculateur!DH139*VLOOKUP('Données projet'!$B$9,Paramètres!$A$1:$I$88,3,0)*0.475*44/12</f>
        <v>0</v>
      </c>
      <c r="DL139" s="45">
        <f>EXP(-LN(2)/2)*DL138+(1-EXP(-LN(2)/2))/(LN(2)/2)*DF139*DI139*VLOOKUP('Données projet'!$B$9,Paramètres!$A$1:$I$88,3,0)*0.475*44/12</f>
        <v>0</v>
      </c>
      <c r="DM139" s="46">
        <f t="shared" si="97"/>
        <v>0</v>
      </c>
      <c r="DN139" s="32" t="e">
        <f>VLOOKUP(A139,'Données projet'!$A$217:$I$237,2,0)</f>
        <v>#N/A</v>
      </c>
      <c r="DO139" s="33" t="e">
        <f>VLOOKUP(A139,'Données projet'!$A$217:$I$237,9,0)</f>
        <v>#N/A</v>
      </c>
      <c r="DP139" s="33">
        <f t="array" ref="DP139">INDEX(DO:DO,MIN(IF(ISNUMBER(DO139:DO335),ROW(DO139:DO335),"")))</f>
        <v>0</v>
      </c>
      <c r="DQ139" s="33">
        <f t="shared" si="120"/>
        <v>0</v>
      </c>
      <c r="DR139" s="38" t="e">
        <f>DQ139*VLOOKUP('Données projet'!$B$16,Paramètres!$A$1:$I$88,3,0)*VLOOKUP('Données projet'!$B$16,Paramètres!$A$1:$I$88,5,0)</f>
        <v>#N/A</v>
      </c>
      <c r="DS139" s="34" t="e">
        <f t="shared" si="121"/>
        <v>#N/A</v>
      </c>
      <c r="DT139" s="44" t="e">
        <f t="shared" si="98"/>
        <v>#N/A</v>
      </c>
      <c r="DU139" s="36">
        <f>IF(ISNA(VLOOKUP(A139,'Données projet'!$A$217:$I$237,3,0)),0,VLOOKUP(A139,'Données projet'!$A$217:$I$237,3,0))</f>
        <v>0</v>
      </c>
      <c r="DV139" s="36">
        <f>IF(ISNA(VLOOKUP(A139,'Données projet'!$A$217:$I$237,4,0)),0,VLOOKUP(A139,'Données projet'!$A$217:$I$237,4,0))</f>
        <v>0</v>
      </c>
      <c r="DW139" s="37">
        <f>IF(ISNA(VLOOKUP(A139,'Données projet'!$A$217:$I$237,5,0)),0%,VLOOKUP(A139,'Données projet'!$A$217:$I$237,5,0)*VLOOKUP('Données projet'!$B$16,Paramètres!$A$1:$I$88,7,0))</f>
        <v>0</v>
      </c>
      <c r="DX139" s="37">
        <f>IF(ISNA(VLOOKUP(A139,'Données projet'!$A$217:$I$237,6,0)),0%,VLOOKUP(A139,'Données projet'!$A$217:$I$237,6,0)*VLOOKUP('Données projet'!$B$16,Paramètres!$A$1:$I$88,7,0))</f>
        <v>0</v>
      </c>
      <c r="DY139" s="37">
        <f>IF(ISNA(VLOOKUP(A139,'Données projet'!$A$217:$I$237,7,0)),0%,VLOOKUP(A139,'Données projet'!$A$217:$I$237,7,0))</f>
        <v>0</v>
      </c>
      <c r="DZ139" s="45">
        <f>EXP(-LN(2)/35)*DZ138+(1-EXP(-LN(2)/35))/(LN(2)/35)*DV139*DW139*VLOOKUP('Données projet'!$B$9,Paramètres!$A$1:$I$88,3,0)*0.475*44/12</f>
        <v>0</v>
      </c>
      <c r="EA139" s="45">
        <f>EXP(-LN(2)/25)*EA138+(1-EXP(-LN(2)/25))/(LN(2)/25)*Calculateur!DV139*Calculateur!DX139*VLOOKUP('Données projet'!$B$9,Paramètres!$A$1:$I$88,3,0)*0.475*44/12</f>
        <v>0</v>
      </c>
      <c r="EB139" s="45">
        <f>EXP(-LN(2)/2)*EB138+(1-EXP(-LN(2)/2))/(LN(2)/2)*DV139*DY139*VLOOKUP('Données projet'!$B$9,Paramètres!$A$1:$I$88,3,0)*0.475*44/12</f>
        <v>0</v>
      </c>
      <c r="EC139" s="46">
        <f t="shared" si="99"/>
        <v>0</v>
      </c>
      <c r="ED139" s="32" t="e">
        <f>VLOOKUP(A139,'Données projet'!$A$243:$I$263,2,0)</f>
        <v>#N/A</v>
      </c>
      <c r="EE139" s="33" t="e">
        <f>VLOOKUP(A139,'Données projet'!$A$243:$I$263,9,0)</f>
        <v>#N/A</v>
      </c>
      <c r="EF139" s="33">
        <f t="array" ref="EF139">INDEX(EE:EE,MIN(IF(ISNUMBER(EE139:EE335),ROW(EE139:EE335),"")))</f>
        <v>0</v>
      </c>
      <c r="EG139" s="33">
        <f t="shared" si="122"/>
        <v>0</v>
      </c>
      <c r="EH139" s="38" t="e">
        <f>EG139*VLOOKUP('Données projet'!$B$17,Paramètres!$A$1:$I$88,3,0)*VLOOKUP('Données projet'!$B$17,Paramètres!$A$1:$I$88,5,0)</f>
        <v>#N/A</v>
      </c>
      <c r="EI139" s="34" t="e">
        <f t="shared" si="123"/>
        <v>#N/A</v>
      </c>
      <c r="EJ139" s="44" t="e">
        <f t="shared" si="100"/>
        <v>#N/A</v>
      </c>
      <c r="EK139" s="36">
        <f>IF(ISNA(VLOOKUP(A139,'Données projet'!$A$243:$I$263,3,0)),0,VLOOKUP(A139,'Données projet'!$A$243:$I$263,3,0))</f>
        <v>0</v>
      </c>
      <c r="EL139" s="36">
        <f>IF(ISNA(VLOOKUP(A139,'Données projet'!$A$243:$I$263,4,0)),0,VLOOKUP(A139,'Données projet'!$A$243:$I$263,4,0))</f>
        <v>0</v>
      </c>
      <c r="EM139" s="37">
        <f>IF(ISNA(VLOOKUP(A139,'Données projet'!$A$243:$I$263,5,0)),0%,VLOOKUP(A139,'Données projet'!$A$243:$I$263,5,0)*VLOOKUP('Données projet'!$B$17,Paramètres!$A$1:$I$88,7,0))</f>
        <v>0</v>
      </c>
      <c r="EN139" s="37">
        <f>IF(ISNA(VLOOKUP(A139,'Données projet'!$A$243:$I$263,6,0)),0%,VLOOKUP(A139,'Données projet'!$A$243:$I$263,6,0)*VLOOKUP('Données projet'!$B$17,Paramètres!$A$1:$I$88,7,0))</f>
        <v>0</v>
      </c>
      <c r="EO139" s="37">
        <f>IF(ISNA(VLOOKUP(A139,'Données projet'!$A$243:$I$263,7,0)),0%,VLOOKUP(A139,'Données projet'!$A$243:$I$263,7,0))</f>
        <v>0</v>
      </c>
      <c r="EP139" s="45">
        <f>EXP(-LN(2)/35)*EP138+(1-EXP(-LN(2)/35))/(LN(2)/35)*EL139*EM139*VLOOKUP('Données projet'!$B$9,Paramètres!$A$1:$I$88,3,0)*0.475*44/12</f>
        <v>0</v>
      </c>
      <c r="EQ139" s="45">
        <f>EXP(-LN(2)/25)*EQ138+(1-EXP(-LN(2)/25))/(LN(2)/25)*Calculateur!EL139*Calculateur!EN139*VLOOKUP('Données projet'!$B$9,Paramètres!$A$1:$I$88,3,0)*0.475*44/12</f>
        <v>0</v>
      </c>
      <c r="ER139" s="45">
        <f>EXP(-LN(2)/2)*ER138+(1-EXP(-LN(2)/2))/(LN(2)/2)*EL139*EO139*VLOOKUP('Données projet'!$B$9,Paramètres!$A$1:$I$88,3,0)*0.475*44/12</f>
        <v>0</v>
      </c>
      <c r="ES139" s="46">
        <f t="shared" si="101"/>
        <v>0</v>
      </c>
      <c r="ET139" s="32" t="e">
        <f>VLOOKUP(A139,'Données projet'!$A$269:$I$289,2,0)</f>
        <v>#N/A</v>
      </c>
      <c r="EU139" s="33" t="e">
        <f>VLOOKUP(A139,'Données projet'!$A$269:$I$289,9,0)</f>
        <v>#N/A</v>
      </c>
      <c r="EV139" s="33">
        <f t="array" ref="EV139">INDEX(EU:EU,MIN(IF(ISNUMBER(EU139:EU335),ROW(EU139:EU335),"")))</f>
        <v>0</v>
      </c>
      <c r="EW139" s="33">
        <f t="shared" si="124"/>
        <v>0</v>
      </c>
      <c r="EX139" s="38" t="e">
        <f>EW139*VLOOKUP('Données projet'!$B$18,Paramètres!$A$1:$I$88,3,0)*VLOOKUP('Données projet'!$B$18,Paramètres!$A$1:$I$88,5,0)</f>
        <v>#N/A</v>
      </c>
      <c r="EY139" s="34" t="e">
        <f t="shared" si="125"/>
        <v>#N/A</v>
      </c>
      <c r="EZ139" s="44" t="e">
        <f t="shared" si="102"/>
        <v>#N/A</v>
      </c>
      <c r="FA139" s="36">
        <f>IF(ISNA(VLOOKUP(A139,'Données projet'!$A$269:$I$289,3,0)),0,VLOOKUP(A139,'Données projet'!$A$269:$I$289,3,0))</f>
        <v>0</v>
      </c>
      <c r="FB139" s="36">
        <f>IF(ISNA(VLOOKUP(A139,'Données projet'!$A$269:$I$289,4,0)),0,VLOOKUP(A139,'Données projet'!$A$269:$I$289,4,0))</f>
        <v>0</v>
      </c>
      <c r="FC139" s="37">
        <f>IF(ISNA(VLOOKUP(A139,'Données projet'!$A$269:$I$289,5,0)),0%,VLOOKUP(A139,'Données projet'!$A$269:$I$289,5,0)*VLOOKUP('Données projet'!$B$18,Paramètres!$A$1:$I$88,7,0))</f>
        <v>0</v>
      </c>
      <c r="FD139" s="37">
        <f>IF(ISNA(VLOOKUP(A139,'Données projet'!$A$269:$I$289,6,0)),0%,VLOOKUP(A139,'Données projet'!$A$269:$I$289,6,0)*VLOOKUP('Données projet'!$B$18,Paramètres!$A$1:$I$88,7,0))</f>
        <v>0</v>
      </c>
      <c r="FE139" s="37">
        <f>IF(ISNA(VLOOKUP(A139,'Données projet'!$A$269:$I$289,7,0)),0%,VLOOKUP(A139,'Données projet'!$A$269:$I$289,7,0))</f>
        <v>0</v>
      </c>
      <c r="FF139" s="45">
        <f>EXP(-LN(2)/35)*FF138+(1-EXP(-LN(2)/35))/(LN(2)/35)*FB139*FC139*VLOOKUP('Données projet'!$B$9,Paramètres!$A$1:$I$88,3,0)*0.475*44/12</f>
        <v>0</v>
      </c>
      <c r="FG139" s="45">
        <f>EXP(-LN(2)/25)*FG138+(1-EXP(-LN(2)/25))/(LN(2)/25)*Calculateur!FB139*Calculateur!FD139*VLOOKUP('Données projet'!$B$9,Paramètres!$A$1:$I$88,3,0)*0.475*44/12</f>
        <v>0</v>
      </c>
      <c r="FH139" s="45">
        <f>EXP(-LN(2)/2)*FH138+(1-EXP(-LN(2)/2))/(LN(2)/2)*FB139*FE139*VLOOKUP('Données projet'!$B$9,Paramètres!$A$1:$I$88,3,0)*0.475*44/12</f>
        <v>0</v>
      </c>
      <c r="FI139" s="46">
        <f t="shared" si="103"/>
        <v>0</v>
      </c>
    </row>
    <row r="140" spans="1:165" x14ac:dyDescent="0.25">
      <c r="A140" s="24">
        <f t="shared" si="104"/>
        <v>137</v>
      </c>
      <c r="B140" s="25">
        <f>IF('Scénario référence'!$N$1=1,5,0)</f>
        <v>0</v>
      </c>
      <c r="C140" s="40">
        <f>IF(OR('Scénario référence'!$N$1=2,'Scénario référence'!$N$1=4),C139+1*VLOOKUP('Scénario référence'!$G$14,Paramètres!$A$1:$I$88,3,0)*VLOOKUP('Scénario référence'!$G$14,Paramètres!$A$1:$I$88,5,0),IF(OR('Scénario référence'!$N$1=3,'Scénario référence'!$N$1=5),C139+0.5*VLOOKUP('Scénario référence'!$G$14,Paramètres!$A$1:$I$88,3,0)*VLOOKUP('Scénario référence'!$G$14,Paramètres!$A$1:$I$88,5,0),0))</f>
        <v>74.802000000000064</v>
      </c>
      <c r="D140" s="26">
        <f t="shared" si="105"/>
        <v>20.861319623408168</v>
      </c>
      <c r="E140" s="27">
        <f>IF('Scénario référence'!$N$1=1,B140*44/12,(C140+D140)*0.475*44/12)</f>
        <v>166.61361501076934</v>
      </c>
      <c r="F140" s="28" t="e">
        <f>VLOOKUP(A140,'Données projet'!$A$35:$I$55,2,0)</f>
        <v>#N/A</v>
      </c>
      <c r="G140" s="28" t="e">
        <f>VLOOKUP(A140,'Données projet'!$A$35:$I$55,9,0)</f>
        <v>#N/A</v>
      </c>
      <c r="H140" s="33">
        <f t="array" ref="H140">INDEX(G:G,MIN(IF(ISNUMBER(G140:G336),ROW(G140:G336),"")))</f>
        <v>2.6</v>
      </c>
      <c r="I140" s="28">
        <f t="shared" si="106"/>
        <v>274.19999999999936</v>
      </c>
      <c r="J140" s="41">
        <f>I140*VLOOKUP('Données projet'!$B$9,Paramètres!$A$1:$I$88,3,0)*VLOOKUP('Données projet'!$B$9,Paramètres!$A$1:$I$88,5,0)</f>
        <v>278.03879999999936</v>
      </c>
      <c r="K140" s="41">
        <f t="shared" si="107"/>
        <v>66.552381547717616</v>
      </c>
      <c r="L140" s="42">
        <f t="shared" si="84"/>
        <v>600.16297452894037</v>
      </c>
      <c r="M140" s="30">
        <f>IF(ISNA(VLOOKUP(A140,'Données projet'!$A$35:$I$55,3,0)),0,VLOOKUP(A140,'Données projet'!$A$35:$I$55,3,0))</f>
        <v>0</v>
      </c>
      <c r="N140" s="30">
        <f>IF(ISNA(VLOOKUP(A140,'Données projet'!$A$35:$I$55,4,0)),0,VLOOKUP(A140,'Données projet'!$A$35:$I$55,4,0))</f>
        <v>0</v>
      </c>
      <c r="O140" s="31">
        <f>IF(ISNA(VLOOKUP(A140,'Données projet'!$A$35:$I$55,5,0)),0%,VLOOKUP(A140,'Données projet'!$A$35:$I$55,5,0)*VLOOKUP('Données projet'!$B$9,Paramètres!$A$1:$I$88,7,0))</f>
        <v>0</v>
      </c>
      <c r="P140" s="31">
        <f>IF(ISNA(VLOOKUP(A140,'Données projet'!$A$35:$I$55,6,0)),0%,VLOOKUP(A140,'Données projet'!$A$35:$I$55,6,0)*VLOOKUP('Données projet'!$B$9,Paramètres!$A$1:$I$88,7,0))</f>
        <v>0</v>
      </c>
      <c r="Q140" s="31">
        <f>IF(ISNA(VLOOKUP(A140,'Données projet'!$A$35:$I$55,7,0)),0%,VLOOKUP(A140,'Données projet'!$A$35:$I$55,7,0))</f>
        <v>0</v>
      </c>
      <c r="R140" s="43">
        <f>EXP(-LN(2)/35)*R139+(1-EXP(-LN(2)/35))/(LN(2)/35)*N140*O140*VLOOKUP('Données projet'!$B$9,Paramètres!$A$1:$I$88,3,0)*0.475*44/12</f>
        <v>0</v>
      </c>
      <c r="S140" s="43">
        <f>EXP(-LN(2)/25)*S139+(1-EXP(-LN(2)/25))/(LN(2)/25)*Calculateur!N140*Calculateur!P140*VLOOKUP('Données projet'!$B$9,Paramètres!$A$1:$I$88,3,0)*0.475*44/12</f>
        <v>0</v>
      </c>
      <c r="T140" s="43">
        <f>EXP(-LN(2)/2)*T139+(1-EXP(-LN(2)/2))/(LN(2)/2)*N140*Q140*VLOOKUP('Données projet'!$B$9,Paramètres!$A$1:$I$88,3,0)*0.475*44/12</f>
        <v>0</v>
      </c>
      <c r="U140" s="43">
        <f t="shared" si="85"/>
        <v>0</v>
      </c>
      <c r="V140" s="32" t="e">
        <f>VLOOKUP(A140,'Données projet'!$A$61:$I$81,2,0)</f>
        <v>#N/A</v>
      </c>
      <c r="W140" s="33" t="e">
        <f>VLOOKUP(A140,'Données projet'!$A$61:$I$81,9,0)</f>
        <v>#N/A</v>
      </c>
      <c r="X140" s="33">
        <f t="array" ref="X140">INDEX(W:W,MIN(IF(ISNUMBER(W140:W336),ROW(W140:W336),"")))</f>
        <v>0</v>
      </c>
      <c r="Y140" s="33">
        <f t="shared" si="108"/>
        <v>0</v>
      </c>
      <c r="Z140" s="34" t="e">
        <f>Y140*VLOOKUP('Données projet'!$B$10,Paramètres!$A$1:$I$88,3,0)*VLOOKUP('Données projet'!$B$10,Paramètres!$A$1:$I$88,5,0)</f>
        <v>#N/A</v>
      </c>
      <c r="AA140" s="34" t="e">
        <f t="shared" si="109"/>
        <v>#N/A</v>
      </c>
      <c r="AB140" s="44" t="e">
        <f t="shared" si="86"/>
        <v>#N/A</v>
      </c>
      <c r="AC140" s="36">
        <f>IF(ISNA(VLOOKUP(A140,'Données projet'!$A$61:$I$81,3,0)),0,VLOOKUP(A140,'Données projet'!$A$61:$I$81,3,0))</f>
        <v>0</v>
      </c>
      <c r="AD140" s="36">
        <f>IF(ISNA(VLOOKUP(A140,'Données projet'!$A$61:$I$81,4,0)),0,VLOOKUP(A140,'Données projet'!$A$61:$I$81,4,0))</f>
        <v>0</v>
      </c>
      <c r="AE140" s="37">
        <f>IF(ISNA(VLOOKUP(A140,'Données projet'!$A$61:$I$81,5,0)),0%,VLOOKUP(A140,'Données projet'!$A$61:$I$81,5,0)*VLOOKUP('Données projet'!$B$10,Paramètres!$A$1:$I$88,7,0))</f>
        <v>0</v>
      </c>
      <c r="AF140" s="37">
        <f>IF(ISNA(VLOOKUP(A140,'Données projet'!$A$61:$I$81,6,0)),0%,VLOOKUP(A140,'Données projet'!$A$61:$I$81,6,0)*VLOOKUP('Données projet'!$B$10,Paramètres!$A$1:$I$88,7,0))</f>
        <v>0</v>
      </c>
      <c r="AG140" s="37">
        <f>IF(ISNA(VLOOKUP(A140,'Données projet'!$A$61:$I$81,7,0)),0%,VLOOKUP(A140,'Données projet'!$A$61:$I$81,7,0))</f>
        <v>0</v>
      </c>
      <c r="AH140" s="45">
        <f>EXP(-LN(2)/35)*AH139+(1-EXP(-LN(2)/35))/(LN(2)/35)*AD140*AE140*VLOOKUP('Données projet'!$B$9,Paramètres!$A$1:$I$88,3,0)*0.475*44/12</f>
        <v>0</v>
      </c>
      <c r="AI140" s="45">
        <f>EXP(-LN(2)/25)*AI139+(1-EXP(-LN(2)/25))/(LN(2)/25)*Calculateur!AD140*Calculateur!AF140*VLOOKUP('Données projet'!$B$9,Paramètres!$A$1:$I$88,3,0)*0.475*44/12</f>
        <v>0</v>
      </c>
      <c r="AJ140" s="45">
        <f>EXP(-LN(2)/2)*AJ139+(1-EXP(-LN(2)/2))/(LN(2)/2)*AD140*AG140*VLOOKUP('Données projet'!$B$9,Paramètres!$A$1:$I$88,3,0)*0.475*44/12</f>
        <v>0</v>
      </c>
      <c r="AK140" s="45">
        <f t="shared" si="87"/>
        <v>0</v>
      </c>
      <c r="AL140" s="32" t="e">
        <f>VLOOKUP(A140,'Données projet'!$A$87:$I$107,2,0)</f>
        <v>#N/A</v>
      </c>
      <c r="AM140" s="33" t="e">
        <f>VLOOKUP(A140,'Données projet'!$A$87:$I$107,9,0)</f>
        <v>#N/A</v>
      </c>
      <c r="AN140" s="33">
        <f t="array" ref="AN140">INDEX(AM:AM,MIN(IF(ISNUMBER(AM140:AM336),ROW(AM140:AM336),"")))</f>
        <v>0</v>
      </c>
      <c r="AO140" s="33">
        <f t="shared" si="110"/>
        <v>0</v>
      </c>
      <c r="AP140" s="34" t="e">
        <f>AO140*VLOOKUP('Données projet'!$B$11,Paramètres!$A$1:$I$88,3,0)*VLOOKUP('Données projet'!$B$11,Paramètres!$A$1:$I$88,5,0)</f>
        <v>#N/A</v>
      </c>
      <c r="AQ140" s="34" t="e">
        <f t="shared" si="111"/>
        <v>#N/A</v>
      </c>
      <c r="AR140" s="44" t="e">
        <f t="shared" si="88"/>
        <v>#N/A</v>
      </c>
      <c r="AS140" s="36">
        <f>IF(ISNA(VLOOKUP(A140,'Données projet'!$A$87:$I$107,3,0)),0,VLOOKUP(A140,'Données projet'!$A$87:$I$107,3,0))</f>
        <v>0</v>
      </c>
      <c r="AT140" s="36">
        <f>IF(ISNA(VLOOKUP(A140,'Données projet'!$A$87:$I$107,4,0)),0,VLOOKUP(A140,'Données projet'!$A$87:$I$107,4,0))</f>
        <v>0</v>
      </c>
      <c r="AU140" s="37">
        <f>IF(ISNA(VLOOKUP(A140,'Données projet'!$A$87:$I$107,5,0)),0%,VLOOKUP(A140,'Données projet'!$A$87:$I$107,5,0)*VLOOKUP('Données projet'!$B$11,Paramètres!$A$1:$I$88,7,0))</f>
        <v>0</v>
      </c>
      <c r="AV140" s="37">
        <f>IF(ISNA(VLOOKUP(A140,'Données projet'!$A$87:$I$107,6,0)),0%,VLOOKUP(A140,'Données projet'!$A$87:$I$107,6,0)*VLOOKUP('Données projet'!$B$11,Paramètres!$A$1:$I$88,7,0))</f>
        <v>0</v>
      </c>
      <c r="AW140" s="37">
        <f>IF(ISNA(VLOOKUP(A140,'Données projet'!$A$87:$I$107,7,0)),0%,VLOOKUP(A140,'Données projet'!$A$87:$I$107,7,0))</f>
        <v>0</v>
      </c>
      <c r="AX140" s="45">
        <f>EXP(-LN(2)/35)*AX139+(1-EXP(-LN(2)/35))/(LN(2)/35)*AT140*AU140*VLOOKUP('Données projet'!$B$9,Paramètres!$A$1:$I$88,3,0)*0.475*44/12</f>
        <v>0</v>
      </c>
      <c r="AY140" s="45">
        <f>EXP(-LN(2)/25)*AY139+(1-EXP(-LN(2)/25))/(LN(2)/25)*Calculateur!AT140*Calculateur!AV140*VLOOKUP('Données projet'!$B$9,Paramètres!$A$1:$I$88,3,0)*0.475*44/12</f>
        <v>0</v>
      </c>
      <c r="AZ140" s="45">
        <f>EXP(-LN(2)/2)*AZ139+(1-EXP(-LN(2)/2))/(LN(2)/2)*AT140*AW140*VLOOKUP('Données projet'!$B$9,Paramètres!$A$1:$I$88,3,0)*0.475*44/12</f>
        <v>0</v>
      </c>
      <c r="BA140" s="46">
        <f t="shared" si="89"/>
        <v>0</v>
      </c>
      <c r="BB140" s="32" t="e">
        <f>VLOOKUP(A140,'Données projet'!$A$113:$I$133,2,0)</f>
        <v>#N/A</v>
      </c>
      <c r="BC140" s="33" t="e">
        <f>VLOOKUP(A140,'Données projet'!$A$113:$I$133,9,0)</f>
        <v>#N/A</v>
      </c>
      <c r="BD140" s="33">
        <f t="array" ref="BD140">INDEX(BC:BC,MIN(IF(ISNUMBER(BC140:BC336),ROW(BC140:BC336),"")))</f>
        <v>0</v>
      </c>
      <c r="BE140" s="33">
        <f t="shared" si="112"/>
        <v>0</v>
      </c>
      <c r="BF140" s="34" t="e">
        <f>BE140*VLOOKUP('Données projet'!$B$12,Paramètres!$A$1:$I$88,3,0)*VLOOKUP('Données projet'!$B$12,Paramètres!$A$1:$I$88,5,0)</f>
        <v>#N/A</v>
      </c>
      <c r="BG140" s="34" t="e">
        <f t="shared" si="113"/>
        <v>#N/A</v>
      </c>
      <c r="BH140" s="44" t="e">
        <f t="shared" si="90"/>
        <v>#N/A</v>
      </c>
      <c r="BI140" s="36">
        <f>IF(ISNA(VLOOKUP(A140,'Données projet'!$A$113:$I$133,3,0)),0,VLOOKUP(A140,'Données projet'!$A$113:$I$133,3,0))</f>
        <v>0</v>
      </c>
      <c r="BJ140" s="36">
        <f>IF(ISNA(VLOOKUP(A140,'Données projet'!$A$113:$I$133,4,0)),0,VLOOKUP(A140,'Données projet'!$A$113:$I$133,4,0))</f>
        <v>0</v>
      </c>
      <c r="BK140" s="37">
        <f>IF(ISNA(VLOOKUP(A140,'Données projet'!$A$113:$I$133,5,0)),0%,VLOOKUP(A140,'Données projet'!$A$113:$I$133,5,0)*VLOOKUP('Données projet'!$B$12,Paramètres!$A$1:$I$88,7,0))</f>
        <v>0</v>
      </c>
      <c r="BL140" s="37">
        <f>IF(ISNA(VLOOKUP(A140,'Données projet'!$A$113:$I$133,6,0)),0%,VLOOKUP(A140,'Données projet'!$A$113:$I$133,6,0)*VLOOKUP('Données projet'!$B$12,Paramètres!$A$1:$I$88,7,0))</f>
        <v>0</v>
      </c>
      <c r="BM140" s="37">
        <f>IF(ISNA(VLOOKUP(A140,'Données projet'!$A$113:$I$133,7,0)),0%,VLOOKUP(A140,'Données projet'!$A$113:$I$133,7,0))</f>
        <v>0</v>
      </c>
      <c r="BN140" s="45">
        <f>EXP(-LN(2)/35)*BN139+(1-EXP(-LN(2)/35))/(LN(2)/35)*BJ140*BK140*VLOOKUP('Données projet'!$B$9,Paramètres!$A$1:$I$88,3,0)*0.475*44/12</f>
        <v>0</v>
      </c>
      <c r="BO140" s="45">
        <f>EXP(-LN(2)/25)*BO139+(1-EXP(-LN(2)/25))/(LN(2)/25)*Calculateur!BJ140*Calculateur!BL140*VLOOKUP('Données projet'!$B$9,Paramètres!$A$1:$I$88,3,0)*0.475*44/12</f>
        <v>0</v>
      </c>
      <c r="BP140" s="45">
        <f>EXP(-LN(2)/2)*BP139+(1-EXP(-LN(2)/2))/(LN(2)/2)*BJ140*BM140*VLOOKUP('Données projet'!$B$9,Paramètres!$A$1:$I$88,3,0)*0.475*44/12</f>
        <v>0</v>
      </c>
      <c r="BQ140" s="46">
        <f t="shared" si="91"/>
        <v>0</v>
      </c>
      <c r="BR140" s="32" t="e">
        <f>VLOOKUP(A140,'Données projet'!$A$139:$I$159,2,0)</f>
        <v>#N/A</v>
      </c>
      <c r="BS140" s="33" t="e">
        <f>VLOOKUP(A140,'Données projet'!$A$139:$I$159,9,0)</f>
        <v>#N/A</v>
      </c>
      <c r="BT140" s="33">
        <f t="array" ref="BT140">INDEX(BS:BS,MIN(IF(ISNUMBER(BS140:BS336),ROW(BS140:BS336),"")))</f>
        <v>0</v>
      </c>
      <c r="BU140" s="33">
        <f t="shared" si="114"/>
        <v>0</v>
      </c>
      <c r="BV140" s="38" t="e">
        <f>BU140*VLOOKUP('Données projet'!$B$13,Paramètres!$A$1:$I$88,3,0)*VLOOKUP('Données projet'!$B$13,Paramètres!$A$1:$I$88,5,0)</f>
        <v>#N/A</v>
      </c>
      <c r="BW140" s="34" t="e">
        <f t="shared" si="115"/>
        <v>#N/A</v>
      </c>
      <c r="BX140" s="44" t="e">
        <f t="shared" si="92"/>
        <v>#N/A</v>
      </c>
      <c r="BY140" s="36">
        <f>IF(ISNA(VLOOKUP(A140,'Données projet'!$A$139:$I$159,3,0)),0,VLOOKUP(A140,'Données projet'!$A$139:$I$159,3,0))</f>
        <v>0</v>
      </c>
      <c r="BZ140" s="36">
        <f>IF(ISNA(VLOOKUP(A140,'Données projet'!$A$139:$I$159,4,0)),0,VLOOKUP(A140,'Données projet'!$A$139:$I$159,4,0))</f>
        <v>0</v>
      </c>
      <c r="CA140" s="37">
        <f>IF(ISNA(VLOOKUP(A140,'Données projet'!$A$139:$I$159,5,0)),0%,VLOOKUP(A140,'Données projet'!$A$139:$I$159,5,0)*VLOOKUP('Données projet'!$B$13,Paramètres!$A$1:$I$88,7,0))</f>
        <v>0</v>
      </c>
      <c r="CB140" s="37">
        <f>IF(ISNA(VLOOKUP(A140,'Données projet'!$A$139:$I$159,6,0)),0%,VLOOKUP(A140,'Données projet'!$A$139:$I$159,6,0)*VLOOKUP('Données projet'!$B$13,Paramètres!$A$1:$I$88,7,0))</f>
        <v>0</v>
      </c>
      <c r="CC140" s="37">
        <f>IF(ISNA(VLOOKUP(A140,'Données projet'!$A$139:$I$159,7,0)),0%,VLOOKUP(A140,'Données projet'!$A$139:$I$159,7,0))</f>
        <v>0</v>
      </c>
      <c r="CD140" s="45">
        <f>EXP(-LN(2)/35)*CD139+(1-EXP(-LN(2)/35))/(LN(2)/35)*BZ140*CA140*VLOOKUP('Données projet'!$B$9,Paramètres!$A$1:$I$88,3,0)*0.475*44/12</f>
        <v>0</v>
      </c>
      <c r="CE140" s="45">
        <f>EXP(-LN(2)/25)*CE139+(1-EXP(-LN(2)/25))/(LN(2)/25)*Calculateur!BZ140*Calculateur!CB140*VLOOKUP('Données projet'!$B$9,Paramètres!$A$1:$I$88,3,0)*0.475*44/12</f>
        <v>0</v>
      </c>
      <c r="CF140" s="45">
        <f>EXP(-LN(2)/2)*CF139+(1-EXP(-LN(2)/2))/(LN(2)/2)*BZ140*CC140*VLOOKUP('Données projet'!$B$9,Paramètres!$A$1:$I$88,3,0)*0.475*44/12</f>
        <v>0</v>
      </c>
      <c r="CG140" s="46">
        <f t="shared" si="93"/>
        <v>0</v>
      </c>
      <c r="CH140" s="32" t="e">
        <f>VLOOKUP(A140,'Données projet'!$A$165:$I$185,2,0)</f>
        <v>#N/A</v>
      </c>
      <c r="CI140" s="33" t="e">
        <f>VLOOKUP(A140,'Données projet'!$A$165:$I$185,9,0)</f>
        <v>#N/A</v>
      </c>
      <c r="CJ140" s="33">
        <f t="array" ref="CJ140">INDEX(CI:CI,MIN(IF(ISNUMBER(CI140:CI336),ROW(CI140:CI336),"")))</f>
        <v>0</v>
      </c>
      <c r="CK140" s="33">
        <f t="shared" si="116"/>
        <v>0</v>
      </c>
      <c r="CL140" s="38" t="e">
        <f>CK140*VLOOKUP('Données projet'!$B$14,Paramètres!$A$1:$I$88,3,0)*VLOOKUP('Données projet'!$B$14,Paramètres!$A$1:$I$88,5,0)</f>
        <v>#N/A</v>
      </c>
      <c r="CM140" s="34" t="e">
        <f t="shared" si="117"/>
        <v>#N/A</v>
      </c>
      <c r="CN140" s="44" t="e">
        <f t="shared" si="94"/>
        <v>#N/A</v>
      </c>
      <c r="CO140" s="36">
        <f>IF(ISNA(VLOOKUP(A140,'Données projet'!$A$165:$I$185,3,0)),0,VLOOKUP(A140,'Données projet'!$A$165:$I$185,3,0))</f>
        <v>0</v>
      </c>
      <c r="CP140" s="36">
        <f>IF(ISNA(VLOOKUP(A140,'Données projet'!$A$165:$I$185,4,0)),0,VLOOKUP(A140,'Données projet'!$A$165:$I$185,4,0))</f>
        <v>0</v>
      </c>
      <c r="CQ140" s="37">
        <f>IF(ISNA(VLOOKUP(A140,'Données projet'!$A$165:$I$185,5,0)),0%,VLOOKUP(A140,'Données projet'!$A$165:$I$185,5,0)*VLOOKUP('Données projet'!$B$14,Paramètres!$A$1:$I$88,7,0))</f>
        <v>0</v>
      </c>
      <c r="CR140" s="37">
        <f>IF(ISNA(VLOOKUP(A140,'Données projet'!$A$165:$I$185,6,0)),0%,VLOOKUP(A140,'Données projet'!$A$165:$I$185,6,0)*VLOOKUP('Données projet'!$B$14,Paramètres!$A$1:$I$88,7,0))</f>
        <v>0</v>
      </c>
      <c r="CS140" s="37">
        <f>IF(ISNA(VLOOKUP(A140,'Données projet'!$A$165:$I$185,7,0)),0%,VLOOKUP(A140,'Données projet'!$A$165:$I$185,7,0))</f>
        <v>0</v>
      </c>
      <c r="CT140" s="45">
        <f>EXP(-LN(2)/35)*CT139+(1-EXP(-LN(2)/35))/(LN(2)/35)*CP140*CQ140*VLOOKUP('Données projet'!$B$9,Paramètres!$A$1:$I$88,3,0)*0.475*44/12</f>
        <v>0</v>
      </c>
      <c r="CU140" s="45">
        <f>EXP(-LN(2)/25)*CU139+(1-EXP(-LN(2)/25))/(LN(2)/25)*Calculateur!CP140*Calculateur!CR140*VLOOKUP('Données projet'!$B$9,Paramètres!$A$1:$I$88,3,0)*0.475*44/12</f>
        <v>0</v>
      </c>
      <c r="CV140" s="45">
        <f>EXP(-LN(2)/2)*CV139+(1-EXP(-LN(2)/2))/(LN(2)/2)*CP140*CS140*VLOOKUP('Données projet'!$B$9,Paramètres!$A$1:$I$88,3,0)*0.475*44/12</f>
        <v>0</v>
      </c>
      <c r="CW140" s="46">
        <f t="shared" si="95"/>
        <v>0</v>
      </c>
      <c r="CX140" s="32" t="e">
        <f>VLOOKUP(A140,'Données projet'!$A$191:$I$211,2,0)</f>
        <v>#N/A</v>
      </c>
      <c r="CY140" s="33" t="e">
        <f>VLOOKUP(A140,'Données projet'!$A$191:$I$211,9,0)</f>
        <v>#N/A</v>
      </c>
      <c r="CZ140" s="33">
        <f t="array" ref="CZ140">INDEX(CY:CY,MIN(IF(ISNUMBER(CY140:CY336),ROW(CY140:CY336),"")))</f>
        <v>0</v>
      </c>
      <c r="DA140" s="33">
        <f t="shared" si="118"/>
        <v>0</v>
      </c>
      <c r="DB140" s="38" t="e">
        <f>DA140*VLOOKUP('Données projet'!$B$15,Paramètres!$A$1:$I$88,3,0)*VLOOKUP('Données projet'!$B$15,Paramètres!$A$1:$I$88,5,0)</f>
        <v>#N/A</v>
      </c>
      <c r="DC140" s="34" t="e">
        <f t="shared" si="119"/>
        <v>#N/A</v>
      </c>
      <c r="DD140" s="44" t="e">
        <f t="shared" si="96"/>
        <v>#N/A</v>
      </c>
      <c r="DE140" s="36">
        <f>IF(ISNA(VLOOKUP(A140,'Données projet'!$A$191:$I$211,3,0)),0,VLOOKUP(A140,'Données projet'!$A$191:$I$211,3,0))</f>
        <v>0</v>
      </c>
      <c r="DF140" s="36">
        <f>IF(ISNA(VLOOKUP(A140,'Données projet'!$A$191:$I$211,4,0)),0,VLOOKUP(A140,'Données projet'!$A$191:$I$211,4,0))</f>
        <v>0</v>
      </c>
      <c r="DG140" s="37">
        <f>IF(ISNA(VLOOKUP(A140,'Données projet'!$A$191:$I$211,5,0)),0%,VLOOKUP(A140,'Données projet'!$A$191:$I$211,5,0)*VLOOKUP('Données projet'!$B$15,Paramètres!$A$1:$I$88,7,0))</f>
        <v>0</v>
      </c>
      <c r="DH140" s="37">
        <f>IF(ISNA(VLOOKUP(A140,'Données projet'!$A$191:$I$211,6,0)),0%,VLOOKUP(A140,'Données projet'!$A$191:$I$211,6,0)*VLOOKUP('Données projet'!$B$15,Paramètres!$A$1:$I$88,7,0))</f>
        <v>0</v>
      </c>
      <c r="DI140" s="37">
        <f>IF(ISNA(VLOOKUP(A140,'Données projet'!$A$191:$I$211,7,0)),0%,VLOOKUP(A140,'Données projet'!$A$191:$I$211,7,0))</f>
        <v>0</v>
      </c>
      <c r="DJ140" s="45">
        <f>EXP(-LN(2)/35)*DJ139+(1-EXP(-LN(2)/35))/(LN(2)/35)*DF140*DG140*VLOOKUP('Données projet'!$B$9,Paramètres!$A$1:$I$88,3,0)*0.475*44/12</f>
        <v>0</v>
      </c>
      <c r="DK140" s="45">
        <f>EXP(-LN(2)/25)*DK139+(1-EXP(-LN(2)/25))/(LN(2)/25)*Calculateur!DF140*Calculateur!DH140*VLOOKUP('Données projet'!$B$9,Paramètres!$A$1:$I$88,3,0)*0.475*44/12</f>
        <v>0</v>
      </c>
      <c r="DL140" s="45">
        <f>EXP(-LN(2)/2)*DL139+(1-EXP(-LN(2)/2))/(LN(2)/2)*DF140*DI140*VLOOKUP('Données projet'!$B$9,Paramètres!$A$1:$I$88,3,0)*0.475*44/12</f>
        <v>0</v>
      </c>
      <c r="DM140" s="46">
        <f t="shared" si="97"/>
        <v>0</v>
      </c>
      <c r="DN140" s="32" t="e">
        <f>VLOOKUP(A140,'Données projet'!$A$217:$I$237,2,0)</f>
        <v>#N/A</v>
      </c>
      <c r="DO140" s="33" t="e">
        <f>VLOOKUP(A140,'Données projet'!$A$217:$I$237,9,0)</f>
        <v>#N/A</v>
      </c>
      <c r="DP140" s="33">
        <f t="array" ref="DP140">INDEX(DO:DO,MIN(IF(ISNUMBER(DO140:DO336),ROW(DO140:DO336),"")))</f>
        <v>0</v>
      </c>
      <c r="DQ140" s="33">
        <f t="shared" si="120"/>
        <v>0</v>
      </c>
      <c r="DR140" s="38" t="e">
        <f>DQ140*VLOOKUP('Données projet'!$B$16,Paramètres!$A$1:$I$88,3,0)*VLOOKUP('Données projet'!$B$16,Paramètres!$A$1:$I$88,5,0)</f>
        <v>#N/A</v>
      </c>
      <c r="DS140" s="34" t="e">
        <f t="shared" si="121"/>
        <v>#N/A</v>
      </c>
      <c r="DT140" s="44" t="e">
        <f t="shared" si="98"/>
        <v>#N/A</v>
      </c>
      <c r="DU140" s="36">
        <f>IF(ISNA(VLOOKUP(A140,'Données projet'!$A$217:$I$237,3,0)),0,VLOOKUP(A140,'Données projet'!$A$217:$I$237,3,0))</f>
        <v>0</v>
      </c>
      <c r="DV140" s="36">
        <f>IF(ISNA(VLOOKUP(A140,'Données projet'!$A$217:$I$237,4,0)),0,VLOOKUP(A140,'Données projet'!$A$217:$I$237,4,0))</f>
        <v>0</v>
      </c>
      <c r="DW140" s="37">
        <f>IF(ISNA(VLOOKUP(A140,'Données projet'!$A$217:$I$237,5,0)),0%,VLOOKUP(A140,'Données projet'!$A$217:$I$237,5,0)*VLOOKUP('Données projet'!$B$16,Paramètres!$A$1:$I$88,7,0))</f>
        <v>0</v>
      </c>
      <c r="DX140" s="37">
        <f>IF(ISNA(VLOOKUP(A140,'Données projet'!$A$217:$I$237,6,0)),0%,VLOOKUP(A140,'Données projet'!$A$217:$I$237,6,0)*VLOOKUP('Données projet'!$B$16,Paramètres!$A$1:$I$88,7,0))</f>
        <v>0</v>
      </c>
      <c r="DY140" s="37">
        <f>IF(ISNA(VLOOKUP(A140,'Données projet'!$A$217:$I$237,7,0)),0%,VLOOKUP(A140,'Données projet'!$A$217:$I$237,7,0))</f>
        <v>0</v>
      </c>
      <c r="DZ140" s="45">
        <f>EXP(-LN(2)/35)*DZ139+(1-EXP(-LN(2)/35))/(LN(2)/35)*DV140*DW140*VLOOKUP('Données projet'!$B$9,Paramètres!$A$1:$I$88,3,0)*0.475*44/12</f>
        <v>0</v>
      </c>
      <c r="EA140" s="45">
        <f>EXP(-LN(2)/25)*EA139+(1-EXP(-LN(2)/25))/(LN(2)/25)*Calculateur!DV140*Calculateur!DX140*VLOOKUP('Données projet'!$B$9,Paramètres!$A$1:$I$88,3,0)*0.475*44/12</f>
        <v>0</v>
      </c>
      <c r="EB140" s="45">
        <f>EXP(-LN(2)/2)*EB139+(1-EXP(-LN(2)/2))/(LN(2)/2)*DV140*DY140*VLOOKUP('Données projet'!$B$9,Paramètres!$A$1:$I$88,3,0)*0.475*44/12</f>
        <v>0</v>
      </c>
      <c r="EC140" s="46">
        <f t="shared" si="99"/>
        <v>0</v>
      </c>
      <c r="ED140" s="32" t="e">
        <f>VLOOKUP(A140,'Données projet'!$A$243:$I$263,2,0)</f>
        <v>#N/A</v>
      </c>
      <c r="EE140" s="33" t="e">
        <f>VLOOKUP(A140,'Données projet'!$A$243:$I$263,9,0)</f>
        <v>#N/A</v>
      </c>
      <c r="EF140" s="33">
        <f t="array" ref="EF140">INDEX(EE:EE,MIN(IF(ISNUMBER(EE140:EE336),ROW(EE140:EE336),"")))</f>
        <v>0</v>
      </c>
      <c r="EG140" s="33">
        <f t="shared" si="122"/>
        <v>0</v>
      </c>
      <c r="EH140" s="38" t="e">
        <f>EG140*VLOOKUP('Données projet'!$B$17,Paramètres!$A$1:$I$88,3,0)*VLOOKUP('Données projet'!$B$17,Paramètres!$A$1:$I$88,5,0)</f>
        <v>#N/A</v>
      </c>
      <c r="EI140" s="34" t="e">
        <f t="shared" si="123"/>
        <v>#N/A</v>
      </c>
      <c r="EJ140" s="44" t="e">
        <f t="shared" si="100"/>
        <v>#N/A</v>
      </c>
      <c r="EK140" s="36">
        <f>IF(ISNA(VLOOKUP(A140,'Données projet'!$A$243:$I$263,3,0)),0,VLOOKUP(A140,'Données projet'!$A$243:$I$263,3,0))</f>
        <v>0</v>
      </c>
      <c r="EL140" s="36">
        <f>IF(ISNA(VLOOKUP(A140,'Données projet'!$A$243:$I$263,4,0)),0,VLOOKUP(A140,'Données projet'!$A$243:$I$263,4,0))</f>
        <v>0</v>
      </c>
      <c r="EM140" s="37">
        <f>IF(ISNA(VLOOKUP(A140,'Données projet'!$A$243:$I$263,5,0)),0%,VLOOKUP(A140,'Données projet'!$A$243:$I$263,5,0)*VLOOKUP('Données projet'!$B$17,Paramètres!$A$1:$I$88,7,0))</f>
        <v>0</v>
      </c>
      <c r="EN140" s="37">
        <f>IF(ISNA(VLOOKUP(A140,'Données projet'!$A$243:$I$263,6,0)),0%,VLOOKUP(A140,'Données projet'!$A$243:$I$263,6,0)*VLOOKUP('Données projet'!$B$17,Paramètres!$A$1:$I$88,7,0))</f>
        <v>0</v>
      </c>
      <c r="EO140" s="37">
        <f>IF(ISNA(VLOOKUP(A140,'Données projet'!$A$243:$I$263,7,0)),0%,VLOOKUP(A140,'Données projet'!$A$243:$I$263,7,0))</f>
        <v>0</v>
      </c>
      <c r="EP140" s="45">
        <f>EXP(-LN(2)/35)*EP139+(1-EXP(-LN(2)/35))/(LN(2)/35)*EL140*EM140*VLOOKUP('Données projet'!$B$9,Paramètres!$A$1:$I$88,3,0)*0.475*44/12</f>
        <v>0</v>
      </c>
      <c r="EQ140" s="45">
        <f>EXP(-LN(2)/25)*EQ139+(1-EXP(-LN(2)/25))/(LN(2)/25)*Calculateur!EL140*Calculateur!EN140*VLOOKUP('Données projet'!$B$9,Paramètres!$A$1:$I$88,3,0)*0.475*44/12</f>
        <v>0</v>
      </c>
      <c r="ER140" s="45">
        <f>EXP(-LN(2)/2)*ER139+(1-EXP(-LN(2)/2))/(LN(2)/2)*EL140*EO140*VLOOKUP('Données projet'!$B$9,Paramètres!$A$1:$I$88,3,0)*0.475*44/12</f>
        <v>0</v>
      </c>
      <c r="ES140" s="46">
        <f t="shared" si="101"/>
        <v>0</v>
      </c>
      <c r="ET140" s="32" t="e">
        <f>VLOOKUP(A140,'Données projet'!$A$269:$I$289,2,0)</f>
        <v>#N/A</v>
      </c>
      <c r="EU140" s="33" t="e">
        <f>VLOOKUP(A140,'Données projet'!$A$269:$I$289,9,0)</f>
        <v>#N/A</v>
      </c>
      <c r="EV140" s="33">
        <f t="array" ref="EV140">INDEX(EU:EU,MIN(IF(ISNUMBER(EU140:EU336),ROW(EU140:EU336),"")))</f>
        <v>0</v>
      </c>
      <c r="EW140" s="33">
        <f t="shared" si="124"/>
        <v>0</v>
      </c>
      <c r="EX140" s="38" t="e">
        <f>EW140*VLOOKUP('Données projet'!$B$18,Paramètres!$A$1:$I$88,3,0)*VLOOKUP('Données projet'!$B$18,Paramètres!$A$1:$I$88,5,0)</f>
        <v>#N/A</v>
      </c>
      <c r="EY140" s="34" t="e">
        <f t="shared" si="125"/>
        <v>#N/A</v>
      </c>
      <c r="EZ140" s="44" t="e">
        <f t="shared" si="102"/>
        <v>#N/A</v>
      </c>
      <c r="FA140" s="36">
        <f>IF(ISNA(VLOOKUP(A140,'Données projet'!$A$269:$I$289,3,0)),0,VLOOKUP(A140,'Données projet'!$A$269:$I$289,3,0))</f>
        <v>0</v>
      </c>
      <c r="FB140" s="36">
        <f>IF(ISNA(VLOOKUP(A140,'Données projet'!$A$269:$I$289,4,0)),0,VLOOKUP(A140,'Données projet'!$A$269:$I$289,4,0))</f>
        <v>0</v>
      </c>
      <c r="FC140" s="37">
        <f>IF(ISNA(VLOOKUP(A140,'Données projet'!$A$269:$I$289,5,0)),0%,VLOOKUP(A140,'Données projet'!$A$269:$I$289,5,0)*VLOOKUP('Données projet'!$B$18,Paramètres!$A$1:$I$88,7,0))</f>
        <v>0</v>
      </c>
      <c r="FD140" s="37">
        <f>IF(ISNA(VLOOKUP(A140,'Données projet'!$A$269:$I$289,6,0)),0%,VLOOKUP(A140,'Données projet'!$A$269:$I$289,6,0)*VLOOKUP('Données projet'!$B$18,Paramètres!$A$1:$I$88,7,0))</f>
        <v>0</v>
      </c>
      <c r="FE140" s="37">
        <f>IF(ISNA(VLOOKUP(A140,'Données projet'!$A$269:$I$289,7,0)),0%,VLOOKUP(A140,'Données projet'!$A$269:$I$289,7,0))</f>
        <v>0</v>
      </c>
      <c r="FF140" s="45">
        <f>EXP(-LN(2)/35)*FF139+(1-EXP(-LN(2)/35))/(LN(2)/35)*FB140*FC140*VLOOKUP('Données projet'!$B$9,Paramètres!$A$1:$I$88,3,0)*0.475*44/12</f>
        <v>0</v>
      </c>
      <c r="FG140" s="45">
        <f>EXP(-LN(2)/25)*FG139+(1-EXP(-LN(2)/25))/(LN(2)/25)*Calculateur!FB140*Calculateur!FD140*VLOOKUP('Données projet'!$B$9,Paramètres!$A$1:$I$88,3,0)*0.475*44/12</f>
        <v>0</v>
      </c>
      <c r="FH140" s="45">
        <f>EXP(-LN(2)/2)*FH139+(1-EXP(-LN(2)/2))/(LN(2)/2)*FB140*FE140*VLOOKUP('Données projet'!$B$9,Paramètres!$A$1:$I$88,3,0)*0.475*44/12</f>
        <v>0</v>
      </c>
      <c r="FI140" s="46">
        <f t="shared" si="103"/>
        <v>0</v>
      </c>
    </row>
    <row r="141" spans="1:165" x14ac:dyDescent="0.25">
      <c r="A141" s="24">
        <f t="shared" si="104"/>
        <v>138</v>
      </c>
      <c r="B141" s="25">
        <f>IF('Scénario référence'!$N$1=1,5,0)</f>
        <v>0</v>
      </c>
      <c r="C141" s="40">
        <f>IF(OR('Scénario référence'!$N$1=2,'Scénario référence'!$N$1=4),C140+1*VLOOKUP('Scénario référence'!$G$14,Paramètres!$A$1:$I$88,3,0)*VLOOKUP('Scénario référence'!$G$14,Paramètres!$A$1:$I$88,5,0),IF(OR('Scénario référence'!$N$1=3,'Scénario référence'!$N$1=5),C140+0.5*VLOOKUP('Scénario référence'!$G$14,Paramètres!$A$1:$I$88,3,0)*VLOOKUP('Scénario référence'!$G$14,Paramètres!$A$1:$I$88,5,0),0))</f>
        <v>75.34800000000007</v>
      </c>
      <c r="D141" s="26">
        <f t="shared" si="105"/>
        <v>20.995810517717057</v>
      </c>
      <c r="E141" s="27">
        <f>IF('Scénario référence'!$N$1=1,B141*44/12,(C141+D141)*0.475*44/12)</f>
        <v>167.79880331835733</v>
      </c>
      <c r="F141" s="28" t="e">
        <f>VLOOKUP(A141,'Données projet'!$A$35:$I$55,2,0)</f>
        <v>#N/A</v>
      </c>
      <c r="G141" s="28" t="e">
        <f>VLOOKUP(A141,'Données projet'!$A$35:$I$55,9,0)</f>
        <v>#N/A</v>
      </c>
      <c r="H141" s="33">
        <f t="array" ref="H141">INDEX(G:G,MIN(IF(ISNUMBER(G141:G337),ROW(G141:G337),"")))</f>
        <v>2.6</v>
      </c>
      <c r="I141" s="28">
        <f t="shared" si="106"/>
        <v>276.79999999999939</v>
      </c>
      <c r="J141" s="41">
        <f>I141*VLOOKUP('Données projet'!$B$9,Paramètres!$A$1:$I$88,3,0)*VLOOKUP('Données projet'!$B$9,Paramètres!$A$1:$I$88,5,0)</f>
        <v>280.67519999999939</v>
      </c>
      <c r="K141" s="41">
        <f t="shared" si="107"/>
        <v>67.109678043026364</v>
      </c>
      <c r="L141" s="42">
        <f t="shared" si="84"/>
        <v>605.72532925826988</v>
      </c>
      <c r="M141" s="30">
        <f>IF(ISNA(VLOOKUP(A141,'Données projet'!$A$35:$I$55,3,0)),0,VLOOKUP(A141,'Données projet'!$A$35:$I$55,3,0))</f>
        <v>0</v>
      </c>
      <c r="N141" s="30">
        <f>IF(ISNA(VLOOKUP(A141,'Données projet'!$A$35:$I$55,4,0)),0,VLOOKUP(A141,'Données projet'!$A$35:$I$55,4,0))</f>
        <v>0</v>
      </c>
      <c r="O141" s="31">
        <f>IF(ISNA(VLOOKUP(A141,'Données projet'!$A$35:$I$55,5,0)),0%,VLOOKUP(A141,'Données projet'!$A$35:$I$55,5,0)*VLOOKUP('Données projet'!$B$9,Paramètres!$A$1:$I$88,7,0))</f>
        <v>0</v>
      </c>
      <c r="P141" s="31">
        <f>IF(ISNA(VLOOKUP(A141,'Données projet'!$A$35:$I$55,6,0)),0%,VLOOKUP(A141,'Données projet'!$A$35:$I$55,6,0)*VLOOKUP('Données projet'!$B$9,Paramètres!$A$1:$I$88,7,0))</f>
        <v>0</v>
      </c>
      <c r="Q141" s="31">
        <f>IF(ISNA(VLOOKUP(A141,'Données projet'!$A$35:$I$55,7,0)),0%,VLOOKUP(A141,'Données projet'!$A$35:$I$55,7,0))</f>
        <v>0</v>
      </c>
      <c r="R141" s="43">
        <f>EXP(-LN(2)/35)*R140+(1-EXP(-LN(2)/35))/(LN(2)/35)*N141*O141*VLOOKUP('Données projet'!$B$9,Paramètres!$A$1:$I$88,3,0)*0.475*44/12</f>
        <v>0</v>
      </c>
      <c r="S141" s="43">
        <f>EXP(-LN(2)/25)*S140+(1-EXP(-LN(2)/25))/(LN(2)/25)*Calculateur!N141*Calculateur!P141*VLOOKUP('Données projet'!$B$9,Paramètres!$A$1:$I$88,3,0)*0.475*44/12</f>
        <v>0</v>
      </c>
      <c r="T141" s="43">
        <f>EXP(-LN(2)/2)*T140+(1-EXP(-LN(2)/2))/(LN(2)/2)*N141*Q141*VLOOKUP('Données projet'!$B$9,Paramètres!$A$1:$I$88,3,0)*0.475*44/12</f>
        <v>0</v>
      </c>
      <c r="U141" s="43">
        <f t="shared" si="85"/>
        <v>0</v>
      </c>
      <c r="V141" s="32" t="e">
        <f>VLOOKUP(A141,'Données projet'!$A$61:$I$81,2,0)</f>
        <v>#N/A</v>
      </c>
      <c r="W141" s="33" t="e">
        <f>VLOOKUP(A141,'Données projet'!$A$61:$I$81,9,0)</f>
        <v>#N/A</v>
      </c>
      <c r="X141" s="33">
        <f t="array" ref="X141">INDEX(W:W,MIN(IF(ISNUMBER(W141:W337),ROW(W141:W337),"")))</f>
        <v>0</v>
      </c>
      <c r="Y141" s="33">
        <f t="shared" si="108"/>
        <v>0</v>
      </c>
      <c r="Z141" s="34" t="e">
        <f>Y141*VLOOKUP('Données projet'!$B$10,Paramètres!$A$1:$I$88,3,0)*VLOOKUP('Données projet'!$B$10,Paramètres!$A$1:$I$88,5,0)</f>
        <v>#N/A</v>
      </c>
      <c r="AA141" s="34" t="e">
        <f t="shared" si="109"/>
        <v>#N/A</v>
      </c>
      <c r="AB141" s="44" t="e">
        <f t="shared" si="86"/>
        <v>#N/A</v>
      </c>
      <c r="AC141" s="36">
        <f>IF(ISNA(VLOOKUP(A141,'Données projet'!$A$61:$I$81,3,0)),0,VLOOKUP(A141,'Données projet'!$A$61:$I$81,3,0))</f>
        <v>0</v>
      </c>
      <c r="AD141" s="36">
        <f>IF(ISNA(VLOOKUP(A141,'Données projet'!$A$61:$I$81,4,0)),0,VLOOKUP(A141,'Données projet'!$A$61:$I$81,4,0))</f>
        <v>0</v>
      </c>
      <c r="AE141" s="37">
        <f>IF(ISNA(VLOOKUP(A141,'Données projet'!$A$61:$I$81,5,0)),0%,VLOOKUP(A141,'Données projet'!$A$61:$I$81,5,0)*VLOOKUP('Données projet'!$B$10,Paramètres!$A$1:$I$88,7,0))</f>
        <v>0</v>
      </c>
      <c r="AF141" s="37">
        <f>IF(ISNA(VLOOKUP(A141,'Données projet'!$A$61:$I$81,6,0)),0%,VLOOKUP(A141,'Données projet'!$A$61:$I$81,6,0)*VLOOKUP('Données projet'!$B$10,Paramètres!$A$1:$I$88,7,0))</f>
        <v>0</v>
      </c>
      <c r="AG141" s="37">
        <f>IF(ISNA(VLOOKUP(A141,'Données projet'!$A$61:$I$81,7,0)),0%,VLOOKUP(A141,'Données projet'!$A$61:$I$81,7,0))</f>
        <v>0</v>
      </c>
      <c r="AH141" s="45">
        <f>EXP(-LN(2)/35)*AH140+(1-EXP(-LN(2)/35))/(LN(2)/35)*AD141*AE141*VLOOKUP('Données projet'!$B$9,Paramètres!$A$1:$I$88,3,0)*0.475*44/12</f>
        <v>0</v>
      </c>
      <c r="AI141" s="45">
        <f>EXP(-LN(2)/25)*AI140+(1-EXP(-LN(2)/25))/(LN(2)/25)*Calculateur!AD141*Calculateur!AF141*VLOOKUP('Données projet'!$B$9,Paramètres!$A$1:$I$88,3,0)*0.475*44/12</f>
        <v>0</v>
      </c>
      <c r="AJ141" s="45">
        <f>EXP(-LN(2)/2)*AJ140+(1-EXP(-LN(2)/2))/(LN(2)/2)*AD141*AG141*VLOOKUP('Données projet'!$B$9,Paramètres!$A$1:$I$88,3,0)*0.475*44/12</f>
        <v>0</v>
      </c>
      <c r="AK141" s="45">
        <f t="shared" si="87"/>
        <v>0</v>
      </c>
      <c r="AL141" s="32" t="e">
        <f>VLOOKUP(A141,'Données projet'!$A$87:$I$107,2,0)</f>
        <v>#N/A</v>
      </c>
      <c r="AM141" s="33" t="e">
        <f>VLOOKUP(A141,'Données projet'!$A$87:$I$107,9,0)</f>
        <v>#N/A</v>
      </c>
      <c r="AN141" s="33">
        <f t="array" ref="AN141">INDEX(AM:AM,MIN(IF(ISNUMBER(AM141:AM337),ROW(AM141:AM337),"")))</f>
        <v>0</v>
      </c>
      <c r="AO141" s="33">
        <f t="shared" si="110"/>
        <v>0</v>
      </c>
      <c r="AP141" s="34" t="e">
        <f>AO141*VLOOKUP('Données projet'!$B$11,Paramètres!$A$1:$I$88,3,0)*VLOOKUP('Données projet'!$B$11,Paramètres!$A$1:$I$88,5,0)</f>
        <v>#N/A</v>
      </c>
      <c r="AQ141" s="34" t="e">
        <f t="shared" si="111"/>
        <v>#N/A</v>
      </c>
      <c r="AR141" s="44" t="e">
        <f t="shared" si="88"/>
        <v>#N/A</v>
      </c>
      <c r="AS141" s="36">
        <f>IF(ISNA(VLOOKUP(A141,'Données projet'!$A$87:$I$107,3,0)),0,VLOOKUP(A141,'Données projet'!$A$87:$I$107,3,0))</f>
        <v>0</v>
      </c>
      <c r="AT141" s="36">
        <f>IF(ISNA(VLOOKUP(A141,'Données projet'!$A$87:$I$107,4,0)),0,VLOOKUP(A141,'Données projet'!$A$87:$I$107,4,0))</f>
        <v>0</v>
      </c>
      <c r="AU141" s="37">
        <f>IF(ISNA(VLOOKUP(A141,'Données projet'!$A$87:$I$107,5,0)),0%,VLOOKUP(A141,'Données projet'!$A$87:$I$107,5,0)*VLOOKUP('Données projet'!$B$11,Paramètres!$A$1:$I$88,7,0))</f>
        <v>0</v>
      </c>
      <c r="AV141" s="37">
        <f>IF(ISNA(VLOOKUP(A141,'Données projet'!$A$87:$I$107,6,0)),0%,VLOOKUP(A141,'Données projet'!$A$87:$I$107,6,0)*VLOOKUP('Données projet'!$B$11,Paramètres!$A$1:$I$88,7,0))</f>
        <v>0</v>
      </c>
      <c r="AW141" s="37">
        <f>IF(ISNA(VLOOKUP(A141,'Données projet'!$A$87:$I$107,7,0)),0%,VLOOKUP(A141,'Données projet'!$A$87:$I$107,7,0))</f>
        <v>0</v>
      </c>
      <c r="AX141" s="45">
        <f>EXP(-LN(2)/35)*AX140+(1-EXP(-LN(2)/35))/(LN(2)/35)*AT141*AU141*VLOOKUP('Données projet'!$B$9,Paramètres!$A$1:$I$88,3,0)*0.475*44/12</f>
        <v>0</v>
      </c>
      <c r="AY141" s="45">
        <f>EXP(-LN(2)/25)*AY140+(1-EXP(-LN(2)/25))/(LN(2)/25)*Calculateur!AT141*Calculateur!AV141*VLOOKUP('Données projet'!$B$9,Paramètres!$A$1:$I$88,3,0)*0.475*44/12</f>
        <v>0</v>
      </c>
      <c r="AZ141" s="45">
        <f>EXP(-LN(2)/2)*AZ140+(1-EXP(-LN(2)/2))/(LN(2)/2)*AT141*AW141*VLOOKUP('Données projet'!$B$9,Paramètres!$A$1:$I$88,3,0)*0.475*44/12</f>
        <v>0</v>
      </c>
      <c r="BA141" s="46">
        <f t="shared" si="89"/>
        <v>0</v>
      </c>
      <c r="BB141" s="32" t="e">
        <f>VLOOKUP(A141,'Données projet'!$A$113:$I$133,2,0)</f>
        <v>#N/A</v>
      </c>
      <c r="BC141" s="33" t="e">
        <f>VLOOKUP(A141,'Données projet'!$A$113:$I$133,9,0)</f>
        <v>#N/A</v>
      </c>
      <c r="BD141" s="33">
        <f t="array" ref="BD141">INDEX(BC:BC,MIN(IF(ISNUMBER(BC141:BC337),ROW(BC141:BC337),"")))</f>
        <v>0</v>
      </c>
      <c r="BE141" s="33">
        <f t="shared" si="112"/>
        <v>0</v>
      </c>
      <c r="BF141" s="34" t="e">
        <f>BE141*VLOOKUP('Données projet'!$B$12,Paramètres!$A$1:$I$88,3,0)*VLOOKUP('Données projet'!$B$12,Paramètres!$A$1:$I$88,5,0)</f>
        <v>#N/A</v>
      </c>
      <c r="BG141" s="34" t="e">
        <f t="shared" si="113"/>
        <v>#N/A</v>
      </c>
      <c r="BH141" s="44" t="e">
        <f t="shared" si="90"/>
        <v>#N/A</v>
      </c>
      <c r="BI141" s="36">
        <f>IF(ISNA(VLOOKUP(A141,'Données projet'!$A$113:$I$133,3,0)),0,VLOOKUP(A141,'Données projet'!$A$113:$I$133,3,0))</f>
        <v>0</v>
      </c>
      <c r="BJ141" s="36">
        <f>IF(ISNA(VLOOKUP(A141,'Données projet'!$A$113:$I$133,4,0)),0,VLOOKUP(A141,'Données projet'!$A$113:$I$133,4,0))</f>
        <v>0</v>
      </c>
      <c r="BK141" s="37">
        <f>IF(ISNA(VLOOKUP(A141,'Données projet'!$A$113:$I$133,5,0)),0%,VLOOKUP(A141,'Données projet'!$A$113:$I$133,5,0)*VLOOKUP('Données projet'!$B$12,Paramètres!$A$1:$I$88,7,0))</f>
        <v>0</v>
      </c>
      <c r="BL141" s="37">
        <f>IF(ISNA(VLOOKUP(A141,'Données projet'!$A$113:$I$133,6,0)),0%,VLOOKUP(A141,'Données projet'!$A$113:$I$133,6,0)*VLOOKUP('Données projet'!$B$12,Paramètres!$A$1:$I$88,7,0))</f>
        <v>0</v>
      </c>
      <c r="BM141" s="37">
        <f>IF(ISNA(VLOOKUP(A141,'Données projet'!$A$113:$I$133,7,0)),0%,VLOOKUP(A141,'Données projet'!$A$113:$I$133,7,0))</f>
        <v>0</v>
      </c>
      <c r="BN141" s="45">
        <f>EXP(-LN(2)/35)*BN140+(1-EXP(-LN(2)/35))/(LN(2)/35)*BJ141*BK141*VLOOKUP('Données projet'!$B$9,Paramètres!$A$1:$I$88,3,0)*0.475*44/12</f>
        <v>0</v>
      </c>
      <c r="BO141" s="45">
        <f>EXP(-LN(2)/25)*BO140+(1-EXP(-LN(2)/25))/(LN(2)/25)*Calculateur!BJ141*Calculateur!BL141*VLOOKUP('Données projet'!$B$9,Paramètres!$A$1:$I$88,3,0)*0.475*44/12</f>
        <v>0</v>
      </c>
      <c r="BP141" s="45">
        <f>EXP(-LN(2)/2)*BP140+(1-EXP(-LN(2)/2))/(LN(2)/2)*BJ141*BM141*VLOOKUP('Données projet'!$B$9,Paramètres!$A$1:$I$88,3,0)*0.475*44/12</f>
        <v>0</v>
      </c>
      <c r="BQ141" s="46">
        <f t="shared" si="91"/>
        <v>0</v>
      </c>
      <c r="BR141" s="32" t="e">
        <f>VLOOKUP(A141,'Données projet'!$A$139:$I$159,2,0)</f>
        <v>#N/A</v>
      </c>
      <c r="BS141" s="33" t="e">
        <f>VLOOKUP(A141,'Données projet'!$A$139:$I$159,9,0)</f>
        <v>#N/A</v>
      </c>
      <c r="BT141" s="33">
        <f t="array" ref="BT141">INDEX(BS:BS,MIN(IF(ISNUMBER(BS141:BS337),ROW(BS141:BS337),"")))</f>
        <v>0</v>
      </c>
      <c r="BU141" s="33">
        <f t="shared" si="114"/>
        <v>0</v>
      </c>
      <c r="BV141" s="38" t="e">
        <f>BU141*VLOOKUP('Données projet'!$B$13,Paramètres!$A$1:$I$88,3,0)*VLOOKUP('Données projet'!$B$13,Paramètres!$A$1:$I$88,5,0)</f>
        <v>#N/A</v>
      </c>
      <c r="BW141" s="34" t="e">
        <f t="shared" si="115"/>
        <v>#N/A</v>
      </c>
      <c r="BX141" s="44" t="e">
        <f t="shared" si="92"/>
        <v>#N/A</v>
      </c>
      <c r="BY141" s="36">
        <f>IF(ISNA(VLOOKUP(A141,'Données projet'!$A$139:$I$159,3,0)),0,VLOOKUP(A141,'Données projet'!$A$139:$I$159,3,0))</f>
        <v>0</v>
      </c>
      <c r="BZ141" s="36">
        <f>IF(ISNA(VLOOKUP(A141,'Données projet'!$A$139:$I$159,4,0)),0,VLOOKUP(A141,'Données projet'!$A$139:$I$159,4,0))</f>
        <v>0</v>
      </c>
      <c r="CA141" s="37">
        <f>IF(ISNA(VLOOKUP(A141,'Données projet'!$A$139:$I$159,5,0)),0%,VLOOKUP(A141,'Données projet'!$A$139:$I$159,5,0)*VLOOKUP('Données projet'!$B$13,Paramètres!$A$1:$I$88,7,0))</f>
        <v>0</v>
      </c>
      <c r="CB141" s="37">
        <f>IF(ISNA(VLOOKUP(A141,'Données projet'!$A$139:$I$159,6,0)),0%,VLOOKUP(A141,'Données projet'!$A$139:$I$159,6,0)*VLOOKUP('Données projet'!$B$13,Paramètres!$A$1:$I$88,7,0))</f>
        <v>0</v>
      </c>
      <c r="CC141" s="37">
        <f>IF(ISNA(VLOOKUP(A141,'Données projet'!$A$139:$I$159,7,0)),0%,VLOOKUP(A141,'Données projet'!$A$139:$I$159,7,0))</f>
        <v>0</v>
      </c>
      <c r="CD141" s="45">
        <f>EXP(-LN(2)/35)*CD140+(1-EXP(-LN(2)/35))/(LN(2)/35)*BZ141*CA141*VLOOKUP('Données projet'!$B$9,Paramètres!$A$1:$I$88,3,0)*0.475*44/12</f>
        <v>0</v>
      </c>
      <c r="CE141" s="45">
        <f>EXP(-LN(2)/25)*CE140+(1-EXP(-LN(2)/25))/(LN(2)/25)*Calculateur!BZ141*Calculateur!CB141*VLOOKUP('Données projet'!$B$9,Paramètres!$A$1:$I$88,3,0)*0.475*44/12</f>
        <v>0</v>
      </c>
      <c r="CF141" s="45">
        <f>EXP(-LN(2)/2)*CF140+(1-EXP(-LN(2)/2))/(LN(2)/2)*BZ141*CC141*VLOOKUP('Données projet'!$B$9,Paramètres!$A$1:$I$88,3,0)*0.475*44/12</f>
        <v>0</v>
      </c>
      <c r="CG141" s="46">
        <f t="shared" si="93"/>
        <v>0</v>
      </c>
      <c r="CH141" s="32" t="e">
        <f>VLOOKUP(A141,'Données projet'!$A$165:$I$185,2,0)</f>
        <v>#N/A</v>
      </c>
      <c r="CI141" s="33" t="e">
        <f>VLOOKUP(A141,'Données projet'!$A$165:$I$185,9,0)</f>
        <v>#N/A</v>
      </c>
      <c r="CJ141" s="33">
        <f t="array" ref="CJ141">INDEX(CI:CI,MIN(IF(ISNUMBER(CI141:CI337),ROW(CI141:CI337),"")))</f>
        <v>0</v>
      </c>
      <c r="CK141" s="33">
        <f t="shared" si="116"/>
        <v>0</v>
      </c>
      <c r="CL141" s="38" t="e">
        <f>CK141*VLOOKUP('Données projet'!$B$14,Paramètres!$A$1:$I$88,3,0)*VLOOKUP('Données projet'!$B$14,Paramètres!$A$1:$I$88,5,0)</f>
        <v>#N/A</v>
      </c>
      <c r="CM141" s="34" t="e">
        <f t="shared" si="117"/>
        <v>#N/A</v>
      </c>
      <c r="CN141" s="44" t="e">
        <f t="shared" si="94"/>
        <v>#N/A</v>
      </c>
      <c r="CO141" s="36">
        <f>IF(ISNA(VLOOKUP(A141,'Données projet'!$A$165:$I$185,3,0)),0,VLOOKUP(A141,'Données projet'!$A$165:$I$185,3,0))</f>
        <v>0</v>
      </c>
      <c r="CP141" s="36">
        <f>IF(ISNA(VLOOKUP(A141,'Données projet'!$A$165:$I$185,4,0)),0,VLOOKUP(A141,'Données projet'!$A$165:$I$185,4,0))</f>
        <v>0</v>
      </c>
      <c r="CQ141" s="37">
        <f>IF(ISNA(VLOOKUP(A141,'Données projet'!$A$165:$I$185,5,0)),0%,VLOOKUP(A141,'Données projet'!$A$165:$I$185,5,0)*VLOOKUP('Données projet'!$B$14,Paramètres!$A$1:$I$88,7,0))</f>
        <v>0</v>
      </c>
      <c r="CR141" s="37">
        <f>IF(ISNA(VLOOKUP(A141,'Données projet'!$A$165:$I$185,6,0)),0%,VLOOKUP(A141,'Données projet'!$A$165:$I$185,6,0)*VLOOKUP('Données projet'!$B$14,Paramètres!$A$1:$I$88,7,0))</f>
        <v>0</v>
      </c>
      <c r="CS141" s="37">
        <f>IF(ISNA(VLOOKUP(A141,'Données projet'!$A$165:$I$185,7,0)),0%,VLOOKUP(A141,'Données projet'!$A$165:$I$185,7,0))</f>
        <v>0</v>
      </c>
      <c r="CT141" s="45">
        <f>EXP(-LN(2)/35)*CT140+(1-EXP(-LN(2)/35))/(LN(2)/35)*CP141*CQ141*VLOOKUP('Données projet'!$B$9,Paramètres!$A$1:$I$88,3,0)*0.475*44/12</f>
        <v>0</v>
      </c>
      <c r="CU141" s="45">
        <f>EXP(-LN(2)/25)*CU140+(1-EXP(-LN(2)/25))/(LN(2)/25)*Calculateur!CP141*Calculateur!CR141*VLOOKUP('Données projet'!$B$9,Paramètres!$A$1:$I$88,3,0)*0.475*44/12</f>
        <v>0</v>
      </c>
      <c r="CV141" s="45">
        <f>EXP(-LN(2)/2)*CV140+(1-EXP(-LN(2)/2))/(LN(2)/2)*CP141*CS141*VLOOKUP('Données projet'!$B$9,Paramètres!$A$1:$I$88,3,0)*0.475*44/12</f>
        <v>0</v>
      </c>
      <c r="CW141" s="46">
        <f t="shared" si="95"/>
        <v>0</v>
      </c>
      <c r="CX141" s="32" t="e">
        <f>VLOOKUP(A141,'Données projet'!$A$191:$I$211,2,0)</f>
        <v>#N/A</v>
      </c>
      <c r="CY141" s="33" t="e">
        <f>VLOOKUP(A141,'Données projet'!$A$191:$I$211,9,0)</f>
        <v>#N/A</v>
      </c>
      <c r="CZ141" s="33">
        <f t="array" ref="CZ141">INDEX(CY:CY,MIN(IF(ISNUMBER(CY141:CY337),ROW(CY141:CY337),"")))</f>
        <v>0</v>
      </c>
      <c r="DA141" s="33">
        <f t="shared" si="118"/>
        <v>0</v>
      </c>
      <c r="DB141" s="38" t="e">
        <f>DA141*VLOOKUP('Données projet'!$B$15,Paramètres!$A$1:$I$88,3,0)*VLOOKUP('Données projet'!$B$15,Paramètres!$A$1:$I$88,5,0)</f>
        <v>#N/A</v>
      </c>
      <c r="DC141" s="34" t="e">
        <f t="shared" si="119"/>
        <v>#N/A</v>
      </c>
      <c r="DD141" s="44" t="e">
        <f t="shared" si="96"/>
        <v>#N/A</v>
      </c>
      <c r="DE141" s="36">
        <f>IF(ISNA(VLOOKUP(A141,'Données projet'!$A$191:$I$211,3,0)),0,VLOOKUP(A141,'Données projet'!$A$191:$I$211,3,0))</f>
        <v>0</v>
      </c>
      <c r="DF141" s="36">
        <f>IF(ISNA(VLOOKUP(A141,'Données projet'!$A$191:$I$211,4,0)),0,VLOOKUP(A141,'Données projet'!$A$191:$I$211,4,0))</f>
        <v>0</v>
      </c>
      <c r="DG141" s="37">
        <f>IF(ISNA(VLOOKUP(A141,'Données projet'!$A$191:$I$211,5,0)),0%,VLOOKUP(A141,'Données projet'!$A$191:$I$211,5,0)*VLOOKUP('Données projet'!$B$15,Paramètres!$A$1:$I$88,7,0))</f>
        <v>0</v>
      </c>
      <c r="DH141" s="37">
        <f>IF(ISNA(VLOOKUP(A141,'Données projet'!$A$191:$I$211,6,0)),0%,VLOOKUP(A141,'Données projet'!$A$191:$I$211,6,0)*VLOOKUP('Données projet'!$B$15,Paramètres!$A$1:$I$88,7,0))</f>
        <v>0</v>
      </c>
      <c r="DI141" s="37">
        <f>IF(ISNA(VLOOKUP(A141,'Données projet'!$A$191:$I$211,7,0)),0%,VLOOKUP(A141,'Données projet'!$A$191:$I$211,7,0))</f>
        <v>0</v>
      </c>
      <c r="DJ141" s="45">
        <f>EXP(-LN(2)/35)*DJ140+(1-EXP(-LN(2)/35))/(LN(2)/35)*DF141*DG141*VLOOKUP('Données projet'!$B$9,Paramètres!$A$1:$I$88,3,0)*0.475*44/12</f>
        <v>0</v>
      </c>
      <c r="DK141" s="45">
        <f>EXP(-LN(2)/25)*DK140+(1-EXP(-LN(2)/25))/(LN(2)/25)*Calculateur!DF141*Calculateur!DH141*VLOOKUP('Données projet'!$B$9,Paramètres!$A$1:$I$88,3,0)*0.475*44/12</f>
        <v>0</v>
      </c>
      <c r="DL141" s="45">
        <f>EXP(-LN(2)/2)*DL140+(1-EXP(-LN(2)/2))/(LN(2)/2)*DF141*DI141*VLOOKUP('Données projet'!$B$9,Paramètres!$A$1:$I$88,3,0)*0.475*44/12</f>
        <v>0</v>
      </c>
      <c r="DM141" s="46">
        <f t="shared" si="97"/>
        <v>0</v>
      </c>
      <c r="DN141" s="32" t="e">
        <f>VLOOKUP(A141,'Données projet'!$A$217:$I$237,2,0)</f>
        <v>#N/A</v>
      </c>
      <c r="DO141" s="33" t="e">
        <f>VLOOKUP(A141,'Données projet'!$A$217:$I$237,9,0)</f>
        <v>#N/A</v>
      </c>
      <c r="DP141" s="33">
        <f t="array" ref="DP141">INDEX(DO:DO,MIN(IF(ISNUMBER(DO141:DO337),ROW(DO141:DO337),"")))</f>
        <v>0</v>
      </c>
      <c r="DQ141" s="33">
        <f t="shared" si="120"/>
        <v>0</v>
      </c>
      <c r="DR141" s="38" t="e">
        <f>DQ141*VLOOKUP('Données projet'!$B$16,Paramètres!$A$1:$I$88,3,0)*VLOOKUP('Données projet'!$B$16,Paramètres!$A$1:$I$88,5,0)</f>
        <v>#N/A</v>
      </c>
      <c r="DS141" s="34" t="e">
        <f t="shared" si="121"/>
        <v>#N/A</v>
      </c>
      <c r="DT141" s="44" t="e">
        <f t="shared" si="98"/>
        <v>#N/A</v>
      </c>
      <c r="DU141" s="36">
        <f>IF(ISNA(VLOOKUP(A141,'Données projet'!$A$217:$I$237,3,0)),0,VLOOKUP(A141,'Données projet'!$A$217:$I$237,3,0))</f>
        <v>0</v>
      </c>
      <c r="DV141" s="36">
        <f>IF(ISNA(VLOOKUP(A141,'Données projet'!$A$217:$I$237,4,0)),0,VLOOKUP(A141,'Données projet'!$A$217:$I$237,4,0))</f>
        <v>0</v>
      </c>
      <c r="DW141" s="37">
        <f>IF(ISNA(VLOOKUP(A141,'Données projet'!$A$217:$I$237,5,0)),0%,VLOOKUP(A141,'Données projet'!$A$217:$I$237,5,0)*VLOOKUP('Données projet'!$B$16,Paramètres!$A$1:$I$88,7,0))</f>
        <v>0</v>
      </c>
      <c r="DX141" s="37">
        <f>IF(ISNA(VLOOKUP(A141,'Données projet'!$A$217:$I$237,6,0)),0%,VLOOKUP(A141,'Données projet'!$A$217:$I$237,6,0)*VLOOKUP('Données projet'!$B$16,Paramètres!$A$1:$I$88,7,0))</f>
        <v>0</v>
      </c>
      <c r="DY141" s="37">
        <f>IF(ISNA(VLOOKUP(A141,'Données projet'!$A$217:$I$237,7,0)),0%,VLOOKUP(A141,'Données projet'!$A$217:$I$237,7,0))</f>
        <v>0</v>
      </c>
      <c r="DZ141" s="45">
        <f>EXP(-LN(2)/35)*DZ140+(1-EXP(-LN(2)/35))/(LN(2)/35)*DV141*DW141*VLOOKUP('Données projet'!$B$9,Paramètres!$A$1:$I$88,3,0)*0.475*44/12</f>
        <v>0</v>
      </c>
      <c r="EA141" s="45">
        <f>EXP(-LN(2)/25)*EA140+(1-EXP(-LN(2)/25))/(LN(2)/25)*Calculateur!DV141*Calculateur!DX141*VLOOKUP('Données projet'!$B$9,Paramètres!$A$1:$I$88,3,0)*0.475*44/12</f>
        <v>0</v>
      </c>
      <c r="EB141" s="45">
        <f>EXP(-LN(2)/2)*EB140+(1-EXP(-LN(2)/2))/(LN(2)/2)*DV141*DY141*VLOOKUP('Données projet'!$B$9,Paramètres!$A$1:$I$88,3,0)*0.475*44/12</f>
        <v>0</v>
      </c>
      <c r="EC141" s="46">
        <f t="shared" si="99"/>
        <v>0</v>
      </c>
      <c r="ED141" s="32" t="e">
        <f>VLOOKUP(A141,'Données projet'!$A$243:$I$263,2,0)</f>
        <v>#N/A</v>
      </c>
      <c r="EE141" s="33" t="e">
        <f>VLOOKUP(A141,'Données projet'!$A$243:$I$263,9,0)</f>
        <v>#N/A</v>
      </c>
      <c r="EF141" s="33">
        <f t="array" ref="EF141">INDEX(EE:EE,MIN(IF(ISNUMBER(EE141:EE337),ROW(EE141:EE337),"")))</f>
        <v>0</v>
      </c>
      <c r="EG141" s="33">
        <f t="shared" si="122"/>
        <v>0</v>
      </c>
      <c r="EH141" s="38" t="e">
        <f>EG141*VLOOKUP('Données projet'!$B$17,Paramètres!$A$1:$I$88,3,0)*VLOOKUP('Données projet'!$B$17,Paramètres!$A$1:$I$88,5,0)</f>
        <v>#N/A</v>
      </c>
      <c r="EI141" s="34" t="e">
        <f t="shared" si="123"/>
        <v>#N/A</v>
      </c>
      <c r="EJ141" s="44" t="e">
        <f t="shared" si="100"/>
        <v>#N/A</v>
      </c>
      <c r="EK141" s="36">
        <f>IF(ISNA(VLOOKUP(A141,'Données projet'!$A$243:$I$263,3,0)),0,VLOOKUP(A141,'Données projet'!$A$243:$I$263,3,0))</f>
        <v>0</v>
      </c>
      <c r="EL141" s="36">
        <f>IF(ISNA(VLOOKUP(A141,'Données projet'!$A$243:$I$263,4,0)),0,VLOOKUP(A141,'Données projet'!$A$243:$I$263,4,0))</f>
        <v>0</v>
      </c>
      <c r="EM141" s="37">
        <f>IF(ISNA(VLOOKUP(A141,'Données projet'!$A$243:$I$263,5,0)),0%,VLOOKUP(A141,'Données projet'!$A$243:$I$263,5,0)*VLOOKUP('Données projet'!$B$17,Paramètres!$A$1:$I$88,7,0))</f>
        <v>0</v>
      </c>
      <c r="EN141" s="37">
        <f>IF(ISNA(VLOOKUP(A141,'Données projet'!$A$243:$I$263,6,0)),0%,VLOOKUP(A141,'Données projet'!$A$243:$I$263,6,0)*VLOOKUP('Données projet'!$B$17,Paramètres!$A$1:$I$88,7,0))</f>
        <v>0</v>
      </c>
      <c r="EO141" s="37">
        <f>IF(ISNA(VLOOKUP(A141,'Données projet'!$A$243:$I$263,7,0)),0%,VLOOKUP(A141,'Données projet'!$A$243:$I$263,7,0))</f>
        <v>0</v>
      </c>
      <c r="EP141" s="45">
        <f>EXP(-LN(2)/35)*EP140+(1-EXP(-LN(2)/35))/(LN(2)/35)*EL141*EM141*VLOOKUP('Données projet'!$B$9,Paramètres!$A$1:$I$88,3,0)*0.475*44/12</f>
        <v>0</v>
      </c>
      <c r="EQ141" s="45">
        <f>EXP(-LN(2)/25)*EQ140+(1-EXP(-LN(2)/25))/(LN(2)/25)*Calculateur!EL141*Calculateur!EN141*VLOOKUP('Données projet'!$B$9,Paramètres!$A$1:$I$88,3,0)*0.475*44/12</f>
        <v>0</v>
      </c>
      <c r="ER141" s="45">
        <f>EXP(-LN(2)/2)*ER140+(1-EXP(-LN(2)/2))/(LN(2)/2)*EL141*EO141*VLOOKUP('Données projet'!$B$9,Paramètres!$A$1:$I$88,3,0)*0.475*44/12</f>
        <v>0</v>
      </c>
      <c r="ES141" s="46">
        <f t="shared" si="101"/>
        <v>0</v>
      </c>
      <c r="ET141" s="32" t="e">
        <f>VLOOKUP(A141,'Données projet'!$A$269:$I$289,2,0)</f>
        <v>#N/A</v>
      </c>
      <c r="EU141" s="33" t="e">
        <f>VLOOKUP(A141,'Données projet'!$A$269:$I$289,9,0)</f>
        <v>#N/A</v>
      </c>
      <c r="EV141" s="33">
        <f t="array" ref="EV141">INDEX(EU:EU,MIN(IF(ISNUMBER(EU141:EU337),ROW(EU141:EU337),"")))</f>
        <v>0</v>
      </c>
      <c r="EW141" s="33">
        <f t="shared" si="124"/>
        <v>0</v>
      </c>
      <c r="EX141" s="38" t="e">
        <f>EW141*VLOOKUP('Données projet'!$B$18,Paramètres!$A$1:$I$88,3,0)*VLOOKUP('Données projet'!$B$18,Paramètres!$A$1:$I$88,5,0)</f>
        <v>#N/A</v>
      </c>
      <c r="EY141" s="34" t="e">
        <f t="shared" si="125"/>
        <v>#N/A</v>
      </c>
      <c r="EZ141" s="44" t="e">
        <f t="shared" si="102"/>
        <v>#N/A</v>
      </c>
      <c r="FA141" s="36">
        <f>IF(ISNA(VLOOKUP(A141,'Données projet'!$A$269:$I$289,3,0)),0,VLOOKUP(A141,'Données projet'!$A$269:$I$289,3,0))</f>
        <v>0</v>
      </c>
      <c r="FB141" s="36">
        <f>IF(ISNA(VLOOKUP(A141,'Données projet'!$A$269:$I$289,4,0)),0,VLOOKUP(A141,'Données projet'!$A$269:$I$289,4,0))</f>
        <v>0</v>
      </c>
      <c r="FC141" s="37">
        <f>IF(ISNA(VLOOKUP(A141,'Données projet'!$A$269:$I$289,5,0)),0%,VLOOKUP(A141,'Données projet'!$A$269:$I$289,5,0)*VLOOKUP('Données projet'!$B$18,Paramètres!$A$1:$I$88,7,0))</f>
        <v>0</v>
      </c>
      <c r="FD141" s="37">
        <f>IF(ISNA(VLOOKUP(A141,'Données projet'!$A$269:$I$289,6,0)),0%,VLOOKUP(A141,'Données projet'!$A$269:$I$289,6,0)*VLOOKUP('Données projet'!$B$18,Paramètres!$A$1:$I$88,7,0))</f>
        <v>0</v>
      </c>
      <c r="FE141" s="37">
        <f>IF(ISNA(VLOOKUP(A141,'Données projet'!$A$269:$I$289,7,0)),0%,VLOOKUP(A141,'Données projet'!$A$269:$I$289,7,0))</f>
        <v>0</v>
      </c>
      <c r="FF141" s="45">
        <f>EXP(-LN(2)/35)*FF140+(1-EXP(-LN(2)/35))/(LN(2)/35)*FB141*FC141*VLOOKUP('Données projet'!$B$9,Paramètres!$A$1:$I$88,3,0)*0.475*44/12</f>
        <v>0</v>
      </c>
      <c r="FG141" s="45">
        <f>EXP(-LN(2)/25)*FG140+(1-EXP(-LN(2)/25))/(LN(2)/25)*Calculateur!FB141*Calculateur!FD141*VLOOKUP('Données projet'!$B$9,Paramètres!$A$1:$I$88,3,0)*0.475*44/12</f>
        <v>0</v>
      </c>
      <c r="FH141" s="45">
        <f>EXP(-LN(2)/2)*FH140+(1-EXP(-LN(2)/2))/(LN(2)/2)*FB141*FE141*VLOOKUP('Données projet'!$B$9,Paramètres!$A$1:$I$88,3,0)*0.475*44/12</f>
        <v>0</v>
      </c>
      <c r="FI141" s="46">
        <f t="shared" si="103"/>
        <v>0</v>
      </c>
    </row>
    <row r="142" spans="1:165" x14ac:dyDescent="0.25">
      <c r="A142" s="24">
        <f t="shared" si="104"/>
        <v>139</v>
      </c>
      <c r="B142" s="25">
        <f>IF('Scénario référence'!$N$1=1,5,0)</f>
        <v>0</v>
      </c>
      <c r="C142" s="40">
        <f>IF(OR('Scénario référence'!$N$1=2,'Scénario référence'!$N$1=4),C141+1*VLOOKUP('Scénario référence'!$G$14,Paramètres!$A$1:$I$88,3,0)*VLOOKUP('Scénario référence'!$G$14,Paramètres!$A$1:$I$88,5,0),IF(OR('Scénario référence'!$N$1=3,'Scénario référence'!$N$1=5),C141+0.5*VLOOKUP('Scénario référence'!$G$14,Paramètres!$A$1:$I$88,3,0)*VLOOKUP('Scénario référence'!$G$14,Paramètres!$A$1:$I$88,5,0),0))</f>
        <v>75.894000000000077</v>
      </c>
      <c r="D142" s="26">
        <f t="shared" si="105"/>
        <v>21.130188018659304</v>
      </c>
      <c r="E142" s="27">
        <f>IF('Scénario référence'!$N$1=1,B142*44/12,(C142+D142)*0.475*44/12)</f>
        <v>168.98379413249839</v>
      </c>
      <c r="F142" s="28" t="e">
        <f>VLOOKUP(A142,'Données projet'!$A$35:$I$55,2,0)</f>
        <v>#N/A</v>
      </c>
      <c r="G142" s="28" t="e">
        <f>VLOOKUP(A142,'Données projet'!$A$35:$I$55,9,0)</f>
        <v>#N/A</v>
      </c>
      <c r="H142" s="33">
        <f t="array" ref="H142">INDEX(G:G,MIN(IF(ISNUMBER(G142:G338),ROW(G142:G338),"")))</f>
        <v>2.6</v>
      </c>
      <c r="I142" s="28">
        <f t="shared" si="106"/>
        <v>279.39999999999941</v>
      </c>
      <c r="J142" s="41">
        <f>I142*VLOOKUP('Données projet'!$B$9,Paramètres!$A$1:$I$88,3,0)*VLOOKUP('Données projet'!$B$9,Paramètres!$A$1:$I$88,5,0)</f>
        <v>283.31159999999943</v>
      </c>
      <c r="K142" s="41">
        <f t="shared" si="107"/>
        <v>67.666365540271144</v>
      </c>
      <c r="L142" s="42">
        <f t="shared" si="84"/>
        <v>611.28662331597127</v>
      </c>
      <c r="M142" s="30">
        <f>IF(ISNA(VLOOKUP(A142,'Données projet'!$A$35:$I$55,3,0)),0,VLOOKUP(A142,'Données projet'!$A$35:$I$55,3,0))</f>
        <v>0</v>
      </c>
      <c r="N142" s="30">
        <f>IF(ISNA(VLOOKUP(A142,'Données projet'!$A$35:$I$55,4,0)),0,VLOOKUP(A142,'Données projet'!$A$35:$I$55,4,0))</f>
        <v>0</v>
      </c>
      <c r="O142" s="31">
        <f>IF(ISNA(VLOOKUP(A142,'Données projet'!$A$35:$I$55,5,0)),0%,VLOOKUP(A142,'Données projet'!$A$35:$I$55,5,0)*VLOOKUP('Données projet'!$B$9,Paramètres!$A$1:$I$88,7,0))</f>
        <v>0</v>
      </c>
      <c r="P142" s="31">
        <f>IF(ISNA(VLOOKUP(A142,'Données projet'!$A$35:$I$55,6,0)),0%,VLOOKUP(A142,'Données projet'!$A$35:$I$55,6,0)*VLOOKUP('Données projet'!$B$9,Paramètres!$A$1:$I$88,7,0))</f>
        <v>0</v>
      </c>
      <c r="Q142" s="31">
        <f>IF(ISNA(VLOOKUP(A142,'Données projet'!$A$35:$I$55,7,0)),0%,VLOOKUP(A142,'Données projet'!$A$35:$I$55,7,0))</f>
        <v>0</v>
      </c>
      <c r="R142" s="43">
        <f>EXP(-LN(2)/35)*R141+(1-EXP(-LN(2)/35))/(LN(2)/35)*N142*O142*VLOOKUP('Données projet'!$B$9,Paramètres!$A$1:$I$88,3,0)*0.475*44/12</f>
        <v>0</v>
      </c>
      <c r="S142" s="43">
        <f>EXP(-LN(2)/25)*S141+(1-EXP(-LN(2)/25))/(LN(2)/25)*Calculateur!N142*Calculateur!P142*VLOOKUP('Données projet'!$B$9,Paramètres!$A$1:$I$88,3,0)*0.475*44/12</f>
        <v>0</v>
      </c>
      <c r="T142" s="43">
        <f>EXP(-LN(2)/2)*T141+(1-EXP(-LN(2)/2))/(LN(2)/2)*N142*Q142*VLOOKUP('Données projet'!$B$9,Paramètres!$A$1:$I$88,3,0)*0.475*44/12</f>
        <v>0</v>
      </c>
      <c r="U142" s="43">
        <f t="shared" si="85"/>
        <v>0</v>
      </c>
      <c r="V142" s="32" t="e">
        <f>VLOOKUP(A142,'Données projet'!$A$61:$I$81,2,0)</f>
        <v>#N/A</v>
      </c>
      <c r="W142" s="33" t="e">
        <f>VLOOKUP(A142,'Données projet'!$A$61:$I$81,9,0)</f>
        <v>#N/A</v>
      </c>
      <c r="X142" s="33">
        <f t="array" ref="X142">INDEX(W:W,MIN(IF(ISNUMBER(W142:W338),ROW(W142:W338),"")))</f>
        <v>0</v>
      </c>
      <c r="Y142" s="33">
        <f t="shared" si="108"/>
        <v>0</v>
      </c>
      <c r="Z142" s="34" t="e">
        <f>Y142*VLOOKUP('Données projet'!$B$10,Paramètres!$A$1:$I$88,3,0)*VLOOKUP('Données projet'!$B$10,Paramètres!$A$1:$I$88,5,0)</f>
        <v>#N/A</v>
      </c>
      <c r="AA142" s="34" t="e">
        <f t="shared" si="109"/>
        <v>#N/A</v>
      </c>
      <c r="AB142" s="44" t="e">
        <f t="shared" si="86"/>
        <v>#N/A</v>
      </c>
      <c r="AC142" s="36">
        <f>IF(ISNA(VLOOKUP(A142,'Données projet'!$A$61:$I$81,3,0)),0,VLOOKUP(A142,'Données projet'!$A$61:$I$81,3,0))</f>
        <v>0</v>
      </c>
      <c r="AD142" s="36">
        <f>IF(ISNA(VLOOKUP(A142,'Données projet'!$A$61:$I$81,4,0)),0,VLOOKUP(A142,'Données projet'!$A$61:$I$81,4,0))</f>
        <v>0</v>
      </c>
      <c r="AE142" s="37">
        <f>IF(ISNA(VLOOKUP(A142,'Données projet'!$A$61:$I$81,5,0)),0%,VLOOKUP(A142,'Données projet'!$A$61:$I$81,5,0)*VLOOKUP('Données projet'!$B$10,Paramètres!$A$1:$I$88,7,0))</f>
        <v>0</v>
      </c>
      <c r="AF142" s="37">
        <f>IF(ISNA(VLOOKUP(A142,'Données projet'!$A$61:$I$81,6,0)),0%,VLOOKUP(A142,'Données projet'!$A$61:$I$81,6,0)*VLOOKUP('Données projet'!$B$10,Paramètres!$A$1:$I$88,7,0))</f>
        <v>0</v>
      </c>
      <c r="AG142" s="37">
        <f>IF(ISNA(VLOOKUP(A142,'Données projet'!$A$61:$I$81,7,0)),0%,VLOOKUP(A142,'Données projet'!$A$61:$I$81,7,0))</f>
        <v>0</v>
      </c>
      <c r="AH142" s="45">
        <f>EXP(-LN(2)/35)*AH141+(1-EXP(-LN(2)/35))/(LN(2)/35)*AD142*AE142*VLOOKUP('Données projet'!$B$9,Paramètres!$A$1:$I$88,3,0)*0.475*44/12</f>
        <v>0</v>
      </c>
      <c r="AI142" s="45">
        <f>EXP(-LN(2)/25)*AI141+(1-EXP(-LN(2)/25))/(LN(2)/25)*Calculateur!AD142*Calculateur!AF142*VLOOKUP('Données projet'!$B$9,Paramètres!$A$1:$I$88,3,0)*0.475*44/12</f>
        <v>0</v>
      </c>
      <c r="AJ142" s="45">
        <f>EXP(-LN(2)/2)*AJ141+(1-EXP(-LN(2)/2))/(LN(2)/2)*AD142*AG142*VLOOKUP('Données projet'!$B$9,Paramètres!$A$1:$I$88,3,0)*0.475*44/12</f>
        <v>0</v>
      </c>
      <c r="AK142" s="45">
        <f t="shared" si="87"/>
        <v>0</v>
      </c>
      <c r="AL142" s="32" t="e">
        <f>VLOOKUP(A142,'Données projet'!$A$87:$I$107,2,0)</f>
        <v>#N/A</v>
      </c>
      <c r="AM142" s="33" t="e">
        <f>VLOOKUP(A142,'Données projet'!$A$87:$I$107,9,0)</f>
        <v>#N/A</v>
      </c>
      <c r="AN142" s="33">
        <f t="array" ref="AN142">INDEX(AM:AM,MIN(IF(ISNUMBER(AM142:AM338),ROW(AM142:AM338),"")))</f>
        <v>0</v>
      </c>
      <c r="AO142" s="33">
        <f t="shared" si="110"/>
        <v>0</v>
      </c>
      <c r="AP142" s="34" t="e">
        <f>AO142*VLOOKUP('Données projet'!$B$11,Paramètres!$A$1:$I$88,3,0)*VLOOKUP('Données projet'!$B$11,Paramètres!$A$1:$I$88,5,0)</f>
        <v>#N/A</v>
      </c>
      <c r="AQ142" s="34" t="e">
        <f t="shared" si="111"/>
        <v>#N/A</v>
      </c>
      <c r="AR142" s="44" t="e">
        <f t="shared" si="88"/>
        <v>#N/A</v>
      </c>
      <c r="AS142" s="36">
        <f>IF(ISNA(VLOOKUP(A142,'Données projet'!$A$87:$I$107,3,0)),0,VLOOKUP(A142,'Données projet'!$A$87:$I$107,3,0))</f>
        <v>0</v>
      </c>
      <c r="AT142" s="36">
        <f>IF(ISNA(VLOOKUP(A142,'Données projet'!$A$87:$I$107,4,0)),0,VLOOKUP(A142,'Données projet'!$A$87:$I$107,4,0))</f>
        <v>0</v>
      </c>
      <c r="AU142" s="37">
        <f>IF(ISNA(VLOOKUP(A142,'Données projet'!$A$87:$I$107,5,0)),0%,VLOOKUP(A142,'Données projet'!$A$87:$I$107,5,0)*VLOOKUP('Données projet'!$B$11,Paramètres!$A$1:$I$88,7,0))</f>
        <v>0</v>
      </c>
      <c r="AV142" s="37">
        <f>IF(ISNA(VLOOKUP(A142,'Données projet'!$A$87:$I$107,6,0)),0%,VLOOKUP(A142,'Données projet'!$A$87:$I$107,6,0)*VLOOKUP('Données projet'!$B$11,Paramètres!$A$1:$I$88,7,0))</f>
        <v>0</v>
      </c>
      <c r="AW142" s="37">
        <f>IF(ISNA(VLOOKUP(A142,'Données projet'!$A$87:$I$107,7,0)),0%,VLOOKUP(A142,'Données projet'!$A$87:$I$107,7,0))</f>
        <v>0</v>
      </c>
      <c r="AX142" s="45">
        <f>EXP(-LN(2)/35)*AX141+(1-EXP(-LN(2)/35))/(LN(2)/35)*AT142*AU142*VLOOKUP('Données projet'!$B$9,Paramètres!$A$1:$I$88,3,0)*0.475*44/12</f>
        <v>0</v>
      </c>
      <c r="AY142" s="45">
        <f>EXP(-LN(2)/25)*AY141+(1-EXP(-LN(2)/25))/(LN(2)/25)*Calculateur!AT142*Calculateur!AV142*VLOOKUP('Données projet'!$B$9,Paramètres!$A$1:$I$88,3,0)*0.475*44/12</f>
        <v>0</v>
      </c>
      <c r="AZ142" s="45">
        <f>EXP(-LN(2)/2)*AZ141+(1-EXP(-LN(2)/2))/(LN(2)/2)*AT142*AW142*VLOOKUP('Données projet'!$B$9,Paramètres!$A$1:$I$88,3,0)*0.475*44/12</f>
        <v>0</v>
      </c>
      <c r="BA142" s="46">
        <f t="shared" si="89"/>
        <v>0</v>
      </c>
      <c r="BB142" s="32" t="e">
        <f>VLOOKUP(A142,'Données projet'!$A$113:$I$133,2,0)</f>
        <v>#N/A</v>
      </c>
      <c r="BC142" s="33" t="e">
        <f>VLOOKUP(A142,'Données projet'!$A$113:$I$133,9,0)</f>
        <v>#N/A</v>
      </c>
      <c r="BD142" s="33">
        <f t="array" ref="BD142">INDEX(BC:BC,MIN(IF(ISNUMBER(BC142:BC338),ROW(BC142:BC338),"")))</f>
        <v>0</v>
      </c>
      <c r="BE142" s="33">
        <f t="shared" si="112"/>
        <v>0</v>
      </c>
      <c r="BF142" s="34" t="e">
        <f>BE142*VLOOKUP('Données projet'!$B$12,Paramètres!$A$1:$I$88,3,0)*VLOOKUP('Données projet'!$B$12,Paramètres!$A$1:$I$88,5,0)</f>
        <v>#N/A</v>
      </c>
      <c r="BG142" s="34" t="e">
        <f t="shared" si="113"/>
        <v>#N/A</v>
      </c>
      <c r="BH142" s="44" t="e">
        <f t="shared" si="90"/>
        <v>#N/A</v>
      </c>
      <c r="BI142" s="36">
        <f>IF(ISNA(VLOOKUP(A142,'Données projet'!$A$113:$I$133,3,0)),0,VLOOKUP(A142,'Données projet'!$A$113:$I$133,3,0))</f>
        <v>0</v>
      </c>
      <c r="BJ142" s="36">
        <f>IF(ISNA(VLOOKUP(A142,'Données projet'!$A$113:$I$133,4,0)),0,VLOOKUP(A142,'Données projet'!$A$113:$I$133,4,0))</f>
        <v>0</v>
      </c>
      <c r="BK142" s="37">
        <f>IF(ISNA(VLOOKUP(A142,'Données projet'!$A$113:$I$133,5,0)),0%,VLOOKUP(A142,'Données projet'!$A$113:$I$133,5,0)*VLOOKUP('Données projet'!$B$12,Paramètres!$A$1:$I$88,7,0))</f>
        <v>0</v>
      </c>
      <c r="BL142" s="37">
        <f>IF(ISNA(VLOOKUP(A142,'Données projet'!$A$113:$I$133,6,0)),0%,VLOOKUP(A142,'Données projet'!$A$113:$I$133,6,0)*VLOOKUP('Données projet'!$B$12,Paramètres!$A$1:$I$88,7,0))</f>
        <v>0</v>
      </c>
      <c r="BM142" s="37">
        <f>IF(ISNA(VLOOKUP(A142,'Données projet'!$A$113:$I$133,7,0)),0%,VLOOKUP(A142,'Données projet'!$A$113:$I$133,7,0))</f>
        <v>0</v>
      </c>
      <c r="BN142" s="45">
        <f>EXP(-LN(2)/35)*BN141+(1-EXP(-LN(2)/35))/(LN(2)/35)*BJ142*BK142*VLOOKUP('Données projet'!$B$9,Paramètres!$A$1:$I$88,3,0)*0.475*44/12</f>
        <v>0</v>
      </c>
      <c r="BO142" s="45">
        <f>EXP(-LN(2)/25)*BO141+(1-EXP(-LN(2)/25))/(LN(2)/25)*Calculateur!BJ142*Calculateur!BL142*VLOOKUP('Données projet'!$B$9,Paramètres!$A$1:$I$88,3,0)*0.475*44/12</f>
        <v>0</v>
      </c>
      <c r="BP142" s="45">
        <f>EXP(-LN(2)/2)*BP141+(1-EXP(-LN(2)/2))/(LN(2)/2)*BJ142*BM142*VLOOKUP('Données projet'!$B$9,Paramètres!$A$1:$I$88,3,0)*0.475*44/12</f>
        <v>0</v>
      </c>
      <c r="BQ142" s="46">
        <f t="shared" si="91"/>
        <v>0</v>
      </c>
      <c r="BR142" s="32" t="e">
        <f>VLOOKUP(A142,'Données projet'!$A$139:$I$159,2,0)</f>
        <v>#N/A</v>
      </c>
      <c r="BS142" s="33" t="e">
        <f>VLOOKUP(A142,'Données projet'!$A$139:$I$159,9,0)</f>
        <v>#N/A</v>
      </c>
      <c r="BT142" s="33">
        <f t="array" ref="BT142">INDEX(BS:BS,MIN(IF(ISNUMBER(BS142:BS338),ROW(BS142:BS338),"")))</f>
        <v>0</v>
      </c>
      <c r="BU142" s="33">
        <f t="shared" si="114"/>
        <v>0</v>
      </c>
      <c r="BV142" s="38" t="e">
        <f>BU142*VLOOKUP('Données projet'!$B$13,Paramètres!$A$1:$I$88,3,0)*VLOOKUP('Données projet'!$B$13,Paramètres!$A$1:$I$88,5,0)</f>
        <v>#N/A</v>
      </c>
      <c r="BW142" s="34" t="e">
        <f t="shared" si="115"/>
        <v>#N/A</v>
      </c>
      <c r="BX142" s="44" t="e">
        <f t="shared" si="92"/>
        <v>#N/A</v>
      </c>
      <c r="BY142" s="36">
        <f>IF(ISNA(VLOOKUP(A142,'Données projet'!$A$139:$I$159,3,0)),0,VLOOKUP(A142,'Données projet'!$A$139:$I$159,3,0))</f>
        <v>0</v>
      </c>
      <c r="BZ142" s="36">
        <f>IF(ISNA(VLOOKUP(A142,'Données projet'!$A$139:$I$159,4,0)),0,VLOOKUP(A142,'Données projet'!$A$139:$I$159,4,0))</f>
        <v>0</v>
      </c>
      <c r="CA142" s="37">
        <f>IF(ISNA(VLOOKUP(A142,'Données projet'!$A$139:$I$159,5,0)),0%,VLOOKUP(A142,'Données projet'!$A$139:$I$159,5,0)*VLOOKUP('Données projet'!$B$13,Paramètres!$A$1:$I$88,7,0))</f>
        <v>0</v>
      </c>
      <c r="CB142" s="37">
        <f>IF(ISNA(VLOOKUP(A142,'Données projet'!$A$139:$I$159,6,0)),0%,VLOOKUP(A142,'Données projet'!$A$139:$I$159,6,0)*VLOOKUP('Données projet'!$B$13,Paramètres!$A$1:$I$88,7,0))</f>
        <v>0</v>
      </c>
      <c r="CC142" s="37">
        <f>IF(ISNA(VLOOKUP(A142,'Données projet'!$A$139:$I$159,7,0)),0%,VLOOKUP(A142,'Données projet'!$A$139:$I$159,7,0))</f>
        <v>0</v>
      </c>
      <c r="CD142" s="45">
        <f>EXP(-LN(2)/35)*CD141+(1-EXP(-LN(2)/35))/(LN(2)/35)*BZ142*CA142*VLOOKUP('Données projet'!$B$9,Paramètres!$A$1:$I$88,3,0)*0.475*44/12</f>
        <v>0</v>
      </c>
      <c r="CE142" s="45">
        <f>EXP(-LN(2)/25)*CE141+(1-EXP(-LN(2)/25))/(LN(2)/25)*Calculateur!BZ142*Calculateur!CB142*VLOOKUP('Données projet'!$B$9,Paramètres!$A$1:$I$88,3,0)*0.475*44/12</f>
        <v>0</v>
      </c>
      <c r="CF142" s="45">
        <f>EXP(-LN(2)/2)*CF141+(1-EXP(-LN(2)/2))/(LN(2)/2)*BZ142*CC142*VLOOKUP('Données projet'!$B$9,Paramètres!$A$1:$I$88,3,0)*0.475*44/12</f>
        <v>0</v>
      </c>
      <c r="CG142" s="46">
        <f t="shared" si="93"/>
        <v>0</v>
      </c>
      <c r="CH142" s="32" t="e">
        <f>VLOOKUP(A142,'Données projet'!$A$165:$I$185,2,0)</f>
        <v>#N/A</v>
      </c>
      <c r="CI142" s="33" t="e">
        <f>VLOOKUP(A142,'Données projet'!$A$165:$I$185,9,0)</f>
        <v>#N/A</v>
      </c>
      <c r="CJ142" s="33">
        <f t="array" ref="CJ142">INDEX(CI:CI,MIN(IF(ISNUMBER(CI142:CI338),ROW(CI142:CI338),"")))</f>
        <v>0</v>
      </c>
      <c r="CK142" s="33">
        <f t="shared" si="116"/>
        <v>0</v>
      </c>
      <c r="CL142" s="38" t="e">
        <f>CK142*VLOOKUP('Données projet'!$B$14,Paramètres!$A$1:$I$88,3,0)*VLOOKUP('Données projet'!$B$14,Paramètres!$A$1:$I$88,5,0)</f>
        <v>#N/A</v>
      </c>
      <c r="CM142" s="34" t="e">
        <f t="shared" si="117"/>
        <v>#N/A</v>
      </c>
      <c r="CN142" s="44" t="e">
        <f t="shared" si="94"/>
        <v>#N/A</v>
      </c>
      <c r="CO142" s="36">
        <f>IF(ISNA(VLOOKUP(A142,'Données projet'!$A$165:$I$185,3,0)),0,VLOOKUP(A142,'Données projet'!$A$165:$I$185,3,0))</f>
        <v>0</v>
      </c>
      <c r="CP142" s="36">
        <f>IF(ISNA(VLOOKUP(A142,'Données projet'!$A$165:$I$185,4,0)),0,VLOOKUP(A142,'Données projet'!$A$165:$I$185,4,0))</f>
        <v>0</v>
      </c>
      <c r="CQ142" s="37">
        <f>IF(ISNA(VLOOKUP(A142,'Données projet'!$A$165:$I$185,5,0)),0%,VLOOKUP(A142,'Données projet'!$A$165:$I$185,5,0)*VLOOKUP('Données projet'!$B$14,Paramètres!$A$1:$I$88,7,0))</f>
        <v>0</v>
      </c>
      <c r="CR142" s="37">
        <f>IF(ISNA(VLOOKUP(A142,'Données projet'!$A$165:$I$185,6,0)),0%,VLOOKUP(A142,'Données projet'!$A$165:$I$185,6,0)*VLOOKUP('Données projet'!$B$14,Paramètres!$A$1:$I$88,7,0))</f>
        <v>0</v>
      </c>
      <c r="CS142" s="37">
        <f>IF(ISNA(VLOOKUP(A142,'Données projet'!$A$165:$I$185,7,0)),0%,VLOOKUP(A142,'Données projet'!$A$165:$I$185,7,0))</f>
        <v>0</v>
      </c>
      <c r="CT142" s="45">
        <f>EXP(-LN(2)/35)*CT141+(1-EXP(-LN(2)/35))/(LN(2)/35)*CP142*CQ142*VLOOKUP('Données projet'!$B$9,Paramètres!$A$1:$I$88,3,0)*0.475*44/12</f>
        <v>0</v>
      </c>
      <c r="CU142" s="45">
        <f>EXP(-LN(2)/25)*CU141+(1-EXP(-LN(2)/25))/(LN(2)/25)*Calculateur!CP142*Calculateur!CR142*VLOOKUP('Données projet'!$B$9,Paramètres!$A$1:$I$88,3,0)*0.475*44/12</f>
        <v>0</v>
      </c>
      <c r="CV142" s="45">
        <f>EXP(-LN(2)/2)*CV141+(1-EXP(-LN(2)/2))/(LN(2)/2)*CP142*CS142*VLOOKUP('Données projet'!$B$9,Paramètres!$A$1:$I$88,3,0)*0.475*44/12</f>
        <v>0</v>
      </c>
      <c r="CW142" s="46">
        <f t="shared" si="95"/>
        <v>0</v>
      </c>
      <c r="CX142" s="32" t="e">
        <f>VLOOKUP(A142,'Données projet'!$A$191:$I$211,2,0)</f>
        <v>#N/A</v>
      </c>
      <c r="CY142" s="33" t="e">
        <f>VLOOKUP(A142,'Données projet'!$A$191:$I$211,9,0)</f>
        <v>#N/A</v>
      </c>
      <c r="CZ142" s="33">
        <f t="array" ref="CZ142">INDEX(CY:CY,MIN(IF(ISNUMBER(CY142:CY338),ROW(CY142:CY338),"")))</f>
        <v>0</v>
      </c>
      <c r="DA142" s="33">
        <f t="shared" si="118"/>
        <v>0</v>
      </c>
      <c r="DB142" s="38" t="e">
        <f>DA142*VLOOKUP('Données projet'!$B$15,Paramètres!$A$1:$I$88,3,0)*VLOOKUP('Données projet'!$B$15,Paramètres!$A$1:$I$88,5,0)</f>
        <v>#N/A</v>
      </c>
      <c r="DC142" s="34" t="e">
        <f t="shared" si="119"/>
        <v>#N/A</v>
      </c>
      <c r="DD142" s="44" t="e">
        <f t="shared" si="96"/>
        <v>#N/A</v>
      </c>
      <c r="DE142" s="36">
        <f>IF(ISNA(VLOOKUP(A142,'Données projet'!$A$191:$I$211,3,0)),0,VLOOKUP(A142,'Données projet'!$A$191:$I$211,3,0))</f>
        <v>0</v>
      </c>
      <c r="DF142" s="36">
        <f>IF(ISNA(VLOOKUP(A142,'Données projet'!$A$191:$I$211,4,0)),0,VLOOKUP(A142,'Données projet'!$A$191:$I$211,4,0))</f>
        <v>0</v>
      </c>
      <c r="DG142" s="37">
        <f>IF(ISNA(VLOOKUP(A142,'Données projet'!$A$191:$I$211,5,0)),0%,VLOOKUP(A142,'Données projet'!$A$191:$I$211,5,0)*VLOOKUP('Données projet'!$B$15,Paramètres!$A$1:$I$88,7,0))</f>
        <v>0</v>
      </c>
      <c r="DH142" s="37">
        <f>IF(ISNA(VLOOKUP(A142,'Données projet'!$A$191:$I$211,6,0)),0%,VLOOKUP(A142,'Données projet'!$A$191:$I$211,6,0)*VLOOKUP('Données projet'!$B$15,Paramètres!$A$1:$I$88,7,0))</f>
        <v>0</v>
      </c>
      <c r="DI142" s="37">
        <f>IF(ISNA(VLOOKUP(A142,'Données projet'!$A$191:$I$211,7,0)),0%,VLOOKUP(A142,'Données projet'!$A$191:$I$211,7,0))</f>
        <v>0</v>
      </c>
      <c r="DJ142" s="45">
        <f>EXP(-LN(2)/35)*DJ141+(1-EXP(-LN(2)/35))/(LN(2)/35)*DF142*DG142*VLOOKUP('Données projet'!$B$9,Paramètres!$A$1:$I$88,3,0)*0.475*44/12</f>
        <v>0</v>
      </c>
      <c r="DK142" s="45">
        <f>EXP(-LN(2)/25)*DK141+(1-EXP(-LN(2)/25))/(LN(2)/25)*Calculateur!DF142*Calculateur!DH142*VLOOKUP('Données projet'!$B$9,Paramètres!$A$1:$I$88,3,0)*0.475*44/12</f>
        <v>0</v>
      </c>
      <c r="DL142" s="45">
        <f>EXP(-LN(2)/2)*DL141+(1-EXP(-LN(2)/2))/(LN(2)/2)*DF142*DI142*VLOOKUP('Données projet'!$B$9,Paramètres!$A$1:$I$88,3,0)*0.475*44/12</f>
        <v>0</v>
      </c>
      <c r="DM142" s="46">
        <f t="shared" si="97"/>
        <v>0</v>
      </c>
      <c r="DN142" s="32" t="e">
        <f>VLOOKUP(A142,'Données projet'!$A$217:$I$237,2,0)</f>
        <v>#N/A</v>
      </c>
      <c r="DO142" s="33" t="e">
        <f>VLOOKUP(A142,'Données projet'!$A$217:$I$237,9,0)</f>
        <v>#N/A</v>
      </c>
      <c r="DP142" s="33">
        <f t="array" ref="DP142">INDEX(DO:DO,MIN(IF(ISNUMBER(DO142:DO338),ROW(DO142:DO338),"")))</f>
        <v>0</v>
      </c>
      <c r="DQ142" s="33">
        <f t="shared" si="120"/>
        <v>0</v>
      </c>
      <c r="DR142" s="38" t="e">
        <f>DQ142*VLOOKUP('Données projet'!$B$16,Paramètres!$A$1:$I$88,3,0)*VLOOKUP('Données projet'!$B$16,Paramètres!$A$1:$I$88,5,0)</f>
        <v>#N/A</v>
      </c>
      <c r="DS142" s="34" t="e">
        <f t="shared" si="121"/>
        <v>#N/A</v>
      </c>
      <c r="DT142" s="44" t="e">
        <f t="shared" si="98"/>
        <v>#N/A</v>
      </c>
      <c r="DU142" s="36">
        <f>IF(ISNA(VLOOKUP(A142,'Données projet'!$A$217:$I$237,3,0)),0,VLOOKUP(A142,'Données projet'!$A$217:$I$237,3,0))</f>
        <v>0</v>
      </c>
      <c r="DV142" s="36">
        <f>IF(ISNA(VLOOKUP(A142,'Données projet'!$A$217:$I$237,4,0)),0,VLOOKUP(A142,'Données projet'!$A$217:$I$237,4,0))</f>
        <v>0</v>
      </c>
      <c r="DW142" s="37">
        <f>IF(ISNA(VLOOKUP(A142,'Données projet'!$A$217:$I$237,5,0)),0%,VLOOKUP(A142,'Données projet'!$A$217:$I$237,5,0)*VLOOKUP('Données projet'!$B$16,Paramètres!$A$1:$I$88,7,0))</f>
        <v>0</v>
      </c>
      <c r="DX142" s="37">
        <f>IF(ISNA(VLOOKUP(A142,'Données projet'!$A$217:$I$237,6,0)),0%,VLOOKUP(A142,'Données projet'!$A$217:$I$237,6,0)*VLOOKUP('Données projet'!$B$16,Paramètres!$A$1:$I$88,7,0))</f>
        <v>0</v>
      </c>
      <c r="DY142" s="37">
        <f>IF(ISNA(VLOOKUP(A142,'Données projet'!$A$217:$I$237,7,0)),0%,VLOOKUP(A142,'Données projet'!$A$217:$I$237,7,0))</f>
        <v>0</v>
      </c>
      <c r="DZ142" s="45">
        <f>EXP(-LN(2)/35)*DZ141+(1-EXP(-LN(2)/35))/(LN(2)/35)*DV142*DW142*VLOOKUP('Données projet'!$B$9,Paramètres!$A$1:$I$88,3,0)*0.475*44/12</f>
        <v>0</v>
      </c>
      <c r="EA142" s="45">
        <f>EXP(-LN(2)/25)*EA141+(1-EXP(-LN(2)/25))/(LN(2)/25)*Calculateur!DV142*Calculateur!DX142*VLOOKUP('Données projet'!$B$9,Paramètres!$A$1:$I$88,3,0)*0.475*44/12</f>
        <v>0</v>
      </c>
      <c r="EB142" s="45">
        <f>EXP(-LN(2)/2)*EB141+(1-EXP(-LN(2)/2))/(LN(2)/2)*DV142*DY142*VLOOKUP('Données projet'!$B$9,Paramètres!$A$1:$I$88,3,0)*0.475*44/12</f>
        <v>0</v>
      </c>
      <c r="EC142" s="46">
        <f t="shared" si="99"/>
        <v>0</v>
      </c>
      <c r="ED142" s="32" t="e">
        <f>VLOOKUP(A142,'Données projet'!$A$243:$I$263,2,0)</f>
        <v>#N/A</v>
      </c>
      <c r="EE142" s="33" t="e">
        <f>VLOOKUP(A142,'Données projet'!$A$243:$I$263,9,0)</f>
        <v>#N/A</v>
      </c>
      <c r="EF142" s="33">
        <f t="array" ref="EF142">INDEX(EE:EE,MIN(IF(ISNUMBER(EE142:EE338),ROW(EE142:EE338),"")))</f>
        <v>0</v>
      </c>
      <c r="EG142" s="33">
        <f t="shared" si="122"/>
        <v>0</v>
      </c>
      <c r="EH142" s="38" t="e">
        <f>EG142*VLOOKUP('Données projet'!$B$17,Paramètres!$A$1:$I$88,3,0)*VLOOKUP('Données projet'!$B$17,Paramètres!$A$1:$I$88,5,0)</f>
        <v>#N/A</v>
      </c>
      <c r="EI142" s="34" t="e">
        <f t="shared" si="123"/>
        <v>#N/A</v>
      </c>
      <c r="EJ142" s="44" t="e">
        <f t="shared" si="100"/>
        <v>#N/A</v>
      </c>
      <c r="EK142" s="36">
        <f>IF(ISNA(VLOOKUP(A142,'Données projet'!$A$243:$I$263,3,0)),0,VLOOKUP(A142,'Données projet'!$A$243:$I$263,3,0))</f>
        <v>0</v>
      </c>
      <c r="EL142" s="36">
        <f>IF(ISNA(VLOOKUP(A142,'Données projet'!$A$243:$I$263,4,0)),0,VLOOKUP(A142,'Données projet'!$A$243:$I$263,4,0))</f>
        <v>0</v>
      </c>
      <c r="EM142" s="37">
        <f>IF(ISNA(VLOOKUP(A142,'Données projet'!$A$243:$I$263,5,0)),0%,VLOOKUP(A142,'Données projet'!$A$243:$I$263,5,0)*VLOOKUP('Données projet'!$B$17,Paramètres!$A$1:$I$88,7,0))</f>
        <v>0</v>
      </c>
      <c r="EN142" s="37">
        <f>IF(ISNA(VLOOKUP(A142,'Données projet'!$A$243:$I$263,6,0)),0%,VLOOKUP(A142,'Données projet'!$A$243:$I$263,6,0)*VLOOKUP('Données projet'!$B$17,Paramètres!$A$1:$I$88,7,0))</f>
        <v>0</v>
      </c>
      <c r="EO142" s="37">
        <f>IF(ISNA(VLOOKUP(A142,'Données projet'!$A$243:$I$263,7,0)),0%,VLOOKUP(A142,'Données projet'!$A$243:$I$263,7,0))</f>
        <v>0</v>
      </c>
      <c r="EP142" s="45">
        <f>EXP(-LN(2)/35)*EP141+(1-EXP(-LN(2)/35))/(LN(2)/35)*EL142*EM142*VLOOKUP('Données projet'!$B$9,Paramètres!$A$1:$I$88,3,0)*0.475*44/12</f>
        <v>0</v>
      </c>
      <c r="EQ142" s="45">
        <f>EXP(-LN(2)/25)*EQ141+(1-EXP(-LN(2)/25))/(LN(2)/25)*Calculateur!EL142*Calculateur!EN142*VLOOKUP('Données projet'!$B$9,Paramètres!$A$1:$I$88,3,0)*0.475*44/12</f>
        <v>0</v>
      </c>
      <c r="ER142" s="45">
        <f>EXP(-LN(2)/2)*ER141+(1-EXP(-LN(2)/2))/(LN(2)/2)*EL142*EO142*VLOOKUP('Données projet'!$B$9,Paramètres!$A$1:$I$88,3,0)*0.475*44/12</f>
        <v>0</v>
      </c>
      <c r="ES142" s="46">
        <f t="shared" si="101"/>
        <v>0</v>
      </c>
      <c r="ET142" s="32" t="e">
        <f>VLOOKUP(A142,'Données projet'!$A$269:$I$289,2,0)</f>
        <v>#N/A</v>
      </c>
      <c r="EU142" s="33" t="e">
        <f>VLOOKUP(A142,'Données projet'!$A$269:$I$289,9,0)</f>
        <v>#N/A</v>
      </c>
      <c r="EV142" s="33">
        <f t="array" ref="EV142">INDEX(EU:EU,MIN(IF(ISNUMBER(EU142:EU338),ROW(EU142:EU338),"")))</f>
        <v>0</v>
      </c>
      <c r="EW142" s="33">
        <f t="shared" si="124"/>
        <v>0</v>
      </c>
      <c r="EX142" s="38" t="e">
        <f>EW142*VLOOKUP('Données projet'!$B$18,Paramètres!$A$1:$I$88,3,0)*VLOOKUP('Données projet'!$B$18,Paramètres!$A$1:$I$88,5,0)</f>
        <v>#N/A</v>
      </c>
      <c r="EY142" s="34" t="e">
        <f t="shared" si="125"/>
        <v>#N/A</v>
      </c>
      <c r="EZ142" s="44" t="e">
        <f t="shared" si="102"/>
        <v>#N/A</v>
      </c>
      <c r="FA142" s="36">
        <f>IF(ISNA(VLOOKUP(A142,'Données projet'!$A$269:$I$289,3,0)),0,VLOOKUP(A142,'Données projet'!$A$269:$I$289,3,0))</f>
        <v>0</v>
      </c>
      <c r="FB142" s="36">
        <f>IF(ISNA(VLOOKUP(A142,'Données projet'!$A$269:$I$289,4,0)),0,VLOOKUP(A142,'Données projet'!$A$269:$I$289,4,0))</f>
        <v>0</v>
      </c>
      <c r="FC142" s="37">
        <f>IF(ISNA(VLOOKUP(A142,'Données projet'!$A$269:$I$289,5,0)),0%,VLOOKUP(A142,'Données projet'!$A$269:$I$289,5,0)*VLOOKUP('Données projet'!$B$18,Paramètres!$A$1:$I$88,7,0))</f>
        <v>0</v>
      </c>
      <c r="FD142" s="37">
        <f>IF(ISNA(VLOOKUP(A142,'Données projet'!$A$269:$I$289,6,0)),0%,VLOOKUP(A142,'Données projet'!$A$269:$I$289,6,0)*VLOOKUP('Données projet'!$B$18,Paramètres!$A$1:$I$88,7,0))</f>
        <v>0</v>
      </c>
      <c r="FE142" s="37">
        <f>IF(ISNA(VLOOKUP(A142,'Données projet'!$A$269:$I$289,7,0)),0%,VLOOKUP(A142,'Données projet'!$A$269:$I$289,7,0))</f>
        <v>0</v>
      </c>
      <c r="FF142" s="45">
        <f>EXP(-LN(2)/35)*FF141+(1-EXP(-LN(2)/35))/(LN(2)/35)*FB142*FC142*VLOOKUP('Données projet'!$B$9,Paramètres!$A$1:$I$88,3,0)*0.475*44/12</f>
        <v>0</v>
      </c>
      <c r="FG142" s="45">
        <f>EXP(-LN(2)/25)*FG141+(1-EXP(-LN(2)/25))/(LN(2)/25)*Calculateur!FB142*Calculateur!FD142*VLOOKUP('Données projet'!$B$9,Paramètres!$A$1:$I$88,3,0)*0.475*44/12</f>
        <v>0</v>
      </c>
      <c r="FH142" s="45">
        <f>EXP(-LN(2)/2)*FH141+(1-EXP(-LN(2)/2))/(LN(2)/2)*FB142*FE142*VLOOKUP('Données projet'!$B$9,Paramètres!$A$1:$I$88,3,0)*0.475*44/12</f>
        <v>0</v>
      </c>
      <c r="FI142" s="46">
        <f t="shared" si="103"/>
        <v>0</v>
      </c>
    </row>
    <row r="143" spans="1:165" x14ac:dyDescent="0.25">
      <c r="A143" s="24">
        <f t="shared" si="104"/>
        <v>140</v>
      </c>
      <c r="B143" s="25">
        <f>IF('Scénario référence'!$N$1=1,5,0)</f>
        <v>0</v>
      </c>
      <c r="C143" s="40">
        <f>IF(OR('Scénario référence'!$N$1=2,'Scénario référence'!$N$1=4),C142+1*VLOOKUP('Scénario référence'!$G$14,Paramètres!$A$1:$I$88,3,0)*VLOOKUP('Scénario référence'!$G$14,Paramètres!$A$1:$I$88,5,0),IF(OR('Scénario référence'!$N$1=3,'Scénario référence'!$N$1=5),C142+0.5*VLOOKUP('Scénario référence'!$G$14,Paramètres!$A$1:$I$88,3,0)*VLOOKUP('Scénario référence'!$G$14,Paramètres!$A$1:$I$88,5,0),0))</f>
        <v>76.440000000000083</v>
      </c>
      <c r="D143" s="26">
        <f t="shared" si="105"/>
        <v>21.264453036605797</v>
      </c>
      <c r="E143" s="27">
        <f>IF('Scénario référence'!$N$1=1,B143*44/12,(C143+D143)*0.475*44/12)</f>
        <v>170.16858903875524</v>
      </c>
      <c r="F143" s="28" t="e">
        <f>VLOOKUP(A143,'Données projet'!$A$35:$I$55,2,0)</f>
        <v>#N/A</v>
      </c>
      <c r="G143" s="28" t="e">
        <f>VLOOKUP(A143,'Données projet'!$A$35:$I$55,9,0)</f>
        <v>#N/A</v>
      </c>
      <c r="H143" s="33">
        <f t="array" ref="H143">INDEX(G:G,MIN(IF(ISNUMBER(G143:G339),ROW(G143:G339),"")))</f>
        <v>2.6</v>
      </c>
      <c r="I143" s="28">
        <f t="shared" si="106"/>
        <v>281.99999999999943</v>
      </c>
      <c r="J143" s="41">
        <f>I143*VLOOKUP('Données projet'!$B$9,Paramètres!$A$1:$I$88,3,0)*VLOOKUP('Données projet'!$B$9,Paramètres!$A$1:$I$88,5,0)</f>
        <v>285.94799999999947</v>
      </c>
      <c r="K143" s="41">
        <f t="shared" si="107"/>
        <v>68.222450362989306</v>
      </c>
      <c r="L143" s="42">
        <f t="shared" si="84"/>
        <v>616.84686771553879</v>
      </c>
      <c r="M143" s="30">
        <f>IF(ISNA(VLOOKUP(A143,'Données projet'!$A$35:$I$55,3,0)),0,VLOOKUP(A143,'Données projet'!$A$35:$I$55,3,0))</f>
        <v>0</v>
      </c>
      <c r="N143" s="30">
        <f>IF(ISNA(VLOOKUP(A143,'Données projet'!$A$35:$I$55,4,0)),0,VLOOKUP(A143,'Données projet'!$A$35:$I$55,4,0))</f>
        <v>0</v>
      </c>
      <c r="O143" s="31">
        <f>IF(ISNA(VLOOKUP(A143,'Données projet'!$A$35:$I$55,5,0)),0%,VLOOKUP(A143,'Données projet'!$A$35:$I$55,5,0)*VLOOKUP('Données projet'!$B$9,Paramètres!$A$1:$I$88,7,0))</f>
        <v>0</v>
      </c>
      <c r="P143" s="31">
        <f>IF(ISNA(VLOOKUP(A143,'Données projet'!$A$35:$I$55,6,0)),0%,VLOOKUP(A143,'Données projet'!$A$35:$I$55,6,0)*VLOOKUP('Données projet'!$B$9,Paramètres!$A$1:$I$88,7,0))</f>
        <v>0</v>
      </c>
      <c r="Q143" s="31">
        <f>IF(ISNA(VLOOKUP(A143,'Données projet'!$A$35:$I$55,7,0)),0%,VLOOKUP(A143,'Données projet'!$A$35:$I$55,7,0))</f>
        <v>0</v>
      </c>
      <c r="R143" s="43">
        <f>EXP(-LN(2)/35)*R142+(1-EXP(-LN(2)/35))/(LN(2)/35)*N143*O143*VLOOKUP('Données projet'!$B$9,Paramètres!$A$1:$I$88,3,0)*0.475*44/12</f>
        <v>0</v>
      </c>
      <c r="S143" s="43">
        <f>EXP(-LN(2)/25)*S142+(1-EXP(-LN(2)/25))/(LN(2)/25)*Calculateur!N143*Calculateur!P143*VLOOKUP('Données projet'!$B$9,Paramètres!$A$1:$I$88,3,0)*0.475*44/12</f>
        <v>0</v>
      </c>
      <c r="T143" s="43">
        <f>EXP(-LN(2)/2)*T142+(1-EXP(-LN(2)/2))/(LN(2)/2)*N143*Q143*VLOOKUP('Données projet'!$B$9,Paramètres!$A$1:$I$88,3,0)*0.475*44/12</f>
        <v>0</v>
      </c>
      <c r="U143" s="43">
        <f t="shared" si="85"/>
        <v>0</v>
      </c>
      <c r="V143" s="32" t="e">
        <f>VLOOKUP(A143,'Données projet'!$A$61:$I$81,2,0)</f>
        <v>#N/A</v>
      </c>
      <c r="W143" s="33" t="e">
        <f>VLOOKUP(A143,'Données projet'!$A$61:$I$81,9,0)</f>
        <v>#N/A</v>
      </c>
      <c r="X143" s="33">
        <f t="array" ref="X143">INDEX(W:W,MIN(IF(ISNUMBER(W143:W339),ROW(W143:W339),"")))</f>
        <v>0</v>
      </c>
      <c r="Y143" s="33">
        <f t="shared" si="108"/>
        <v>0</v>
      </c>
      <c r="Z143" s="34" t="e">
        <f>Y143*VLOOKUP('Données projet'!$B$10,Paramètres!$A$1:$I$88,3,0)*VLOOKUP('Données projet'!$B$10,Paramètres!$A$1:$I$88,5,0)</f>
        <v>#N/A</v>
      </c>
      <c r="AA143" s="34" t="e">
        <f t="shared" si="109"/>
        <v>#N/A</v>
      </c>
      <c r="AB143" s="44" t="e">
        <f t="shared" si="86"/>
        <v>#N/A</v>
      </c>
      <c r="AC143" s="36">
        <f>IF(ISNA(VLOOKUP(A143,'Données projet'!$A$61:$I$81,3,0)),0,VLOOKUP(A143,'Données projet'!$A$61:$I$81,3,0))</f>
        <v>0</v>
      </c>
      <c r="AD143" s="36">
        <f>IF(ISNA(VLOOKUP(A143,'Données projet'!$A$61:$I$81,4,0)),0,VLOOKUP(A143,'Données projet'!$A$61:$I$81,4,0))</f>
        <v>0</v>
      </c>
      <c r="AE143" s="37">
        <f>IF(ISNA(VLOOKUP(A143,'Données projet'!$A$61:$I$81,5,0)),0%,VLOOKUP(A143,'Données projet'!$A$61:$I$81,5,0)*VLOOKUP('Données projet'!$B$10,Paramètres!$A$1:$I$88,7,0))</f>
        <v>0</v>
      </c>
      <c r="AF143" s="37">
        <f>IF(ISNA(VLOOKUP(A143,'Données projet'!$A$61:$I$81,6,0)),0%,VLOOKUP(A143,'Données projet'!$A$61:$I$81,6,0)*VLOOKUP('Données projet'!$B$10,Paramètres!$A$1:$I$88,7,0))</f>
        <v>0</v>
      </c>
      <c r="AG143" s="37">
        <f>IF(ISNA(VLOOKUP(A143,'Données projet'!$A$61:$I$81,7,0)),0%,VLOOKUP(A143,'Données projet'!$A$61:$I$81,7,0))</f>
        <v>0</v>
      </c>
      <c r="AH143" s="45">
        <f>EXP(-LN(2)/35)*AH142+(1-EXP(-LN(2)/35))/(LN(2)/35)*AD143*AE143*VLOOKUP('Données projet'!$B$9,Paramètres!$A$1:$I$88,3,0)*0.475*44/12</f>
        <v>0</v>
      </c>
      <c r="AI143" s="45">
        <f>EXP(-LN(2)/25)*AI142+(1-EXP(-LN(2)/25))/(LN(2)/25)*Calculateur!AD143*Calculateur!AF143*VLOOKUP('Données projet'!$B$9,Paramètres!$A$1:$I$88,3,0)*0.475*44/12</f>
        <v>0</v>
      </c>
      <c r="AJ143" s="45">
        <f>EXP(-LN(2)/2)*AJ142+(1-EXP(-LN(2)/2))/(LN(2)/2)*AD143*AG143*VLOOKUP('Données projet'!$B$9,Paramètres!$A$1:$I$88,3,0)*0.475*44/12</f>
        <v>0</v>
      </c>
      <c r="AK143" s="45">
        <f t="shared" si="87"/>
        <v>0</v>
      </c>
      <c r="AL143" s="32" t="e">
        <f>VLOOKUP(A143,'Données projet'!$A$87:$I$107,2,0)</f>
        <v>#N/A</v>
      </c>
      <c r="AM143" s="33" t="e">
        <f>VLOOKUP(A143,'Données projet'!$A$87:$I$107,9,0)</f>
        <v>#N/A</v>
      </c>
      <c r="AN143" s="33">
        <f t="array" ref="AN143">INDEX(AM:AM,MIN(IF(ISNUMBER(AM143:AM339),ROW(AM143:AM339),"")))</f>
        <v>0</v>
      </c>
      <c r="AO143" s="33">
        <f t="shared" si="110"/>
        <v>0</v>
      </c>
      <c r="AP143" s="34" t="e">
        <f>AO143*VLOOKUP('Données projet'!$B$11,Paramètres!$A$1:$I$88,3,0)*VLOOKUP('Données projet'!$B$11,Paramètres!$A$1:$I$88,5,0)</f>
        <v>#N/A</v>
      </c>
      <c r="AQ143" s="34" t="e">
        <f t="shared" si="111"/>
        <v>#N/A</v>
      </c>
      <c r="AR143" s="44" t="e">
        <f t="shared" si="88"/>
        <v>#N/A</v>
      </c>
      <c r="AS143" s="36">
        <f>IF(ISNA(VLOOKUP(A143,'Données projet'!$A$87:$I$107,3,0)),0,VLOOKUP(A143,'Données projet'!$A$87:$I$107,3,0))</f>
        <v>0</v>
      </c>
      <c r="AT143" s="36">
        <f>IF(ISNA(VLOOKUP(A143,'Données projet'!$A$87:$I$107,4,0)),0,VLOOKUP(A143,'Données projet'!$A$87:$I$107,4,0))</f>
        <v>0</v>
      </c>
      <c r="AU143" s="37">
        <f>IF(ISNA(VLOOKUP(A143,'Données projet'!$A$87:$I$107,5,0)),0%,VLOOKUP(A143,'Données projet'!$A$87:$I$107,5,0)*VLOOKUP('Données projet'!$B$11,Paramètres!$A$1:$I$88,7,0))</f>
        <v>0</v>
      </c>
      <c r="AV143" s="37">
        <f>IF(ISNA(VLOOKUP(A143,'Données projet'!$A$87:$I$107,6,0)),0%,VLOOKUP(A143,'Données projet'!$A$87:$I$107,6,0)*VLOOKUP('Données projet'!$B$11,Paramètres!$A$1:$I$88,7,0))</f>
        <v>0</v>
      </c>
      <c r="AW143" s="37">
        <f>IF(ISNA(VLOOKUP(A143,'Données projet'!$A$87:$I$107,7,0)),0%,VLOOKUP(A143,'Données projet'!$A$87:$I$107,7,0))</f>
        <v>0</v>
      </c>
      <c r="AX143" s="45">
        <f>EXP(-LN(2)/35)*AX142+(1-EXP(-LN(2)/35))/(LN(2)/35)*AT143*AU143*VLOOKUP('Données projet'!$B$9,Paramètres!$A$1:$I$88,3,0)*0.475*44/12</f>
        <v>0</v>
      </c>
      <c r="AY143" s="45">
        <f>EXP(-LN(2)/25)*AY142+(1-EXP(-LN(2)/25))/(LN(2)/25)*Calculateur!AT143*Calculateur!AV143*VLOOKUP('Données projet'!$B$9,Paramètres!$A$1:$I$88,3,0)*0.475*44/12</f>
        <v>0</v>
      </c>
      <c r="AZ143" s="45">
        <f>EXP(-LN(2)/2)*AZ142+(1-EXP(-LN(2)/2))/(LN(2)/2)*AT143*AW143*VLOOKUP('Données projet'!$B$9,Paramètres!$A$1:$I$88,3,0)*0.475*44/12</f>
        <v>0</v>
      </c>
      <c r="BA143" s="46">
        <f t="shared" si="89"/>
        <v>0</v>
      </c>
      <c r="BB143" s="32" t="e">
        <f>VLOOKUP(A143,'Données projet'!$A$113:$I$133,2,0)</f>
        <v>#N/A</v>
      </c>
      <c r="BC143" s="33" t="e">
        <f>VLOOKUP(A143,'Données projet'!$A$113:$I$133,9,0)</f>
        <v>#N/A</v>
      </c>
      <c r="BD143" s="33">
        <f t="array" ref="BD143">INDEX(BC:BC,MIN(IF(ISNUMBER(BC143:BC339),ROW(BC143:BC339),"")))</f>
        <v>0</v>
      </c>
      <c r="BE143" s="33">
        <f t="shared" si="112"/>
        <v>0</v>
      </c>
      <c r="BF143" s="34" t="e">
        <f>BE143*VLOOKUP('Données projet'!$B$12,Paramètres!$A$1:$I$88,3,0)*VLOOKUP('Données projet'!$B$12,Paramètres!$A$1:$I$88,5,0)</f>
        <v>#N/A</v>
      </c>
      <c r="BG143" s="34" t="e">
        <f t="shared" si="113"/>
        <v>#N/A</v>
      </c>
      <c r="BH143" s="44" t="e">
        <f t="shared" si="90"/>
        <v>#N/A</v>
      </c>
      <c r="BI143" s="36">
        <f>IF(ISNA(VLOOKUP(A143,'Données projet'!$A$113:$I$133,3,0)),0,VLOOKUP(A143,'Données projet'!$A$113:$I$133,3,0))</f>
        <v>0</v>
      </c>
      <c r="BJ143" s="36">
        <f>IF(ISNA(VLOOKUP(A143,'Données projet'!$A$113:$I$133,4,0)),0,VLOOKUP(A143,'Données projet'!$A$113:$I$133,4,0))</f>
        <v>0</v>
      </c>
      <c r="BK143" s="37">
        <f>IF(ISNA(VLOOKUP(A143,'Données projet'!$A$113:$I$133,5,0)),0%,VLOOKUP(A143,'Données projet'!$A$113:$I$133,5,0)*VLOOKUP('Données projet'!$B$12,Paramètres!$A$1:$I$88,7,0))</f>
        <v>0</v>
      </c>
      <c r="BL143" s="37">
        <f>IF(ISNA(VLOOKUP(A143,'Données projet'!$A$113:$I$133,6,0)),0%,VLOOKUP(A143,'Données projet'!$A$113:$I$133,6,0)*VLOOKUP('Données projet'!$B$12,Paramètres!$A$1:$I$88,7,0))</f>
        <v>0</v>
      </c>
      <c r="BM143" s="37">
        <f>IF(ISNA(VLOOKUP(A143,'Données projet'!$A$113:$I$133,7,0)),0%,VLOOKUP(A143,'Données projet'!$A$113:$I$133,7,0))</f>
        <v>0</v>
      </c>
      <c r="BN143" s="45">
        <f>EXP(-LN(2)/35)*BN142+(1-EXP(-LN(2)/35))/(LN(2)/35)*BJ143*BK143*VLOOKUP('Données projet'!$B$9,Paramètres!$A$1:$I$88,3,0)*0.475*44/12</f>
        <v>0</v>
      </c>
      <c r="BO143" s="45">
        <f>EXP(-LN(2)/25)*BO142+(1-EXP(-LN(2)/25))/(LN(2)/25)*Calculateur!BJ143*Calculateur!BL143*VLOOKUP('Données projet'!$B$9,Paramètres!$A$1:$I$88,3,0)*0.475*44/12</f>
        <v>0</v>
      </c>
      <c r="BP143" s="45">
        <f>EXP(-LN(2)/2)*BP142+(1-EXP(-LN(2)/2))/(LN(2)/2)*BJ143*BM143*VLOOKUP('Données projet'!$B$9,Paramètres!$A$1:$I$88,3,0)*0.475*44/12</f>
        <v>0</v>
      </c>
      <c r="BQ143" s="46">
        <f t="shared" si="91"/>
        <v>0</v>
      </c>
      <c r="BR143" s="32" t="e">
        <f>VLOOKUP(A143,'Données projet'!$A$139:$I$159,2,0)</f>
        <v>#N/A</v>
      </c>
      <c r="BS143" s="33" t="e">
        <f>VLOOKUP(A143,'Données projet'!$A$139:$I$159,9,0)</f>
        <v>#N/A</v>
      </c>
      <c r="BT143" s="33">
        <f t="array" ref="BT143">INDEX(BS:BS,MIN(IF(ISNUMBER(BS143:BS339),ROW(BS143:BS339),"")))</f>
        <v>0</v>
      </c>
      <c r="BU143" s="33">
        <f t="shared" si="114"/>
        <v>0</v>
      </c>
      <c r="BV143" s="38" t="e">
        <f>BU143*VLOOKUP('Données projet'!$B$13,Paramètres!$A$1:$I$88,3,0)*VLOOKUP('Données projet'!$B$13,Paramètres!$A$1:$I$88,5,0)</f>
        <v>#N/A</v>
      </c>
      <c r="BW143" s="34" t="e">
        <f t="shared" si="115"/>
        <v>#N/A</v>
      </c>
      <c r="BX143" s="44" t="e">
        <f t="shared" si="92"/>
        <v>#N/A</v>
      </c>
      <c r="BY143" s="36">
        <f>IF(ISNA(VLOOKUP(A143,'Données projet'!$A$139:$I$159,3,0)),0,VLOOKUP(A143,'Données projet'!$A$139:$I$159,3,0))</f>
        <v>0</v>
      </c>
      <c r="BZ143" s="36">
        <f>IF(ISNA(VLOOKUP(A143,'Données projet'!$A$139:$I$159,4,0)),0,VLOOKUP(A143,'Données projet'!$A$139:$I$159,4,0))</f>
        <v>0</v>
      </c>
      <c r="CA143" s="37">
        <f>IF(ISNA(VLOOKUP(A143,'Données projet'!$A$139:$I$159,5,0)),0%,VLOOKUP(A143,'Données projet'!$A$139:$I$159,5,0)*VLOOKUP('Données projet'!$B$13,Paramètres!$A$1:$I$88,7,0))</f>
        <v>0</v>
      </c>
      <c r="CB143" s="37">
        <f>IF(ISNA(VLOOKUP(A143,'Données projet'!$A$139:$I$159,6,0)),0%,VLOOKUP(A143,'Données projet'!$A$139:$I$159,6,0)*VLOOKUP('Données projet'!$B$13,Paramètres!$A$1:$I$88,7,0))</f>
        <v>0</v>
      </c>
      <c r="CC143" s="37">
        <f>IF(ISNA(VLOOKUP(A143,'Données projet'!$A$139:$I$159,7,0)),0%,VLOOKUP(A143,'Données projet'!$A$139:$I$159,7,0))</f>
        <v>0</v>
      </c>
      <c r="CD143" s="45">
        <f>EXP(-LN(2)/35)*CD142+(1-EXP(-LN(2)/35))/(LN(2)/35)*BZ143*CA143*VLOOKUP('Données projet'!$B$9,Paramètres!$A$1:$I$88,3,0)*0.475*44/12</f>
        <v>0</v>
      </c>
      <c r="CE143" s="45">
        <f>EXP(-LN(2)/25)*CE142+(1-EXP(-LN(2)/25))/(LN(2)/25)*Calculateur!BZ143*Calculateur!CB143*VLOOKUP('Données projet'!$B$9,Paramètres!$A$1:$I$88,3,0)*0.475*44/12</f>
        <v>0</v>
      </c>
      <c r="CF143" s="45">
        <f>EXP(-LN(2)/2)*CF142+(1-EXP(-LN(2)/2))/(LN(2)/2)*BZ143*CC143*VLOOKUP('Données projet'!$B$9,Paramètres!$A$1:$I$88,3,0)*0.475*44/12</f>
        <v>0</v>
      </c>
      <c r="CG143" s="46">
        <f t="shared" si="93"/>
        <v>0</v>
      </c>
      <c r="CH143" s="32" t="e">
        <f>VLOOKUP(A143,'Données projet'!$A$165:$I$185,2,0)</f>
        <v>#N/A</v>
      </c>
      <c r="CI143" s="33" t="e">
        <f>VLOOKUP(A143,'Données projet'!$A$165:$I$185,9,0)</f>
        <v>#N/A</v>
      </c>
      <c r="CJ143" s="33">
        <f t="array" ref="CJ143">INDEX(CI:CI,MIN(IF(ISNUMBER(CI143:CI339),ROW(CI143:CI339),"")))</f>
        <v>0</v>
      </c>
      <c r="CK143" s="33">
        <f t="shared" si="116"/>
        <v>0</v>
      </c>
      <c r="CL143" s="38" t="e">
        <f>CK143*VLOOKUP('Données projet'!$B$14,Paramètres!$A$1:$I$88,3,0)*VLOOKUP('Données projet'!$B$14,Paramètres!$A$1:$I$88,5,0)</f>
        <v>#N/A</v>
      </c>
      <c r="CM143" s="34" t="e">
        <f t="shared" si="117"/>
        <v>#N/A</v>
      </c>
      <c r="CN143" s="44" t="e">
        <f t="shared" si="94"/>
        <v>#N/A</v>
      </c>
      <c r="CO143" s="36">
        <f>IF(ISNA(VLOOKUP(A143,'Données projet'!$A$165:$I$185,3,0)),0,VLOOKUP(A143,'Données projet'!$A$165:$I$185,3,0))</f>
        <v>0</v>
      </c>
      <c r="CP143" s="36">
        <f>IF(ISNA(VLOOKUP(A143,'Données projet'!$A$165:$I$185,4,0)),0,VLOOKUP(A143,'Données projet'!$A$165:$I$185,4,0))</f>
        <v>0</v>
      </c>
      <c r="CQ143" s="37">
        <f>IF(ISNA(VLOOKUP(A143,'Données projet'!$A$165:$I$185,5,0)),0%,VLOOKUP(A143,'Données projet'!$A$165:$I$185,5,0)*VLOOKUP('Données projet'!$B$14,Paramètres!$A$1:$I$88,7,0))</f>
        <v>0</v>
      </c>
      <c r="CR143" s="37">
        <f>IF(ISNA(VLOOKUP(A143,'Données projet'!$A$165:$I$185,6,0)),0%,VLOOKUP(A143,'Données projet'!$A$165:$I$185,6,0)*VLOOKUP('Données projet'!$B$14,Paramètres!$A$1:$I$88,7,0))</f>
        <v>0</v>
      </c>
      <c r="CS143" s="37">
        <f>IF(ISNA(VLOOKUP(A143,'Données projet'!$A$165:$I$185,7,0)),0%,VLOOKUP(A143,'Données projet'!$A$165:$I$185,7,0))</f>
        <v>0</v>
      </c>
      <c r="CT143" s="45">
        <f>EXP(-LN(2)/35)*CT142+(1-EXP(-LN(2)/35))/(LN(2)/35)*CP143*CQ143*VLOOKUP('Données projet'!$B$9,Paramètres!$A$1:$I$88,3,0)*0.475*44/12</f>
        <v>0</v>
      </c>
      <c r="CU143" s="45">
        <f>EXP(-LN(2)/25)*CU142+(1-EXP(-LN(2)/25))/(LN(2)/25)*Calculateur!CP143*Calculateur!CR143*VLOOKUP('Données projet'!$B$9,Paramètres!$A$1:$I$88,3,0)*0.475*44/12</f>
        <v>0</v>
      </c>
      <c r="CV143" s="45">
        <f>EXP(-LN(2)/2)*CV142+(1-EXP(-LN(2)/2))/(LN(2)/2)*CP143*CS143*VLOOKUP('Données projet'!$B$9,Paramètres!$A$1:$I$88,3,0)*0.475*44/12</f>
        <v>0</v>
      </c>
      <c r="CW143" s="46">
        <f t="shared" si="95"/>
        <v>0</v>
      </c>
      <c r="CX143" s="32" t="e">
        <f>VLOOKUP(A143,'Données projet'!$A$191:$I$211,2,0)</f>
        <v>#N/A</v>
      </c>
      <c r="CY143" s="33" t="e">
        <f>VLOOKUP(A143,'Données projet'!$A$191:$I$211,9,0)</f>
        <v>#N/A</v>
      </c>
      <c r="CZ143" s="33">
        <f t="array" ref="CZ143">INDEX(CY:CY,MIN(IF(ISNUMBER(CY143:CY339),ROW(CY143:CY339),"")))</f>
        <v>0</v>
      </c>
      <c r="DA143" s="33">
        <f t="shared" si="118"/>
        <v>0</v>
      </c>
      <c r="DB143" s="38" t="e">
        <f>DA143*VLOOKUP('Données projet'!$B$15,Paramètres!$A$1:$I$88,3,0)*VLOOKUP('Données projet'!$B$15,Paramètres!$A$1:$I$88,5,0)</f>
        <v>#N/A</v>
      </c>
      <c r="DC143" s="34" t="e">
        <f t="shared" si="119"/>
        <v>#N/A</v>
      </c>
      <c r="DD143" s="44" t="e">
        <f t="shared" si="96"/>
        <v>#N/A</v>
      </c>
      <c r="DE143" s="36">
        <f>IF(ISNA(VLOOKUP(A143,'Données projet'!$A$191:$I$211,3,0)),0,VLOOKUP(A143,'Données projet'!$A$191:$I$211,3,0))</f>
        <v>0</v>
      </c>
      <c r="DF143" s="36">
        <f>IF(ISNA(VLOOKUP(A143,'Données projet'!$A$191:$I$211,4,0)),0,VLOOKUP(A143,'Données projet'!$A$191:$I$211,4,0))</f>
        <v>0</v>
      </c>
      <c r="DG143" s="37">
        <f>IF(ISNA(VLOOKUP(A143,'Données projet'!$A$191:$I$211,5,0)),0%,VLOOKUP(A143,'Données projet'!$A$191:$I$211,5,0)*VLOOKUP('Données projet'!$B$15,Paramètres!$A$1:$I$88,7,0))</f>
        <v>0</v>
      </c>
      <c r="DH143" s="37">
        <f>IF(ISNA(VLOOKUP(A143,'Données projet'!$A$191:$I$211,6,0)),0%,VLOOKUP(A143,'Données projet'!$A$191:$I$211,6,0)*VLOOKUP('Données projet'!$B$15,Paramètres!$A$1:$I$88,7,0))</f>
        <v>0</v>
      </c>
      <c r="DI143" s="37">
        <f>IF(ISNA(VLOOKUP(A143,'Données projet'!$A$191:$I$211,7,0)),0%,VLOOKUP(A143,'Données projet'!$A$191:$I$211,7,0))</f>
        <v>0</v>
      </c>
      <c r="DJ143" s="45">
        <f>EXP(-LN(2)/35)*DJ142+(1-EXP(-LN(2)/35))/(LN(2)/35)*DF143*DG143*VLOOKUP('Données projet'!$B$9,Paramètres!$A$1:$I$88,3,0)*0.475*44/12</f>
        <v>0</v>
      </c>
      <c r="DK143" s="45">
        <f>EXP(-LN(2)/25)*DK142+(1-EXP(-LN(2)/25))/(LN(2)/25)*Calculateur!DF143*Calculateur!DH143*VLOOKUP('Données projet'!$B$9,Paramètres!$A$1:$I$88,3,0)*0.475*44/12</f>
        <v>0</v>
      </c>
      <c r="DL143" s="45">
        <f>EXP(-LN(2)/2)*DL142+(1-EXP(-LN(2)/2))/(LN(2)/2)*DF143*DI143*VLOOKUP('Données projet'!$B$9,Paramètres!$A$1:$I$88,3,0)*0.475*44/12</f>
        <v>0</v>
      </c>
      <c r="DM143" s="46">
        <f t="shared" si="97"/>
        <v>0</v>
      </c>
      <c r="DN143" s="32" t="e">
        <f>VLOOKUP(A143,'Données projet'!$A$217:$I$237,2,0)</f>
        <v>#N/A</v>
      </c>
      <c r="DO143" s="33" t="e">
        <f>VLOOKUP(A143,'Données projet'!$A$217:$I$237,9,0)</f>
        <v>#N/A</v>
      </c>
      <c r="DP143" s="33">
        <f t="array" ref="DP143">INDEX(DO:DO,MIN(IF(ISNUMBER(DO143:DO339),ROW(DO143:DO339),"")))</f>
        <v>0</v>
      </c>
      <c r="DQ143" s="33">
        <f t="shared" si="120"/>
        <v>0</v>
      </c>
      <c r="DR143" s="38" t="e">
        <f>DQ143*VLOOKUP('Données projet'!$B$16,Paramètres!$A$1:$I$88,3,0)*VLOOKUP('Données projet'!$B$16,Paramètres!$A$1:$I$88,5,0)</f>
        <v>#N/A</v>
      </c>
      <c r="DS143" s="34" t="e">
        <f t="shared" si="121"/>
        <v>#N/A</v>
      </c>
      <c r="DT143" s="44" t="e">
        <f t="shared" si="98"/>
        <v>#N/A</v>
      </c>
      <c r="DU143" s="36">
        <f>IF(ISNA(VLOOKUP(A143,'Données projet'!$A$217:$I$237,3,0)),0,VLOOKUP(A143,'Données projet'!$A$217:$I$237,3,0))</f>
        <v>0</v>
      </c>
      <c r="DV143" s="36">
        <f>IF(ISNA(VLOOKUP(A143,'Données projet'!$A$217:$I$237,4,0)),0,VLOOKUP(A143,'Données projet'!$A$217:$I$237,4,0))</f>
        <v>0</v>
      </c>
      <c r="DW143" s="37">
        <f>IF(ISNA(VLOOKUP(A143,'Données projet'!$A$217:$I$237,5,0)),0%,VLOOKUP(A143,'Données projet'!$A$217:$I$237,5,0)*VLOOKUP('Données projet'!$B$16,Paramètres!$A$1:$I$88,7,0))</f>
        <v>0</v>
      </c>
      <c r="DX143" s="37">
        <f>IF(ISNA(VLOOKUP(A143,'Données projet'!$A$217:$I$237,6,0)),0%,VLOOKUP(A143,'Données projet'!$A$217:$I$237,6,0)*VLOOKUP('Données projet'!$B$16,Paramètres!$A$1:$I$88,7,0))</f>
        <v>0</v>
      </c>
      <c r="DY143" s="37">
        <f>IF(ISNA(VLOOKUP(A143,'Données projet'!$A$217:$I$237,7,0)),0%,VLOOKUP(A143,'Données projet'!$A$217:$I$237,7,0))</f>
        <v>0</v>
      </c>
      <c r="DZ143" s="45">
        <f>EXP(-LN(2)/35)*DZ142+(1-EXP(-LN(2)/35))/(LN(2)/35)*DV143*DW143*VLOOKUP('Données projet'!$B$9,Paramètres!$A$1:$I$88,3,0)*0.475*44/12</f>
        <v>0</v>
      </c>
      <c r="EA143" s="45">
        <f>EXP(-LN(2)/25)*EA142+(1-EXP(-LN(2)/25))/(LN(2)/25)*Calculateur!DV143*Calculateur!DX143*VLOOKUP('Données projet'!$B$9,Paramètres!$A$1:$I$88,3,0)*0.475*44/12</f>
        <v>0</v>
      </c>
      <c r="EB143" s="45">
        <f>EXP(-LN(2)/2)*EB142+(1-EXP(-LN(2)/2))/(LN(2)/2)*DV143*DY143*VLOOKUP('Données projet'!$B$9,Paramètres!$A$1:$I$88,3,0)*0.475*44/12</f>
        <v>0</v>
      </c>
      <c r="EC143" s="46">
        <f t="shared" si="99"/>
        <v>0</v>
      </c>
      <c r="ED143" s="32" t="e">
        <f>VLOOKUP(A143,'Données projet'!$A$243:$I$263,2,0)</f>
        <v>#N/A</v>
      </c>
      <c r="EE143" s="33" t="e">
        <f>VLOOKUP(A143,'Données projet'!$A$243:$I$263,9,0)</f>
        <v>#N/A</v>
      </c>
      <c r="EF143" s="33">
        <f t="array" ref="EF143">INDEX(EE:EE,MIN(IF(ISNUMBER(EE143:EE339),ROW(EE143:EE339),"")))</f>
        <v>0</v>
      </c>
      <c r="EG143" s="33">
        <f t="shared" si="122"/>
        <v>0</v>
      </c>
      <c r="EH143" s="38" t="e">
        <f>EG143*VLOOKUP('Données projet'!$B$17,Paramètres!$A$1:$I$88,3,0)*VLOOKUP('Données projet'!$B$17,Paramètres!$A$1:$I$88,5,0)</f>
        <v>#N/A</v>
      </c>
      <c r="EI143" s="34" t="e">
        <f t="shared" si="123"/>
        <v>#N/A</v>
      </c>
      <c r="EJ143" s="44" t="e">
        <f t="shared" si="100"/>
        <v>#N/A</v>
      </c>
      <c r="EK143" s="36">
        <f>IF(ISNA(VLOOKUP(A143,'Données projet'!$A$243:$I$263,3,0)),0,VLOOKUP(A143,'Données projet'!$A$243:$I$263,3,0))</f>
        <v>0</v>
      </c>
      <c r="EL143" s="36">
        <f>IF(ISNA(VLOOKUP(A143,'Données projet'!$A$243:$I$263,4,0)),0,VLOOKUP(A143,'Données projet'!$A$243:$I$263,4,0))</f>
        <v>0</v>
      </c>
      <c r="EM143" s="37">
        <f>IF(ISNA(VLOOKUP(A143,'Données projet'!$A$243:$I$263,5,0)),0%,VLOOKUP(A143,'Données projet'!$A$243:$I$263,5,0)*VLOOKUP('Données projet'!$B$17,Paramètres!$A$1:$I$88,7,0))</f>
        <v>0</v>
      </c>
      <c r="EN143" s="37">
        <f>IF(ISNA(VLOOKUP(A143,'Données projet'!$A$243:$I$263,6,0)),0%,VLOOKUP(A143,'Données projet'!$A$243:$I$263,6,0)*VLOOKUP('Données projet'!$B$17,Paramètres!$A$1:$I$88,7,0))</f>
        <v>0</v>
      </c>
      <c r="EO143" s="37">
        <f>IF(ISNA(VLOOKUP(A143,'Données projet'!$A$243:$I$263,7,0)),0%,VLOOKUP(A143,'Données projet'!$A$243:$I$263,7,0))</f>
        <v>0</v>
      </c>
      <c r="EP143" s="45">
        <f>EXP(-LN(2)/35)*EP142+(1-EXP(-LN(2)/35))/(LN(2)/35)*EL143*EM143*VLOOKUP('Données projet'!$B$9,Paramètres!$A$1:$I$88,3,0)*0.475*44/12</f>
        <v>0</v>
      </c>
      <c r="EQ143" s="45">
        <f>EXP(-LN(2)/25)*EQ142+(1-EXP(-LN(2)/25))/(LN(2)/25)*Calculateur!EL143*Calculateur!EN143*VLOOKUP('Données projet'!$B$9,Paramètres!$A$1:$I$88,3,0)*0.475*44/12</f>
        <v>0</v>
      </c>
      <c r="ER143" s="45">
        <f>EXP(-LN(2)/2)*ER142+(1-EXP(-LN(2)/2))/(LN(2)/2)*EL143*EO143*VLOOKUP('Données projet'!$B$9,Paramètres!$A$1:$I$88,3,0)*0.475*44/12</f>
        <v>0</v>
      </c>
      <c r="ES143" s="46">
        <f t="shared" si="101"/>
        <v>0</v>
      </c>
      <c r="ET143" s="32" t="e">
        <f>VLOOKUP(A143,'Données projet'!$A$269:$I$289,2,0)</f>
        <v>#N/A</v>
      </c>
      <c r="EU143" s="33" t="e">
        <f>VLOOKUP(A143,'Données projet'!$A$269:$I$289,9,0)</f>
        <v>#N/A</v>
      </c>
      <c r="EV143" s="33">
        <f t="array" ref="EV143">INDEX(EU:EU,MIN(IF(ISNUMBER(EU143:EU339),ROW(EU143:EU339),"")))</f>
        <v>0</v>
      </c>
      <c r="EW143" s="33">
        <f t="shared" si="124"/>
        <v>0</v>
      </c>
      <c r="EX143" s="38" t="e">
        <f>EW143*VLOOKUP('Données projet'!$B$18,Paramètres!$A$1:$I$88,3,0)*VLOOKUP('Données projet'!$B$18,Paramètres!$A$1:$I$88,5,0)</f>
        <v>#N/A</v>
      </c>
      <c r="EY143" s="34" t="e">
        <f t="shared" si="125"/>
        <v>#N/A</v>
      </c>
      <c r="EZ143" s="44" t="e">
        <f t="shared" si="102"/>
        <v>#N/A</v>
      </c>
      <c r="FA143" s="36">
        <f>IF(ISNA(VLOOKUP(A143,'Données projet'!$A$269:$I$289,3,0)),0,VLOOKUP(A143,'Données projet'!$A$269:$I$289,3,0))</f>
        <v>0</v>
      </c>
      <c r="FB143" s="36">
        <f>IF(ISNA(VLOOKUP(A143,'Données projet'!$A$269:$I$289,4,0)),0,VLOOKUP(A143,'Données projet'!$A$269:$I$289,4,0))</f>
        <v>0</v>
      </c>
      <c r="FC143" s="37">
        <f>IF(ISNA(VLOOKUP(A143,'Données projet'!$A$269:$I$289,5,0)),0%,VLOOKUP(A143,'Données projet'!$A$269:$I$289,5,0)*VLOOKUP('Données projet'!$B$18,Paramètres!$A$1:$I$88,7,0))</f>
        <v>0</v>
      </c>
      <c r="FD143" s="37">
        <f>IF(ISNA(VLOOKUP(A143,'Données projet'!$A$269:$I$289,6,0)),0%,VLOOKUP(A143,'Données projet'!$A$269:$I$289,6,0)*VLOOKUP('Données projet'!$B$18,Paramètres!$A$1:$I$88,7,0))</f>
        <v>0</v>
      </c>
      <c r="FE143" s="37">
        <f>IF(ISNA(VLOOKUP(A143,'Données projet'!$A$269:$I$289,7,0)),0%,VLOOKUP(A143,'Données projet'!$A$269:$I$289,7,0))</f>
        <v>0</v>
      </c>
      <c r="FF143" s="45">
        <f>EXP(-LN(2)/35)*FF142+(1-EXP(-LN(2)/35))/(LN(2)/35)*FB143*FC143*VLOOKUP('Données projet'!$B$9,Paramètres!$A$1:$I$88,3,0)*0.475*44/12</f>
        <v>0</v>
      </c>
      <c r="FG143" s="45">
        <f>EXP(-LN(2)/25)*FG142+(1-EXP(-LN(2)/25))/(LN(2)/25)*Calculateur!FB143*Calculateur!FD143*VLOOKUP('Données projet'!$B$9,Paramètres!$A$1:$I$88,3,0)*0.475*44/12</f>
        <v>0</v>
      </c>
      <c r="FH143" s="45">
        <f>EXP(-LN(2)/2)*FH142+(1-EXP(-LN(2)/2))/(LN(2)/2)*FB143*FE143*VLOOKUP('Données projet'!$B$9,Paramètres!$A$1:$I$88,3,0)*0.475*44/12</f>
        <v>0</v>
      </c>
      <c r="FI143" s="46">
        <f t="shared" si="103"/>
        <v>0</v>
      </c>
    </row>
    <row r="144" spans="1:165" x14ac:dyDescent="0.25">
      <c r="A144" s="24">
        <f t="shared" si="104"/>
        <v>141</v>
      </c>
      <c r="B144" s="25">
        <f>IF('Scénario référence'!$N$1=1,5,0)</f>
        <v>0</v>
      </c>
      <c r="C144" s="40">
        <f>IF(OR('Scénario référence'!$N$1=2,'Scénario référence'!$N$1=4),C143+1*VLOOKUP('Scénario référence'!$G$14,Paramètres!$A$1:$I$88,3,0)*VLOOKUP('Scénario référence'!$G$14,Paramètres!$A$1:$I$88,5,0),IF(OR('Scénario référence'!$N$1=3,'Scénario référence'!$N$1=5),C143+0.5*VLOOKUP('Scénario référence'!$G$14,Paramètres!$A$1:$I$88,3,0)*VLOOKUP('Scénario référence'!$G$14,Paramètres!$A$1:$I$88,5,0),0))</f>
        <v>76.986000000000089</v>
      </c>
      <c r="D144" s="26">
        <f t="shared" si="105"/>
        <v>21.39860646817062</v>
      </c>
      <c r="E144" s="27">
        <f>IF('Scénario référence'!$N$1=1,B144*44/12,(C144+D144)*0.475*44/12)</f>
        <v>171.35318959873064</v>
      </c>
      <c r="F144" s="28" t="e">
        <f>VLOOKUP(A144,'Données projet'!$A$35:$I$55,2,0)</f>
        <v>#N/A</v>
      </c>
      <c r="G144" s="28" t="e">
        <f>VLOOKUP(A144,'Données projet'!$A$35:$I$55,9,0)</f>
        <v>#N/A</v>
      </c>
      <c r="H144" s="33">
        <f t="array" ref="H144">INDEX(G:G,MIN(IF(ISNUMBER(G144:G340),ROW(G144:G340),"")))</f>
        <v>2.6</v>
      </c>
      <c r="I144" s="28">
        <f t="shared" si="106"/>
        <v>284.59999999999945</v>
      </c>
      <c r="J144" s="41">
        <f>I144*VLOOKUP('Données projet'!$B$9,Paramètres!$A$1:$I$88,3,0)*VLOOKUP('Données projet'!$B$9,Paramètres!$A$1:$I$88,5,0)</f>
        <v>288.58439999999945</v>
      </c>
      <c r="K144" s="41">
        <f t="shared" si="107"/>
        <v>68.777938711388487</v>
      </c>
      <c r="L144" s="42">
        <f t="shared" si="84"/>
        <v>622.40607325566725</v>
      </c>
      <c r="M144" s="30">
        <f>IF(ISNA(VLOOKUP(A144,'Données projet'!$A$35:$I$55,3,0)),0,VLOOKUP(A144,'Données projet'!$A$35:$I$55,3,0))</f>
        <v>0</v>
      </c>
      <c r="N144" s="30">
        <f>IF(ISNA(VLOOKUP(A144,'Données projet'!$A$35:$I$55,4,0)),0,VLOOKUP(A144,'Données projet'!$A$35:$I$55,4,0))</f>
        <v>0</v>
      </c>
      <c r="O144" s="31">
        <f>IF(ISNA(VLOOKUP(A144,'Données projet'!$A$35:$I$55,5,0)),0%,VLOOKUP(A144,'Données projet'!$A$35:$I$55,5,0)*VLOOKUP('Données projet'!$B$9,Paramètres!$A$1:$I$88,7,0))</f>
        <v>0</v>
      </c>
      <c r="P144" s="31">
        <f>IF(ISNA(VLOOKUP(A144,'Données projet'!$A$35:$I$55,6,0)),0%,VLOOKUP(A144,'Données projet'!$A$35:$I$55,6,0)*VLOOKUP('Données projet'!$B$9,Paramètres!$A$1:$I$88,7,0))</f>
        <v>0</v>
      </c>
      <c r="Q144" s="31">
        <f>IF(ISNA(VLOOKUP(A144,'Données projet'!$A$35:$I$55,7,0)),0%,VLOOKUP(A144,'Données projet'!$A$35:$I$55,7,0))</f>
        <v>0</v>
      </c>
      <c r="R144" s="43">
        <f>EXP(-LN(2)/35)*R143+(1-EXP(-LN(2)/35))/(LN(2)/35)*N144*O144*VLOOKUP('Données projet'!$B$9,Paramètres!$A$1:$I$88,3,0)*0.475*44/12</f>
        <v>0</v>
      </c>
      <c r="S144" s="43">
        <f>EXP(-LN(2)/25)*S143+(1-EXP(-LN(2)/25))/(LN(2)/25)*Calculateur!N144*Calculateur!P144*VLOOKUP('Données projet'!$B$9,Paramètres!$A$1:$I$88,3,0)*0.475*44/12</f>
        <v>0</v>
      </c>
      <c r="T144" s="43">
        <f>EXP(-LN(2)/2)*T143+(1-EXP(-LN(2)/2))/(LN(2)/2)*N144*Q144*VLOOKUP('Données projet'!$B$9,Paramètres!$A$1:$I$88,3,0)*0.475*44/12</f>
        <v>0</v>
      </c>
      <c r="U144" s="43">
        <f t="shared" si="85"/>
        <v>0</v>
      </c>
      <c r="V144" s="32" t="e">
        <f>VLOOKUP(A144,'Données projet'!$A$61:$I$81,2,0)</f>
        <v>#N/A</v>
      </c>
      <c r="W144" s="33" t="e">
        <f>VLOOKUP(A144,'Données projet'!$A$61:$I$81,9,0)</f>
        <v>#N/A</v>
      </c>
      <c r="X144" s="33">
        <f t="array" ref="X144">INDEX(W:W,MIN(IF(ISNUMBER(W144:W340),ROW(W144:W340),"")))</f>
        <v>0</v>
      </c>
      <c r="Y144" s="33">
        <f t="shared" si="108"/>
        <v>0</v>
      </c>
      <c r="Z144" s="34" t="e">
        <f>Y144*VLOOKUP('Données projet'!$B$10,Paramètres!$A$1:$I$88,3,0)*VLOOKUP('Données projet'!$B$10,Paramètres!$A$1:$I$88,5,0)</f>
        <v>#N/A</v>
      </c>
      <c r="AA144" s="34" t="e">
        <f t="shared" si="109"/>
        <v>#N/A</v>
      </c>
      <c r="AB144" s="44" t="e">
        <f t="shared" si="86"/>
        <v>#N/A</v>
      </c>
      <c r="AC144" s="36">
        <f>IF(ISNA(VLOOKUP(A144,'Données projet'!$A$61:$I$81,3,0)),0,VLOOKUP(A144,'Données projet'!$A$61:$I$81,3,0))</f>
        <v>0</v>
      </c>
      <c r="AD144" s="36">
        <f>IF(ISNA(VLOOKUP(A144,'Données projet'!$A$61:$I$81,4,0)),0,VLOOKUP(A144,'Données projet'!$A$61:$I$81,4,0))</f>
        <v>0</v>
      </c>
      <c r="AE144" s="37">
        <f>IF(ISNA(VLOOKUP(A144,'Données projet'!$A$61:$I$81,5,0)),0%,VLOOKUP(A144,'Données projet'!$A$61:$I$81,5,0)*VLOOKUP('Données projet'!$B$10,Paramètres!$A$1:$I$88,7,0))</f>
        <v>0</v>
      </c>
      <c r="AF144" s="37">
        <f>IF(ISNA(VLOOKUP(A144,'Données projet'!$A$61:$I$81,6,0)),0%,VLOOKUP(A144,'Données projet'!$A$61:$I$81,6,0)*VLOOKUP('Données projet'!$B$10,Paramètres!$A$1:$I$88,7,0))</f>
        <v>0</v>
      </c>
      <c r="AG144" s="37">
        <f>IF(ISNA(VLOOKUP(A144,'Données projet'!$A$61:$I$81,7,0)),0%,VLOOKUP(A144,'Données projet'!$A$61:$I$81,7,0))</f>
        <v>0</v>
      </c>
      <c r="AH144" s="45">
        <f>EXP(-LN(2)/35)*AH143+(1-EXP(-LN(2)/35))/(LN(2)/35)*AD144*AE144*VLOOKUP('Données projet'!$B$9,Paramètres!$A$1:$I$88,3,0)*0.475*44/12</f>
        <v>0</v>
      </c>
      <c r="AI144" s="45">
        <f>EXP(-LN(2)/25)*AI143+(1-EXP(-LN(2)/25))/(LN(2)/25)*Calculateur!AD144*Calculateur!AF144*VLOOKUP('Données projet'!$B$9,Paramètres!$A$1:$I$88,3,0)*0.475*44/12</f>
        <v>0</v>
      </c>
      <c r="AJ144" s="45">
        <f>EXP(-LN(2)/2)*AJ143+(1-EXP(-LN(2)/2))/(LN(2)/2)*AD144*AG144*VLOOKUP('Données projet'!$B$9,Paramètres!$A$1:$I$88,3,0)*0.475*44/12</f>
        <v>0</v>
      </c>
      <c r="AK144" s="45">
        <f t="shared" si="87"/>
        <v>0</v>
      </c>
      <c r="AL144" s="32" t="e">
        <f>VLOOKUP(A144,'Données projet'!$A$87:$I$107,2,0)</f>
        <v>#N/A</v>
      </c>
      <c r="AM144" s="33" t="e">
        <f>VLOOKUP(A144,'Données projet'!$A$87:$I$107,9,0)</f>
        <v>#N/A</v>
      </c>
      <c r="AN144" s="33">
        <f t="array" ref="AN144">INDEX(AM:AM,MIN(IF(ISNUMBER(AM144:AM340),ROW(AM144:AM340),"")))</f>
        <v>0</v>
      </c>
      <c r="AO144" s="33">
        <f t="shared" si="110"/>
        <v>0</v>
      </c>
      <c r="AP144" s="34" t="e">
        <f>AO144*VLOOKUP('Données projet'!$B$11,Paramètres!$A$1:$I$88,3,0)*VLOOKUP('Données projet'!$B$11,Paramètres!$A$1:$I$88,5,0)</f>
        <v>#N/A</v>
      </c>
      <c r="AQ144" s="34" t="e">
        <f t="shared" si="111"/>
        <v>#N/A</v>
      </c>
      <c r="AR144" s="44" t="e">
        <f t="shared" si="88"/>
        <v>#N/A</v>
      </c>
      <c r="AS144" s="36">
        <f>IF(ISNA(VLOOKUP(A144,'Données projet'!$A$87:$I$107,3,0)),0,VLOOKUP(A144,'Données projet'!$A$87:$I$107,3,0))</f>
        <v>0</v>
      </c>
      <c r="AT144" s="36">
        <f>IF(ISNA(VLOOKUP(A144,'Données projet'!$A$87:$I$107,4,0)),0,VLOOKUP(A144,'Données projet'!$A$87:$I$107,4,0))</f>
        <v>0</v>
      </c>
      <c r="AU144" s="37">
        <f>IF(ISNA(VLOOKUP(A144,'Données projet'!$A$87:$I$107,5,0)),0%,VLOOKUP(A144,'Données projet'!$A$87:$I$107,5,0)*VLOOKUP('Données projet'!$B$11,Paramètres!$A$1:$I$88,7,0))</f>
        <v>0</v>
      </c>
      <c r="AV144" s="37">
        <f>IF(ISNA(VLOOKUP(A144,'Données projet'!$A$87:$I$107,6,0)),0%,VLOOKUP(A144,'Données projet'!$A$87:$I$107,6,0)*VLOOKUP('Données projet'!$B$11,Paramètres!$A$1:$I$88,7,0))</f>
        <v>0</v>
      </c>
      <c r="AW144" s="37">
        <f>IF(ISNA(VLOOKUP(A144,'Données projet'!$A$87:$I$107,7,0)),0%,VLOOKUP(A144,'Données projet'!$A$87:$I$107,7,0))</f>
        <v>0</v>
      </c>
      <c r="AX144" s="45">
        <f>EXP(-LN(2)/35)*AX143+(1-EXP(-LN(2)/35))/(LN(2)/35)*AT144*AU144*VLOOKUP('Données projet'!$B$9,Paramètres!$A$1:$I$88,3,0)*0.475*44/12</f>
        <v>0</v>
      </c>
      <c r="AY144" s="45">
        <f>EXP(-LN(2)/25)*AY143+(1-EXP(-LN(2)/25))/(LN(2)/25)*Calculateur!AT144*Calculateur!AV144*VLOOKUP('Données projet'!$B$9,Paramètres!$A$1:$I$88,3,0)*0.475*44/12</f>
        <v>0</v>
      </c>
      <c r="AZ144" s="45">
        <f>EXP(-LN(2)/2)*AZ143+(1-EXP(-LN(2)/2))/(LN(2)/2)*AT144*AW144*VLOOKUP('Données projet'!$B$9,Paramètres!$A$1:$I$88,3,0)*0.475*44/12</f>
        <v>0</v>
      </c>
      <c r="BA144" s="46">
        <f t="shared" si="89"/>
        <v>0</v>
      </c>
      <c r="BB144" s="32" t="e">
        <f>VLOOKUP(A144,'Données projet'!$A$113:$I$133,2,0)</f>
        <v>#N/A</v>
      </c>
      <c r="BC144" s="33" t="e">
        <f>VLOOKUP(A144,'Données projet'!$A$113:$I$133,9,0)</f>
        <v>#N/A</v>
      </c>
      <c r="BD144" s="33">
        <f t="array" ref="BD144">INDEX(BC:BC,MIN(IF(ISNUMBER(BC144:BC340),ROW(BC144:BC340),"")))</f>
        <v>0</v>
      </c>
      <c r="BE144" s="33">
        <f t="shared" si="112"/>
        <v>0</v>
      </c>
      <c r="BF144" s="34" t="e">
        <f>BE144*VLOOKUP('Données projet'!$B$12,Paramètres!$A$1:$I$88,3,0)*VLOOKUP('Données projet'!$B$12,Paramètres!$A$1:$I$88,5,0)</f>
        <v>#N/A</v>
      </c>
      <c r="BG144" s="34" t="e">
        <f t="shared" si="113"/>
        <v>#N/A</v>
      </c>
      <c r="BH144" s="44" t="e">
        <f t="shared" si="90"/>
        <v>#N/A</v>
      </c>
      <c r="BI144" s="36">
        <f>IF(ISNA(VLOOKUP(A144,'Données projet'!$A$113:$I$133,3,0)),0,VLOOKUP(A144,'Données projet'!$A$113:$I$133,3,0))</f>
        <v>0</v>
      </c>
      <c r="BJ144" s="36">
        <f>IF(ISNA(VLOOKUP(A144,'Données projet'!$A$113:$I$133,4,0)),0,VLOOKUP(A144,'Données projet'!$A$113:$I$133,4,0))</f>
        <v>0</v>
      </c>
      <c r="BK144" s="37">
        <f>IF(ISNA(VLOOKUP(A144,'Données projet'!$A$113:$I$133,5,0)),0%,VLOOKUP(A144,'Données projet'!$A$113:$I$133,5,0)*VLOOKUP('Données projet'!$B$12,Paramètres!$A$1:$I$88,7,0))</f>
        <v>0</v>
      </c>
      <c r="BL144" s="37">
        <f>IF(ISNA(VLOOKUP(A144,'Données projet'!$A$113:$I$133,6,0)),0%,VLOOKUP(A144,'Données projet'!$A$113:$I$133,6,0)*VLOOKUP('Données projet'!$B$12,Paramètres!$A$1:$I$88,7,0))</f>
        <v>0</v>
      </c>
      <c r="BM144" s="37">
        <f>IF(ISNA(VLOOKUP(A144,'Données projet'!$A$113:$I$133,7,0)),0%,VLOOKUP(A144,'Données projet'!$A$113:$I$133,7,0))</f>
        <v>0</v>
      </c>
      <c r="BN144" s="45">
        <f>EXP(-LN(2)/35)*BN143+(1-EXP(-LN(2)/35))/(LN(2)/35)*BJ144*BK144*VLOOKUP('Données projet'!$B$9,Paramètres!$A$1:$I$88,3,0)*0.475*44/12</f>
        <v>0</v>
      </c>
      <c r="BO144" s="45">
        <f>EXP(-LN(2)/25)*BO143+(1-EXP(-LN(2)/25))/(LN(2)/25)*Calculateur!BJ144*Calculateur!BL144*VLOOKUP('Données projet'!$B$9,Paramètres!$A$1:$I$88,3,0)*0.475*44/12</f>
        <v>0</v>
      </c>
      <c r="BP144" s="45">
        <f>EXP(-LN(2)/2)*BP143+(1-EXP(-LN(2)/2))/(LN(2)/2)*BJ144*BM144*VLOOKUP('Données projet'!$B$9,Paramètres!$A$1:$I$88,3,0)*0.475*44/12</f>
        <v>0</v>
      </c>
      <c r="BQ144" s="46">
        <f t="shared" si="91"/>
        <v>0</v>
      </c>
      <c r="BR144" s="32" t="e">
        <f>VLOOKUP(A144,'Données projet'!$A$139:$I$159,2,0)</f>
        <v>#N/A</v>
      </c>
      <c r="BS144" s="33" t="e">
        <f>VLOOKUP(A144,'Données projet'!$A$139:$I$159,9,0)</f>
        <v>#N/A</v>
      </c>
      <c r="BT144" s="33">
        <f t="array" ref="BT144">INDEX(BS:BS,MIN(IF(ISNUMBER(BS144:BS340),ROW(BS144:BS340),"")))</f>
        <v>0</v>
      </c>
      <c r="BU144" s="33">
        <f t="shared" si="114"/>
        <v>0</v>
      </c>
      <c r="BV144" s="38" t="e">
        <f>BU144*VLOOKUP('Données projet'!$B$13,Paramètres!$A$1:$I$88,3,0)*VLOOKUP('Données projet'!$B$13,Paramètres!$A$1:$I$88,5,0)</f>
        <v>#N/A</v>
      </c>
      <c r="BW144" s="34" t="e">
        <f t="shared" si="115"/>
        <v>#N/A</v>
      </c>
      <c r="BX144" s="44" t="e">
        <f t="shared" si="92"/>
        <v>#N/A</v>
      </c>
      <c r="BY144" s="36">
        <f>IF(ISNA(VLOOKUP(A144,'Données projet'!$A$139:$I$159,3,0)),0,VLOOKUP(A144,'Données projet'!$A$139:$I$159,3,0))</f>
        <v>0</v>
      </c>
      <c r="BZ144" s="36">
        <f>IF(ISNA(VLOOKUP(A144,'Données projet'!$A$139:$I$159,4,0)),0,VLOOKUP(A144,'Données projet'!$A$139:$I$159,4,0))</f>
        <v>0</v>
      </c>
      <c r="CA144" s="37">
        <f>IF(ISNA(VLOOKUP(A144,'Données projet'!$A$139:$I$159,5,0)),0%,VLOOKUP(A144,'Données projet'!$A$139:$I$159,5,0)*VLOOKUP('Données projet'!$B$13,Paramètres!$A$1:$I$88,7,0))</f>
        <v>0</v>
      </c>
      <c r="CB144" s="37">
        <f>IF(ISNA(VLOOKUP(A144,'Données projet'!$A$139:$I$159,6,0)),0%,VLOOKUP(A144,'Données projet'!$A$139:$I$159,6,0)*VLOOKUP('Données projet'!$B$13,Paramètres!$A$1:$I$88,7,0))</f>
        <v>0</v>
      </c>
      <c r="CC144" s="37">
        <f>IF(ISNA(VLOOKUP(A144,'Données projet'!$A$139:$I$159,7,0)),0%,VLOOKUP(A144,'Données projet'!$A$139:$I$159,7,0))</f>
        <v>0</v>
      </c>
      <c r="CD144" s="45">
        <f>EXP(-LN(2)/35)*CD143+(1-EXP(-LN(2)/35))/(LN(2)/35)*BZ144*CA144*VLOOKUP('Données projet'!$B$9,Paramètres!$A$1:$I$88,3,0)*0.475*44/12</f>
        <v>0</v>
      </c>
      <c r="CE144" s="45">
        <f>EXP(-LN(2)/25)*CE143+(1-EXP(-LN(2)/25))/(LN(2)/25)*Calculateur!BZ144*Calculateur!CB144*VLOOKUP('Données projet'!$B$9,Paramètres!$A$1:$I$88,3,0)*0.475*44/12</f>
        <v>0</v>
      </c>
      <c r="CF144" s="45">
        <f>EXP(-LN(2)/2)*CF143+(1-EXP(-LN(2)/2))/(LN(2)/2)*BZ144*CC144*VLOOKUP('Données projet'!$B$9,Paramètres!$A$1:$I$88,3,0)*0.475*44/12</f>
        <v>0</v>
      </c>
      <c r="CG144" s="46">
        <f t="shared" si="93"/>
        <v>0</v>
      </c>
      <c r="CH144" s="32" t="e">
        <f>VLOOKUP(A144,'Données projet'!$A$165:$I$185,2,0)</f>
        <v>#N/A</v>
      </c>
      <c r="CI144" s="33" t="e">
        <f>VLOOKUP(A144,'Données projet'!$A$165:$I$185,9,0)</f>
        <v>#N/A</v>
      </c>
      <c r="CJ144" s="33">
        <f t="array" ref="CJ144">INDEX(CI:CI,MIN(IF(ISNUMBER(CI144:CI340),ROW(CI144:CI340),"")))</f>
        <v>0</v>
      </c>
      <c r="CK144" s="33">
        <f t="shared" si="116"/>
        <v>0</v>
      </c>
      <c r="CL144" s="38" t="e">
        <f>CK144*VLOOKUP('Données projet'!$B$14,Paramètres!$A$1:$I$88,3,0)*VLOOKUP('Données projet'!$B$14,Paramètres!$A$1:$I$88,5,0)</f>
        <v>#N/A</v>
      </c>
      <c r="CM144" s="34" t="e">
        <f t="shared" si="117"/>
        <v>#N/A</v>
      </c>
      <c r="CN144" s="44" t="e">
        <f t="shared" si="94"/>
        <v>#N/A</v>
      </c>
      <c r="CO144" s="36">
        <f>IF(ISNA(VLOOKUP(A144,'Données projet'!$A$165:$I$185,3,0)),0,VLOOKUP(A144,'Données projet'!$A$165:$I$185,3,0))</f>
        <v>0</v>
      </c>
      <c r="CP144" s="36">
        <f>IF(ISNA(VLOOKUP(A144,'Données projet'!$A$165:$I$185,4,0)),0,VLOOKUP(A144,'Données projet'!$A$165:$I$185,4,0))</f>
        <v>0</v>
      </c>
      <c r="CQ144" s="37">
        <f>IF(ISNA(VLOOKUP(A144,'Données projet'!$A$165:$I$185,5,0)),0%,VLOOKUP(A144,'Données projet'!$A$165:$I$185,5,0)*VLOOKUP('Données projet'!$B$14,Paramètres!$A$1:$I$88,7,0))</f>
        <v>0</v>
      </c>
      <c r="CR144" s="37">
        <f>IF(ISNA(VLOOKUP(A144,'Données projet'!$A$165:$I$185,6,0)),0%,VLOOKUP(A144,'Données projet'!$A$165:$I$185,6,0)*VLOOKUP('Données projet'!$B$14,Paramètres!$A$1:$I$88,7,0))</f>
        <v>0</v>
      </c>
      <c r="CS144" s="37">
        <f>IF(ISNA(VLOOKUP(A144,'Données projet'!$A$165:$I$185,7,0)),0%,VLOOKUP(A144,'Données projet'!$A$165:$I$185,7,0))</f>
        <v>0</v>
      </c>
      <c r="CT144" s="45">
        <f>EXP(-LN(2)/35)*CT143+(1-EXP(-LN(2)/35))/(LN(2)/35)*CP144*CQ144*VLOOKUP('Données projet'!$B$9,Paramètres!$A$1:$I$88,3,0)*0.475*44/12</f>
        <v>0</v>
      </c>
      <c r="CU144" s="45">
        <f>EXP(-LN(2)/25)*CU143+(1-EXP(-LN(2)/25))/(LN(2)/25)*Calculateur!CP144*Calculateur!CR144*VLOOKUP('Données projet'!$B$9,Paramètres!$A$1:$I$88,3,0)*0.475*44/12</f>
        <v>0</v>
      </c>
      <c r="CV144" s="45">
        <f>EXP(-LN(2)/2)*CV143+(1-EXP(-LN(2)/2))/(LN(2)/2)*CP144*CS144*VLOOKUP('Données projet'!$B$9,Paramètres!$A$1:$I$88,3,0)*0.475*44/12</f>
        <v>0</v>
      </c>
      <c r="CW144" s="46">
        <f t="shared" si="95"/>
        <v>0</v>
      </c>
      <c r="CX144" s="32" t="e">
        <f>VLOOKUP(A144,'Données projet'!$A$191:$I$211,2,0)</f>
        <v>#N/A</v>
      </c>
      <c r="CY144" s="33" t="e">
        <f>VLOOKUP(A144,'Données projet'!$A$191:$I$211,9,0)</f>
        <v>#N/A</v>
      </c>
      <c r="CZ144" s="33">
        <f t="array" ref="CZ144">INDEX(CY:CY,MIN(IF(ISNUMBER(CY144:CY340),ROW(CY144:CY340),"")))</f>
        <v>0</v>
      </c>
      <c r="DA144" s="33">
        <f t="shared" si="118"/>
        <v>0</v>
      </c>
      <c r="DB144" s="38" t="e">
        <f>DA144*VLOOKUP('Données projet'!$B$15,Paramètres!$A$1:$I$88,3,0)*VLOOKUP('Données projet'!$B$15,Paramètres!$A$1:$I$88,5,0)</f>
        <v>#N/A</v>
      </c>
      <c r="DC144" s="34" t="e">
        <f t="shared" si="119"/>
        <v>#N/A</v>
      </c>
      <c r="DD144" s="44" t="e">
        <f t="shared" si="96"/>
        <v>#N/A</v>
      </c>
      <c r="DE144" s="36">
        <f>IF(ISNA(VLOOKUP(A144,'Données projet'!$A$191:$I$211,3,0)),0,VLOOKUP(A144,'Données projet'!$A$191:$I$211,3,0))</f>
        <v>0</v>
      </c>
      <c r="DF144" s="36">
        <f>IF(ISNA(VLOOKUP(A144,'Données projet'!$A$191:$I$211,4,0)),0,VLOOKUP(A144,'Données projet'!$A$191:$I$211,4,0))</f>
        <v>0</v>
      </c>
      <c r="DG144" s="37">
        <f>IF(ISNA(VLOOKUP(A144,'Données projet'!$A$191:$I$211,5,0)),0%,VLOOKUP(A144,'Données projet'!$A$191:$I$211,5,0)*VLOOKUP('Données projet'!$B$15,Paramètres!$A$1:$I$88,7,0))</f>
        <v>0</v>
      </c>
      <c r="DH144" s="37">
        <f>IF(ISNA(VLOOKUP(A144,'Données projet'!$A$191:$I$211,6,0)),0%,VLOOKUP(A144,'Données projet'!$A$191:$I$211,6,0)*VLOOKUP('Données projet'!$B$15,Paramètres!$A$1:$I$88,7,0))</f>
        <v>0</v>
      </c>
      <c r="DI144" s="37">
        <f>IF(ISNA(VLOOKUP(A144,'Données projet'!$A$191:$I$211,7,0)),0%,VLOOKUP(A144,'Données projet'!$A$191:$I$211,7,0))</f>
        <v>0</v>
      </c>
      <c r="DJ144" s="45">
        <f>EXP(-LN(2)/35)*DJ143+(1-EXP(-LN(2)/35))/(LN(2)/35)*DF144*DG144*VLOOKUP('Données projet'!$B$9,Paramètres!$A$1:$I$88,3,0)*0.475*44/12</f>
        <v>0</v>
      </c>
      <c r="DK144" s="45">
        <f>EXP(-LN(2)/25)*DK143+(1-EXP(-LN(2)/25))/(LN(2)/25)*Calculateur!DF144*Calculateur!DH144*VLOOKUP('Données projet'!$B$9,Paramètres!$A$1:$I$88,3,0)*0.475*44/12</f>
        <v>0</v>
      </c>
      <c r="DL144" s="45">
        <f>EXP(-LN(2)/2)*DL143+(1-EXP(-LN(2)/2))/(LN(2)/2)*DF144*DI144*VLOOKUP('Données projet'!$B$9,Paramètres!$A$1:$I$88,3,0)*0.475*44/12</f>
        <v>0</v>
      </c>
      <c r="DM144" s="46">
        <f t="shared" si="97"/>
        <v>0</v>
      </c>
      <c r="DN144" s="32" t="e">
        <f>VLOOKUP(A144,'Données projet'!$A$217:$I$237,2,0)</f>
        <v>#N/A</v>
      </c>
      <c r="DO144" s="33" t="e">
        <f>VLOOKUP(A144,'Données projet'!$A$217:$I$237,9,0)</f>
        <v>#N/A</v>
      </c>
      <c r="DP144" s="33">
        <f t="array" ref="DP144">INDEX(DO:DO,MIN(IF(ISNUMBER(DO144:DO340),ROW(DO144:DO340),"")))</f>
        <v>0</v>
      </c>
      <c r="DQ144" s="33">
        <f t="shared" si="120"/>
        <v>0</v>
      </c>
      <c r="DR144" s="38" t="e">
        <f>DQ144*VLOOKUP('Données projet'!$B$16,Paramètres!$A$1:$I$88,3,0)*VLOOKUP('Données projet'!$B$16,Paramètres!$A$1:$I$88,5,0)</f>
        <v>#N/A</v>
      </c>
      <c r="DS144" s="34" t="e">
        <f t="shared" si="121"/>
        <v>#N/A</v>
      </c>
      <c r="DT144" s="44" t="e">
        <f t="shared" si="98"/>
        <v>#N/A</v>
      </c>
      <c r="DU144" s="36">
        <f>IF(ISNA(VLOOKUP(A144,'Données projet'!$A$217:$I$237,3,0)),0,VLOOKUP(A144,'Données projet'!$A$217:$I$237,3,0))</f>
        <v>0</v>
      </c>
      <c r="DV144" s="36">
        <f>IF(ISNA(VLOOKUP(A144,'Données projet'!$A$217:$I$237,4,0)),0,VLOOKUP(A144,'Données projet'!$A$217:$I$237,4,0))</f>
        <v>0</v>
      </c>
      <c r="DW144" s="37">
        <f>IF(ISNA(VLOOKUP(A144,'Données projet'!$A$217:$I$237,5,0)),0%,VLOOKUP(A144,'Données projet'!$A$217:$I$237,5,0)*VLOOKUP('Données projet'!$B$16,Paramètres!$A$1:$I$88,7,0))</f>
        <v>0</v>
      </c>
      <c r="DX144" s="37">
        <f>IF(ISNA(VLOOKUP(A144,'Données projet'!$A$217:$I$237,6,0)),0%,VLOOKUP(A144,'Données projet'!$A$217:$I$237,6,0)*VLOOKUP('Données projet'!$B$16,Paramètres!$A$1:$I$88,7,0))</f>
        <v>0</v>
      </c>
      <c r="DY144" s="37">
        <f>IF(ISNA(VLOOKUP(A144,'Données projet'!$A$217:$I$237,7,0)),0%,VLOOKUP(A144,'Données projet'!$A$217:$I$237,7,0))</f>
        <v>0</v>
      </c>
      <c r="DZ144" s="45">
        <f>EXP(-LN(2)/35)*DZ143+(1-EXP(-LN(2)/35))/(LN(2)/35)*DV144*DW144*VLOOKUP('Données projet'!$B$9,Paramètres!$A$1:$I$88,3,0)*0.475*44/12</f>
        <v>0</v>
      </c>
      <c r="EA144" s="45">
        <f>EXP(-LN(2)/25)*EA143+(1-EXP(-LN(2)/25))/(LN(2)/25)*Calculateur!DV144*Calculateur!DX144*VLOOKUP('Données projet'!$B$9,Paramètres!$A$1:$I$88,3,0)*0.475*44/12</f>
        <v>0</v>
      </c>
      <c r="EB144" s="45">
        <f>EXP(-LN(2)/2)*EB143+(1-EXP(-LN(2)/2))/(LN(2)/2)*DV144*DY144*VLOOKUP('Données projet'!$B$9,Paramètres!$A$1:$I$88,3,0)*0.475*44/12</f>
        <v>0</v>
      </c>
      <c r="EC144" s="46">
        <f t="shared" si="99"/>
        <v>0</v>
      </c>
      <c r="ED144" s="32" t="e">
        <f>VLOOKUP(A144,'Données projet'!$A$243:$I$263,2,0)</f>
        <v>#N/A</v>
      </c>
      <c r="EE144" s="33" t="e">
        <f>VLOOKUP(A144,'Données projet'!$A$243:$I$263,9,0)</f>
        <v>#N/A</v>
      </c>
      <c r="EF144" s="33">
        <f t="array" ref="EF144">INDEX(EE:EE,MIN(IF(ISNUMBER(EE144:EE340),ROW(EE144:EE340),"")))</f>
        <v>0</v>
      </c>
      <c r="EG144" s="33">
        <f t="shared" si="122"/>
        <v>0</v>
      </c>
      <c r="EH144" s="38" t="e">
        <f>EG144*VLOOKUP('Données projet'!$B$17,Paramètres!$A$1:$I$88,3,0)*VLOOKUP('Données projet'!$B$17,Paramètres!$A$1:$I$88,5,0)</f>
        <v>#N/A</v>
      </c>
      <c r="EI144" s="34" t="e">
        <f t="shared" si="123"/>
        <v>#N/A</v>
      </c>
      <c r="EJ144" s="44" t="e">
        <f t="shared" si="100"/>
        <v>#N/A</v>
      </c>
      <c r="EK144" s="36">
        <f>IF(ISNA(VLOOKUP(A144,'Données projet'!$A$243:$I$263,3,0)),0,VLOOKUP(A144,'Données projet'!$A$243:$I$263,3,0))</f>
        <v>0</v>
      </c>
      <c r="EL144" s="36">
        <f>IF(ISNA(VLOOKUP(A144,'Données projet'!$A$243:$I$263,4,0)),0,VLOOKUP(A144,'Données projet'!$A$243:$I$263,4,0))</f>
        <v>0</v>
      </c>
      <c r="EM144" s="37">
        <f>IF(ISNA(VLOOKUP(A144,'Données projet'!$A$243:$I$263,5,0)),0%,VLOOKUP(A144,'Données projet'!$A$243:$I$263,5,0)*VLOOKUP('Données projet'!$B$17,Paramètres!$A$1:$I$88,7,0))</f>
        <v>0</v>
      </c>
      <c r="EN144" s="37">
        <f>IF(ISNA(VLOOKUP(A144,'Données projet'!$A$243:$I$263,6,0)),0%,VLOOKUP(A144,'Données projet'!$A$243:$I$263,6,0)*VLOOKUP('Données projet'!$B$17,Paramètres!$A$1:$I$88,7,0))</f>
        <v>0</v>
      </c>
      <c r="EO144" s="37">
        <f>IF(ISNA(VLOOKUP(A144,'Données projet'!$A$243:$I$263,7,0)),0%,VLOOKUP(A144,'Données projet'!$A$243:$I$263,7,0))</f>
        <v>0</v>
      </c>
      <c r="EP144" s="45">
        <f>EXP(-LN(2)/35)*EP143+(1-EXP(-LN(2)/35))/(LN(2)/35)*EL144*EM144*VLOOKUP('Données projet'!$B$9,Paramètres!$A$1:$I$88,3,0)*0.475*44/12</f>
        <v>0</v>
      </c>
      <c r="EQ144" s="45">
        <f>EXP(-LN(2)/25)*EQ143+(1-EXP(-LN(2)/25))/(LN(2)/25)*Calculateur!EL144*Calculateur!EN144*VLOOKUP('Données projet'!$B$9,Paramètres!$A$1:$I$88,3,0)*0.475*44/12</f>
        <v>0</v>
      </c>
      <c r="ER144" s="45">
        <f>EXP(-LN(2)/2)*ER143+(1-EXP(-LN(2)/2))/(LN(2)/2)*EL144*EO144*VLOOKUP('Données projet'!$B$9,Paramètres!$A$1:$I$88,3,0)*0.475*44/12</f>
        <v>0</v>
      </c>
      <c r="ES144" s="46">
        <f t="shared" si="101"/>
        <v>0</v>
      </c>
      <c r="ET144" s="32" t="e">
        <f>VLOOKUP(A144,'Données projet'!$A$269:$I$289,2,0)</f>
        <v>#N/A</v>
      </c>
      <c r="EU144" s="33" t="e">
        <f>VLOOKUP(A144,'Données projet'!$A$269:$I$289,9,0)</f>
        <v>#N/A</v>
      </c>
      <c r="EV144" s="33">
        <f t="array" ref="EV144">INDEX(EU:EU,MIN(IF(ISNUMBER(EU144:EU340),ROW(EU144:EU340),"")))</f>
        <v>0</v>
      </c>
      <c r="EW144" s="33">
        <f t="shared" si="124"/>
        <v>0</v>
      </c>
      <c r="EX144" s="38" t="e">
        <f>EW144*VLOOKUP('Données projet'!$B$18,Paramètres!$A$1:$I$88,3,0)*VLOOKUP('Données projet'!$B$18,Paramètres!$A$1:$I$88,5,0)</f>
        <v>#N/A</v>
      </c>
      <c r="EY144" s="34" t="e">
        <f t="shared" si="125"/>
        <v>#N/A</v>
      </c>
      <c r="EZ144" s="44" t="e">
        <f t="shared" si="102"/>
        <v>#N/A</v>
      </c>
      <c r="FA144" s="36">
        <f>IF(ISNA(VLOOKUP(A144,'Données projet'!$A$269:$I$289,3,0)),0,VLOOKUP(A144,'Données projet'!$A$269:$I$289,3,0))</f>
        <v>0</v>
      </c>
      <c r="FB144" s="36">
        <f>IF(ISNA(VLOOKUP(A144,'Données projet'!$A$269:$I$289,4,0)),0,VLOOKUP(A144,'Données projet'!$A$269:$I$289,4,0))</f>
        <v>0</v>
      </c>
      <c r="FC144" s="37">
        <f>IF(ISNA(VLOOKUP(A144,'Données projet'!$A$269:$I$289,5,0)),0%,VLOOKUP(A144,'Données projet'!$A$269:$I$289,5,0)*VLOOKUP('Données projet'!$B$18,Paramètres!$A$1:$I$88,7,0))</f>
        <v>0</v>
      </c>
      <c r="FD144" s="37">
        <f>IF(ISNA(VLOOKUP(A144,'Données projet'!$A$269:$I$289,6,0)),0%,VLOOKUP(A144,'Données projet'!$A$269:$I$289,6,0)*VLOOKUP('Données projet'!$B$18,Paramètres!$A$1:$I$88,7,0))</f>
        <v>0</v>
      </c>
      <c r="FE144" s="37">
        <f>IF(ISNA(VLOOKUP(A144,'Données projet'!$A$269:$I$289,7,0)),0%,VLOOKUP(A144,'Données projet'!$A$269:$I$289,7,0))</f>
        <v>0</v>
      </c>
      <c r="FF144" s="45">
        <f>EXP(-LN(2)/35)*FF143+(1-EXP(-LN(2)/35))/(LN(2)/35)*FB144*FC144*VLOOKUP('Données projet'!$B$9,Paramètres!$A$1:$I$88,3,0)*0.475*44/12</f>
        <v>0</v>
      </c>
      <c r="FG144" s="45">
        <f>EXP(-LN(2)/25)*FG143+(1-EXP(-LN(2)/25))/(LN(2)/25)*Calculateur!FB144*Calculateur!FD144*VLOOKUP('Données projet'!$B$9,Paramètres!$A$1:$I$88,3,0)*0.475*44/12</f>
        <v>0</v>
      </c>
      <c r="FH144" s="45">
        <f>EXP(-LN(2)/2)*FH143+(1-EXP(-LN(2)/2))/(LN(2)/2)*FB144*FE144*VLOOKUP('Données projet'!$B$9,Paramètres!$A$1:$I$88,3,0)*0.475*44/12</f>
        <v>0</v>
      </c>
      <c r="FI144" s="46">
        <f t="shared" si="103"/>
        <v>0</v>
      </c>
    </row>
    <row r="145" spans="1:165" x14ac:dyDescent="0.25">
      <c r="A145" s="24">
        <f t="shared" si="104"/>
        <v>142</v>
      </c>
      <c r="B145" s="25">
        <f>IF('Scénario référence'!$N$1=1,5,0)</f>
        <v>0</v>
      </c>
      <c r="C145" s="40">
        <f>IF(OR('Scénario référence'!$N$1=2,'Scénario référence'!$N$1=4),C144+1*VLOOKUP('Scénario référence'!$G$14,Paramètres!$A$1:$I$88,3,0)*VLOOKUP('Scénario référence'!$G$14,Paramètres!$A$1:$I$88,5,0),IF(OR('Scénario référence'!$N$1=3,'Scénario référence'!$N$1=5),C144+0.5*VLOOKUP('Scénario référence'!$G$14,Paramètres!$A$1:$I$88,3,0)*VLOOKUP('Scénario référence'!$G$14,Paramètres!$A$1:$I$88,5,0),0))</f>
        <v>77.532000000000096</v>
      </c>
      <c r="D145" s="26">
        <f t="shared" si="105"/>
        <v>21.532649196514924</v>
      </c>
      <c r="E145" s="27">
        <f>IF('Scénario référence'!$N$1=1,B145*44/12,(C145+D145)*0.475*44/12)</f>
        <v>172.537597350597</v>
      </c>
      <c r="F145" s="28" t="e">
        <f>VLOOKUP(A145,'Données projet'!$A$35:$I$55,2,0)</f>
        <v>#N/A</v>
      </c>
      <c r="G145" s="28" t="e">
        <f>VLOOKUP(A145,'Données projet'!$A$35:$I$55,9,0)</f>
        <v>#N/A</v>
      </c>
      <c r="H145" s="33">
        <f t="array" ref="H145">INDEX(G:G,MIN(IF(ISNUMBER(G145:G341),ROW(G145:G341),"")))</f>
        <v>2.6</v>
      </c>
      <c r="I145" s="28">
        <f t="shared" si="106"/>
        <v>287.19999999999948</v>
      </c>
      <c r="J145" s="41">
        <f>I145*VLOOKUP('Données projet'!$B$9,Paramètres!$A$1:$I$88,3,0)*VLOOKUP('Données projet'!$B$9,Paramètres!$A$1:$I$88,5,0)</f>
        <v>291.22079999999949</v>
      </c>
      <c r="K145" s="41">
        <f t="shared" si="107"/>
        <v>69.332836665856547</v>
      </c>
      <c r="L145" s="42">
        <f t="shared" si="84"/>
        <v>627.96425052636596</v>
      </c>
      <c r="M145" s="30">
        <f>IF(ISNA(VLOOKUP(A145,'Données projet'!$A$35:$I$55,3,0)),0,VLOOKUP(A145,'Données projet'!$A$35:$I$55,3,0))</f>
        <v>0</v>
      </c>
      <c r="N145" s="30">
        <f>IF(ISNA(VLOOKUP(A145,'Données projet'!$A$35:$I$55,4,0)),0,VLOOKUP(A145,'Données projet'!$A$35:$I$55,4,0))</f>
        <v>0</v>
      </c>
      <c r="O145" s="31">
        <f>IF(ISNA(VLOOKUP(A145,'Données projet'!$A$35:$I$55,5,0)),0%,VLOOKUP(A145,'Données projet'!$A$35:$I$55,5,0)*VLOOKUP('Données projet'!$B$9,Paramètres!$A$1:$I$88,7,0))</f>
        <v>0</v>
      </c>
      <c r="P145" s="31">
        <f>IF(ISNA(VLOOKUP(A145,'Données projet'!$A$35:$I$55,6,0)),0%,VLOOKUP(A145,'Données projet'!$A$35:$I$55,6,0)*VLOOKUP('Données projet'!$B$9,Paramètres!$A$1:$I$88,7,0))</f>
        <v>0</v>
      </c>
      <c r="Q145" s="31">
        <f>IF(ISNA(VLOOKUP(A145,'Données projet'!$A$35:$I$55,7,0)),0%,VLOOKUP(A145,'Données projet'!$A$35:$I$55,7,0))</f>
        <v>0</v>
      </c>
      <c r="R145" s="43">
        <f>EXP(-LN(2)/35)*R144+(1-EXP(-LN(2)/35))/(LN(2)/35)*N145*O145*VLOOKUP('Données projet'!$B$9,Paramètres!$A$1:$I$88,3,0)*0.475*44/12</f>
        <v>0</v>
      </c>
      <c r="S145" s="43">
        <f>EXP(-LN(2)/25)*S144+(1-EXP(-LN(2)/25))/(LN(2)/25)*Calculateur!N145*Calculateur!P145*VLOOKUP('Données projet'!$B$9,Paramètres!$A$1:$I$88,3,0)*0.475*44/12</f>
        <v>0</v>
      </c>
      <c r="T145" s="43">
        <f>EXP(-LN(2)/2)*T144+(1-EXP(-LN(2)/2))/(LN(2)/2)*N145*Q145*VLOOKUP('Données projet'!$B$9,Paramètres!$A$1:$I$88,3,0)*0.475*44/12</f>
        <v>0</v>
      </c>
      <c r="U145" s="43">
        <f t="shared" si="85"/>
        <v>0</v>
      </c>
      <c r="V145" s="32" t="e">
        <f>VLOOKUP(A145,'Données projet'!$A$61:$I$81,2,0)</f>
        <v>#N/A</v>
      </c>
      <c r="W145" s="33" t="e">
        <f>VLOOKUP(A145,'Données projet'!$A$61:$I$81,9,0)</f>
        <v>#N/A</v>
      </c>
      <c r="X145" s="33">
        <f t="array" ref="X145">INDEX(W:W,MIN(IF(ISNUMBER(W145:W341),ROW(W145:W341),"")))</f>
        <v>0</v>
      </c>
      <c r="Y145" s="33">
        <f t="shared" si="108"/>
        <v>0</v>
      </c>
      <c r="Z145" s="34" t="e">
        <f>Y145*VLOOKUP('Données projet'!$B$10,Paramètres!$A$1:$I$88,3,0)*VLOOKUP('Données projet'!$B$10,Paramètres!$A$1:$I$88,5,0)</f>
        <v>#N/A</v>
      </c>
      <c r="AA145" s="34" t="e">
        <f t="shared" si="109"/>
        <v>#N/A</v>
      </c>
      <c r="AB145" s="44" t="e">
        <f t="shared" si="86"/>
        <v>#N/A</v>
      </c>
      <c r="AC145" s="36">
        <f>IF(ISNA(VLOOKUP(A145,'Données projet'!$A$61:$I$81,3,0)),0,VLOOKUP(A145,'Données projet'!$A$61:$I$81,3,0))</f>
        <v>0</v>
      </c>
      <c r="AD145" s="36">
        <f>IF(ISNA(VLOOKUP(A145,'Données projet'!$A$61:$I$81,4,0)),0,VLOOKUP(A145,'Données projet'!$A$61:$I$81,4,0))</f>
        <v>0</v>
      </c>
      <c r="AE145" s="37">
        <f>IF(ISNA(VLOOKUP(A145,'Données projet'!$A$61:$I$81,5,0)),0%,VLOOKUP(A145,'Données projet'!$A$61:$I$81,5,0)*VLOOKUP('Données projet'!$B$10,Paramètres!$A$1:$I$88,7,0))</f>
        <v>0</v>
      </c>
      <c r="AF145" s="37">
        <f>IF(ISNA(VLOOKUP(A145,'Données projet'!$A$61:$I$81,6,0)),0%,VLOOKUP(A145,'Données projet'!$A$61:$I$81,6,0)*VLOOKUP('Données projet'!$B$10,Paramètres!$A$1:$I$88,7,0))</f>
        <v>0</v>
      </c>
      <c r="AG145" s="37">
        <f>IF(ISNA(VLOOKUP(A145,'Données projet'!$A$61:$I$81,7,0)),0%,VLOOKUP(A145,'Données projet'!$A$61:$I$81,7,0))</f>
        <v>0</v>
      </c>
      <c r="AH145" s="45">
        <f>EXP(-LN(2)/35)*AH144+(1-EXP(-LN(2)/35))/(LN(2)/35)*AD145*AE145*VLOOKUP('Données projet'!$B$9,Paramètres!$A$1:$I$88,3,0)*0.475*44/12</f>
        <v>0</v>
      </c>
      <c r="AI145" s="45">
        <f>EXP(-LN(2)/25)*AI144+(1-EXP(-LN(2)/25))/(LN(2)/25)*Calculateur!AD145*Calculateur!AF145*VLOOKUP('Données projet'!$B$9,Paramètres!$A$1:$I$88,3,0)*0.475*44/12</f>
        <v>0</v>
      </c>
      <c r="AJ145" s="45">
        <f>EXP(-LN(2)/2)*AJ144+(1-EXP(-LN(2)/2))/(LN(2)/2)*AD145*AG145*VLOOKUP('Données projet'!$B$9,Paramètres!$A$1:$I$88,3,0)*0.475*44/12</f>
        <v>0</v>
      </c>
      <c r="AK145" s="45">
        <f t="shared" si="87"/>
        <v>0</v>
      </c>
      <c r="AL145" s="32" t="e">
        <f>VLOOKUP(A145,'Données projet'!$A$87:$I$107,2,0)</f>
        <v>#N/A</v>
      </c>
      <c r="AM145" s="33" t="e">
        <f>VLOOKUP(A145,'Données projet'!$A$87:$I$107,9,0)</f>
        <v>#N/A</v>
      </c>
      <c r="AN145" s="33">
        <f t="array" ref="AN145">INDEX(AM:AM,MIN(IF(ISNUMBER(AM145:AM341),ROW(AM145:AM341),"")))</f>
        <v>0</v>
      </c>
      <c r="AO145" s="33">
        <f t="shared" si="110"/>
        <v>0</v>
      </c>
      <c r="AP145" s="34" t="e">
        <f>AO145*VLOOKUP('Données projet'!$B$11,Paramètres!$A$1:$I$88,3,0)*VLOOKUP('Données projet'!$B$11,Paramètres!$A$1:$I$88,5,0)</f>
        <v>#N/A</v>
      </c>
      <c r="AQ145" s="34" t="e">
        <f t="shared" si="111"/>
        <v>#N/A</v>
      </c>
      <c r="AR145" s="44" t="e">
        <f t="shared" si="88"/>
        <v>#N/A</v>
      </c>
      <c r="AS145" s="36">
        <f>IF(ISNA(VLOOKUP(A145,'Données projet'!$A$87:$I$107,3,0)),0,VLOOKUP(A145,'Données projet'!$A$87:$I$107,3,0))</f>
        <v>0</v>
      </c>
      <c r="AT145" s="36">
        <f>IF(ISNA(VLOOKUP(A145,'Données projet'!$A$87:$I$107,4,0)),0,VLOOKUP(A145,'Données projet'!$A$87:$I$107,4,0))</f>
        <v>0</v>
      </c>
      <c r="AU145" s="37">
        <f>IF(ISNA(VLOOKUP(A145,'Données projet'!$A$87:$I$107,5,0)),0%,VLOOKUP(A145,'Données projet'!$A$87:$I$107,5,0)*VLOOKUP('Données projet'!$B$11,Paramètres!$A$1:$I$88,7,0))</f>
        <v>0</v>
      </c>
      <c r="AV145" s="37">
        <f>IF(ISNA(VLOOKUP(A145,'Données projet'!$A$87:$I$107,6,0)),0%,VLOOKUP(A145,'Données projet'!$A$87:$I$107,6,0)*VLOOKUP('Données projet'!$B$11,Paramètres!$A$1:$I$88,7,0))</f>
        <v>0</v>
      </c>
      <c r="AW145" s="37">
        <f>IF(ISNA(VLOOKUP(A145,'Données projet'!$A$87:$I$107,7,0)),0%,VLOOKUP(A145,'Données projet'!$A$87:$I$107,7,0))</f>
        <v>0</v>
      </c>
      <c r="AX145" s="45">
        <f>EXP(-LN(2)/35)*AX144+(1-EXP(-LN(2)/35))/(LN(2)/35)*AT145*AU145*VLOOKUP('Données projet'!$B$9,Paramètres!$A$1:$I$88,3,0)*0.475*44/12</f>
        <v>0</v>
      </c>
      <c r="AY145" s="45">
        <f>EXP(-LN(2)/25)*AY144+(1-EXP(-LN(2)/25))/(LN(2)/25)*Calculateur!AT145*Calculateur!AV145*VLOOKUP('Données projet'!$B$9,Paramètres!$A$1:$I$88,3,0)*0.475*44/12</f>
        <v>0</v>
      </c>
      <c r="AZ145" s="45">
        <f>EXP(-LN(2)/2)*AZ144+(1-EXP(-LN(2)/2))/(LN(2)/2)*AT145*AW145*VLOOKUP('Données projet'!$B$9,Paramètres!$A$1:$I$88,3,0)*0.475*44/12</f>
        <v>0</v>
      </c>
      <c r="BA145" s="46">
        <f t="shared" si="89"/>
        <v>0</v>
      </c>
      <c r="BB145" s="32" t="e">
        <f>VLOOKUP(A145,'Données projet'!$A$113:$I$133,2,0)</f>
        <v>#N/A</v>
      </c>
      <c r="BC145" s="33" t="e">
        <f>VLOOKUP(A145,'Données projet'!$A$113:$I$133,9,0)</f>
        <v>#N/A</v>
      </c>
      <c r="BD145" s="33">
        <f t="array" ref="BD145">INDEX(BC:BC,MIN(IF(ISNUMBER(BC145:BC341),ROW(BC145:BC341),"")))</f>
        <v>0</v>
      </c>
      <c r="BE145" s="33">
        <f t="shared" si="112"/>
        <v>0</v>
      </c>
      <c r="BF145" s="34" t="e">
        <f>BE145*VLOOKUP('Données projet'!$B$12,Paramètres!$A$1:$I$88,3,0)*VLOOKUP('Données projet'!$B$12,Paramètres!$A$1:$I$88,5,0)</f>
        <v>#N/A</v>
      </c>
      <c r="BG145" s="34" t="e">
        <f t="shared" si="113"/>
        <v>#N/A</v>
      </c>
      <c r="BH145" s="44" t="e">
        <f t="shared" si="90"/>
        <v>#N/A</v>
      </c>
      <c r="BI145" s="36">
        <f>IF(ISNA(VLOOKUP(A145,'Données projet'!$A$113:$I$133,3,0)),0,VLOOKUP(A145,'Données projet'!$A$113:$I$133,3,0))</f>
        <v>0</v>
      </c>
      <c r="BJ145" s="36">
        <f>IF(ISNA(VLOOKUP(A145,'Données projet'!$A$113:$I$133,4,0)),0,VLOOKUP(A145,'Données projet'!$A$113:$I$133,4,0))</f>
        <v>0</v>
      </c>
      <c r="BK145" s="37">
        <f>IF(ISNA(VLOOKUP(A145,'Données projet'!$A$113:$I$133,5,0)),0%,VLOOKUP(A145,'Données projet'!$A$113:$I$133,5,0)*VLOOKUP('Données projet'!$B$12,Paramètres!$A$1:$I$88,7,0))</f>
        <v>0</v>
      </c>
      <c r="BL145" s="37">
        <f>IF(ISNA(VLOOKUP(A145,'Données projet'!$A$113:$I$133,6,0)),0%,VLOOKUP(A145,'Données projet'!$A$113:$I$133,6,0)*VLOOKUP('Données projet'!$B$12,Paramètres!$A$1:$I$88,7,0))</f>
        <v>0</v>
      </c>
      <c r="BM145" s="37">
        <f>IF(ISNA(VLOOKUP(A145,'Données projet'!$A$113:$I$133,7,0)),0%,VLOOKUP(A145,'Données projet'!$A$113:$I$133,7,0))</f>
        <v>0</v>
      </c>
      <c r="BN145" s="45">
        <f>EXP(-LN(2)/35)*BN144+(1-EXP(-LN(2)/35))/(LN(2)/35)*BJ145*BK145*VLOOKUP('Données projet'!$B$9,Paramètres!$A$1:$I$88,3,0)*0.475*44/12</f>
        <v>0</v>
      </c>
      <c r="BO145" s="45">
        <f>EXP(-LN(2)/25)*BO144+(1-EXP(-LN(2)/25))/(LN(2)/25)*Calculateur!BJ145*Calculateur!BL145*VLOOKUP('Données projet'!$B$9,Paramètres!$A$1:$I$88,3,0)*0.475*44/12</f>
        <v>0</v>
      </c>
      <c r="BP145" s="45">
        <f>EXP(-LN(2)/2)*BP144+(1-EXP(-LN(2)/2))/(LN(2)/2)*BJ145*BM145*VLOOKUP('Données projet'!$B$9,Paramètres!$A$1:$I$88,3,0)*0.475*44/12</f>
        <v>0</v>
      </c>
      <c r="BQ145" s="46">
        <f t="shared" si="91"/>
        <v>0</v>
      </c>
      <c r="BR145" s="32" t="e">
        <f>VLOOKUP(A145,'Données projet'!$A$139:$I$159,2,0)</f>
        <v>#N/A</v>
      </c>
      <c r="BS145" s="33" t="e">
        <f>VLOOKUP(A145,'Données projet'!$A$139:$I$159,9,0)</f>
        <v>#N/A</v>
      </c>
      <c r="BT145" s="33">
        <f t="array" ref="BT145">INDEX(BS:BS,MIN(IF(ISNUMBER(BS145:BS341),ROW(BS145:BS341),"")))</f>
        <v>0</v>
      </c>
      <c r="BU145" s="33">
        <f t="shared" si="114"/>
        <v>0</v>
      </c>
      <c r="BV145" s="38" t="e">
        <f>BU145*VLOOKUP('Données projet'!$B$13,Paramètres!$A$1:$I$88,3,0)*VLOOKUP('Données projet'!$B$13,Paramètres!$A$1:$I$88,5,0)</f>
        <v>#N/A</v>
      </c>
      <c r="BW145" s="34" t="e">
        <f t="shared" si="115"/>
        <v>#N/A</v>
      </c>
      <c r="BX145" s="44" t="e">
        <f t="shared" si="92"/>
        <v>#N/A</v>
      </c>
      <c r="BY145" s="36">
        <f>IF(ISNA(VLOOKUP(A145,'Données projet'!$A$139:$I$159,3,0)),0,VLOOKUP(A145,'Données projet'!$A$139:$I$159,3,0))</f>
        <v>0</v>
      </c>
      <c r="BZ145" s="36">
        <f>IF(ISNA(VLOOKUP(A145,'Données projet'!$A$139:$I$159,4,0)),0,VLOOKUP(A145,'Données projet'!$A$139:$I$159,4,0))</f>
        <v>0</v>
      </c>
      <c r="CA145" s="37">
        <f>IF(ISNA(VLOOKUP(A145,'Données projet'!$A$139:$I$159,5,0)),0%,VLOOKUP(A145,'Données projet'!$A$139:$I$159,5,0)*VLOOKUP('Données projet'!$B$13,Paramètres!$A$1:$I$88,7,0))</f>
        <v>0</v>
      </c>
      <c r="CB145" s="37">
        <f>IF(ISNA(VLOOKUP(A145,'Données projet'!$A$139:$I$159,6,0)),0%,VLOOKUP(A145,'Données projet'!$A$139:$I$159,6,0)*VLOOKUP('Données projet'!$B$13,Paramètres!$A$1:$I$88,7,0))</f>
        <v>0</v>
      </c>
      <c r="CC145" s="37">
        <f>IF(ISNA(VLOOKUP(A145,'Données projet'!$A$139:$I$159,7,0)),0%,VLOOKUP(A145,'Données projet'!$A$139:$I$159,7,0))</f>
        <v>0</v>
      </c>
      <c r="CD145" s="45">
        <f>EXP(-LN(2)/35)*CD144+(1-EXP(-LN(2)/35))/(LN(2)/35)*BZ145*CA145*VLOOKUP('Données projet'!$B$9,Paramètres!$A$1:$I$88,3,0)*0.475*44/12</f>
        <v>0</v>
      </c>
      <c r="CE145" s="45">
        <f>EXP(-LN(2)/25)*CE144+(1-EXP(-LN(2)/25))/(LN(2)/25)*Calculateur!BZ145*Calculateur!CB145*VLOOKUP('Données projet'!$B$9,Paramètres!$A$1:$I$88,3,0)*0.475*44/12</f>
        <v>0</v>
      </c>
      <c r="CF145" s="45">
        <f>EXP(-LN(2)/2)*CF144+(1-EXP(-LN(2)/2))/(LN(2)/2)*BZ145*CC145*VLOOKUP('Données projet'!$B$9,Paramètres!$A$1:$I$88,3,0)*0.475*44/12</f>
        <v>0</v>
      </c>
      <c r="CG145" s="46">
        <f t="shared" si="93"/>
        <v>0</v>
      </c>
      <c r="CH145" s="32" t="e">
        <f>VLOOKUP(A145,'Données projet'!$A$165:$I$185,2,0)</f>
        <v>#N/A</v>
      </c>
      <c r="CI145" s="33" t="e">
        <f>VLOOKUP(A145,'Données projet'!$A$165:$I$185,9,0)</f>
        <v>#N/A</v>
      </c>
      <c r="CJ145" s="33">
        <f t="array" ref="CJ145">INDEX(CI:CI,MIN(IF(ISNUMBER(CI145:CI341),ROW(CI145:CI341),"")))</f>
        <v>0</v>
      </c>
      <c r="CK145" s="33">
        <f t="shared" si="116"/>
        <v>0</v>
      </c>
      <c r="CL145" s="38" t="e">
        <f>CK145*VLOOKUP('Données projet'!$B$14,Paramètres!$A$1:$I$88,3,0)*VLOOKUP('Données projet'!$B$14,Paramètres!$A$1:$I$88,5,0)</f>
        <v>#N/A</v>
      </c>
      <c r="CM145" s="34" t="e">
        <f t="shared" si="117"/>
        <v>#N/A</v>
      </c>
      <c r="CN145" s="44" t="e">
        <f t="shared" si="94"/>
        <v>#N/A</v>
      </c>
      <c r="CO145" s="36">
        <f>IF(ISNA(VLOOKUP(A145,'Données projet'!$A$165:$I$185,3,0)),0,VLOOKUP(A145,'Données projet'!$A$165:$I$185,3,0))</f>
        <v>0</v>
      </c>
      <c r="CP145" s="36">
        <f>IF(ISNA(VLOOKUP(A145,'Données projet'!$A$165:$I$185,4,0)),0,VLOOKUP(A145,'Données projet'!$A$165:$I$185,4,0))</f>
        <v>0</v>
      </c>
      <c r="CQ145" s="37">
        <f>IF(ISNA(VLOOKUP(A145,'Données projet'!$A$165:$I$185,5,0)),0%,VLOOKUP(A145,'Données projet'!$A$165:$I$185,5,0)*VLOOKUP('Données projet'!$B$14,Paramètres!$A$1:$I$88,7,0))</f>
        <v>0</v>
      </c>
      <c r="CR145" s="37">
        <f>IF(ISNA(VLOOKUP(A145,'Données projet'!$A$165:$I$185,6,0)),0%,VLOOKUP(A145,'Données projet'!$A$165:$I$185,6,0)*VLOOKUP('Données projet'!$B$14,Paramètres!$A$1:$I$88,7,0))</f>
        <v>0</v>
      </c>
      <c r="CS145" s="37">
        <f>IF(ISNA(VLOOKUP(A145,'Données projet'!$A$165:$I$185,7,0)),0%,VLOOKUP(A145,'Données projet'!$A$165:$I$185,7,0))</f>
        <v>0</v>
      </c>
      <c r="CT145" s="45">
        <f>EXP(-LN(2)/35)*CT144+(1-EXP(-LN(2)/35))/(LN(2)/35)*CP145*CQ145*VLOOKUP('Données projet'!$B$9,Paramètres!$A$1:$I$88,3,0)*0.475*44/12</f>
        <v>0</v>
      </c>
      <c r="CU145" s="45">
        <f>EXP(-LN(2)/25)*CU144+(1-EXP(-LN(2)/25))/(LN(2)/25)*Calculateur!CP145*Calculateur!CR145*VLOOKUP('Données projet'!$B$9,Paramètres!$A$1:$I$88,3,0)*0.475*44/12</f>
        <v>0</v>
      </c>
      <c r="CV145" s="45">
        <f>EXP(-LN(2)/2)*CV144+(1-EXP(-LN(2)/2))/(LN(2)/2)*CP145*CS145*VLOOKUP('Données projet'!$B$9,Paramètres!$A$1:$I$88,3,0)*0.475*44/12</f>
        <v>0</v>
      </c>
      <c r="CW145" s="46">
        <f t="shared" si="95"/>
        <v>0</v>
      </c>
      <c r="CX145" s="32" t="e">
        <f>VLOOKUP(A145,'Données projet'!$A$191:$I$211,2,0)</f>
        <v>#N/A</v>
      </c>
      <c r="CY145" s="33" t="e">
        <f>VLOOKUP(A145,'Données projet'!$A$191:$I$211,9,0)</f>
        <v>#N/A</v>
      </c>
      <c r="CZ145" s="33">
        <f t="array" ref="CZ145">INDEX(CY:CY,MIN(IF(ISNUMBER(CY145:CY341),ROW(CY145:CY341),"")))</f>
        <v>0</v>
      </c>
      <c r="DA145" s="33">
        <f t="shared" si="118"/>
        <v>0</v>
      </c>
      <c r="DB145" s="38" t="e">
        <f>DA145*VLOOKUP('Données projet'!$B$15,Paramètres!$A$1:$I$88,3,0)*VLOOKUP('Données projet'!$B$15,Paramètres!$A$1:$I$88,5,0)</f>
        <v>#N/A</v>
      </c>
      <c r="DC145" s="34" t="e">
        <f t="shared" si="119"/>
        <v>#N/A</v>
      </c>
      <c r="DD145" s="44" t="e">
        <f t="shared" si="96"/>
        <v>#N/A</v>
      </c>
      <c r="DE145" s="36">
        <f>IF(ISNA(VLOOKUP(A145,'Données projet'!$A$191:$I$211,3,0)),0,VLOOKUP(A145,'Données projet'!$A$191:$I$211,3,0))</f>
        <v>0</v>
      </c>
      <c r="DF145" s="36">
        <f>IF(ISNA(VLOOKUP(A145,'Données projet'!$A$191:$I$211,4,0)),0,VLOOKUP(A145,'Données projet'!$A$191:$I$211,4,0))</f>
        <v>0</v>
      </c>
      <c r="DG145" s="37">
        <f>IF(ISNA(VLOOKUP(A145,'Données projet'!$A$191:$I$211,5,0)),0%,VLOOKUP(A145,'Données projet'!$A$191:$I$211,5,0)*VLOOKUP('Données projet'!$B$15,Paramètres!$A$1:$I$88,7,0))</f>
        <v>0</v>
      </c>
      <c r="DH145" s="37">
        <f>IF(ISNA(VLOOKUP(A145,'Données projet'!$A$191:$I$211,6,0)),0%,VLOOKUP(A145,'Données projet'!$A$191:$I$211,6,0)*VLOOKUP('Données projet'!$B$15,Paramètres!$A$1:$I$88,7,0))</f>
        <v>0</v>
      </c>
      <c r="DI145" s="37">
        <f>IF(ISNA(VLOOKUP(A145,'Données projet'!$A$191:$I$211,7,0)),0%,VLOOKUP(A145,'Données projet'!$A$191:$I$211,7,0))</f>
        <v>0</v>
      </c>
      <c r="DJ145" s="45">
        <f>EXP(-LN(2)/35)*DJ144+(1-EXP(-LN(2)/35))/(LN(2)/35)*DF145*DG145*VLOOKUP('Données projet'!$B$9,Paramètres!$A$1:$I$88,3,0)*0.475*44/12</f>
        <v>0</v>
      </c>
      <c r="DK145" s="45">
        <f>EXP(-LN(2)/25)*DK144+(1-EXP(-LN(2)/25))/(LN(2)/25)*Calculateur!DF145*Calculateur!DH145*VLOOKUP('Données projet'!$B$9,Paramètres!$A$1:$I$88,3,0)*0.475*44/12</f>
        <v>0</v>
      </c>
      <c r="DL145" s="45">
        <f>EXP(-LN(2)/2)*DL144+(1-EXP(-LN(2)/2))/(LN(2)/2)*DF145*DI145*VLOOKUP('Données projet'!$B$9,Paramètres!$A$1:$I$88,3,0)*0.475*44/12</f>
        <v>0</v>
      </c>
      <c r="DM145" s="46">
        <f t="shared" si="97"/>
        <v>0</v>
      </c>
      <c r="DN145" s="32" t="e">
        <f>VLOOKUP(A145,'Données projet'!$A$217:$I$237,2,0)</f>
        <v>#N/A</v>
      </c>
      <c r="DO145" s="33" t="e">
        <f>VLOOKUP(A145,'Données projet'!$A$217:$I$237,9,0)</f>
        <v>#N/A</v>
      </c>
      <c r="DP145" s="33">
        <f t="array" ref="DP145">INDEX(DO:DO,MIN(IF(ISNUMBER(DO145:DO341),ROW(DO145:DO341),"")))</f>
        <v>0</v>
      </c>
      <c r="DQ145" s="33">
        <f t="shared" si="120"/>
        <v>0</v>
      </c>
      <c r="DR145" s="38" t="e">
        <f>DQ145*VLOOKUP('Données projet'!$B$16,Paramètres!$A$1:$I$88,3,0)*VLOOKUP('Données projet'!$B$16,Paramètres!$A$1:$I$88,5,0)</f>
        <v>#N/A</v>
      </c>
      <c r="DS145" s="34" t="e">
        <f t="shared" si="121"/>
        <v>#N/A</v>
      </c>
      <c r="DT145" s="44" t="e">
        <f t="shared" si="98"/>
        <v>#N/A</v>
      </c>
      <c r="DU145" s="36">
        <f>IF(ISNA(VLOOKUP(A145,'Données projet'!$A$217:$I$237,3,0)),0,VLOOKUP(A145,'Données projet'!$A$217:$I$237,3,0))</f>
        <v>0</v>
      </c>
      <c r="DV145" s="36">
        <f>IF(ISNA(VLOOKUP(A145,'Données projet'!$A$217:$I$237,4,0)),0,VLOOKUP(A145,'Données projet'!$A$217:$I$237,4,0))</f>
        <v>0</v>
      </c>
      <c r="DW145" s="37">
        <f>IF(ISNA(VLOOKUP(A145,'Données projet'!$A$217:$I$237,5,0)),0%,VLOOKUP(A145,'Données projet'!$A$217:$I$237,5,0)*VLOOKUP('Données projet'!$B$16,Paramètres!$A$1:$I$88,7,0))</f>
        <v>0</v>
      </c>
      <c r="DX145" s="37">
        <f>IF(ISNA(VLOOKUP(A145,'Données projet'!$A$217:$I$237,6,0)),0%,VLOOKUP(A145,'Données projet'!$A$217:$I$237,6,0)*VLOOKUP('Données projet'!$B$16,Paramètres!$A$1:$I$88,7,0))</f>
        <v>0</v>
      </c>
      <c r="DY145" s="37">
        <f>IF(ISNA(VLOOKUP(A145,'Données projet'!$A$217:$I$237,7,0)),0%,VLOOKUP(A145,'Données projet'!$A$217:$I$237,7,0))</f>
        <v>0</v>
      </c>
      <c r="DZ145" s="45">
        <f>EXP(-LN(2)/35)*DZ144+(1-EXP(-LN(2)/35))/(LN(2)/35)*DV145*DW145*VLOOKUP('Données projet'!$B$9,Paramètres!$A$1:$I$88,3,0)*0.475*44/12</f>
        <v>0</v>
      </c>
      <c r="EA145" s="45">
        <f>EXP(-LN(2)/25)*EA144+(1-EXP(-LN(2)/25))/(LN(2)/25)*Calculateur!DV145*Calculateur!DX145*VLOOKUP('Données projet'!$B$9,Paramètres!$A$1:$I$88,3,0)*0.475*44/12</f>
        <v>0</v>
      </c>
      <c r="EB145" s="45">
        <f>EXP(-LN(2)/2)*EB144+(1-EXP(-LN(2)/2))/(LN(2)/2)*DV145*DY145*VLOOKUP('Données projet'!$B$9,Paramètres!$A$1:$I$88,3,0)*0.475*44/12</f>
        <v>0</v>
      </c>
      <c r="EC145" s="46">
        <f t="shared" si="99"/>
        <v>0</v>
      </c>
      <c r="ED145" s="32" t="e">
        <f>VLOOKUP(A145,'Données projet'!$A$243:$I$263,2,0)</f>
        <v>#N/A</v>
      </c>
      <c r="EE145" s="33" t="e">
        <f>VLOOKUP(A145,'Données projet'!$A$243:$I$263,9,0)</f>
        <v>#N/A</v>
      </c>
      <c r="EF145" s="33">
        <f t="array" ref="EF145">INDEX(EE:EE,MIN(IF(ISNUMBER(EE145:EE341),ROW(EE145:EE341),"")))</f>
        <v>0</v>
      </c>
      <c r="EG145" s="33">
        <f t="shared" si="122"/>
        <v>0</v>
      </c>
      <c r="EH145" s="38" t="e">
        <f>EG145*VLOOKUP('Données projet'!$B$17,Paramètres!$A$1:$I$88,3,0)*VLOOKUP('Données projet'!$B$17,Paramètres!$A$1:$I$88,5,0)</f>
        <v>#N/A</v>
      </c>
      <c r="EI145" s="34" t="e">
        <f t="shared" si="123"/>
        <v>#N/A</v>
      </c>
      <c r="EJ145" s="44" t="e">
        <f t="shared" si="100"/>
        <v>#N/A</v>
      </c>
      <c r="EK145" s="36">
        <f>IF(ISNA(VLOOKUP(A145,'Données projet'!$A$243:$I$263,3,0)),0,VLOOKUP(A145,'Données projet'!$A$243:$I$263,3,0))</f>
        <v>0</v>
      </c>
      <c r="EL145" s="36">
        <f>IF(ISNA(VLOOKUP(A145,'Données projet'!$A$243:$I$263,4,0)),0,VLOOKUP(A145,'Données projet'!$A$243:$I$263,4,0))</f>
        <v>0</v>
      </c>
      <c r="EM145" s="37">
        <f>IF(ISNA(VLOOKUP(A145,'Données projet'!$A$243:$I$263,5,0)),0%,VLOOKUP(A145,'Données projet'!$A$243:$I$263,5,0)*VLOOKUP('Données projet'!$B$17,Paramètres!$A$1:$I$88,7,0))</f>
        <v>0</v>
      </c>
      <c r="EN145" s="37">
        <f>IF(ISNA(VLOOKUP(A145,'Données projet'!$A$243:$I$263,6,0)),0%,VLOOKUP(A145,'Données projet'!$A$243:$I$263,6,0)*VLOOKUP('Données projet'!$B$17,Paramètres!$A$1:$I$88,7,0))</f>
        <v>0</v>
      </c>
      <c r="EO145" s="37">
        <f>IF(ISNA(VLOOKUP(A145,'Données projet'!$A$243:$I$263,7,0)),0%,VLOOKUP(A145,'Données projet'!$A$243:$I$263,7,0))</f>
        <v>0</v>
      </c>
      <c r="EP145" s="45">
        <f>EXP(-LN(2)/35)*EP144+(1-EXP(-LN(2)/35))/(LN(2)/35)*EL145*EM145*VLOOKUP('Données projet'!$B$9,Paramètres!$A$1:$I$88,3,0)*0.475*44/12</f>
        <v>0</v>
      </c>
      <c r="EQ145" s="45">
        <f>EXP(-LN(2)/25)*EQ144+(1-EXP(-LN(2)/25))/(LN(2)/25)*Calculateur!EL145*Calculateur!EN145*VLOOKUP('Données projet'!$B$9,Paramètres!$A$1:$I$88,3,0)*0.475*44/12</f>
        <v>0</v>
      </c>
      <c r="ER145" s="45">
        <f>EXP(-LN(2)/2)*ER144+(1-EXP(-LN(2)/2))/(LN(2)/2)*EL145*EO145*VLOOKUP('Données projet'!$B$9,Paramètres!$A$1:$I$88,3,0)*0.475*44/12</f>
        <v>0</v>
      </c>
      <c r="ES145" s="46">
        <f t="shared" si="101"/>
        <v>0</v>
      </c>
      <c r="ET145" s="32" t="e">
        <f>VLOOKUP(A145,'Données projet'!$A$269:$I$289,2,0)</f>
        <v>#N/A</v>
      </c>
      <c r="EU145" s="33" t="e">
        <f>VLOOKUP(A145,'Données projet'!$A$269:$I$289,9,0)</f>
        <v>#N/A</v>
      </c>
      <c r="EV145" s="33">
        <f t="array" ref="EV145">INDEX(EU:EU,MIN(IF(ISNUMBER(EU145:EU341),ROW(EU145:EU341),"")))</f>
        <v>0</v>
      </c>
      <c r="EW145" s="33">
        <f t="shared" si="124"/>
        <v>0</v>
      </c>
      <c r="EX145" s="38" t="e">
        <f>EW145*VLOOKUP('Données projet'!$B$18,Paramètres!$A$1:$I$88,3,0)*VLOOKUP('Données projet'!$B$18,Paramètres!$A$1:$I$88,5,0)</f>
        <v>#N/A</v>
      </c>
      <c r="EY145" s="34" t="e">
        <f t="shared" si="125"/>
        <v>#N/A</v>
      </c>
      <c r="EZ145" s="44" t="e">
        <f t="shared" si="102"/>
        <v>#N/A</v>
      </c>
      <c r="FA145" s="36">
        <f>IF(ISNA(VLOOKUP(A145,'Données projet'!$A$269:$I$289,3,0)),0,VLOOKUP(A145,'Données projet'!$A$269:$I$289,3,0))</f>
        <v>0</v>
      </c>
      <c r="FB145" s="36">
        <f>IF(ISNA(VLOOKUP(A145,'Données projet'!$A$269:$I$289,4,0)),0,VLOOKUP(A145,'Données projet'!$A$269:$I$289,4,0))</f>
        <v>0</v>
      </c>
      <c r="FC145" s="37">
        <f>IF(ISNA(VLOOKUP(A145,'Données projet'!$A$269:$I$289,5,0)),0%,VLOOKUP(A145,'Données projet'!$A$269:$I$289,5,0)*VLOOKUP('Données projet'!$B$18,Paramètres!$A$1:$I$88,7,0))</f>
        <v>0</v>
      </c>
      <c r="FD145" s="37">
        <f>IF(ISNA(VLOOKUP(A145,'Données projet'!$A$269:$I$289,6,0)),0%,VLOOKUP(A145,'Données projet'!$A$269:$I$289,6,0)*VLOOKUP('Données projet'!$B$18,Paramètres!$A$1:$I$88,7,0))</f>
        <v>0</v>
      </c>
      <c r="FE145" s="37">
        <f>IF(ISNA(VLOOKUP(A145,'Données projet'!$A$269:$I$289,7,0)),0%,VLOOKUP(A145,'Données projet'!$A$269:$I$289,7,0))</f>
        <v>0</v>
      </c>
      <c r="FF145" s="45">
        <f>EXP(-LN(2)/35)*FF144+(1-EXP(-LN(2)/35))/(LN(2)/35)*FB145*FC145*VLOOKUP('Données projet'!$B$9,Paramètres!$A$1:$I$88,3,0)*0.475*44/12</f>
        <v>0</v>
      </c>
      <c r="FG145" s="45">
        <f>EXP(-LN(2)/25)*FG144+(1-EXP(-LN(2)/25))/(LN(2)/25)*Calculateur!FB145*Calculateur!FD145*VLOOKUP('Données projet'!$B$9,Paramètres!$A$1:$I$88,3,0)*0.475*44/12</f>
        <v>0</v>
      </c>
      <c r="FH145" s="45">
        <f>EXP(-LN(2)/2)*FH144+(1-EXP(-LN(2)/2))/(LN(2)/2)*FB145*FE145*VLOOKUP('Données projet'!$B$9,Paramètres!$A$1:$I$88,3,0)*0.475*44/12</f>
        <v>0</v>
      </c>
      <c r="FI145" s="46">
        <f t="shared" si="103"/>
        <v>0</v>
      </c>
    </row>
    <row r="146" spans="1:165" x14ac:dyDescent="0.25">
      <c r="A146" s="24">
        <f t="shared" si="104"/>
        <v>143</v>
      </c>
      <c r="B146" s="25">
        <f>IF('Scénario référence'!$N$1=1,5,0)</f>
        <v>0</v>
      </c>
      <c r="C146" s="40">
        <f>IF(OR('Scénario référence'!$N$1=2,'Scénario référence'!$N$1=4),C145+1*VLOOKUP('Scénario référence'!$G$14,Paramètres!$A$1:$I$88,3,0)*VLOOKUP('Scénario référence'!$G$14,Paramètres!$A$1:$I$88,5,0),IF(OR('Scénario référence'!$N$1=3,'Scénario référence'!$N$1=5),C145+0.5*VLOOKUP('Scénario référence'!$G$14,Paramètres!$A$1:$I$88,3,0)*VLOOKUP('Scénario référence'!$G$14,Paramètres!$A$1:$I$88,5,0),0))</f>
        <v>78.078000000000102</v>
      </c>
      <c r="D146" s="26">
        <f t="shared" si="105"/>
        <v>21.666582091642102</v>
      </c>
      <c r="E146" s="27">
        <f>IF('Scénario référence'!$N$1=1,B146*44/12,(C146+D146)*0.475*44/12)</f>
        <v>173.72181380961015</v>
      </c>
      <c r="F146" s="28" t="e">
        <f>VLOOKUP(A146,'Données projet'!$A$35:$I$55,2,0)</f>
        <v>#N/A</v>
      </c>
      <c r="G146" s="28" t="e">
        <f>VLOOKUP(A146,'Données projet'!$A$35:$I$55,9,0)</f>
        <v>#N/A</v>
      </c>
      <c r="H146" s="33">
        <f t="array" ref="H146">INDEX(G:G,MIN(IF(ISNUMBER(G146:G342),ROW(G146:G342),"")))</f>
        <v>2.6</v>
      </c>
      <c r="I146" s="28">
        <f t="shared" si="106"/>
        <v>289.7999999999995</v>
      </c>
      <c r="J146" s="41">
        <f>I146*VLOOKUP('Données projet'!$B$9,Paramètres!$A$1:$I$88,3,0)*VLOOKUP('Données projet'!$B$9,Paramètres!$A$1:$I$88,5,0)</f>
        <v>293.85719999999952</v>
      </c>
      <c r="K146" s="41">
        <f t="shared" si="107"/>
        <v>69.88715019033971</v>
      </c>
      <c r="L146" s="42">
        <f t="shared" si="84"/>
        <v>633.52140991484077</v>
      </c>
      <c r="M146" s="30">
        <f>IF(ISNA(VLOOKUP(A146,'Données projet'!$A$35:$I$55,3,0)),0,VLOOKUP(A146,'Données projet'!$A$35:$I$55,3,0))</f>
        <v>0</v>
      </c>
      <c r="N146" s="30">
        <f>IF(ISNA(VLOOKUP(A146,'Données projet'!$A$35:$I$55,4,0)),0,VLOOKUP(A146,'Données projet'!$A$35:$I$55,4,0))</f>
        <v>0</v>
      </c>
      <c r="O146" s="31">
        <f>IF(ISNA(VLOOKUP(A146,'Données projet'!$A$35:$I$55,5,0)),0%,VLOOKUP(A146,'Données projet'!$A$35:$I$55,5,0)*VLOOKUP('Données projet'!$B$9,Paramètres!$A$1:$I$88,7,0))</f>
        <v>0</v>
      </c>
      <c r="P146" s="31">
        <f>IF(ISNA(VLOOKUP(A146,'Données projet'!$A$35:$I$55,6,0)),0%,VLOOKUP(A146,'Données projet'!$A$35:$I$55,6,0)*VLOOKUP('Données projet'!$B$9,Paramètres!$A$1:$I$88,7,0))</f>
        <v>0</v>
      </c>
      <c r="Q146" s="31">
        <f>IF(ISNA(VLOOKUP(A146,'Données projet'!$A$35:$I$55,7,0)),0%,VLOOKUP(A146,'Données projet'!$A$35:$I$55,7,0))</f>
        <v>0</v>
      </c>
      <c r="R146" s="43">
        <f>EXP(-LN(2)/35)*R145+(1-EXP(-LN(2)/35))/(LN(2)/35)*N146*O146*VLOOKUP('Données projet'!$B$9,Paramètres!$A$1:$I$88,3,0)*0.475*44/12</f>
        <v>0</v>
      </c>
      <c r="S146" s="43">
        <f>EXP(-LN(2)/25)*S145+(1-EXP(-LN(2)/25))/(LN(2)/25)*Calculateur!N146*Calculateur!P146*VLOOKUP('Données projet'!$B$9,Paramètres!$A$1:$I$88,3,0)*0.475*44/12</f>
        <v>0</v>
      </c>
      <c r="T146" s="43">
        <f>EXP(-LN(2)/2)*T145+(1-EXP(-LN(2)/2))/(LN(2)/2)*N146*Q146*VLOOKUP('Données projet'!$B$9,Paramètres!$A$1:$I$88,3,0)*0.475*44/12</f>
        <v>0</v>
      </c>
      <c r="U146" s="43">
        <f t="shared" si="85"/>
        <v>0</v>
      </c>
      <c r="V146" s="32" t="e">
        <f>VLOOKUP(A146,'Données projet'!$A$61:$I$81,2,0)</f>
        <v>#N/A</v>
      </c>
      <c r="W146" s="33" t="e">
        <f>VLOOKUP(A146,'Données projet'!$A$61:$I$81,9,0)</f>
        <v>#N/A</v>
      </c>
      <c r="X146" s="33">
        <f t="array" ref="X146">INDEX(W:W,MIN(IF(ISNUMBER(W146:W342),ROW(W146:W342),"")))</f>
        <v>0</v>
      </c>
      <c r="Y146" s="33">
        <f t="shared" si="108"/>
        <v>0</v>
      </c>
      <c r="Z146" s="34" t="e">
        <f>Y146*VLOOKUP('Données projet'!$B$10,Paramètres!$A$1:$I$88,3,0)*VLOOKUP('Données projet'!$B$10,Paramètres!$A$1:$I$88,5,0)</f>
        <v>#N/A</v>
      </c>
      <c r="AA146" s="34" t="e">
        <f t="shared" si="109"/>
        <v>#N/A</v>
      </c>
      <c r="AB146" s="44" t="e">
        <f t="shared" si="86"/>
        <v>#N/A</v>
      </c>
      <c r="AC146" s="36">
        <f>IF(ISNA(VLOOKUP(A146,'Données projet'!$A$61:$I$81,3,0)),0,VLOOKUP(A146,'Données projet'!$A$61:$I$81,3,0))</f>
        <v>0</v>
      </c>
      <c r="AD146" s="36">
        <f>IF(ISNA(VLOOKUP(A146,'Données projet'!$A$61:$I$81,4,0)),0,VLOOKUP(A146,'Données projet'!$A$61:$I$81,4,0))</f>
        <v>0</v>
      </c>
      <c r="AE146" s="37">
        <f>IF(ISNA(VLOOKUP(A146,'Données projet'!$A$61:$I$81,5,0)),0%,VLOOKUP(A146,'Données projet'!$A$61:$I$81,5,0)*VLOOKUP('Données projet'!$B$10,Paramètres!$A$1:$I$88,7,0))</f>
        <v>0</v>
      </c>
      <c r="AF146" s="37">
        <f>IF(ISNA(VLOOKUP(A146,'Données projet'!$A$61:$I$81,6,0)),0%,VLOOKUP(A146,'Données projet'!$A$61:$I$81,6,0)*VLOOKUP('Données projet'!$B$10,Paramètres!$A$1:$I$88,7,0))</f>
        <v>0</v>
      </c>
      <c r="AG146" s="37">
        <f>IF(ISNA(VLOOKUP(A146,'Données projet'!$A$61:$I$81,7,0)),0%,VLOOKUP(A146,'Données projet'!$A$61:$I$81,7,0))</f>
        <v>0</v>
      </c>
      <c r="AH146" s="45">
        <f>EXP(-LN(2)/35)*AH145+(1-EXP(-LN(2)/35))/(LN(2)/35)*AD146*AE146*VLOOKUP('Données projet'!$B$9,Paramètres!$A$1:$I$88,3,0)*0.475*44/12</f>
        <v>0</v>
      </c>
      <c r="AI146" s="45">
        <f>EXP(-LN(2)/25)*AI145+(1-EXP(-LN(2)/25))/(LN(2)/25)*Calculateur!AD146*Calculateur!AF146*VLOOKUP('Données projet'!$B$9,Paramètres!$A$1:$I$88,3,0)*0.475*44/12</f>
        <v>0</v>
      </c>
      <c r="AJ146" s="45">
        <f>EXP(-LN(2)/2)*AJ145+(1-EXP(-LN(2)/2))/(LN(2)/2)*AD146*AG146*VLOOKUP('Données projet'!$B$9,Paramètres!$A$1:$I$88,3,0)*0.475*44/12</f>
        <v>0</v>
      </c>
      <c r="AK146" s="45">
        <f t="shared" si="87"/>
        <v>0</v>
      </c>
      <c r="AL146" s="32" t="e">
        <f>VLOOKUP(A146,'Données projet'!$A$87:$I$107,2,0)</f>
        <v>#N/A</v>
      </c>
      <c r="AM146" s="33" t="e">
        <f>VLOOKUP(A146,'Données projet'!$A$87:$I$107,9,0)</f>
        <v>#N/A</v>
      </c>
      <c r="AN146" s="33">
        <f t="array" ref="AN146">INDEX(AM:AM,MIN(IF(ISNUMBER(AM146:AM342),ROW(AM146:AM342),"")))</f>
        <v>0</v>
      </c>
      <c r="AO146" s="33">
        <f t="shared" si="110"/>
        <v>0</v>
      </c>
      <c r="AP146" s="34" t="e">
        <f>AO146*VLOOKUP('Données projet'!$B$11,Paramètres!$A$1:$I$88,3,0)*VLOOKUP('Données projet'!$B$11,Paramètres!$A$1:$I$88,5,0)</f>
        <v>#N/A</v>
      </c>
      <c r="AQ146" s="34" t="e">
        <f t="shared" si="111"/>
        <v>#N/A</v>
      </c>
      <c r="AR146" s="44" t="e">
        <f t="shared" si="88"/>
        <v>#N/A</v>
      </c>
      <c r="AS146" s="36">
        <f>IF(ISNA(VLOOKUP(A146,'Données projet'!$A$87:$I$107,3,0)),0,VLOOKUP(A146,'Données projet'!$A$87:$I$107,3,0))</f>
        <v>0</v>
      </c>
      <c r="AT146" s="36">
        <f>IF(ISNA(VLOOKUP(A146,'Données projet'!$A$87:$I$107,4,0)),0,VLOOKUP(A146,'Données projet'!$A$87:$I$107,4,0))</f>
        <v>0</v>
      </c>
      <c r="AU146" s="37">
        <f>IF(ISNA(VLOOKUP(A146,'Données projet'!$A$87:$I$107,5,0)),0%,VLOOKUP(A146,'Données projet'!$A$87:$I$107,5,0)*VLOOKUP('Données projet'!$B$11,Paramètres!$A$1:$I$88,7,0))</f>
        <v>0</v>
      </c>
      <c r="AV146" s="37">
        <f>IF(ISNA(VLOOKUP(A146,'Données projet'!$A$87:$I$107,6,0)),0%,VLOOKUP(A146,'Données projet'!$A$87:$I$107,6,0)*VLOOKUP('Données projet'!$B$11,Paramètres!$A$1:$I$88,7,0))</f>
        <v>0</v>
      </c>
      <c r="AW146" s="37">
        <f>IF(ISNA(VLOOKUP(A146,'Données projet'!$A$87:$I$107,7,0)),0%,VLOOKUP(A146,'Données projet'!$A$87:$I$107,7,0))</f>
        <v>0</v>
      </c>
      <c r="AX146" s="45">
        <f>EXP(-LN(2)/35)*AX145+(1-EXP(-LN(2)/35))/(LN(2)/35)*AT146*AU146*VLOOKUP('Données projet'!$B$9,Paramètres!$A$1:$I$88,3,0)*0.475*44/12</f>
        <v>0</v>
      </c>
      <c r="AY146" s="45">
        <f>EXP(-LN(2)/25)*AY145+(1-EXP(-LN(2)/25))/(LN(2)/25)*Calculateur!AT146*Calculateur!AV146*VLOOKUP('Données projet'!$B$9,Paramètres!$A$1:$I$88,3,0)*0.475*44/12</f>
        <v>0</v>
      </c>
      <c r="AZ146" s="45">
        <f>EXP(-LN(2)/2)*AZ145+(1-EXP(-LN(2)/2))/(LN(2)/2)*AT146*AW146*VLOOKUP('Données projet'!$B$9,Paramètres!$A$1:$I$88,3,0)*0.475*44/12</f>
        <v>0</v>
      </c>
      <c r="BA146" s="46">
        <f t="shared" si="89"/>
        <v>0</v>
      </c>
      <c r="BB146" s="32" t="e">
        <f>VLOOKUP(A146,'Données projet'!$A$113:$I$133,2,0)</f>
        <v>#N/A</v>
      </c>
      <c r="BC146" s="33" t="e">
        <f>VLOOKUP(A146,'Données projet'!$A$113:$I$133,9,0)</f>
        <v>#N/A</v>
      </c>
      <c r="BD146" s="33">
        <f t="array" ref="BD146">INDEX(BC:BC,MIN(IF(ISNUMBER(BC146:BC342),ROW(BC146:BC342),"")))</f>
        <v>0</v>
      </c>
      <c r="BE146" s="33">
        <f t="shared" si="112"/>
        <v>0</v>
      </c>
      <c r="BF146" s="34" t="e">
        <f>BE146*VLOOKUP('Données projet'!$B$12,Paramètres!$A$1:$I$88,3,0)*VLOOKUP('Données projet'!$B$12,Paramètres!$A$1:$I$88,5,0)</f>
        <v>#N/A</v>
      </c>
      <c r="BG146" s="34" t="e">
        <f t="shared" si="113"/>
        <v>#N/A</v>
      </c>
      <c r="BH146" s="44" t="e">
        <f t="shared" si="90"/>
        <v>#N/A</v>
      </c>
      <c r="BI146" s="36">
        <f>IF(ISNA(VLOOKUP(A146,'Données projet'!$A$113:$I$133,3,0)),0,VLOOKUP(A146,'Données projet'!$A$113:$I$133,3,0))</f>
        <v>0</v>
      </c>
      <c r="BJ146" s="36">
        <f>IF(ISNA(VLOOKUP(A146,'Données projet'!$A$113:$I$133,4,0)),0,VLOOKUP(A146,'Données projet'!$A$113:$I$133,4,0))</f>
        <v>0</v>
      </c>
      <c r="BK146" s="37">
        <f>IF(ISNA(VLOOKUP(A146,'Données projet'!$A$113:$I$133,5,0)),0%,VLOOKUP(A146,'Données projet'!$A$113:$I$133,5,0)*VLOOKUP('Données projet'!$B$12,Paramètres!$A$1:$I$88,7,0))</f>
        <v>0</v>
      </c>
      <c r="BL146" s="37">
        <f>IF(ISNA(VLOOKUP(A146,'Données projet'!$A$113:$I$133,6,0)),0%,VLOOKUP(A146,'Données projet'!$A$113:$I$133,6,0)*VLOOKUP('Données projet'!$B$12,Paramètres!$A$1:$I$88,7,0))</f>
        <v>0</v>
      </c>
      <c r="BM146" s="37">
        <f>IF(ISNA(VLOOKUP(A146,'Données projet'!$A$113:$I$133,7,0)),0%,VLOOKUP(A146,'Données projet'!$A$113:$I$133,7,0))</f>
        <v>0</v>
      </c>
      <c r="BN146" s="45">
        <f>EXP(-LN(2)/35)*BN145+(1-EXP(-LN(2)/35))/(LN(2)/35)*BJ146*BK146*VLOOKUP('Données projet'!$B$9,Paramètres!$A$1:$I$88,3,0)*0.475*44/12</f>
        <v>0</v>
      </c>
      <c r="BO146" s="45">
        <f>EXP(-LN(2)/25)*BO145+(1-EXP(-LN(2)/25))/(LN(2)/25)*Calculateur!BJ146*Calculateur!BL146*VLOOKUP('Données projet'!$B$9,Paramètres!$A$1:$I$88,3,0)*0.475*44/12</f>
        <v>0</v>
      </c>
      <c r="BP146" s="45">
        <f>EXP(-LN(2)/2)*BP145+(1-EXP(-LN(2)/2))/(LN(2)/2)*BJ146*BM146*VLOOKUP('Données projet'!$B$9,Paramètres!$A$1:$I$88,3,0)*0.475*44/12</f>
        <v>0</v>
      </c>
      <c r="BQ146" s="46">
        <f t="shared" si="91"/>
        <v>0</v>
      </c>
      <c r="BR146" s="32" t="e">
        <f>VLOOKUP(A146,'Données projet'!$A$139:$I$159,2,0)</f>
        <v>#N/A</v>
      </c>
      <c r="BS146" s="33" t="e">
        <f>VLOOKUP(A146,'Données projet'!$A$139:$I$159,9,0)</f>
        <v>#N/A</v>
      </c>
      <c r="BT146" s="33">
        <f t="array" ref="BT146">INDEX(BS:BS,MIN(IF(ISNUMBER(BS146:BS342),ROW(BS146:BS342),"")))</f>
        <v>0</v>
      </c>
      <c r="BU146" s="33">
        <f t="shared" si="114"/>
        <v>0</v>
      </c>
      <c r="BV146" s="38" t="e">
        <f>BU146*VLOOKUP('Données projet'!$B$13,Paramètres!$A$1:$I$88,3,0)*VLOOKUP('Données projet'!$B$13,Paramètres!$A$1:$I$88,5,0)</f>
        <v>#N/A</v>
      </c>
      <c r="BW146" s="34" t="e">
        <f t="shared" si="115"/>
        <v>#N/A</v>
      </c>
      <c r="BX146" s="44" t="e">
        <f t="shared" si="92"/>
        <v>#N/A</v>
      </c>
      <c r="BY146" s="36">
        <f>IF(ISNA(VLOOKUP(A146,'Données projet'!$A$139:$I$159,3,0)),0,VLOOKUP(A146,'Données projet'!$A$139:$I$159,3,0))</f>
        <v>0</v>
      </c>
      <c r="BZ146" s="36">
        <f>IF(ISNA(VLOOKUP(A146,'Données projet'!$A$139:$I$159,4,0)),0,VLOOKUP(A146,'Données projet'!$A$139:$I$159,4,0))</f>
        <v>0</v>
      </c>
      <c r="CA146" s="37">
        <f>IF(ISNA(VLOOKUP(A146,'Données projet'!$A$139:$I$159,5,0)),0%,VLOOKUP(A146,'Données projet'!$A$139:$I$159,5,0)*VLOOKUP('Données projet'!$B$13,Paramètres!$A$1:$I$88,7,0))</f>
        <v>0</v>
      </c>
      <c r="CB146" s="37">
        <f>IF(ISNA(VLOOKUP(A146,'Données projet'!$A$139:$I$159,6,0)),0%,VLOOKUP(A146,'Données projet'!$A$139:$I$159,6,0)*VLOOKUP('Données projet'!$B$13,Paramètres!$A$1:$I$88,7,0))</f>
        <v>0</v>
      </c>
      <c r="CC146" s="37">
        <f>IF(ISNA(VLOOKUP(A146,'Données projet'!$A$139:$I$159,7,0)),0%,VLOOKUP(A146,'Données projet'!$A$139:$I$159,7,0))</f>
        <v>0</v>
      </c>
      <c r="CD146" s="45">
        <f>EXP(-LN(2)/35)*CD145+(1-EXP(-LN(2)/35))/(LN(2)/35)*BZ146*CA146*VLOOKUP('Données projet'!$B$9,Paramètres!$A$1:$I$88,3,0)*0.475*44/12</f>
        <v>0</v>
      </c>
      <c r="CE146" s="45">
        <f>EXP(-LN(2)/25)*CE145+(1-EXP(-LN(2)/25))/(LN(2)/25)*Calculateur!BZ146*Calculateur!CB146*VLOOKUP('Données projet'!$B$9,Paramètres!$A$1:$I$88,3,0)*0.475*44/12</f>
        <v>0</v>
      </c>
      <c r="CF146" s="45">
        <f>EXP(-LN(2)/2)*CF145+(1-EXP(-LN(2)/2))/(LN(2)/2)*BZ146*CC146*VLOOKUP('Données projet'!$B$9,Paramètres!$A$1:$I$88,3,0)*0.475*44/12</f>
        <v>0</v>
      </c>
      <c r="CG146" s="46">
        <f t="shared" si="93"/>
        <v>0</v>
      </c>
      <c r="CH146" s="32" t="e">
        <f>VLOOKUP(A146,'Données projet'!$A$165:$I$185,2,0)</f>
        <v>#N/A</v>
      </c>
      <c r="CI146" s="33" t="e">
        <f>VLOOKUP(A146,'Données projet'!$A$165:$I$185,9,0)</f>
        <v>#N/A</v>
      </c>
      <c r="CJ146" s="33">
        <f t="array" ref="CJ146">INDEX(CI:CI,MIN(IF(ISNUMBER(CI146:CI342),ROW(CI146:CI342),"")))</f>
        <v>0</v>
      </c>
      <c r="CK146" s="33">
        <f t="shared" si="116"/>
        <v>0</v>
      </c>
      <c r="CL146" s="38" t="e">
        <f>CK146*VLOOKUP('Données projet'!$B$14,Paramètres!$A$1:$I$88,3,0)*VLOOKUP('Données projet'!$B$14,Paramètres!$A$1:$I$88,5,0)</f>
        <v>#N/A</v>
      </c>
      <c r="CM146" s="34" t="e">
        <f t="shared" si="117"/>
        <v>#N/A</v>
      </c>
      <c r="CN146" s="44" t="e">
        <f t="shared" si="94"/>
        <v>#N/A</v>
      </c>
      <c r="CO146" s="36">
        <f>IF(ISNA(VLOOKUP(A146,'Données projet'!$A$165:$I$185,3,0)),0,VLOOKUP(A146,'Données projet'!$A$165:$I$185,3,0))</f>
        <v>0</v>
      </c>
      <c r="CP146" s="36">
        <f>IF(ISNA(VLOOKUP(A146,'Données projet'!$A$165:$I$185,4,0)),0,VLOOKUP(A146,'Données projet'!$A$165:$I$185,4,0))</f>
        <v>0</v>
      </c>
      <c r="CQ146" s="37">
        <f>IF(ISNA(VLOOKUP(A146,'Données projet'!$A$165:$I$185,5,0)),0%,VLOOKUP(A146,'Données projet'!$A$165:$I$185,5,0)*VLOOKUP('Données projet'!$B$14,Paramètres!$A$1:$I$88,7,0))</f>
        <v>0</v>
      </c>
      <c r="CR146" s="37">
        <f>IF(ISNA(VLOOKUP(A146,'Données projet'!$A$165:$I$185,6,0)),0%,VLOOKUP(A146,'Données projet'!$A$165:$I$185,6,0)*VLOOKUP('Données projet'!$B$14,Paramètres!$A$1:$I$88,7,0))</f>
        <v>0</v>
      </c>
      <c r="CS146" s="37">
        <f>IF(ISNA(VLOOKUP(A146,'Données projet'!$A$165:$I$185,7,0)),0%,VLOOKUP(A146,'Données projet'!$A$165:$I$185,7,0))</f>
        <v>0</v>
      </c>
      <c r="CT146" s="45">
        <f>EXP(-LN(2)/35)*CT145+(1-EXP(-LN(2)/35))/(LN(2)/35)*CP146*CQ146*VLOOKUP('Données projet'!$B$9,Paramètres!$A$1:$I$88,3,0)*0.475*44/12</f>
        <v>0</v>
      </c>
      <c r="CU146" s="45">
        <f>EXP(-LN(2)/25)*CU145+(1-EXP(-LN(2)/25))/(LN(2)/25)*Calculateur!CP146*Calculateur!CR146*VLOOKUP('Données projet'!$B$9,Paramètres!$A$1:$I$88,3,0)*0.475*44/12</f>
        <v>0</v>
      </c>
      <c r="CV146" s="45">
        <f>EXP(-LN(2)/2)*CV145+(1-EXP(-LN(2)/2))/(LN(2)/2)*CP146*CS146*VLOOKUP('Données projet'!$B$9,Paramètres!$A$1:$I$88,3,0)*0.475*44/12</f>
        <v>0</v>
      </c>
      <c r="CW146" s="46">
        <f t="shared" si="95"/>
        <v>0</v>
      </c>
      <c r="CX146" s="32" t="e">
        <f>VLOOKUP(A146,'Données projet'!$A$191:$I$211,2,0)</f>
        <v>#N/A</v>
      </c>
      <c r="CY146" s="33" t="e">
        <f>VLOOKUP(A146,'Données projet'!$A$191:$I$211,9,0)</f>
        <v>#N/A</v>
      </c>
      <c r="CZ146" s="33">
        <f t="array" ref="CZ146">INDEX(CY:CY,MIN(IF(ISNUMBER(CY146:CY342),ROW(CY146:CY342),"")))</f>
        <v>0</v>
      </c>
      <c r="DA146" s="33">
        <f t="shared" si="118"/>
        <v>0</v>
      </c>
      <c r="DB146" s="38" t="e">
        <f>DA146*VLOOKUP('Données projet'!$B$15,Paramètres!$A$1:$I$88,3,0)*VLOOKUP('Données projet'!$B$15,Paramètres!$A$1:$I$88,5,0)</f>
        <v>#N/A</v>
      </c>
      <c r="DC146" s="34" t="e">
        <f t="shared" si="119"/>
        <v>#N/A</v>
      </c>
      <c r="DD146" s="44" t="e">
        <f t="shared" si="96"/>
        <v>#N/A</v>
      </c>
      <c r="DE146" s="36">
        <f>IF(ISNA(VLOOKUP(A146,'Données projet'!$A$191:$I$211,3,0)),0,VLOOKUP(A146,'Données projet'!$A$191:$I$211,3,0))</f>
        <v>0</v>
      </c>
      <c r="DF146" s="36">
        <f>IF(ISNA(VLOOKUP(A146,'Données projet'!$A$191:$I$211,4,0)),0,VLOOKUP(A146,'Données projet'!$A$191:$I$211,4,0))</f>
        <v>0</v>
      </c>
      <c r="DG146" s="37">
        <f>IF(ISNA(VLOOKUP(A146,'Données projet'!$A$191:$I$211,5,0)),0%,VLOOKUP(A146,'Données projet'!$A$191:$I$211,5,0)*VLOOKUP('Données projet'!$B$15,Paramètres!$A$1:$I$88,7,0))</f>
        <v>0</v>
      </c>
      <c r="DH146" s="37">
        <f>IF(ISNA(VLOOKUP(A146,'Données projet'!$A$191:$I$211,6,0)),0%,VLOOKUP(A146,'Données projet'!$A$191:$I$211,6,0)*VLOOKUP('Données projet'!$B$15,Paramètres!$A$1:$I$88,7,0))</f>
        <v>0</v>
      </c>
      <c r="DI146" s="37">
        <f>IF(ISNA(VLOOKUP(A146,'Données projet'!$A$191:$I$211,7,0)),0%,VLOOKUP(A146,'Données projet'!$A$191:$I$211,7,0))</f>
        <v>0</v>
      </c>
      <c r="DJ146" s="45">
        <f>EXP(-LN(2)/35)*DJ145+(1-EXP(-LN(2)/35))/(LN(2)/35)*DF146*DG146*VLOOKUP('Données projet'!$B$9,Paramètres!$A$1:$I$88,3,0)*0.475*44/12</f>
        <v>0</v>
      </c>
      <c r="DK146" s="45">
        <f>EXP(-LN(2)/25)*DK145+(1-EXP(-LN(2)/25))/(LN(2)/25)*Calculateur!DF146*Calculateur!DH146*VLOOKUP('Données projet'!$B$9,Paramètres!$A$1:$I$88,3,0)*0.475*44/12</f>
        <v>0</v>
      </c>
      <c r="DL146" s="45">
        <f>EXP(-LN(2)/2)*DL145+(1-EXP(-LN(2)/2))/(LN(2)/2)*DF146*DI146*VLOOKUP('Données projet'!$B$9,Paramètres!$A$1:$I$88,3,0)*0.475*44/12</f>
        <v>0</v>
      </c>
      <c r="DM146" s="46">
        <f t="shared" si="97"/>
        <v>0</v>
      </c>
      <c r="DN146" s="32" t="e">
        <f>VLOOKUP(A146,'Données projet'!$A$217:$I$237,2,0)</f>
        <v>#N/A</v>
      </c>
      <c r="DO146" s="33" t="e">
        <f>VLOOKUP(A146,'Données projet'!$A$217:$I$237,9,0)</f>
        <v>#N/A</v>
      </c>
      <c r="DP146" s="33">
        <f t="array" ref="DP146">INDEX(DO:DO,MIN(IF(ISNUMBER(DO146:DO342),ROW(DO146:DO342),"")))</f>
        <v>0</v>
      </c>
      <c r="DQ146" s="33">
        <f t="shared" si="120"/>
        <v>0</v>
      </c>
      <c r="DR146" s="38" t="e">
        <f>DQ146*VLOOKUP('Données projet'!$B$16,Paramètres!$A$1:$I$88,3,0)*VLOOKUP('Données projet'!$B$16,Paramètres!$A$1:$I$88,5,0)</f>
        <v>#N/A</v>
      </c>
      <c r="DS146" s="34" t="e">
        <f t="shared" si="121"/>
        <v>#N/A</v>
      </c>
      <c r="DT146" s="44" t="e">
        <f t="shared" si="98"/>
        <v>#N/A</v>
      </c>
      <c r="DU146" s="36">
        <f>IF(ISNA(VLOOKUP(A146,'Données projet'!$A$217:$I$237,3,0)),0,VLOOKUP(A146,'Données projet'!$A$217:$I$237,3,0))</f>
        <v>0</v>
      </c>
      <c r="DV146" s="36">
        <f>IF(ISNA(VLOOKUP(A146,'Données projet'!$A$217:$I$237,4,0)),0,VLOOKUP(A146,'Données projet'!$A$217:$I$237,4,0))</f>
        <v>0</v>
      </c>
      <c r="DW146" s="37">
        <f>IF(ISNA(VLOOKUP(A146,'Données projet'!$A$217:$I$237,5,0)),0%,VLOOKUP(A146,'Données projet'!$A$217:$I$237,5,0)*VLOOKUP('Données projet'!$B$16,Paramètres!$A$1:$I$88,7,0))</f>
        <v>0</v>
      </c>
      <c r="DX146" s="37">
        <f>IF(ISNA(VLOOKUP(A146,'Données projet'!$A$217:$I$237,6,0)),0%,VLOOKUP(A146,'Données projet'!$A$217:$I$237,6,0)*VLOOKUP('Données projet'!$B$16,Paramètres!$A$1:$I$88,7,0))</f>
        <v>0</v>
      </c>
      <c r="DY146" s="37">
        <f>IF(ISNA(VLOOKUP(A146,'Données projet'!$A$217:$I$237,7,0)),0%,VLOOKUP(A146,'Données projet'!$A$217:$I$237,7,0))</f>
        <v>0</v>
      </c>
      <c r="DZ146" s="45">
        <f>EXP(-LN(2)/35)*DZ145+(1-EXP(-LN(2)/35))/(LN(2)/35)*DV146*DW146*VLOOKUP('Données projet'!$B$9,Paramètres!$A$1:$I$88,3,0)*0.475*44/12</f>
        <v>0</v>
      </c>
      <c r="EA146" s="45">
        <f>EXP(-LN(2)/25)*EA145+(1-EXP(-LN(2)/25))/(LN(2)/25)*Calculateur!DV146*Calculateur!DX146*VLOOKUP('Données projet'!$B$9,Paramètres!$A$1:$I$88,3,0)*0.475*44/12</f>
        <v>0</v>
      </c>
      <c r="EB146" s="45">
        <f>EXP(-LN(2)/2)*EB145+(1-EXP(-LN(2)/2))/(LN(2)/2)*DV146*DY146*VLOOKUP('Données projet'!$B$9,Paramètres!$A$1:$I$88,3,0)*0.475*44/12</f>
        <v>0</v>
      </c>
      <c r="EC146" s="46">
        <f t="shared" si="99"/>
        <v>0</v>
      </c>
      <c r="ED146" s="32" t="e">
        <f>VLOOKUP(A146,'Données projet'!$A$243:$I$263,2,0)</f>
        <v>#N/A</v>
      </c>
      <c r="EE146" s="33" t="e">
        <f>VLOOKUP(A146,'Données projet'!$A$243:$I$263,9,0)</f>
        <v>#N/A</v>
      </c>
      <c r="EF146" s="33">
        <f t="array" ref="EF146">INDEX(EE:EE,MIN(IF(ISNUMBER(EE146:EE342),ROW(EE146:EE342),"")))</f>
        <v>0</v>
      </c>
      <c r="EG146" s="33">
        <f t="shared" si="122"/>
        <v>0</v>
      </c>
      <c r="EH146" s="38" t="e">
        <f>EG146*VLOOKUP('Données projet'!$B$17,Paramètres!$A$1:$I$88,3,0)*VLOOKUP('Données projet'!$B$17,Paramètres!$A$1:$I$88,5,0)</f>
        <v>#N/A</v>
      </c>
      <c r="EI146" s="34" t="e">
        <f t="shared" si="123"/>
        <v>#N/A</v>
      </c>
      <c r="EJ146" s="44" t="e">
        <f t="shared" si="100"/>
        <v>#N/A</v>
      </c>
      <c r="EK146" s="36">
        <f>IF(ISNA(VLOOKUP(A146,'Données projet'!$A$243:$I$263,3,0)),0,VLOOKUP(A146,'Données projet'!$A$243:$I$263,3,0))</f>
        <v>0</v>
      </c>
      <c r="EL146" s="36">
        <f>IF(ISNA(VLOOKUP(A146,'Données projet'!$A$243:$I$263,4,0)),0,VLOOKUP(A146,'Données projet'!$A$243:$I$263,4,0))</f>
        <v>0</v>
      </c>
      <c r="EM146" s="37">
        <f>IF(ISNA(VLOOKUP(A146,'Données projet'!$A$243:$I$263,5,0)),0%,VLOOKUP(A146,'Données projet'!$A$243:$I$263,5,0)*VLOOKUP('Données projet'!$B$17,Paramètres!$A$1:$I$88,7,0))</f>
        <v>0</v>
      </c>
      <c r="EN146" s="37">
        <f>IF(ISNA(VLOOKUP(A146,'Données projet'!$A$243:$I$263,6,0)),0%,VLOOKUP(A146,'Données projet'!$A$243:$I$263,6,0)*VLOOKUP('Données projet'!$B$17,Paramètres!$A$1:$I$88,7,0))</f>
        <v>0</v>
      </c>
      <c r="EO146" s="37">
        <f>IF(ISNA(VLOOKUP(A146,'Données projet'!$A$243:$I$263,7,0)),0%,VLOOKUP(A146,'Données projet'!$A$243:$I$263,7,0))</f>
        <v>0</v>
      </c>
      <c r="EP146" s="45">
        <f>EXP(-LN(2)/35)*EP145+(1-EXP(-LN(2)/35))/(LN(2)/35)*EL146*EM146*VLOOKUP('Données projet'!$B$9,Paramètres!$A$1:$I$88,3,0)*0.475*44/12</f>
        <v>0</v>
      </c>
      <c r="EQ146" s="45">
        <f>EXP(-LN(2)/25)*EQ145+(1-EXP(-LN(2)/25))/(LN(2)/25)*Calculateur!EL146*Calculateur!EN146*VLOOKUP('Données projet'!$B$9,Paramètres!$A$1:$I$88,3,0)*0.475*44/12</f>
        <v>0</v>
      </c>
      <c r="ER146" s="45">
        <f>EXP(-LN(2)/2)*ER145+(1-EXP(-LN(2)/2))/(LN(2)/2)*EL146*EO146*VLOOKUP('Données projet'!$B$9,Paramètres!$A$1:$I$88,3,0)*0.475*44/12</f>
        <v>0</v>
      </c>
      <c r="ES146" s="46">
        <f t="shared" si="101"/>
        <v>0</v>
      </c>
      <c r="ET146" s="32" t="e">
        <f>VLOOKUP(A146,'Données projet'!$A$269:$I$289,2,0)</f>
        <v>#N/A</v>
      </c>
      <c r="EU146" s="33" t="e">
        <f>VLOOKUP(A146,'Données projet'!$A$269:$I$289,9,0)</f>
        <v>#N/A</v>
      </c>
      <c r="EV146" s="33">
        <f t="array" ref="EV146">INDEX(EU:EU,MIN(IF(ISNUMBER(EU146:EU342),ROW(EU146:EU342),"")))</f>
        <v>0</v>
      </c>
      <c r="EW146" s="33">
        <f t="shared" si="124"/>
        <v>0</v>
      </c>
      <c r="EX146" s="38" t="e">
        <f>EW146*VLOOKUP('Données projet'!$B$18,Paramètres!$A$1:$I$88,3,0)*VLOOKUP('Données projet'!$B$18,Paramètres!$A$1:$I$88,5,0)</f>
        <v>#N/A</v>
      </c>
      <c r="EY146" s="34" t="e">
        <f t="shared" si="125"/>
        <v>#N/A</v>
      </c>
      <c r="EZ146" s="44" t="e">
        <f t="shared" si="102"/>
        <v>#N/A</v>
      </c>
      <c r="FA146" s="36">
        <f>IF(ISNA(VLOOKUP(A146,'Données projet'!$A$269:$I$289,3,0)),0,VLOOKUP(A146,'Données projet'!$A$269:$I$289,3,0))</f>
        <v>0</v>
      </c>
      <c r="FB146" s="36">
        <f>IF(ISNA(VLOOKUP(A146,'Données projet'!$A$269:$I$289,4,0)),0,VLOOKUP(A146,'Données projet'!$A$269:$I$289,4,0))</f>
        <v>0</v>
      </c>
      <c r="FC146" s="37">
        <f>IF(ISNA(VLOOKUP(A146,'Données projet'!$A$269:$I$289,5,0)),0%,VLOOKUP(A146,'Données projet'!$A$269:$I$289,5,0)*VLOOKUP('Données projet'!$B$18,Paramètres!$A$1:$I$88,7,0))</f>
        <v>0</v>
      </c>
      <c r="FD146" s="37">
        <f>IF(ISNA(VLOOKUP(A146,'Données projet'!$A$269:$I$289,6,0)),0%,VLOOKUP(A146,'Données projet'!$A$269:$I$289,6,0)*VLOOKUP('Données projet'!$B$18,Paramètres!$A$1:$I$88,7,0))</f>
        <v>0</v>
      </c>
      <c r="FE146" s="37">
        <f>IF(ISNA(VLOOKUP(A146,'Données projet'!$A$269:$I$289,7,0)),0%,VLOOKUP(A146,'Données projet'!$A$269:$I$289,7,0))</f>
        <v>0</v>
      </c>
      <c r="FF146" s="45">
        <f>EXP(-LN(2)/35)*FF145+(1-EXP(-LN(2)/35))/(LN(2)/35)*FB146*FC146*VLOOKUP('Données projet'!$B$9,Paramètres!$A$1:$I$88,3,0)*0.475*44/12</f>
        <v>0</v>
      </c>
      <c r="FG146" s="45">
        <f>EXP(-LN(2)/25)*FG145+(1-EXP(-LN(2)/25))/(LN(2)/25)*Calculateur!FB146*Calculateur!FD146*VLOOKUP('Données projet'!$B$9,Paramètres!$A$1:$I$88,3,0)*0.475*44/12</f>
        <v>0</v>
      </c>
      <c r="FH146" s="45">
        <f>EXP(-LN(2)/2)*FH145+(1-EXP(-LN(2)/2))/(LN(2)/2)*FB146*FE146*VLOOKUP('Données projet'!$B$9,Paramètres!$A$1:$I$88,3,0)*0.475*44/12</f>
        <v>0</v>
      </c>
      <c r="FI146" s="46">
        <f t="shared" si="103"/>
        <v>0</v>
      </c>
    </row>
    <row r="147" spans="1:165" x14ac:dyDescent="0.25">
      <c r="A147" s="24">
        <f t="shared" si="104"/>
        <v>144</v>
      </c>
      <c r="B147" s="25">
        <f>IF('Scénario référence'!$N$1=1,5,0)</f>
        <v>0</v>
      </c>
      <c r="C147" s="40">
        <f>IF(OR('Scénario référence'!$N$1=2,'Scénario référence'!$N$1=4),C146+1*VLOOKUP('Scénario référence'!$G$14,Paramètres!$A$1:$I$88,3,0)*VLOOKUP('Scénario référence'!$G$14,Paramètres!$A$1:$I$88,5,0),IF(OR('Scénario référence'!$N$1=3,'Scénario référence'!$N$1=5),C146+0.5*VLOOKUP('Scénario référence'!$G$14,Paramètres!$A$1:$I$88,3,0)*VLOOKUP('Scénario référence'!$G$14,Paramètres!$A$1:$I$88,5,0),0))</f>
        <v>78.624000000000109</v>
      </c>
      <c r="D147" s="26">
        <f t="shared" si="105"/>
        <v>21.800406010684483</v>
      </c>
      <c r="E147" s="27">
        <f>IF('Scénario référence'!$N$1=1,B147*44/12,(C147+D147)*0.475*44/12)</f>
        <v>174.90584046860897</v>
      </c>
      <c r="F147" s="28" t="e">
        <f>VLOOKUP(A147,'Données projet'!$A$35:$I$55,2,0)</f>
        <v>#N/A</v>
      </c>
      <c r="G147" s="28" t="e">
        <f>VLOOKUP(A147,'Données projet'!$A$35:$I$55,9,0)</f>
        <v>#N/A</v>
      </c>
      <c r="H147" s="33">
        <f t="array" ref="H147">INDEX(G:G,MIN(IF(ISNUMBER(G147:G343),ROW(G147:G343),"")))</f>
        <v>2.6</v>
      </c>
      <c r="I147" s="28">
        <f t="shared" si="106"/>
        <v>292.39999999999952</v>
      </c>
      <c r="J147" s="41">
        <f>I147*VLOOKUP('Données projet'!$B$9,Paramètres!$A$1:$I$88,3,0)*VLOOKUP('Données projet'!$B$9,Paramètres!$A$1:$I$88,5,0)</f>
        <v>296.4935999999995</v>
      </c>
      <c r="K147" s="41">
        <f t="shared" si="107"/>
        <v>70.440885135597512</v>
      </c>
      <c r="L147" s="42">
        <f t="shared" si="84"/>
        <v>639.07756161116481</v>
      </c>
      <c r="M147" s="30">
        <f>IF(ISNA(VLOOKUP(A147,'Données projet'!$A$35:$I$55,3,0)),0,VLOOKUP(A147,'Données projet'!$A$35:$I$55,3,0))</f>
        <v>0</v>
      </c>
      <c r="N147" s="30">
        <f>IF(ISNA(VLOOKUP(A147,'Données projet'!$A$35:$I$55,4,0)),0,VLOOKUP(A147,'Données projet'!$A$35:$I$55,4,0))</f>
        <v>0</v>
      </c>
      <c r="O147" s="31">
        <f>IF(ISNA(VLOOKUP(A147,'Données projet'!$A$35:$I$55,5,0)),0%,VLOOKUP(A147,'Données projet'!$A$35:$I$55,5,0)*VLOOKUP('Données projet'!$B$9,Paramètres!$A$1:$I$88,7,0))</f>
        <v>0</v>
      </c>
      <c r="P147" s="31">
        <f>IF(ISNA(VLOOKUP(A147,'Données projet'!$A$35:$I$55,6,0)),0%,VLOOKUP(A147,'Données projet'!$A$35:$I$55,6,0)*VLOOKUP('Données projet'!$B$9,Paramètres!$A$1:$I$88,7,0))</f>
        <v>0</v>
      </c>
      <c r="Q147" s="31">
        <f>IF(ISNA(VLOOKUP(A147,'Données projet'!$A$35:$I$55,7,0)),0%,VLOOKUP(A147,'Données projet'!$A$35:$I$55,7,0))</f>
        <v>0</v>
      </c>
      <c r="R147" s="43">
        <f>EXP(-LN(2)/35)*R146+(1-EXP(-LN(2)/35))/(LN(2)/35)*N147*O147*VLOOKUP('Données projet'!$B$9,Paramètres!$A$1:$I$88,3,0)*0.475*44/12</f>
        <v>0</v>
      </c>
      <c r="S147" s="43">
        <f>EXP(-LN(2)/25)*S146+(1-EXP(-LN(2)/25))/(LN(2)/25)*Calculateur!N147*Calculateur!P147*VLOOKUP('Données projet'!$B$9,Paramètres!$A$1:$I$88,3,0)*0.475*44/12</f>
        <v>0</v>
      </c>
      <c r="T147" s="43">
        <f>EXP(-LN(2)/2)*T146+(1-EXP(-LN(2)/2))/(LN(2)/2)*N147*Q147*VLOOKUP('Données projet'!$B$9,Paramètres!$A$1:$I$88,3,0)*0.475*44/12</f>
        <v>0</v>
      </c>
      <c r="U147" s="43">
        <f t="shared" si="85"/>
        <v>0</v>
      </c>
      <c r="V147" s="32" t="e">
        <f>VLOOKUP(A147,'Données projet'!$A$61:$I$81,2,0)</f>
        <v>#N/A</v>
      </c>
      <c r="W147" s="33" t="e">
        <f>VLOOKUP(A147,'Données projet'!$A$61:$I$81,9,0)</f>
        <v>#N/A</v>
      </c>
      <c r="X147" s="33">
        <f t="array" ref="X147">INDEX(W:W,MIN(IF(ISNUMBER(W147:W343),ROW(W147:W343),"")))</f>
        <v>0</v>
      </c>
      <c r="Y147" s="33">
        <f t="shared" si="108"/>
        <v>0</v>
      </c>
      <c r="Z147" s="34" t="e">
        <f>Y147*VLOOKUP('Données projet'!$B$10,Paramètres!$A$1:$I$88,3,0)*VLOOKUP('Données projet'!$B$10,Paramètres!$A$1:$I$88,5,0)</f>
        <v>#N/A</v>
      </c>
      <c r="AA147" s="34" t="e">
        <f t="shared" si="109"/>
        <v>#N/A</v>
      </c>
      <c r="AB147" s="44" t="e">
        <f t="shared" si="86"/>
        <v>#N/A</v>
      </c>
      <c r="AC147" s="36">
        <f>IF(ISNA(VLOOKUP(A147,'Données projet'!$A$61:$I$81,3,0)),0,VLOOKUP(A147,'Données projet'!$A$61:$I$81,3,0))</f>
        <v>0</v>
      </c>
      <c r="AD147" s="36">
        <f>IF(ISNA(VLOOKUP(A147,'Données projet'!$A$61:$I$81,4,0)),0,VLOOKUP(A147,'Données projet'!$A$61:$I$81,4,0))</f>
        <v>0</v>
      </c>
      <c r="AE147" s="37">
        <f>IF(ISNA(VLOOKUP(A147,'Données projet'!$A$61:$I$81,5,0)),0%,VLOOKUP(A147,'Données projet'!$A$61:$I$81,5,0)*VLOOKUP('Données projet'!$B$10,Paramètres!$A$1:$I$88,7,0))</f>
        <v>0</v>
      </c>
      <c r="AF147" s="37">
        <f>IF(ISNA(VLOOKUP(A147,'Données projet'!$A$61:$I$81,6,0)),0%,VLOOKUP(A147,'Données projet'!$A$61:$I$81,6,0)*VLOOKUP('Données projet'!$B$10,Paramètres!$A$1:$I$88,7,0))</f>
        <v>0</v>
      </c>
      <c r="AG147" s="37">
        <f>IF(ISNA(VLOOKUP(A147,'Données projet'!$A$61:$I$81,7,0)),0%,VLOOKUP(A147,'Données projet'!$A$61:$I$81,7,0))</f>
        <v>0</v>
      </c>
      <c r="AH147" s="45">
        <f>EXP(-LN(2)/35)*AH146+(1-EXP(-LN(2)/35))/(LN(2)/35)*AD147*AE147*VLOOKUP('Données projet'!$B$9,Paramètres!$A$1:$I$88,3,0)*0.475*44/12</f>
        <v>0</v>
      </c>
      <c r="AI147" s="45">
        <f>EXP(-LN(2)/25)*AI146+(1-EXP(-LN(2)/25))/(LN(2)/25)*Calculateur!AD147*Calculateur!AF147*VLOOKUP('Données projet'!$B$9,Paramètres!$A$1:$I$88,3,0)*0.475*44/12</f>
        <v>0</v>
      </c>
      <c r="AJ147" s="45">
        <f>EXP(-LN(2)/2)*AJ146+(1-EXP(-LN(2)/2))/(LN(2)/2)*AD147*AG147*VLOOKUP('Données projet'!$B$9,Paramètres!$A$1:$I$88,3,0)*0.475*44/12</f>
        <v>0</v>
      </c>
      <c r="AK147" s="45">
        <f t="shared" si="87"/>
        <v>0</v>
      </c>
      <c r="AL147" s="32" t="e">
        <f>VLOOKUP(A147,'Données projet'!$A$87:$I$107,2,0)</f>
        <v>#N/A</v>
      </c>
      <c r="AM147" s="33" t="e">
        <f>VLOOKUP(A147,'Données projet'!$A$87:$I$107,9,0)</f>
        <v>#N/A</v>
      </c>
      <c r="AN147" s="33">
        <f t="array" ref="AN147">INDEX(AM:AM,MIN(IF(ISNUMBER(AM147:AM343),ROW(AM147:AM343),"")))</f>
        <v>0</v>
      </c>
      <c r="AO147" s="33">
        <f t="shared" si="110"/>
        <v>0</v>
      </c>
      <c r="AP147" s="34" t="e">
        <f>AO147*VLOOKUP('Données projet'!$B$11,Paramètres!$A$1:$I$88,3,0)*VLOOKUP('Données projet'!$B$11,Paramètres!$A$1:$I$88,5,0)</f>
        <v>#N/A</v>
      </c>
      <c r="AQ147" s="34" t="e">
        <f t="shared" si="111"/>
        <v>#N/A</v>
      </c>
      <c r="AR147" s="44" t="e">
        <f t="shared" si="88"/>
        <v>#N/A</v>
      </c>
      <c r="AS147" s="36">
        <f>IF(ISNA(VLOOKUP(A147,'Données projet'!$A$87:$I$107,3,0)),0,VLOOKUP(A147,'Données projet'!$A$87:$I$107,3,0))</f>
        <v>0</v>
      </c>
      <c r="AT147" s="36">
        <f>IF(ISNA(VLOOKUP(A147,'Données projet'!$A$87:$I$107,4,0)),0,VLOOKUP(A147,'Données projet'!$A$87:$I$107,4,0))</f>
        <v>0</v>
      </c>
      <c r="AU147" s="37">
        <f>IF(ISNA(VLOOKUP(A147,'Données projet'!$A$87:$I$107,5,0)),0%,VLOOKUP(A147,'Données projet'!$A$87:$I$107,5,0)*VLOOKUP('Données projet'!$B$11,Paramètres!$A$1:$I$88,7,0))</f>
        <v>0</v>
      </c>
      <c r="AV147" s="37">
        <f>IF(ISNA(VLOOKUP(A147,'Données projet'!$A$87:$I$107,6,0)),0%,VLOOKUP(A147,'Données projet'!$A$87:$I$107,6,0)*VLOOKUP('Données projet'!$B$11,Paramètres!$A$1:$I$88,7,0))</f>
        <v>0</v>
      </c>
      <c r="AW147" s="37">
        <f>IF(ISNA(VLOOKUP(A147,'Données projet'!$A$87:$I$107,7,0)),0%,VLOOKUP(A147,'Données projet'!$A$87:$I$107,7,0))</f>
        <v>0</v>
      </c>
      <c r="AX147" s="45">
        <f>EXP(-LN(2)/35)*AX146+(1-EXP(-LN(2)/35))/(LN(2)/35)*AT147*AU147*VLOOKUP('Données projet'!$B$9,Paramètres!$A$1:$I$88,3,0)*0.475*44/12</f>
        <v>0</v>
      </c>
      <c r="AY147" s="45">
        <f>EXP(-LN(2)/25)*AY146+(1-EXP(-LN(2)/25))/(LN(2)/25)*Calculateur!AT147*Calculateur!AV147*VLOOKUP('Données projet'!$B$9,Paramètres!$A$1:$I$88,3,0)*0.475*44/12</f>
        <v>0</v>
      </c>
      <c r="AZ147" s="45">
        <f>EXP(-LN(2)/2)*AZ146+(1-EXP(-LN(2)/2))/(LN(2)/2)*AT147*AW147*VLOOKUP('Données projet'!$B$9,Paramètres!$A$1:$I$88,3,0)*0.475*44/12</f>
        <v>0</v>
      </c>
      <c r="BA147" s="46">
        <f t="shared" si="89"/>
        <v>0</v>
      </c>
      <c r="BB147" s="32" t="e">
        <f>VLOOKUP(A147,'Données projet'!$A$113:$I$133,2,0)</f>
        <v>#N/A</v>
      </c>
      <c r="BC147" s="33" t="e">
        <f>VLOOKUP(A147,'Données projet'!$A$113:$I$133,9,0)</f>
        <v>#N/A</v>
      </c>
      <c r="BD147" s="33">
        <f t="array" ref="BD147">INDEX(BC:BC,MIN(IF(ISNUMBER(BC147:BC343),ROW(BC147:BC343),"")))</f>
        <v>0</v>
      </c>
      <c r="BE147" s="33">
        <f t="shared" si="112"/>
        <v>0</v>
      </c>
      <c r="BF147" s="34" t="e">
        <f>BE147*VLOOKUP('Données projet'!$B$12,Paramètres!$A$1:$I$88,3,0)*VLOOKUP('Données projet'!$B$12,Paramètres!$A$1:$I$88,5,0)</f>
        <v>#N/A</v>
      </c>
      <c r="BG147" s="34" t="e">
        <f t="shared" si="113"/>
        <v>#N/A</v>
      </c>
      <c r="BH147" s="44" t="e">
        <f t="shared" si="90"/>
        <v>#N/A</v>
      </c>
      <c r="BI147" s="36">
        <f>IF(ISNA(VLOOKUP(A147,'Données projet'!$A$113:$I$133,3,0)),0,VLOOKUP(A147,'Données projet'!$A$113:$I$133,3,0))</f>
        <v>0</v>
      </c>
      <c r="BJ147" s="36">
        <f>IF(ISNA(VLOOKUP(A147,'Données projet'!$A$113:$I$133,4,0)),0,VLOOKUP(A147,'Données projet'!$A$113:$I$133,4,0))</f>
        <v>0</v>
      </c>
      <c r="BK147" s="37">
        <f>IF(ISNA(VLOOKUP(A147,'Données projet'!$A$113:$I$133,5,0)),0%,VLOOKUP(A147,'Données projet'!$A$113:$I$133,5,0)*VLOOKUP('Données projet'!$B$12,Paramètres!$A$1:$I$88,7,0))</f>
        <v>0</v>
      </c>
      <c r="BL147" s="37">
        <f>IF(ISNA(VLOOKUP(A147,'Données projet'!$A$113:$I$133,6,0)),0%,VLOOKUP(A147,'Données projet'!$A$113:$I$133,6,0)*VLOOKUP('Données projet'!$B$12,Paramètres!$A$1:$I$88,7,0))</f>
        <v>0</v>
      </c>
      <c r="BM147" s="37">
        <f>IF(ISNA(VLOOKUP(A147,'Données projet'!$A$113:$I$133,7,0)),0%,VLOOKUP(A147,'Données projet'!$A$113:$I$133,7,0))</f>
        <v>0</v>
      </c>
      <c r="BN147" s="45">
        <f>EXP(-LN(2)/35)*BN146+(1-EXP(-LN(2)/35))/(LN(2)/35)*BJ147*BK147*VLOOKUP('Données projet'!$B$9,Paramètres!$A$1:$I$88,3,0)*0.475*44/12</f>
        <v>0</v>
      </c>
      <c r="BO147" s="45">
        <f>EXP(-LN(2)/25)*BO146+(1-EXP(-LN(2)/25))/(LN(2)/25)*Calculateur!BJ147*Calculateur!BL147*VLOOKUP('Données projet'!$B$9,Paramètres!$A$1:$I$88,3,0)*0.475*44/12</f>
        <v>0</v>
      </c>
      <c r="BP147" s="45">
        <f>EXP(-LN(2)/2)*BP146+(1-EXP(-LN(2)/2))/(LN(2)/2)*BJ147*BM147*VLOOKUP('Données projet'!$B$9,Paramètres!$A$1:$I$88,3,0)*0.475*44/12</f>
        <v>0</v>
      </c>
      <c r="BQ147" s="46">
        <f t="shared" si="91"/>
        <v>0</v>
      </c>
      <c r="BR147" s="32" t="e">
        <f>VLOOKUP(A147,'Données projet'!$A$139:$I$159,2,0)</f>
        <v>#N/A</v>
      </c>
      <c r="BS147" s="33" t="e">
        <f>VLOOKUP(A147,'Données projet'!$A$139:$I$159,9,0)</f>
        <v>#N/A</v>
      </c>
      <c r="BT147" s="33">
        <f t="array" ref="BT147">INDEX(BS:BS,MIN(IF(ISNUMBER(BS147:BS343),ROW(BS147:BS343),"")))</f>
        <v>0</v>
      </c>
      <c r="BU147" s="33">
        <f t="shared" si="114"/>
        <v>0</v>
      </c>
      <c r="BV147" s="38" t="e">
        <f>BU147*VLOOKUP('Données projet'!$B$13,Paramètres!$A$1:$I$88,3,0)*VLOOKUP('Données projet'!$B$13,Paramètres!$A$1:$I$88,5,0)</f>
        <v>#N/A</v>
      </c>
      <c r="BW147" s="34" t="e">
        <f t="shared" si="115"/>
        <v>#N/A</v>
      </c>
      <c r="BX147" s="44" t="e">
        <f t="shared" si="92"/>
        <v>#N/A</v>
      </c>
      <c r="BY147" s="36">
        <f>IF(ISNA(VLOOKUP(A147,'Données projet'!$A$139:$I$159,3,0)),0,VLOOKUP(A147,'Données projet'!$A$139:$I$159,3,0))</f>
        <v>0</v>
      </c>
      <c r="BZ147" s="36">
        <f>IF(ISNA(VLOOKUP(A147,'Données projet'!$A$139:$I$159,4,0)),0,VLOOKUP(A147,'Données projet'!$A$139:$I$159,4,0))</f>
        <v>0</v>
      </c>
      <c r="CA147" s="37">
        <f>IF(ISNA(VLOOKUP(A147,'Données projet'!$A$139:$I$159,5,0)),0%,VLOOKUP(A147,'Données projet'!$A$139:$I$159,5,0)*VLOOKUP('Données projet'!$B$13,Paramètres!$A$1:$I$88,7,0))</f>
        <v>0</v>
      </c>
      <c r="CB147" s="37">
        <f>IF(ISNA(VLOOKUP(A147,'Données projet'!$A$139:$I$159,6,0)),0%,VLOOKUP(A147,'Données projet'!$A$139:$I$159,6,0)*VLOOKUP('Données projet'!$B$13,Paramètres!$A$1:$I$88,7,0))</f>
        <v>0</v>
      </c>
      <c r="CC147" s="37">
        <f>IF(ISNA(VLOOKUP(A147,'Données projet'!$A$139:$I$159,7,0)),0%,VLOOKUP(A147,'Données projet'!$A$139:$I$159,7,0))</f>
        <v>0</v>
      </c>
      <c r="CD147" s="45">
        <f>EXP(-LN(2)/35)*CD146+(1-EXP(-LN(2)/35))/(LN(2)/35)*BZ147*CA147*VLOOKUP('Données projet'!$B$9,Paramètres!$A$1:$I$88,3,0)*0.475*44/12</f>
        <v>0</v>
      </c>
      <c r="CE147" s="45">
        <f>EXP(-LN(2)/25)*CE146+(1-EXP(-LN(2)/25))/(LN(2)/25)*Calculateur!BZ147*Calculateur!CB147*VLOOKUP('Données projet'!$B$9,Paramètres!$A$1:$I$88,3,0)*0.475*44/12</f>
        <v>0</v>
      </c>
      <c r="CF147" s="45">
        <f>EXP(-LN(2)/2)*CF146+(1-EXP(-LN(2)/2))/(LN(2)/2)*BZ147*CC147*VLOOKUP('Données projet'!$B$9,Paramètres!$A$1:$I$88,3,0)*0.475*44/12</f>
        <v>0</v>
      </c>
      <c r="CG147" s="46">
        <f t="shared" si="93"/>
        <v>0</v>
      </c>
      <c r="CH147" s="32" t="e">
        <f>VLOOKUP(A147,'Données projet'!$A$165:$I$185,2,0)</f>
        <v>#N/A</v>
      </c>
      <c r="CI147" s="33" t="e">
        <f>VLOOKUP(A147,'Données projet'!$A$165:$I$185,9,0)</f>
        <v>#N/A</v>
      </c>
      <c r="CJ147" s="33">
        <f t="array" ref="CJ147">INDEX(CI:CI,MIN(IF(ISNUMBER(CI147:CI343),ROW(CI147:CI343),"")))</f>
        <v>0</v>
      </c>
      <c r="CK147" s="33">
        <f t="shared" si="116"/>
        <v>0</v>
      </c>
      <c r="CL147" s="38" t="e">
        <f>CK147*VLOOKUP('Données projet'!$B$14,Paramètres!$A$1:$I$88,3,0)*VLOOKUP('Données projet'!$B$14,Paramètres!$A$1:$I$88,5,0)</f>
        <v>#N/A</v>
      </c>
      <c r="CM147" s="34" t="e">
        <f t="shared" si="117"/>
        <v>#N/A</v>
      </c>
      <c r="CN147" s="44" t="e">
        <f t="shared" si="94"/>
        <v>#N/A</v>
      </c>
      <c r="CO147" s="36">
        <f>IF(ISNA(VLOOKUP(A147,'Données projet'!$A$165:$I$185,3,0)),0,VLOOKUP(A147,'Données projet'!$A$165:$I$185,3,0))</f>
        <v>0</v>
      </c>
      <c r="CP147" s="36">
        <f>IF(ISNA(VLOOKUP(A147,'Données projet'!$A$165:$I$185,4,0)),0,VLOOKUP(A147,'Données projet'!$A$165:$I$185,4,0))</f>
        <v>0</v>
      </c>
      <c r="CQ147" s="37">
        <f>IF(ISNA(VLOOKUP(A147,'Données projet'!$A$165:$I$185,5,0)),0%,VLOOKUP(A147,'Données projet'!$A$165:$I$185,5,0)*VLOOKUP('Données projet'!$B$14,Paramètres!$A$1:$I$88,7,0))</f>
        <v>0</v>
      </c>
      <c r="CR147" s="37">
        <f>IF(ISNA(VLOOKUP(A147,'Données projet'!$A$165:$I$185,6,0)),0%,VLOOKUP(A147,'Données projet'!$A$165:$I$185,6,0)*VLOOKUP('Données projet'!$B$14,Paramètres!$A$1:$I$88,7,0))</f>
        <v>0</v>
      </c>
      <c r="CS147" s="37">
        <f>IF(ISNA(VLOOKUP(A147,'Données projet'!$A$165:$I$185,7,0)),0%,VLOOKUP(A147,'Données projet'!$A$165:$I$185,7,0))</f>
        <v>0</v>
      </c>
      <c r="CT147" s="45">
        <f>EXP(-LN(2)/35)*CT146+(1-EXP(-LN(2)/35))/(LN(2)/35)*CP147*CQ147*VLOOKUP('Données projet'!$B$9,Paramètres!$A$1:$I$88,3,0)*0.475*44/12</f>
        <v>0</v>
      </c>
      <c r="CU147" s="45">
        <f>EXP(-LN(2)/25)*CU146+(1-EXP(-LN(2)/25))/(LN(2)/25)*Calculateur!CP147*Calculateur!CR147*VLOOKUP('Données projet'!$B$9,Paramètres!$A$1:$I$88,3,0)*0.475*44/12</f>
        <v>0</v>
      </c>
      <c r="CV147" s="45">
        <f>EXP(-LN(2)/2)*CV146+(1-EXP(-LN(2)/2))/(LN(2)/2)*CP147*CS147*VLOOKUP('Données projet'!$B$9,Paramètres!$A$1:$I$88,3,0)*0.475*44/12</f>
        <v>0</v>
      </c>
      <c r="CW147" s="46">
        <f t="shared" si="95"/>
        <v>0</v>
      </c>
      <c r="CX147" s="32" t="e">
        <f>VLOOKUP(A147,'Données projet'!$A$191:$I$211,2,0)</f>
        <v>#N/A</v>
      </c>
      <c r="CY147" s="33" t="e">
        <f>VLOOKUP(A147,'Données projet'!$A$191:$I$211,9,0)</f>
        <v>#N/A</v>
      </c>
      <c r="CZ147" s="33">
        <f t="array" ref="CZ147">INDEX(CY:CY,MIN(IF(ISNUMBER(CY147:CY343),ROW(CY147:CY343),"")))</f>
        <v>0</v>
      </c>
      <c r="DA147" s="33">
        <f t="shared" si="118"/>
        <v>0</v>
      </c>
      <c r="DB147" s="38" t="e">
        <f>DA147*VLOOKUP('Données projet'!$B$15,Paramètres!$A$1:$I$88,3,0)*VLOOKUP('Données projet'!$B$15,Paramètres!$A$1:$I$88,5,0)</f>
        <v>#N/A</v>
      </c>
      <c r="DC147" s="34" t="e">
        <f t="shared" si="119"/>
        <v>#N/A</v>
      </c>
      <c r="DD147" s="44" t="e">
        <f t="shared" si="96"/>
        <v>#N/A</v>
      </c>
      <c r="DE147" s="36">
        <f>IF(ISNA(VLOOKUP(A147,'Données projet'!$A$191:$I$211,3,0)),0,VLOOKUP(A147,'Données projet'!$A$191:$I$211,3,0))</f>
        <v>0</v>
      </c>
      <c r="DF147" s="36">
        <f>IF(ISNA(VLOOKUP(A147,'Données projet'!$A$191:$I$211,4,0)),0,VLOOKUP(A147,'Données projet'!$A$191:$I$211,4,0))</f>
        <v>0</v>
      </c>
      <c r="DG147" s="37">
        <f>IF(ISNA(VLOOKUP(A147,'Données projet'!$A$191:$I$211,5,0)),0%,VLOOKUP(A147,'Données projet'!$A$191:$I$211,5,0)*VLOOKUP('Données projet'!$B$15,Paramètres!$A$1:$I$88,7,0))</f>
        <v>0</v>
      </c>
      <c r="DH147" s="37">
        <f>IF(ISNA(VLOOKUP(A147,'Données projet'!$A$191:$I$211,6,0)),0%,VLOOKUP(A147,'Données projet'!$A$191:$I$211,6,0)*VLOOKUP('Données projet'!$B$15,Paramètres!$A$1:$I$88,7,0))</f>
        <v>0</v>
      </c>
      <c r="DI147" s="37">
        <f>IF(ISNA(VLOOKUP(A147,'Données projet'!$A$191:$I$211,7,0)),0%,VLOOKUP(A147,'Données projet'!$A$191:$I$211,7,0))</f>
        <v>0</v>
      </c>
      <c r="DJ147" s="45">
        <f>EXP(-LN(2)/35)*DJ146+(1-EXP(-LN(2)/35))/(LN(2)/35)*DF147*DG147*VLOOKUP('Données projet'!$B$9,Paramètres!$A$1:$I$88,3,0)*0.475*44/12</f>
        <v>0</v>
      </c>
      <c r="DK147" s="45">
        <f>EXP(-LN(2)/25)*DK146+(1-EXP(-LN(2)/25))/(LN(2)/25)*Calculateur!DF147*Calculateur!DH147*VLOOKUP('Données projet'!$B$9,Paramètres!$A$1:$I$88,3,0)*0.475*44/12</f>
        <v>0</v>
      </c>
      <c r="DL147" s="45">
        <f>EXP(-LN(2)/2)*DL146+(1-EXP(-LN(2)/2))/(LN(2)/2)*DF147*DI147*VLOOKUP('Données projet'!$B$9,Paramètres!$A$1:$I$88,3,0)*0.475*44/12</f>
        <v>0</v>
      </c>
      <c r="DM147" s="46">
        <f t="shared" si="97"/>
        <v>0</v>
      </c>
      <c r="DN147" s="32" t="e">
        <f>VLOOKUP(A147,'Données projet'!$A$217:$I$237,2,0)</f>
        <v>#N/A</v>
      </c>
      <c r="DO147" s="33" t="e">
        <f>VLOOKUP(A147,'Données projet'!$A$217:$I$237,9,0)</f>
        <v>#N/A</v>
      </c>
      <c r="DP147" s="33">
        <f t="array" ref="DP147">INDEX(DO:DO,MIN(IF(ISNUMBER(DO147:DO343),ROW(DO147:DO343),"")))</f>
        <v>0</v>
      </c>
      <c r="DQ147" s="33">
        <f t="shared" si="120"/>
        <v>0</v>
      </c>
      <c r="DR147" s="38" t="e">
        <f>DQ147*VLOOKUP('Données projet'!$B$16,Paramètres!$A$1:$I$88,3,0)*VLOOKUP('Données projet'!$B$16,Paramètres!$A$1:$I$88,5,0)</f>
        <v>#N/A</v>
      </c>
      <c r="DS147" s="34" t="e">
        <f t="shared" si="121"/>
        <v>#N/A</v>
      </c>
      <c r="DT147" s="44" t="e">
        <f t="shared" si="98"/>
        <v>#N/A</v>
      </c>
      <c r="DU147" s="36">
        <f>IF(ISNA(VLOOKUP(A147,'Données projet'!$A$217:$I$237,3,0)),0,VLOOKUP(A147,'Données projet'!$A$217:$I$237,3,0))</f>
        <v>0</v>
      </c>
      <c r="DV147" s="36">
        <f>IF(ISNA(VLOOKUP(A147,'Données projet'!$A$217:$I$237,4,0)),0,VLOOKUP(A147,'Données projet'!$A$217:$I$237,4,0))</f>
        <v>0</v>
      </c>
      <c r="DW147" s="37">
        <f>IF(ISNA(VLOOKUP(A147,'Données projet'!$A$217:$I$237,5,0)),0%,VLOOKUP(A147,'Données projet'!$A$217:$I$237,5,0)*VLOOKUP('Données projet'!$B$16,Paramètres!$A$1:$I$88,7,0))</f>
        <v>0</v>
      </c>
      <c r="DX147" s="37">
        <f>IF(ISNA(VLOOKUP(A147,'Données projet'!$A$217:$I$237,6,0)),0%,VLOOKUP(A147,'Données projet'!$A$217:$I$237,6,0)*VLOOKUP('Données projet'!$B$16,Paramètres!$A$1:$I$88,7,0))</f>
        <v>0</v>
      </c>
      <c r="DY147" s="37">
        <f>IF(ISNA(VLOOKUP(A147,'Données projet'!$A$217:$I$237,7,0)),0%,VLOOKUP(A147,'Données projet'!$A$217:$I$237,7,0))</f>
        <v>0</v>
      </c>
      <c r="DZ147" s="45">
        <f>EXP(-LN(2)/35)*DZ146+(1-EXP(-LN(2)/35))/(LN(2)/35)*DV147*DW147*VLOOKUP('Données projet'!$B$9,Paramètres!$A$1:$I$88,3,0)*0.475*44/12</f>
        <v>0</v>
      </c>
      <c r="EA147" s="45">
        <f>EXP(-LN(2)/25)*EA146+(1-EXP(-LN(2)/25))/(LN(2)/25)*Calculateur!DV147*Calculateur!DX147*VLOOKUP('Données projet'!$B$9,Paramètres!$A$1:$I$88,3,0)*0.475*44/12</f>
        <v>0</v>
      </c>
      <c r="EB147" s="45">
        <f>EXP(-LN(2)/2)*EB146+(1-EXP(-LN(2)/2))/(LN(2)/2)*DV147*DY147*VLOOKUP('Données projet'!$B$9,Paramètres!$A$1:$I$88,3,0)*0.475*44/12</f>
        <v>0</v>
      </c>
      <c r="EC147" s="46">
        <f t="shared" si="99"/>
        <v>0</v>
      </c>
      <c r="ED147" s="32" t="e">
        <f>VLOOKUP(A147,'Données projet'!$A$243:$I$263,2,0)</f>
        <v>#N/A</v>
      </c>
      <c r="EE147" s="33" t="e">
        <f>VLOOKUP(A147,'Données projet'!$A$243:$I$263,9,0)</f>
        <v>#N/A</v>
      </c>
      <c r="EF147" s="33">
        <f t="array" ref="EF147">INDEX(EE:EE,MIN(IF(ISNUMBER(EE147:EE343),ROW(EE147:EE343),"")))</f>
        <v>0</v>
      </c>
      <c r="EG147" s="33">
        <f t="shared" si="122"/>
        <v>0</v>
      </c>
      <c r="EH147" s="38" t="e">
        <f>EG147*VLOOKUP('Données projet'!$B$17,Paramètres!$A$1:$I$88,3,0)*VLOOKUP('Données projet'!$B$17,Paramètres!$A$1:$I$88,5,0)</f>
        <v>#N/A</v>
      </c>
      <c r="EI147" s="34" t="e">
        <f t="shared" si="123"/>
        <v>#N/A</v>
      </c>
      <c r="EJ147" s="44" t="e">
        <f t="shared" si="100"/>
        <v>#N/A</v>
      </c>
      <c r="EK147" s="36">
        <f>IF(ISNA(VLOOKUP(A147,'Données projet'!$A$243:$I$263,3,0)),0,VLOOKUP(A147,'Données projet'!$A$243:$I$263,3,0))</f>
        <v>0</v>
      </c>
      <c r="EL147" s="36">
        <f>IF(ISNA(VLOOKUP(A147,'Données projet'!$A$243:$I$263,4,0)),0,VLOOKUP(A147,'Données projet'!$A$243:$I$263,4,0))</f>
        <v>0</v>
      </c>
      <c r="EM147" s="37">
        <f>IF(ISNA(VLOOKUP(A147,'Données projet'!$A$243:$I$263,5,0)),0%,VLOOKUP(A147,'Données projet'!$A$243:$I$263,5,0)*VLOOKUP('Données projet'!$B$17,Paramètres!$A$1:$I$88,7,0))</f>
        <v>0</v>
      </c>
      <c r="EN147" s="37">
        <f>IF(ISNA(VLOOKUP(A147,'Données projet'!$A$243:$I$263,6,0)),0%,VLOOKUP(A147,'Données projet'!$A$243:$I$263,6,0)*VLOOKUP('Données projet'!$B$17,Paramètres!$A$1:$I$88,7,0))</f>
        <v>0</v>
      </c>
      <c r="EO147" s="37">
        <f>IF(ISNA(VLOOKUP(A147,'Données projet'!$A$243:$I$263,7,0)),0%,VLOOKUP(A147,'Données projet'!$A$243:$I$263,7,0))</f>
        <v>0</v>
      </c>
      <c r="EP147" s="45">
        <f>EXP(-LN(2)/35)*EP146+(1-EXP(-LN(2)/35))/(LN(2)/35)*EL147*EM147*VLOOKUP('Données projet'!$B$9,Paramètres!$A$1:$I$88,3,0)*0.475*44/12</f>
        <v>0</v>
      </c>
      <c r="EQ147" s="45">
        <f>EXP(-LN(2)/25)*EQ146+(1-EXP(-LN(2)/25))/(LN(2)/25)*Calculateur!EL147*Calculateur!EN147*VLOOKUP('Données projet'!$B$9,Paramètres!$A$1:$I$88,3,0)*0.475*44/12</f>
        <v>0</v>
      </c>
      <c r="ER147" s="45">
        <f>EXP(-LN(2)/2)*ER146+(1-EXP(-LN(2)/2))/(LN(2)/2)*EL147*EO147*VLOOKUP('Données projet'!$B$9,Paramètres!$A$1:$I$88,3,0)*0.475*44/12</f>
        <v>0</v>
      </c>
      <c r="ES147" s="46">
        <f t="shared" si="101"/>
        <v>0</v>
      </c>
      <c r="ET147" s="32" t="e">
        <f>VLOOKUP(A147,'Données projet'!$A$269:$I$289,2,0)</f>
        <v>#N/A</v>
      </c>
      <c r="EU147" s="33" t="e">
        <f>VLOOKUP(A147,'Données projet'!$A$269:$I$289,9,0)</f>
        <v>#N/A</v>
      </c>
      <c r="EV147" s="33">
        <f t="array" ref="EV147">INDEX(EU:EU,MIN(IF(ISNUMBER(EU147:EU343),ROW(EU147:EU343),"")))</f>
        <v>0</v>
      </c>
      <c r="EW147" s="33">
        <f t="shared" si="124"/>
        <v>0</v>
      </c>
      <c r="EX147" s="38" t="e">
        <f>EW147*VLOOKUP('Données projet'!$B$18,Paramètres!$A$1:$I$88,3,0)*VLOOKUP('Données projet'!$B$18,Paramètres!$A$1:$I$88,5,0)</f>
        <v>#N/A</v>
      </c>
      <c r="EY147" s="34" t="e">
        <f t="shared" si="125"/>
        <v>#N/A</v>
      </c>
      <c r="EZ147" s="44" t="e">
        <f t="shared" si="102"/>
        <v>#N/A</v>
      </c>
      <c r="FA147" s="36">
        <f>IF(ISNA(VLOOKUP(A147,'Données projet'!$A$269:$I$289,3,0)),0,VLOOKUP(A147,'Données projet'!$A$269:$I$289,3,0))</f>
        <v>0</v>
      </c>
      <c r="FB147" s="36">
        <f>IF(ISNA(VLOOKUP(A147,'Données projet'!$A$269:$I$289,4,0)),0,VLOOKUP(A147,'Données projet'!$A$269:$I$289,4,0))</f>
        <v>0</v>
      </c>
      <c r="FC147" s="37">
        <f>IF(ISNA(VLOOKUP(A147,'Données projet'!$A$269:$I$289,5,0)),0%,VLOOKUP(A147,'Données projet'!$A$269:$I$289,5,0)*VLOOKUP('Données projet'!$B$18,Paramètres!$A$1:$I$88,7,0))</f>
        <v>0</v>
      </c>
      <c r="FD147" s="37">
        <f>IF(ISNA(VLOOKUP(A147,'Données projet'!$A$269:$I$289,6,0)),0%,VLOOKUP(A147,'Données projet'!$A$269:$I$289,6,0)*VLOOKUP('Données projet'!$B$18,Paramètres!$A$1:$I$88,7,0))</f>
        <v>0</v>
      </c>
      <c r="FE147" s="37">
        <f>IF(ISNA(VLOOKUP(A147,'Données projet'!$A$269:$I$289,7,0)),0%,VLOOKUP(A147,'Données projet'!$A$269:$I$289,7,0))</f>
        <v>0</v>
      </c>
      <c r="FF147" s="45">
        <f>EXP(-LN(2)/35)*FF146+(1-EXP(-LN(2)/35))/(LN(2)/35)*FB147*FC147*VLOOKUP('Données projet'!$B$9,Paramètres!$A$1:$I$88,3,0)*0.475*44/12</f>
        <v>0</v>
      </c>
      <c r="FG147" s="45">
        <f>EXP(-LN(2)/25)*FG146+(1-EXP(-LN(2)/25))/(LN(2)/25)*Calculateur!FB147*Calculateur!FD147*VLOOKUP('Données projet'!$B$9,Paramètres!$A$1:$I$88,3,0)*0.475*44/12</f>
        <v>0</v>
      </c>
      <c r="FH147" s="45">
        <f>EXP(-LN(2)/2)*FH146+(1-EXP(-LN(2)/2))/(LN(2)/2)*FB147*FE147*VLOOKUP('Données projet'!$B$9,Paramètres!$A$1:$I$88,3,0)*0.475*44/12</f>
        <v>0</v>
      </c>
      <c r="FI147" s="46">
        <f t="shared" si="103"/>
        <v>0</v>
      </c>
    </row>
    <row r="148" spans="1:165" x14ac:dyDescent="0.25">
      <c r="A148" s="24">
        <f t="shared" si="104"/>
        <v>145</v>
      </c>
      <c r="B148" s="25">
        <f>IF('Scénario référence'!$N$1=1,5,0)</f>
        <v>0</v>
      </c>
      <c r="C148" s="40">
        <f>IF(OR('Scénario référence'!$N$1=2,'Scénario référence'!$N$1=4),C147+1*VLOOKUP('Scénario référence'!$G$14,Paramètres!$A$1:$I$88,3,0)*VLOOKUP('Scénario référence'!$G$14,Paramètres!$A$1:$I$88,5,0),IF(OR('Scénario référence'!$N$1=3,'Scénario référence'!$N$1=5),C147+0.5*VLOOKUP('Scénario référence'!$G$14,Paramètres!$A$1:$I$88,3,0)*VLOOKUP('Scénario référence'!$G$14,Paramètres!$A$1:$I$88,5,0),0))</f>
        <v>79.170000000000115</v>
      </c>
      <c r="D148" s="26">
        <f t="shared" si="105"/>
        <v>21.934121798181632</v>
      </c>
      <c r="E148" s="27">
        <f>IF('Scénario référence'!$N$1=1,B148*44/12,(C148+D148)*0.475*44/12)</f>
        <v>176.08967879849988</v>
      </c>
      <c r="F148" s="28">
        <f>VLOOKUP(A148,'Données projet'!$A$35:$I$55,2,0)</f>
        <v>295</v>
      </c>
      <c r="G148" s="28">
        <f>VLOOKUP(A148,'Données projet'!$A$35:$I$55,9,0)</f>
        <v>2.6</v>
      </c>
      <c r="H148" s="33">
        <f t="array" ref="H148">INDEX(G:G,MIN(IF(ISNUMBER(G148:G344),ROW(G148:G344),"")))</f>
        <v>2.6</v>
      </c>
      <c r="I148" s="28">
        <f t="shared" si="106"/>
        <v>294.99999999999955</v>
      </c>
      <c r="J148" s="41">
        <f>I148*VLOOKUP('Données projet'!$B$9,Paramètres!$A$1:$I$88,3,0)*VLOOKUP('Données projet'!$B$9,Paramètres!$A$1:$I$88,5,0)</f>
        <v>299.12999999999954</v>
      </c>
      <c r="K148" s="41">
        <f t="shared" si="107"/>
        <v>70.994047242337146</v>
      </c>
      <c r="L148" s="42">
        <f t="shared" si="84"/>
        <v>644.63271561373642</v>
      </c>
      <c r="M148" s="30">
        <f>IF(ISNA(VLOOKUP(A148,'Données projet'!$A$35:$I$55,3,0)),0,VLOOKUP(A148,'Données projet'!$A$35:$I$55,3,0))</f>
        <v>0</v>
      </c>
      <c r="N148" s="30">
        <f>IF(ISNA(VLOOKUP(A148,'Données projet'!$A$35:$I$55,4,0)),0,VLOOKUP(A148,'Données projet'!$A$35:$I$55,4,0))</f>
        <v>0</v>
      </c>
      <c r="O148" s="31">
        <f>IF(ISNA(VLOOKUP(A148,'Données projet'!$A$35:$I$55,5,0)),0%,VLOOKUP(A148,'Données projet'!$A$35:$I$55,5,0)*VLOOKUP('Données projet'!$B$9,Paramètres!$A$1:$I$88,7,0))</f>
        <v>0</v>
      </c>
      <c r="P148" s="31">
        <f>IF(ISNA(VLOOKUP(A148,'Données projet'!$A$35:$I$55,6,0)),0%,VLOOKUP(A148,'Données projet'!$A$35:$I$55,6,0)*VLOOKUP('Données projet'!$B$9,Paramètres!$A$1:$I$88,7,0))</f>
        <v>0</v>
      </c>
      <c r="Q148" s="31">
        <f>IF(ISNA(VLOOKUP(A148,'Données projet'!$A$35:$I$55,7,0)),0%,VLOOKUP(A148,'Données projet'!$A$35:$I$55,7,0))</f>
        <v>0</v>
      </c>
      <c r="R148" s="43">
        <f>EXP(-LN(2)/35)*R147+(1-EXP(-LN(2)/35))/(LN(2)/35)*N148*O148*VLOOKUP('Données projet'!$B$9,Paramètres!$A$1:$I$88,3,0)*0.475*44/12</f>
        <v>0</v>
      </c>
      <c r="S148" s="43">
        <f>EXP(-LN(2)/25)*S147+(1-EXP(-LN(2)/25))/(LN(2)/25)*Calculateur!N148*Calculateur!P148*VLOOKUP('Données projet'!$B$9,Paramètres!$A$1:$I$88,3,0)*0.475*44/12</f>
        <v>0</v>
      </c>
      <c r="T148" s="43">
        <f>EXP(-LN(2)/2)*T147+(1-EXP(-LN(2)/2))/(LN(2)/2)*N148*Q148*VLOOKUP('Données projet'!$B$9,Paramètres!$A$1:$I$88,3,0)*0.475*44/12</f>
        <v>0</v>
      </c>
      <c r="U148" s="43">
        <f t="shared" si="85"/>
        <v>0</v>
      </c>
      <c r="V148" s="32" t="e">
        <f>VLOOKUP(A148,'Données projet'!$A$61:$I$81,2,0)</f>
        <v>#N/A</v>
      </c>
      <c r="W148" s="33" t="e">
        <f>VLOOKUP(A148,'Données projet'!$A$61:$I$81,9,0)</f>
        <v>#N/A</v>
      </c>
      <c r="X148" s="33">
        <f t="array" ref="X148">INDEX(W:W,MIN(IF(ISNUMBER(W148:W344),ROW(W148:W344),"")))</f>
        <v>0</v>
      </c>
      <c r="Y148" s="33">
        <f t="shared" si="108"/>
        <v>0</v>
      </c>
      <c r="Z148" s="34" t="e">
        <f>Y148*VLOOKUP('Données projet'!$B$10,Paramètres!$A$1:$I$88,3,0)*VLOOKUP('Données projet'!$B$10,Paramètres!$A$1:$I$88,5,0)</f>
        <v>#N/A</v>
      </c>
      <c r="AA148" s="34" t="e">
        <f t="shared" si="109"/>
        <v>#N/A</v>
      </c>
      <c r="AB148" s="44" t="e">
        <f t="shared" si="86"/>
        <v>#N/A</v>
      </c>
      <c r="AC148" s="36">
        <f>IF(ISNA(VLOOKUP(A148,'Données projet'!$A$61:$I$81,3,0)),0,VLOOKUP(A148,'Données projet'!$A$61:$I$81,3,0))</f>
        <v>0</v>
      </c>
      <c r="AD148" s="36">
        <f>IF(ISNA(VLOOKUP(A148,'Données projet'!$A$61:$I$81,4,0)),0,VLOOKUP(A148,'Données projet'!$A$61:$I$81,4,0))</f>
        <v>0</v>
      </c>
      <c r="AE148" s="37">
        <f>IF(ISNA(VLOOKUP(A148,'Données projet'!$A$61:$I$81,5,0)),0%,VLOOKUP(A148,'Données projet'!$A$61:$I$81,5,0)*VLOOKUP('Données projet'!$B$10,Paramètres!$A$1:$I$88,7,0))</f>
        <v>0</v>
      </c>
      <c r="AF148" s="37">
        <f>IF(ISNA(VLOOKUP(A148,'Données projet'!$A$61:$I$81,6,0)),0%,VLOOKUP(A148,'Données projet'!$A$61:$I$81,6,0)*VLOOKUP('Données projet'!$B$10,Paramètres!$A$1:$I$88,7,0))</f>
        <v>0</v>
      </c>
      <c r="AG148" s="37">
        <f>IF(ISNA(VLOOKUP(A148,'Données projet'!$A$61:$I$81,7,0)),0%,VLOOKUP(A148,'Données projet'!$A$61:$I$81,7,0))</f>
        <v>0</v>
      </c>
      <c r="AH148" s="45">
        <f>EXP(-LN(2)/35)*AH147+(1-EXP(-LN(2)/35))/(LN(2)/35)*AD148*AE148*VLOOKUP('Données projet'!$B$9,Paramètres!$A$1:$I$88,3,0)*0.475*44/12</f>
        <v>0</v>
      </c>
      <c r="AI148" s="45">
        <f>EXP(-LN(2)/25)*AI147+(1-EXP(-LN(2)/25))/(LN(2)/25)*Calculateur!AD148*Calculateur!AF148*VLOOKUP('Données projet'!$B$9,Paramètres!$A$1:$I$88,3,0)*0.475*44/12</f>
        <v>0</v>
      </c>
      <c r="AJ148" s="45">
        <f>EXP(-LN(2)/2)*AJ147+(1-EXP(-LN(2)/2))/(LN(2)/2)*AD148*AG148*VLOOKUP('Données projet'!$B$9,Paramètres!$A$1:$I$88,3,0)*0.475*44/12</f>
        <v>0</v>
      </c>
      <c r="AK148" s="45">
        <f t="shared" si="87"/>
        <v>0</v>
      </c>
      <c r="AL148" s="32" t="e">
        <f>VLOOKUP(A148,'Données projet'!$A$87:$I$107,2,0)</f>
        <v>#N/A</v>
      </c>
      <c r="AM148" s="33" t="e">
        <f>VLOOKUP(A148,'Données projet'!$A$87:$I$107,9,0)</f>
        <v>#N/A</v>
      </c>
      <c r="AN148" s="33">
        <f t="array" ref="AN148">INDEX(AM:AM,MIN(IF(ISNUMBER(AM148:AM344),ROW(AM148:AM344),"")))</f>
        <v>0</v>
      </c>
      <c r="AO148" s="33">
        <f t="shared" si="110"/>
        <v>0</v>
      </c>
      <c r="AP148" s="34" t="e">
        <f>AO148*VLOOKUP('Données projet'!$B$11,Paramètres!$A$1:$I$88,3,0)*VLOOKUP('Données projet'!$B$11,Paramètres!$A$1:$I$88,5,0)</f>
        <v>#N/A</v>
      </c>
      <c r="AQ148" s="34" t="e">
        <f t="shared" si="111"/>
        <v>#N/A</v>
      </c>
      <c r="AR148" s="44" t="e">
        <f t="shared" si="88"/>
        <v>#N/A</v>
      </c>
      <c r="AS148" s="36">
        <f>IF(ISNA(VLOOKUP(A148,'Données projet'!$A$87:$I$107,3,0)),0,VLOOKUP(A148,'Données projet'!$A$87:$I$107,3,0))</f>
        <v>0</v>
      </c>
      <c r="AT148" s="36">
        <f>IF(ISNA(VLOOKUP(A148,'Données projet'!$A$87:$I$107,4,0)),0,VLOOKUP(A148,'Données projet'!$A$87:$I$107,4,0))</f>
        <v>0</v>
      </c>
      <c r="AU148" s="37">
        <f>IF(ISNA(VLOOKUP(A148,'Données projet'!$A$87:$I$107,5,0)),0%,VLOOKUP(A148,'Données projet'!$A$87:$I$107,5,0)*VLOOKUP('Données projet'!$B$11,Paramètres!$A$1:$I$88,7,0))</f>
        <v>0</v>
      </c>
      <c r="AV148" s="37">
        <f>IF(ISNA(VLOOKUP(A148,'Données projet'!$A$87:$I$107,6,0)),0%,VLOOKUP(A148,'Données projet'!$A$87:$I$107,6,0)*VLOOKUP('Données projet'!$B$11,Paramètres!$A$1:$I$88,7,0))</f>
        <v>0</v>
      </c>
      <c r="AW148" s="37">
        <f>IF(ISNA(VLOOKUP(A148,'Données projet'!$A$87:$I$107,7,0)),0%,VLOOKUP(A148,'Données projet'!$A$87:$I$107,7,0))</f>
        <v>0</v>
      </c>
      <c r="AX148" s="45">
        <f>EXP(-LN(2)/35)*AX147+(1-EXP(-LN(2)/35))/(LN(2)/35)*AT148*AU148*VLOOKUP('Données projet'!$B$9,Paramètres!$A$1:$I$88,3,0)*0.475*44/12</f>
        <v>0</v>
      </c>
      <c r="AY148" s="45">
        <f>EXP(-LN(2)/25)*AY147+(1-EXP(-LN(2)/25))/(LN(2)/25)*Calculateur!AT148*Calculateur!AV148*VLOOKUP('Données projet'!$B$9,Paramètres!$A$1:$I$88,3,0)*0.475*44/12</f>
        <v>0</v>
      </c>
      <c r="AZ148" s="45">
        <f>EXP(-LN(2)/2)*AZ147+(1-EXP(-LN(2)/2))/(LN(2)/2)*AT148*AW148*VLOOKUP('Données projet'!$B$9,Paramètres!$A$1:$I$88,3,0)*0.475*44/12</f>
        <v>0</v>
      </c>
      <c r="BA148" s="46">
        <f t="shared" si="89"/>
        <v>0</v>
      </c>
      <c r="BB148" s="32" t="e">
        <f>VLOOKUP(A148,'Données projet'!$A$113:$I$133,2,0)</f>
        <v>#N/A</v>
      </c>
      <c r="BC148" s="33" t="e">
        <f>VLOOKUP(A148,'Données projet'!$A$113:$I$133,9,0)</f>
        <v>#N/A</v>
      </c>
      <c r="BD148" s="33">
        <f t="array" ref="BD148">INDEX(BC:BC,MIN(IF(ISNUMBER(BC148:BC344),ROW(BC148:BC344),"")))</f>
        <v>0</v>
      </c>
      <c r="BE148" s="33">
        <f t="shared" si="112"/>
        <v>0</v>
      </c>
      <c r="BF148" s="34" t="e">
        <f>BE148*VLOOKUP('Données projet'!$B$12,Paramètres!$A$1:$I$88,3,0)*VLOOKUP('Données projet'!$B$12,Paramètres!$A$1:$I$88,5,0)</f>
        <v>#N/A</v>
      </c>
      <c r="BG148" s="34" t="e">
        <f t="shared" si="113"/>
        <v>#N/A</v>
      </c>
      <c r="BH148" s="44" t="e">
        <f t="shared" si="90"/>
        <v>#N/A</v>
      </c>
      <c r="BI148" s="36">
        <f>IF(ISNA(VLOOKUP(A148,'Données projet'!$A$113:$I$133,3,0)),0,VLOOKUP(A148,'Données projet'!$A$113:$I$133,3,0))</f>
        <v>0</v>
      </c>
      <c r="BJ148" s="36">
        <f>IF(ISNA(VLOOKUP(A148,'Données projet'!$A$113:$I$133,4,0)),0,VLOOKUP(A148,'Données projet'!$A$113:$I$133,4,0))</f>
        <v>0</v>
      </c>
      <c r="BK148" s="37">
        <f>IF(ISNA(VLOOKUP(A148,'Données projet'!$A$113:$I$133,5,0)),0%,VLOOKUP(A148,'Données projet'!$A$113:$I$133,5,0)*VLOOKUP('Données projet'!$B$12,Paramètres!$A$1:$I$88,7,0))</f>
        <v>0</v>
      </c>
      <c r="BL148" s="37">
        <f>IF(ISNA(VLOOKUP(A148,'Données projet'!$A$113:$I$133,6,0)),0%,VLOOKUP(A148,'Données projet'!$A$113:$I$133,6,0)*VLOOKUP('Données projet'!$B$12,Paramètres!$A$1:$I$88,7,0))</f>
        <v>0</v>
      </c>
      <c r="BM148" s="37">
        <f>IF(ISNA(VLOOKUP(A148,'Données projet'!$A$113:$I$133,7,0)),0%,VLOOKUP(A148,'Données projet'!$A$113:$I$133,7,0))</f>
        <v>0</v>
      </c>
      <c r="BN148" s="45">
        <f>EXP(-LN(2)/35)*BN147+(1-EXP(-LN(2)/35))/(LN(2)/35)*BJ148*BK148*VLOOKUP('Données projet'!$B$9,Paramètres!$A$1:$I$88,3,0)*0.475*44/12</f>
        <v>0</v>
      </c>
      <c r="BO148" s="45">
        <f>EXP(-LN(2)/25)*BO147+(1-EXP(-LN(2)/25))/(LN(2)/25)*Calculateur!BJ148*Calculateur!BL148*VLOOKUP('Données projet'!$B$9,Paramètres!$A$1:$I$88,3,0)*0.475*44/12</f>
        <v>0</v>
      </c>
      <c r="BP148" s="45">
        <f>EXP(-LN(2)/2)*BP147+(1-EXP(-LN(2)/2))/(LN(2)/2)*BJ148*BM148*VLOOKUP('Données projet'!$B$9,Paramètres!$A$1:$I$88,3,0)*0.475*44/12</f>
        <v>0</v>
      </c>
      <c r="BQ148" s="46">
        <f t="shared" si="91"/>
        <v>0</v>
      </c>
      <c r="BR148" s="32" t="e">
        <f>VLOOKUP(A148,'Données projet'!$A$139:$I$159,2,0)</f>
        <v>#N/A</v>
      </c>
      <c r="BS148" s="33" t="e">
        <f>VLOOKUP(A148,'Données projet'!$A$139:$I$159,9,0)</f>
        <v>#N/A</v>
      </c>
      <c r="BT148" s="33">
        <f t="array" ref="BT148">INDEX(BS:BS,MIN(IF(ISNUMBER(BS148:BS344),ROW(BS148:BS344),"")))</f>
        <v>0</v>
      </c>
      <c r="BU148" s="33">
        <f t="shared" si="114"/>
        <v>0</v>
      </c>
      <c r="BV148" s="38" t="e">
        <f>BU148*VLOOKUP('Données projet'!$B$13,Paramètres!$A$1:$I$88,3,0)*VLOOKUP('Données projet'!$B$13,Paramètres!$A$1:$I$88,5,0)</f>
        <v>#N/A</v>
      </c>
      <c r="BW148" s="34" t="e">
        <f t="shared" si="115"/>
        <v>#N/A</v>
      </c>
      <c r="BX148" s="44" t="e">
        <f t="shared" si="92"/>
        <v>#N/A</v>
      </c>
      <c r="BY148" s="36">
        <f>IF(ISNA(VLOOKUP(A148,'Données projet'!$A$139:$I$159,3,0)),0,VLOOKUP(A148,'Données projet'!$A$139:$I$159,3,0))</f>
        <v>0</v>
      </c>
      <c r="BZ148" s="36">
        <f>IF(ISNA(VLOOKUP(A148,'Données projet'!$A$139:$I$159,4,0)),0,VLOOKUP(A148,'Données projet'!$A$139:$I$159,4,0))</f>
        <v>0</v>
      </c>
      <c r="CA148" s="37">
        <f>IF(ISNA(VLOOKUP(A148,'Données projet'!$A$139:$I$159,5,0)),0%,VLOOKUP(A148,'Données projet'!$A$139:$I$159,5,0)*VLOOKUP('Données projet'!$B$13,Paramètres!$A$1:$I$88,7,0))</f>
        <v>0</v>
      </c>
      <c r="CB148" s="37">
        <f>IF(ISNA(VLOOKUP(A148,'Données projet'!$A$139:$I$159,6,0)),0%,VLOOKUP(A148,'Données projet'!$A$139:$I$159,6,0)*VLOOKUP('Données projet'!$B$13,Paramètres!$A$1:$I$88,7,0))</f>
        <v>0</v>
      </c>
      <c r="CC148" s="37">
        <f>IF(ISNA(VLOOKUP(A148,'Données projet'!$A$139:$I$159,7,0)),0%,VLOOKUP(A148,'Données projet'!$A$139:$I$159,7,0))</f>
        <v>0</v>
      </c>
      <c r="CD148" s="45">
        <f>EXP(-LN(2)/35)*CD147+(1-EXP(-LN(2)/35))/(LN(2)/35)*BZ148*CA148*VLOOKUP('Données projet'!$B$9,Paramètres!$A$1:$I$88,3,0)*0.475*44/12</f>
        <v>0</v>
      </c>
      <c r="CE148" s="45">
        <f>EXP(-LN(2)/25)*CE147+(1-EXP(-LN(2)/25))/(LN(2)/25)*Calculateur!BZ148*Calculateur!CB148*VLOOKUP('Données projet'!$B$9,Paramètres!$A$1:$I$88,3,0)*0.475*44/12</f>
        <v>0</v>
      </c>
      <c r="CF148" s="45">
        <f>EXP(-LN(2)/2)*CF147+(1-EXP(-LN(2)/2))/(LN(2)/2)*BZ148*CC148*VLOOKUP('Données projet'!$B$9,Paramètres!$A$1:$I$88,3,0)*0.475*44/12</f>
        <v>0</v>
      </c>
      <c r="CG148" s="46">
        <f t="shared" si="93"/>
        <v>0</v>
      </c>
      <c r="CH148" s="32" t="e">
        <f>VLOOKUP(A148,'Données projet'!$A$165:$I$185,2,0)</f>
        <v>#N/A</v>
      </c>
      <c r="CI148" s="33" t="e">
        <f>VLOOKUP(A148,'Données projet'!$A$165:$I$185,9,0)</f>
        <v>#N/A</v>
      </c>
      <c r="CJ148" s="33">
        <f t="array" ref="CJ148">INDEX(CI:CI,MIN(IF(ISNUMBER(CI148:CI344),ROW(CI148:CI344),"")))</f>
        <v>0</v>
      </c>
      <c r="CK148" s="33">
        <f t="shared" si="116"/>
        <v>0</v>
      </c>
      <c r="CL148" s="38" t="e">
        <f>CK148*VLOOKUP('Données projet'!$B$14,Paramètres!$A$1:$I$88,3,0)*VLOOKUP('Données projet'!$B$14,Paramètres!$A$1:$I$88,5,0)</f>
        <v>#N/A</v>
      </c>
      <c r="CM148" s="34" t="e">
        <f t="shared" si="117"/>
        <v>#N/A</v>
      </c>
      <c r="CN148" s="44" t="e">
        <f t="shared" si="94"/>
        <v>#N/A</v>
      </c>
      <c r="CO148" s="36">
        <f>IF(ISNA(VLOOKUP(A148,'Données projet'!$A$165:$I$185,3,0)),0,VLOOKUP(A148,'Données projet'!$A$165:$I$185,3,0))</f>
        <v>0</v>
      </c>
      <c r="CP148" s="36">
        <f>IF(ISNA(VLOOKUP(A148,'Données projet'!$A$165:$I$185,4,0)),0,VLOOKUP(A148,'Données projet'!$A$165:$I$185,4,0))</f>
        <v>0</v>
      </c>
      <c r="CQ148" s="37">
        <f>IF(ISNA(VLOOKUP(A148,'Données projet'!$A$165:$I$185,5,0)),0%,VLOOKUP(A148,'Données projet'!$A$165:$I$185,5,0)*VLOOKUP('Données projet'!$B$14,Paramètres!$A$1:$I$88,7,0))</f>
        <v>0</v>
      </c>
      <c r="CR148" s="37">
        <f>IF(ISNA(VLOOKUP(A148,'Données projet'!$A$165:$I$185,6,0)),0%,VLOOKUP(A148,'Données projet'!$A$165:$I$185,6,0)*VLOOKUP('Données projet'!$B$14,Paramètres!$A$1:$I$88,7,0))</f>
        <v>0</v>
      </c>
      <c r="CS148" s="37">
        <f>IF(ISNA(VLOOKUP(A148,'Données projet'!$A$165:$I$185,7,0)),0%,VLOOKUP(A148,'Données projet'!$A$165:$I$185,7,0))</f>
        <v>0</v>
      </c>
      <c r="CT148" s="45">
        <f>EXP(-LN(2)/35)*CT147+(1-EXP(-LN(2)/35))/(LN(2)/35)*CP148*CQ148*VLOOKUP('Données projet'!$B$9,Paramètres!$A$1:$I$88,3,0)*0.475*44/12</f>
        <v>0</v>
      </c>
      <c r="CU148" s="45">
        <f>EXP(-LN(2)/25)*CU147+(1-EXP(-LN(2)/25))/(LN(2)/25)*Calculateur!CP148*Calculateur!CR148*VLOOKUP('Données projet'!$B$9,Paramètres!$A$1:$I$88,3,0)*0.475*44/12</f>
        <v>0</v>
      </c>
      <c r="CV148" s="45">
        <f>EXP(-LN(2)/2)*CV147+(1-EXP(-LN(2)/2))/(LN(2)/2)*CP148*CS148*VLOOKUP('Données projet'!$B$9,Paramètres!$A$1:$I$88,3,0)*0.475*44/12</f>
        <v>0</v>
      </c>
      <c r="CW148" s="46">
        <f t="shared" si="95"/>
        <v>0</v>
      </c>
      <c r="CX148" s="32" t="e">
        <f>VLOOKUP(A148,'Données projet'!$A$191:$I$211,2,0)</f>
        <v>#N/A</v>
      </c>
      <c r="CY148" s="33" t="e">
        <f>VLOOKUP(A148,'Données projet'!$A$191:$I$211,9,0)</f>
        <v>#N/A</v>
      </c>
      <c r="CZ148" s="33">
        <f t="array" ref="CZ148">INDEX(CY:CY,MIN(IF(ISNUMBER(CY148:CY344),ROW(CY148:CY344),"")))</f>
        <v>0</v>
      </c>
      <c r="DA148" s="33">
        <f t="shared" si="118"/>
        <v>0</v>
      </c>
      <c r="DB148" s="38" t="e">
        <f>DA148*VLOOKUP('Données projet'!$B$15,Paramètres!$A$1:$I$88,3,0)*VLOOKUP('Données projet'!$B$15,Paramètres!$A$1:$I$88,5,0)</f>
        <v>#N/A</v>
      </c>
      <c r="DC148" s="34" t="e">
        <f t="shared" si="119"/>
        <v>#N/A</v>
      </c>
      <c r="DD148" s="44" t="e">
        <f t="shared" si="96"/>
        <v>#N/A</v>
      </c>
      <c r="DE148" s="36">
        <f>IF(ISNA(VLOOKUP(A148,'Données projet'!$A$191:$I$211,3,0)),0,VLOOKUP(A148,'Données projet'!$A$191:$I$211,3,0))</f>
        <v>0</v>
      </c>
      <c r="DF148" s="36">
        <f>IF(ISNA(VLOOKUP(A148,'Données projet'!$A$191:$I$211,4,0)),0,VLOOKUP(A148,'Données projet'!$A$191:$I$211,4,0))</f>
        <v>0</v>
      </c>
      <c r="DG148" s="37">
        <f>IF(ISNA(VLOOKUP(A148,'Données projet'!$A$191:$I$211,5,0)),0%,VLOOKUP(A148,'Données projet'!$A$191:$I$211,5,0)*VLOOKUP('Données projet'!$B$15,Paramètres!$A$1:$I$88,7,0))</f>
        <v>0</v>
      </c>
      <c r="DH148" s="37">
        <f>IF(ISNA(VLOOKUP(A148,'Données projet'!$A$191:$I$211,6,0)),0%,VLOOKUP(A148,'Données projet'!$A$191:$I$211,6,0)*VLOOKUP('Données projet'!$B$15,Paramètres!$A$1:$I$88,7,0))</f>
        <v>0</v>
      </c>
      <c r="DI148" s="37">
        <f>IF(ISNA(VLOOKUP(A148,'Données projet'!$A$191:$I$211,7,0)),0%,VLOOKUP(A148,'Données projet'!$A$191:$I$211,7,0))</f>
        <v>0</v>
      </c>
      <c r="DJ148" s="45">
        <f>EXP(-LN(2)/35)*DJ147+(1-EXP(-LN(2)/35))/(LN(2)/35)*DF148*DG148*VLOOKUP('Données projet'!$B$9,Paramètres!$A$1:$I$88,3,0)*0.475*44/12</f>
        <v>0</v>
      </c>
      <c r="DK148" s="45">
        <f>EXP(-LN(2)/25)*DK147+(1-EXP(-LN(2)/25))/(LN(2)/25)*Calculateur!DF148*Calculateur!DH148*VLOOKUP('Données projet'!$B$9,Paramètres!$A$1:$I$88,3,0)*0.475*44/12</f>
        <v>0</v>
      </c>
      <c r="DL148" s="45">
        <f>EXP(-LN(2)/2)*DL147+(1-EXP(-LN(2)/2))/(LN(2)/2)*DF148*DI148*VLOOKUP('Données projet'!$B$9,Paramètres!$A$1:$I$88,3,0)*0.475*44/12</f>
        <v>0</v>
      </c>
      <c r="DM148" s="46">
        <f t="shared" si="97"/>
        <v>0</v>
      </c>
      <c r="DN148" s="32" t="e">
        <f>VLOOKUP(A148,'Données projet'!$A$217:$I$237,2,0)</f>
        <v>#N/A</v>
      </c>
      <c r="DO148" s="33" t="e">
        <f>VLOOKUP(A148,'Données projet'!$A$217:$I$237,9,0)</f>
        <v>#N/A</v>
      </c>
      <c r="DP148" s="33">
        <f t="array" ref="DP148">INDEX(DO:DO,MIN(IF(ISNUMBER(DO148:DO344),ROW(DO148:DO344),"")))</f>
        <v>0</v>
      </c>
      <c r="DQ148" s="33">
        <f t="shared" si="120"/>
        <v>0</v>
      </c>
      <c r="DR148" s="38" t="e">
        <f>DQ148*VLOOKUP('Données projet'!$B$16,Paramètres!$A$1:$I$88,3,0)*VLOOKUP('Données projet'!$B$16,Paramètres!$A$1:$I$88,5,0)</f>
        <v>#N/A</v>
      </c>
      <c r="DS148" s="34" t="e">
        <f t="shared" si="121"/>
        <v>#N/A</v>
      </c>
      <c r="DT148" s="44" t="e">
        <f t="shared" si="98"/>
        <v>#N/A</v>
      </c>
      <c r="DU148" s="36">
        <f>IF(ISNA(VLOOKUP(A148,'Données projet'!$A$217:$I$237,3,0)),0,VLOOKUP(A148,'Données projet'!$A$217:$I$237,3,0))</f>
        <v>0</v>
      </c>
      <c r="DV148" s="36">
        <f>IF(ISNA(VLOOKUP(A148,'Données projet'!$A$217:$I$237,4,0)),0,VLOOKUP(A148,'Données projet'!$A$217:$I$237,4,0))</f>
        <v>0</v>
      </c>
      <c r="DW148" s="37">
        <f>IF(ISNA(VLOOKUP(A148,'Données projet'!$A$217:$I$237,5,0)),0%,VLOOKUP(A148,'Données projet'!$A$217:$I$237,5,0)*VLOOKUP('Données projet'!$B$16,Paramètres!$A$1:$I$88,7,0))</f>
        <v>0</v>
      </c>
      <c r="DX148" s="37">
        <f>IF(ISNA(VLOOKUP(A148,'Données projet'!$A$217:$I$237,6,0)),0%,VLOOKUP(A148,'Données projet'!$A$217:$I$237,6,0)*VLOOKUP('Données projet'!$B$16,Paramètres!$A$1:$I$88,7,0))</f>
        <v>0</v>
      </c>
      <c r="DY148" s="37">
        <f>IF(ISNA(VLOOKUP(A148,'Données projet'!$A$217:$I$237,7,0)),0%,VLOOKUP(A148,'Données projet'!$A$217:$I$237,7,0))</f>
        <v>0</v>
      </c>
      <c r="DZ148" s="45">
        <f>EXP(-LN(2)/35)*DZ147+(1-EXP(-LN(2)/35))/(LN(2)/35)*DV148*DW148*VLOOKUP('Données projet'!$B$9,Paramètres!$A$1:$I$88,3,0)*0.475*44/12</f>
        <v>0</v>
      </c>
      <c r="EA148" s="45">
        <f>EXP(-LN(2)/25)*EA147+(1-EXP(-LN(2)/25))/(LN(2)/25)*Calculateur!DV148*Calculateur!DX148*VLOOKUP('Données projet'!$B$9,Paramètres!$A$1:$I$88,3,0)*0.475*44/12</f>
        <v>0</v>
      </c>
      <c r="EB148" s="45">
        <f>EXP(-LN(2)/2)*EB147+(1-EXP(-LN(2)/2))/(LN(2)/2)*DV148*DY148*VLOOKUP('Données projet'!$B$9,Paramètres!$A$1:$I$88,3,0)*0.475*44/12</f>
        <v>0</v>
      </c>
      <c r="EC148" s="46">
        <f t="shared" si="99"/>
        <v>0</v>
      </c>
      <c r="ED148" s="32" t="e">
        <f>VLOOKUP(A148,'Données projet'!$A$243:$I$263,2,0)</f>
        <v>#N/A</v>
      </c>
      <c r="EE148" s="33" t="e">
        <f>VLOOKUP(A148,'Données projet'!$A$243:$I$263,9,0)</f>
        <v>#N/A</v>
      </c>
      <c r="EF148" s="33">
        <f t="array" ref="EF148">INDEX(EE:EE,MIN(IF(ISNUMBER(EE148:EE344),ROW(EE148:EE344),"")))</f>
        <v>0</v>
      </c>
      <c r="EG148" s="33">
        <f t="shared" si="122"/>
        <v>0</v>
      </c>
      <c r="EH148" s="38" t="e">
        <f>EG148*VLOOKUP('Données projet'!$B$17,Paramètres!$A$1:$I$88,3,0)*VLOOKUP('Données projet'!$B$17,Paramètres!$A$1:$I$88,5,0)</f>
        <v>#N/A</v>
      </c>
      <c r="EI148" s="34" t="e">
        <f t="shared" si="123"/>
        <v>#N/A</v>
      </c>
      <c r="EJ148" s="44" t="e">
        <f t="shared" si="100"/>
        <v>#N/A</v>
      </c>
      <c r="EK148" s="36">
        <f>IF(ISNA(VLOOKUP(A148,'Données projet'!$A$243:$I$263,3,0)),0,VLOOKUP(A148,'Données projet'!$A$243:$I$263,3,0))</f>
        <v>0</v>
      </c>
      <c r="EL148" s="36">
        <f>IF(ISNA(VLOOKUP(A148,'Données projet'!$A$243:$I$263,4,0)),0,VLOOKUP(A148,'Données projet'!$A$243:$I$263,4,0))</f>
        <v>0</v>
      </c>
      <c r="EM148" s="37">
        <f>IF(ISNA(VLOOKUP(A148,'Données projet'!$A$243:$I$263,5,0)),0%,VLOOKUP(A148,'Données projet'!$A$243:$I$263,5,0)*VLOOKUP('Données projet'!$B$17,Paramètres!$A$1:$I$88,7,0))</f>
        <v>0</v>
      </c>
      <c r="EN148" s="37">
        <f>IF(ISNA(VLOOKUP(A148,'Données projet'!$A$243:$I$263,6,0)),0%,VLOOKUP(A148,'Données projet'!$A$243:$I$263,6,0)*VLOOKUP('Données projet'!$B$17,Paramètres!$A$1:$I$88,7,0))</f>
        <v>0</v>
      </c>
      <c r="EO148" s="37">
        <f>IF(ISNA(VLOOKUP(A148,'Données projet'!$A$243:$I$263,7,0)),0%,VLOOKUP(A148,'Données projet'!$A$243:$I$263,7,0))</f>
        <v>0</v>
      </c>
      <c r="EP148" s="45">
        <f>EXP(-LN(2)/35)*EP147+(1-EXP(-LN(2)/35))/(LN(2)/35)*EL148*EM148*VLOOKUP('Données projet'!$B$9,Paramètres!$A$1:$I$88,3,0)*0.475*44/12</f>
        <v>0</v>
      </c>
      <c r="EQ148" s="45">
        <f>EXP(-LN(2)/25)*EQ147+(1-EXP(-LN(2)/25))/(LN(2)/25)*Calculateur!EL148*Calculateur!EN148*VLOOKUP('Données projet'!$B$9,Paramètres!$A$1:$I$88,3,0)*0.475*44/12</f>
        <v>0</v>
      </c>
      <c r="ER148" s="45">
        <f>EXP(-LN(2)/2)*ER147+(1-EXP(-LN(2)/2))/(LN(2)/2)*EL148*EO148*VLOOKUP('Données projet'!$B$9,Paramètres!$A$1:$I$88,3,0)*0.475*44/12</f>
        <v>0</v>
      </c>
      <c r="ES148" s="46">
        <f t="shared" si="101"/>
        <v>0</v>
      </c>
      <c r="ET148" s="32" t="e">
        <f>VLOOKUP(A148,'Données projet'!$A$269:$I$289,2,0)</f>
        <v>#N/A</v>
      </c>
      <c r="EU148" s="33" t="e">
        <f>VLOOKUP(A148,'Données projet'!$A$269:$I$289,9,0)</f>
        <v>#N/A</v>
      </c>
      <c r="EV148" s="33">
        <f t="array" ref="EV148">INDEX(EU:EU,MIN(IF(ISNUMBER(EU148:EU344),ROW(EU148:EU344),"")))</f>
        <v>0</v>
      </c>
      <c r="EW148" s="33">
        <f t="shared" si="124"/>
        <v>0</v>
      </c>
      <c r="EX148" s="38" t="e">
        <f>EW148*VLOOKUP('Données projet'!$B$18,Paramètres!$A$1:$I$88,3,0)*VLOOKUP('Données projet'!$B$18,Paramètres!$A$1:$I$88,5,0)</f>
        <v>#N/A</v>
      </c>
      <c r="EY148" s="34" t="e">
        <f t="shared" si="125"/>
        <v>#N/A</v>
      </c>
      <c r="EZ148" s="44" t="e">
        <f t="shared" si="102"/>
        <v>#N/A</v>
      </c>
      <c r="FA148" s="36">
        <f>IF(ISNA(VLOOKUP(A148,'Données projet'!$A$269:$I$289,3,0)),0,VLOOKUP(A148,'Données projet'!$A$269:$I$289,3,0))</f>
        <v>0</v>
      </c>
      <c r="FB148" s="36">
        <f>IF(ISNA(VLOOKUP(A148,'Données projet'!$A$269:$I$289,4,0)),0,VLOOKUP(A148,'Données projet'!$A$269:$I$289,4,0))</f>
        <v>0</v>
      </c>
      <c r="FC148" s="37">
        <f>IF(ISNA(VLOOKUP(A148,'Données projet'!$A$269:$I$289,5,0)),0%,VLOOKUP(A148,'Données projet'!$A$269:$I$289,5,0)*VLOOKUP('Données projet'!$B$18,Paramètres!$A$1:$I$88,7,0))</f>
        <v>0</v>
      </c>
      <c r="FD148" s="37">
        <f>IF(ISNA(VLOOKUP(A148,'Données projet'!$A$269:$I$289,6,0)),0%,VLOOKUP(A148,'Données projet'!$A$269:$I$289,6,0)*VLOOKUP('Données projet'!$B$18,Paramètres!$A$1:$I$88,7,0))</f>
        <v>0</v>
      </c>
      <c r="FE148" s="37">
        <f>IF(ISNA(VLOOKUP(A148,'Données projet'!$A$269:$I$289,7,0)),0%,VLOOKUP(A148,'Données projet'!$A$269:$I$289,7,0))</f>
        <v>0</v>
      </c>
      <c r="FF148" s="45">
        <f>EXP(-LN(2)/35)*FF147+(1-EXP(-LN(2)/35))/(LN(2)/35)*FB148*FC148*VLOOKUP('Données projet'!$B$9,Paramètres!$A$1:$I$88,3,0)*0.475*44/12</f>
        <v>0</v>
      </c>
      <c r="FG148" s="45">
        <f>EXP(-LN(2)/25)*FG147+(1-EXP(-LN(2)/25))/(LN(2)/25)*Calculateur!FB148*Calculateur!FD148*VLOOKUP('Données projet'!$B$9,Paramètres!$A$1:$I$88,3,0)*0.475*44/12</f>
        <v>0</v>
      </c>
      <c r="FH148" s="45">
        <f>EXP(-LN(2)/2)*FH147+(1-EXP(-LN(2)/2))/(LN(2)/2)*FB148*FE148*VLOOKUP('Données projet'!$B$9,Paramètres!$A$1:$I$88,3,0)*0.475*44/12</f>
        <v>0</v>
      </c>
      <c r="FI148" s="46">
        <f t="shared" si="103"/>
        <v>0</v>
      </c>
    </row>
    <row r="149" spans="1:165" x14ac:dyDescent="0.25">
      <c r="A149" s="24">
        <f t="shared" si="104"/>
        <v>146</v>
      </c>
      <c r="B149" s="25">
        <f>IF('Scénario référence'!$N$1=1,5,0)</f>
        <v>0</v>
      </c>
      <c r="C149" s="40">
        <f>IF(OR('Scénario référence'!$N$1=2,'Scénario référence'!$N$1=4),C148+1*VLOOKUP('Scénario référence'!$G$14,Paramètres!$A$1:$I$88,3,0)*VLOOKUP('Scénario référence'!$G$14,Paramètres!$A$1:$I$88,5,0),IF(OR('Scénario référence'!$N$1=3,'Scénario référence'!$N$1=5),C148+0.5*VLOOKUP('Scénario référence'!$G$14,Paramètres!$A$1:$I$88,3,0)*VLOOKUP('Scénario référence'!$G$14,Paramètres!$A$1:$I$88,5,0),0))</f>
        <v>79.716000000000122</v>
      </c>
      <c r="D149" s="26">
        <f t="shared" si="105"/>
        <v>22.067730286351065</v>
      </c>
      <c r="E149" s="27">
        <f>IF('Scénario référence'!$N$1=1,B149*44/12,(C149+D149)*0.475*44/12)</f>
        <v>177.27333024872829</v>
      </c>
      <c r="F149" s="28" t="e">
        <f>VLOOKUP(A149,'Données projet'!$A$35:$I$55,2,0)</f>
        <v>#N/A</v>
      </c>
      <c r="G149" s="28" t="e">
        <f>VLOOKUP(A149,'Données projet'!$A$35:$I$55,9,0)</f>
        <v>#N/A</v>
      </c>
      <c r="H149" s="33">
        <f t="array" ref="H149">INDEX(G:G,MIN(IF(ISNUMBER(G149:G345),ROW(G149:G345),"")))</f>
        <v>2.2000000000000002</v>
      </c>
      <c r="I149" s="28">
        <f t="shared" si="106"/>
        <v>297.19999999999953</v>
      </c>
      <c r="J149" s="41">
        <f>I149*VLOOKUP('Données projet'!$B$9,Paramètres!$A$1:$I$88,3,0)*VLOOKUP('Données projet'!$B$9,Paramètres!$A$1:$I$88,5,0)</f>
        <v>301.36079999999953</v>
      </c>
      <c r="K149" s="41">
        <f t="shared" si="107"/>
        <v>71.461664239932929</v>
      </c>
      <c r="L149" s="42">
        <f t="shared" si="84"/>
        <v>649.33245855121572</v>
      </c>
      <c r="M149" s="30">
        <f>IF(ISNA(VLOOKUP(A149,'Données projet'!$A$35:$I$55,3,0)),0,VLOOKUP(A149,'Données projet'!$A$35:$I$55,3,0))</f>
        <v>0</v>
      </c>
      <c r="N149" s="30">
        <f>IF(ISNA(VLOOKUP(A149,'Données projet'!$A$35:$I$55,4,0)),0,VLOOKUP(A149,'Données projet'!$A$35:$I$55,4,0))</f>
        <v>0</v>
      </c>
      <c r="O149" s="31">
        <f>IF(ISNA(VLOOKUP(A149,'Données projet'!$A$35:$I$55,5,0)),0%,VLOOKUP(A149,'Données projet'!$A$35:$I$55,5,0)*VLOOKUP('Données projet'!$B$9,Paramètres!$A$1:$I$88,7,0))</f>
        <v>0</v>
      </c>
      <c r="P149" s="31">
        <f>IF(ISNA(VLOOKUP(A149,'Données projet'!$A$35:$I$55,6,0)),0%,VLOOKUP(A149,'Données projet'!$A$35:$I$55,6,0)*VLOOKUP('Données projet'!$B$9,Paramètres!$A$1:$I$88,7,0))</f>
        <v>0</v>
      </c>
      <c r="Q149" s="31">
        <f>IF(ISNA(VLOOKUP(A149,'Données projet'!$A$35:$I$55,7,0)),0%,VLOOKUP(A149,'Données projet'!$A$35:$I$55,7,0))</f>
        <v>0</v>
      </c>
      <c r="R149" s="43">
        <f>EXP(-LN(2)/35)*R148+(1-EXP(-LN(2)/35))/(LN(2)/35)*N149*O149*VLOOKUP('Données projet'!$B$9,Paramètres!$A$1:$I$88,3,0)*0.475*44/12</f>
        <v>0</v>
      </c>
      <c r="S149" s="43">
        <f>EXP(-LN(2)/25)*S148+(1-EXP(-LN(2)/25))/(LN(2)/25)*Calculateur!N149*Calculateur!P149*VLOOKUP('Données projet'!$B$9,Paramètres!$A$1:$I$88,3,0)*0.475*44/12</f>
        <v>0</v>
      </c>
      <c r="T149" s="43">
        <f>EXP(-LN(2)/2)*T148+(1-EXP(-LN(2)/2))/(LN(2)/2)*N149*Q149*VLOOKUP('Données projet'!$B$9,Paramètres!$A$1:$I$88,3,0)*0.475*44/12</f>
        <v>0</v>
      </c>
      <c r="U149" s="43">
        <f t="shared" si="85"/>
        <v>0</v>
      </c>
      <c r="V149" s="32" t="e">
        <f>VLOOKUP(A149,'Données projet'!$A$61:$I$81,2,0)</f>
        <v>#N/A</v>
      </c>
      <c r="W149" s="33" t="e">
        <f>VLOOKUP(A149,'Données projet'!$A$61:$I$81,9,0)</f>
        <v>#N/A</v>
      </c>
      <c r="X149" s="33">
        <f t="array" ref="X149">INDEX(W:W,MIN(IF(ISNUMBER(W149:W345),ROW(W149:W345),"")))</f>
        <v>0</v>
      </c>
      <c r="Y149" s="33">
        <f t="shared" si="108"/>
        <v>0</v>
      </c>
      <c r="Z149" s="34" t="e">
        <f>Y149*VLOOKUP('Données projet'!$B$10,Paramètres!$A$1:$I$88,3,0)*VLOOKUP('Données projet'!$B$10,Paramètres!$A$1:$I$88,5,0)</f>
        <v>#N/A</v>
      </c>
      <c r="AA149" s="34" t="e">
        <f t="shared" si="109"/>
        <v>#N/A</v>
      </c>
      <c r="AB149" s="44" t="e">
        <f t="shared" si="86"/>
        <v>#N/A</v>
      </c>
      <c r="AC149" s="36">
        <f>IF(ISNA(VLOOKUP(A149,'Données projet'!$A$61:$I$81,3,0)),0,VLOOKUP(A149,'Données projet'!$A$61:$I$81,3,0))</f>
        <v>0</v>
      </c>
      <c r="AD149" s="36">
        <f>IF(ISNA(VLOOKUP(A149,'Données projet'!$A$61:$I$81,4,0)),0,VLOOKUP(A149,'Données projet'!$A$61:$I$81,4,0))</f>
        <v>0</v>
      </c>
      <c r="AE149" s="37">
        <f>IF(ISNA(VLOOKUP(A149,'Données projet'!$A$61:$I$81,5,0)),0%,VLOOKUP(A149,'Données projet'!$A$61:$I$81,5,0)*VLOOKUP('Données projet'!$B$10,Paramètres!$A$1:$I$88,7,0))</f>
        <v>0</v>
      </c>
      <c r="AF149" s="37">
        <f>IF(ISNA(VLOOKUP(A149,'Données projet'!$A$61:$I$81,6,0)),0%,VLOOKUP(A149,'Données projet'!$A$61:$I$81,6,0)*VLOOKUP('Données projet'!$B$10,Paramètres!$A$1:$I$88,7,0))</f>
        <v>0</v>
      </c>
      <c r="AG149" s="37">
        <f>IF(ISNA(VLOOKUP(A149,'Données projet'!$A$61:$I$81,7,0)),0%,VLOOKUP(A149,'Données projet'!$A$61:$I$81,7,0))</f>
        <v>0</v>
      </c>
      <c r="AH149" s="45">
        <f>EXP(-LN(2)/35)*AH148+(1-EXP(-LN(2)/35))/(LN(2)/35)*AD149*AE149*VLOOKUP('Données projet'!$B$9,Paramètres!$A$1:$I$88,3,0)*0.475*44/12</f>
        <v>0</v>
      </c>
      <c r="AI149" s="45">
        <f>EXP(-LN(2)/25)*AI148+(1-EXP(-LN(2)/25))/(LN(2)/25)*Calculateur!AD149*Calculateur!AF149*VLOOKUP('Données projet'!$B$9,Paramètres!$A$1:$I$88,3,0)*0.475*44/12</f>
        <v>0</v>
      </c>
      <c r="AJ149" s="45">
        <f>EXP(-LN(2)/2)*AJ148+(1-EXP(-LN(2)/2))/(LN(2)/2)*AD149*AG149*VLOOKUP('Données projet'!$B$9,Paramètres!$A$1:$I$88,3,0)*0.475*44/12</f>
        <v>0</v>
      </c>
      <c r="AK149" s="45">
        <f t="shared" si="87"/>
        <v>0</v>
      </c>
      <c r="AL149" s="32" t="e">
        <f>VLOOKUP(A149,'Données projet'!$A$87:$I$107,2,0)</f>
        <v>#N/A</v>
      </c>
      <c r="AM149" s="33" t="e">
        <f>VLOOKUP(A149,'Données projet'!$A$87:$I$107,9,0)</f>
        <v>#N/A</v>
      </c>
      <c r="AN149" s="33">
        <f t="array" ref="AN149">INDEX(AM:AM,MIN(IF(ISNUMBER(AM149:AM345),ROW(AM149:AM345),"")))</f>
        <v>0</v>
      </c>
      <c r="AO149" s="33">
        <f t="shared" si="110"/>
        <v>0</v>
      </c>
      <c r="AP149" s="34" t="e">
        <f>AO149*VLOOKUP('Données projet'!$B$11,Paramètres!$A$1:$I$88,3,0)*VLOOKUP('Données projet'!$B$11,Paramètres!$A$1:$I$88,5,0)</f>
        <v>#N/A</v>
      </c>
      <c r="AQ149" s="34" t="e">
        <f t="shared" si="111"/>
        <v>#N/A</v>
      </c>
      <c r="AR149" s="44" t="e">
        <f t="shared" si="88"/>
        <v>#N/A</v>
      </c>
      <c r="AS149" s="36">
        <f>IF(ISNA(VLOOKUP(A149,'Données projet'!$A$87:$I$107,3,0)),0,VLOOKUP(A149,'Données projet'!$A$87:$I$107,3,0))</f>
        <v>0</v>
      </c>
      <c r="AT149" s="36">
        <f>IF(ISNA(VLOOKUP(A149,'Données projet'!$A$87:$I$107,4,0)),0,VLOOKUP(A149,'Données projet'!$A$87:$I$107,4,0))</f>
        <v>0</v>
      </c>
      <c r="AU149" s="37">
        <f>IF(ISNA(VLOOKUP(A149,'Données projet'!$A$87:$I$107,5,0)),0%,VLOOKUP(A149,'Données projet'!$A$87:$I$107,5,0)*VLOOKUP('Données projet'!$B$11,Paramètres!$A$1:$I$88,7,0))</f>
        <v>0</v>
      </c>
      <c r="AV149" s="37">
        <f>IF(ISNA(VLOOKUP(A149,'Données projet'!$A$87:$I$107,6,0)),0%,VLOOKUP(A149,'Données projet'!$A$87:$I$107,6,0)*VLOOKUP('Données projet'!$B$11,Paramètres!$A$1:$I$88,7,0))</f>
        <v>0</v>
      </c>
      <c r="AW149" s="37">
        <f>IF(ISNA(VLOOKUP(A149,'Données projet'!$A$87:$I$107,7,0)),0%,VLOOKUP(A149,'Données projet'!$A$87:$I$107,7,0))</f>
        <v>0</v>
      </c>
      <c r="AX149" s="45">
        <f>EXP(-LN(2)/35)*AX148+(1-EXP(-LN(2)/35))/(LN(2)/35)*AT149*AU149*VLOOKUP('Données projet'!$B$9,Paramètres!$A$1:$I$88,3,0)*0.475*44/12</f>
        <v>0</v>
      </c>
      <c r="AY149" s="45">
        <f>EXP(-LN(2)/25)*AY148+(1-EXP(-LN(2)/25))/(LN(2)/25)*Calculateur!AT149*Calculateur!AV149*VLOOKUP('Données projet'!$B$9,Paramètres!$A$1:$I$88,3,0)*0.475*44/12</f>
        <v>0</v>
      </c>
      <c r="AZ149" s="45">
        <f>EXP(-LN(2)/2)*AZ148+(1-EXP(-LN(2)/2))/(LN(2)/2)*AT149*AW149*VLOOKUP('Données projet'!$B$9,Paramètres!$A$1:$I$88,3,0)*0.475*44/12</f>
        <v>0</v>
      </c>
      <c r="BA149" s="46">
        <f t="shared" si="89"/>
        <v>0</v>
      </c>
      <c r="BB149" s="32" t="e">
        <f>VLOOKUP(A149,'Données projet'!$A$113:$I$133,2,0)</f>
        <v>#N/A</v>
      </c>
      <c r="BC149" s="33" t="e">
        <f>VLOOKUP(A149,'Données projet'!$A$113:$I$133,9,0)</f>
        <v>#N/A</v>
      </c>
      <c r="BD149" s="33">
        <f t="array" ref="BD149">INDEX(BC:BC,MIN(IF(ISNUMBER(BC149:BC345),ROW(BC149:BC345),"")))</f>
        <v>0</v>
      </c>
      <c r="BE149" s="33">
        <f t="shared" si="112"/>
        <v>0</v>
      </c>
      <c r="BF149" s="34" t="e">
        <f>BE149*VLOOKUP('Données projet'!$B$12,Paramètres!$A$1:$I$88,3,0)*VLOOKUP('Données projet'!$B$12,Paramètres!$A$1:$I$88,5,0)</f>
        <v>#N/A</v>
      </c>
      <c r="BG149" s="34" t="e">
        <f t="shared" si="113"/>
        <v>#N/A</v>
      </c>
      <c r="BH149" s="44" t="e">
        <f t="shared" si="90"/>
        <v>#N/A</v>
      </c>
      <c r="BI149" s="36">
        <f>IF(ISNA(VLOOKUP(A149,'Données projet'!$A$113:$I$133,3,0)),0,VLOOKUP(A149,'Données projet'!$A$113:$I$133,3,0))</f>
        <v>0</v>
      </c>
      <c r="BJ149" s="36">
        <f>IF(ISNA(VLOOKUP(A149,'Données projet'!$A$113:$I$133,4,0)),0,VLOOKUP(A149,'Données projet'!$A$113:$I$133,4,0))</f>
        <v>0</v>
      </c>
      <c r="BK149" s="37">
        <f>IF(ISNA(VLOOKUP(A149,'Données projet'!$A$113:$I$133,5,0)),0%,VLOOKUP(A149,'Données projet'!$A$113:$I$133,5,0)*VLOOKUP('Données projet'!$B$12,Paramètres!$A$1:$I$88,7,0))</f>
        <v>0</v>
      </c>
      <c r="BL149" s="37">
        <f>IF(ISNA(VLOOKUP(A149,'Données projet'!$A$113:$I$133,6,0)),0%,VLOOKUP(A149,'Données projet'!$A$113:$I$133,6,0)*VLOOKUP('Données projet'!$B$12,Paramètres!$A$1:$I$88,7,0))</f>
        <v>0</v>
      </c>
      <c r="BM149" s="37">
        <f>IF(ISNA(VLOOKUP(A149,'Données projet'!$A$113:$I$133,7,0)),0%,VLOOKUP(A149,'Données projet'!$A$113:$I$133,7,0))</f>
        <v>0</v>
      </c>
      <c r="BN149" s="45">
        <f>EXP(-LN(2)/35)*BN148+(1-EXP(-LN(2)/35))/(LN(2)/35)*BJ149*BK149*VLOOKUP('Données projet'!$B$9,Paramètres!$A$1:$I$88,3,0)*0.475*44/12</f>
        <v>0</v>
      </c>
      <c r="BO149" s="45">
        <f>EXP(-LN(2)/25)*BO148+(1-EXP(-LN(2)/25))/(LN(2)/25)*Calculateur!BJ149*Calculateur!BL149*VLOOKUP('Données projet'!$B$9,Paramètres!$A$1:$I$88,3,0)*0.475*44/12</f>
        <v>0</v>
      </c>
      <c r="BP149" s="45">
        <f>EXP(-LN(2)/2)*BP148+(1-EXP(-LN(2)/2))/(LN(2)/2)*BJ149*BM149*VLOOKUP('Données projet'!$B$9,Paramètres!$A$1:$I$88,3,0)*0.475*44/12</f>
        <v>0</v>
      </c>
      <c r="BQ149" s="46">
        <f t="shared" si="91"/>
        <v>0</v>
      </c>
      <c r="BR149" s="32" t="e">
        <f>VLOOKUP(A149,'Données projet'!$A$139:$I$159,2,0)</f>
        <v>#N/A</v>
      </c>
      <c r="BS149" s="33" t="e">
        <f>VLOOKUP(A149,'Données projet'!$A$139:$I$159,9,0)</f>
        <v>#N/A</v>
      </c>
      <c r="BT149" s="33">
        <f t="array" ref="BT149">INDEX(BS:BS,MIN(IF(ISNUMBER(BS149:BS345),ROW(BS149:BS345),"")))</f>
        <v>0</v>
      </c>
      <c r="BU149" s="33">
        <f t="shared" si="114"/>
        <v>0</v>
      </c>
      <c r="BV149" s="38" t="e">
        <f>BU149*VLOOKUP('Données projet'!$B$13,Paramètres!$A$1:$I$88,3,0)*VLOOKUP('Données projet'!$B$13,Paramètres!$A$1:$I$88,5,0)</f>
        <v>#N/A</v>
      </c>
      <c r="BW149" s="34" t="e">
        <f t="shared" si="115"/>
        <v>#N/A</v>
      </c>
      <c r="BX149" s="44" t="e">
        <f t="shared" si="92"/>
        <v>#N/A</v>
      </c>
      <c r="BY149" s="36">
        <f>IF(ISNA(VLOOKUP(A149,'Données projet'!$A$139:$I$159,3,0)),0,VLOOKUP(A149,'Données projet'!$A$139:$I$159,3,0))</f>
        <v>0</v>
      </c>
      <c r="BZ149" s="36">
        <f>IF(ISNA(VLOOKUP(A149,'Données projet'!$A$139:$I$159,4,0)),0,VLOOKUP(A149,'Données projet'!$A$139:$I$159,4,0))</f>
        <v>0</v>
      </c>
      <c r="CA149" s="37">
        <f>IF(ISNA(VLOOKUP(A149,'Données projet'!$A$139:$I$159,5,0)),0%,VLOOKUP(A149,'Données projet'!$A$139:$I$159,5,0)*VLOOKUP('Données projet'!$B$13,Paramètres!$A$1:$I$88,7,0))</f>
        <v>0</v>
      </c>
      <c r="CB149" s="37">
        <f>IF(ISNA(VLOOKUP(A149,'Données projet'!$A$139:$I$159,6,0)),0%,VLOOKUP(A149,'Données projet'!$A$139:$I$159,6,0)*VLOOKUP('Données projet'!$B$13,Paramètres!$A$1:$I$88,7,0))</f>
        <v>0</v>
      </c>
      <c r="CC149" s="37">
        <f>IF(ISNA(VLOOKUP(A149,'Données projet'!$A$139:$I$159,7,0)),0%,VLOOKUP(A149,'Données projet'!$A$139:$I$159,7,0))</f>
        <v>0</v>
      </c>
      <c r="CD149" s="45">
        <f>EXP(-LN(2)/35)*CD148+(1-EXP(-LN(2)/35))/(LN(2)/35)*BZ149*CA149*VLOOKUP('Données projet'!$B$9,Paramètres!$A$1:$I$88,3,0)*0.475*44/12</f>
        <v>0</v>
      </c>
      <c r="CE149" s="45">
        <f>EXP(-LN(2)/25)*CE148+(1-EXP(-LN(2)/25))/(LN(2)/25)*Calculateur!BZ149*Calculateur!CB149*VLOOKUP('Données projet'!$B$9,Paramètres!$A$1:$I$88,3,0)*0.475*44/12</f>
        <v>0</v>
      </c>
      <c r="CF149" s="45">
        <f>EXP(-LN(2)/2)*CF148+(1-EXP(-LN(2)/2))/(LN(2)/2)*BZ149*CC149*VLOOKUP('Données projet'!$B$9,Paramètres!$A$1:$I$88,3,0)*0.475*44/12</f>
        <v>0</v>
      </c>
      <c r="CG149" s="46">
        <f t="shared" si="93"/>
        <v>0</v>
      </c>
      <c r="CH149" s="32" t="e">
        <f>VLOOKUP(A149,'Données projet'!$A$165:$I$185,2,0)</f>
        <v>#N/A</v>
      </c>
      <c r="CI149" s="33" t="e">
        <f>VLOOKUP(A149,'Données projet'!$A$165:$I$185,9,0)</f>
        <v>#N/A</v>
      </c>
      <c r="CJ149" s="33">
        <f t="array" ref="CJ149">INDEX(CI:CI,MIN(IF(ISNUMBER(CI149:CI345),ROW(CI149:CI345),"")))</f>
        <v>0</v>
      </c>
      <c r="CK149" s="33">
        <f t="shared" si="116"/>
        <v>0</v>
      </c>
      <c r="CL149" s="38" t="e">
        <f>CK149*VLOOKUP('Données projet'!$B$14,Paramètres!$A$1:$I$88,3,0)*VLOOKUP('Données projet'!$B$14,Paramètres!$A$1:$I$88,5,0)</f>
        <v>#N/A</v>
      </c>
      <c r="CM149" s="34" t="e">
        <f t="shared" si="117"/>
        <v>#N/A</v>
      </c>
      <c r="CN149" s="44" t="e">
        <f t="shared" si="94"/>
        <v>#N/A</v>
      </c>
      <c r="CO149" s="36">
        <f>IF(ISNA(VLOOKUP(A149,'Données projet'!$A$165:$I$185,3,0)),0,VLOOKUP(A149,'Données projet'!$A$165:$I$185,3,0))</f>
        <v>0</v>
      </c>
      <c r="CP149" s="36">
        <f>IF(ISNA(VLOOKUP(A149,'Données projet'!$A$165:$I$185,4,0)),0,VLOOKUP(A149,'Données projet'!$A$165:$I$185,4,0))</f>
        <v>0</v>
      </c>
      <c r="CQ149" s="37">
        <f>IF(ISNA(VLOOKUP(A149,'Données projet'!$A$165:$I$185,5,0)),0%,VLOOKUP(A149,'Données projet'!$A$165:$I$185,5,0)*VLOOKUP('Données projet'!$B$14,Paramètres!$A$1:$I$88,7,0))</f>
        <v>0</v>
      </c>
      <c r="CR149" s="37">
        <f>IF(ISNA(VLOOKUP(A149,'Données projet'!$A$165:$I$185,6,0)),0%,VLOOKUP(A149,'Données projet'!$A$165:$I$185,6,0)*VLOOKUP('Données projet'!$B$14,Paramètres!$A$1:$I$88,7,0))</f>
        <v>0</v>
      </c>
      <c r="CS149" s="37">
        <f>IF(ISNA(VLOOKUP(A149,'Données projet'!$A$165:$I$185,7,0)),0%,VLOOKUP(A149,'Données projet'!$A$165:$I$185,7,0))</f>
        <v>0</v>
      </c>
      <c r="CT149" s="45">
        <f>EXP(-LN(2)/35)*CT148+(1-EXP(-LN(2)/35))/(LN(2)/35)*CP149*CQ149*VLOOKUP('Données projet'!$B$9,Paramètres!$A$1:$I$88,3,0)*0.475*44/12</f>
        <v>0</v>
      </c>
      <c r="CU149" s="45">
        <f>EXP(-LN(2)/25)*CU148+(1-EXP(-LN(2)/25))/(LN(2)/25)*Calculateur!CP149*Calculateur!CR149*VLOOKUP('Données projet'!$B$9,Paramètres!$A$1:$I$88,3,0)*0.475*44/12</f>
        <v>0</v>
      </c>
      <c r="CV149" s="45">
        <f>EXP(-LN(2)/2)*CV148+(1-EXP(-LN(2)/2))/(LN(2)/2)*CP149*CS149*VLOOKUP('Données projet'!$B$9,Paramètres!$A$1:$I$88,3,0)*0.475*44/12</f>
        <v>0</v>
      </c>
      <c r="CW149" s="46">
        <f t="shared" si="95"/>
        <v>0</v>
      </c>
      <c r="CX149" s="32" t="e">
        <f>VLOOKUP(A149,'Données projet'!$A$191:$I$211,2,0)</f>
        <v>#N/A</v>
      </c>
      <c r="CY149" s="33" t="e">
        <f>VLOOKUP(A149,'Données projet'!$A$191:$I$211,9,0)</f>
        <v>#N/A</v>
      </c>
      <c r="CZ149" s="33">
        <f t="array" ref="CZ149">INDEX(CY:CY,MIN(IF(ISNUMBER(CY149:CY345),ROW(CY149:CY345),"")))</f>
        <v>0</v>
      </c>
      <c r="DA149" s="33">
        <f t="shared" si="118"/>
        <v>0</v>
      </c>
      <c r="DB149" s="38" t="e">
        <f>DA149*VLOOKUP('Données projet'!$B$15,Paramètres!$A$1:$I$88,3,0)*VLOOKUP('Données projet'!$B$15,Paramètres!$A$1:$I$88,5,0)</f>
        <v>#N/A</v>
      </c>
      <c r="DC149" s="34" t="e">
        <f t="shared" si="119"/>
        <v>#N/A</v>
      </c>
      <c r="DD149" s="44" t="e">
        <f t="shared" si="96"/>
        <v>#N/A</v>
      </c>
      <c r="DE149" s="36">
        <f>IF(ISNA(VLOOKUP(A149,'Données projet'!$A$191:$I$211,3,0)),0,VLOOKUP(A149,'Données projet'!$A$191:$I$211,3,0))</f>
        <v>0</v>
      </c>
      <c r="DF149" s="36">
        <f>IF(ISNA(VLOOKUP(A149,'Données projet'!$A$191:$I$211,4,0)),0,VLOOKUP(A149,'Données projet'!$A$191:$I$211,4,0))</f>
        <v>0</v>
      </c>
      <c r="DG149" s="37">
        <f>IF(ISNA(VLOOKUP(A149,'Données projet'!$A$191:$I$211,5,0)),0%,VLOOKUP(A149,'Données projet'!$A$191:$I$211,5,0)*VLOOKUP('Données projet'!$B$15,Paramètres!$A$1:$I$88,7,0))</f>
        <v>0</v>
      </c>
      <c r="DH149" s="37">
        <f>IF(ISNA(VLOOKUP(A149,'Données projet'!$A$191:$I$211,6,0)),0%,VLOOKUP(A149,'Données projet'!$A$191:$I$211,6,0)*VLOOKUP('Données projet'!$B$15,Paramètres!$A$1:$I$88,7,0))</f>
        <v>0</v>
      </c>
      <c r="DI149" s="37">
        <f>IF(ISNA(VLOOKUP(A149,'Données projet'!$A$191:$I$211,7,0)),0%,VLOOKUP(A149,'Données projet'!$A$191:$I$211,7,0))</f>
        <v>0</v>
      </c>
      <c r="DJ149" s="45">
        <f>EXP(-LN(2)/35)*DJ148+(1-EXP(-LN(2)/35))/(LN(2)/35)*DF149*DG149*VLOOKUP('Données projet'!$B$9,Paramètres!$A$1:$I$88,3,0)*0.475*44/12</f>
        <v>0</v>
      </c>
      <c r="DK149" s="45">
        <f>EXP(-LN(2)/25)*DK148+(1-EXP(-LN(2)/25))/(LN(2)/25)*Calculateur!DF149*Calculateur!DH149*VLOOKUP('Données projet'!$B$9,Paramètres!$A$1:$I$88,3,0)*0.475*44/12</f>
        <v>0</v>
      </c>
      <c r="DL149" s="45">
        <f>EXP(-LN(2)/2)*DL148+(1-EXP(-LN(2)/2))/(LN(2)/2)*DF149*DI149*VLOOKUP('Données projet'!$B$9,Paramètres!$A$1:$I$88,3,0)*0.475*44/12</f>
        <v>0</v>
      </c>
      <c r="DM149" s="46">
        <f t="shared" si="97"/>
        <v>0</v>
      </c>
      <c r="DN149" s="32" t="e">
        <f>VLOOKUP(A149,'Données projet'!$A$217:$I$237,2,0)</f>
        <v>#N/A</v>
      </c>
      <c r="DO149" s="33" t="e">
        <f>VLOOKUP(A149,'Données projet'!$A$217:$I$237,9,0)</f>
        <v>#N/A</v>
      </c>
      <c r="DP149" s="33">
        <f t="array" ref="DP149">INDEX(DO:DO,MIN(IF(ISNUMBER(DO149:DO345),ROW(DO149:DO345),"")))</f>
        <v>0</v>
      </c>
      <c r="DQ149" s="33">
        <f t="shared" si="120"/>
        <v>0</v>
      </c>
      <c r="DR149" s="38" t="e">
        <f>DQ149*VLOOKUP('Données projet'!$B$16,Paramètres!$A$1:$I$88,3,0)*VLOOKUP('Données projet'!$B$16,Paramètres!$A$1:$I$88,5,0)</f>
        <v>#N/A</v>
      </c>
      <c r="DS149" s="34" t="e">
        <f t="shared" si="121"/>
        <v>#N/A</v>
      </c>
      <c r="DT149" s="44" t="e">
        <f t="shared" si="98"/>
        <v>#N/A</v>
      </c>
      <c r="DU149" s="36">
        <f>IF(ISNA(VLOOKUP(A149,'Données projet'!$A$217:$I$237,3,0)),0,VLOOKUP(A149,'Données projet'!$A$217:$I$237,3,0))</f>
        <v>0</v>
      </c>
      <c r="DV149" s="36">
        <f>IF(ISNA(VLOOKUP(A149,'Données projet'!$A$217:$I$237,4,0)),0,VLOOKUP(A149,'Données projet'!$A$217:$I$237,4,0))</f>
        <v>0</v>
      </c>
      <c r="DW149" s="37">
        <f>IF(ISNA(VLOOKUP(A149,'Données projet'!$A$217:$I$237,5,0)),0%,VLOOKUP(A149,'Données projet'!$A$217:$I$237,5,0)*VLOOKUP('Données projet'!$B$16,Paramètres!$A$1:$I$88,7,0))</f>
        <v>0</v>
      </c>
      <c r="DX149" s="37">
        <f>IF(ISNA(VLOOKUP(A149,'Données projet'!$A$217:$I$237,6,0)),0%,VLOOKUP(A149,'Données projet'!$A$217:$I$237,6,0)*VLOOKUP('Données projet'!$B$16,Paramètres!$A$1:$I$88,7,0))</f>
        <v>0</v>
      </c>
      <c r="DY149" s="37">
        <f>IF(ISNA(VLOOKUP(A149,'Données projet'!$A$217:$I$237,7,0)),0%,VLOOKUP(A149,'Données projet'!$A$217:$I$237,7,0))</f>
        <v>0</v>
      </c>
      <c r="DZ149" s="45">
        <f>EXP(-LN(2)/35)*DZ148+(1-EXP(-LN(2)/35))/(LN(2)/35)*DV149*DW149*VLOOKUP('Données projet'!$B$9,Paramètres!$A$1:$I$88,3,0)*0.475*44/12</f>
        <v>0</v>
      </c>
      <c r="EA149" s="45">
        <f>EXP(-LN(2)/25)*EA148+(1-EXP(-LN(2)/25))/(LN(2)/25)*Calculateur!DV149*Calculateur!DX149*VLOOKUP('Données projet'!$B$9,Paramètres!$A$1:$I$88,3,0)*0.475*44/12</f>
        <v>0</v>
      </c>
      <c r="EB149" s="45">
        <f>EXP(-LN(2)/2)*EB148+(1-EXP(-LN(2)/2))/(LN(2)/2)*DV149*DY149*VLOOKUP('Données projet'!$B$9,Paramètres!$A$1:$I$88,3,0)*0.475*44/12</f>
        <v>0</v>
      </c>
      <c r="EC149" s="46">
        <f t="shared" si="99"/>
        <v>0</v>
      </c>
      <c r="ED149" s="32" t="e">
        <f>VLOOKUP(A149,'Données projet'!$A$243:$I$263,2,0)</f>
        <v>#N/A</v>
      </c>
      <c r="EE149" s="33" t="e">
        <f>VLOOKUP(A149,'Données projet'!$A$243:$I$263,9,0)</f>
        <v>#N/A</v>
      </c>
      <c r="EF149" s="33">
        <f t="array" ref="EF149">INDEX(EE:EE,MIN(IF(ISNUMBER(EE149:EE345),ROW(EE149:EE345),"")))</f>
        <v>0</v>
      </c>
      <c r="EG149" s="33">
        <f t="shared" si="122"/>
        <v>0</v>
      </c>
      <c r="EH149" s="38" t="e">
        <f>EG149*VLOOKUP('Données projet'!$B$17,Paramètres!$A$1:$I$88,3,0)*VLOOKUP('Données projet'!$B$17,Paramètres!$A$1:$I$88,5,0)</f>
        <v>#N/A</v>
      </c>
      <c r="EI149" s="34" t="e">
        <f t="shared" si="123"/>
        <v>#N/A</v>
      </c>
      <c r="EJ149" s="44" t="e">
        <f t="shared" si="100"/>
        <v>#N/A</v>
      </c>
      <c r="EK149" s="36">
        <f>IF(ISNA(VLOOKUP(A149,'Données projet'!$A$243:$I$263,3,0)),0,VLOOKUP(A149,'Données projet'!$A$243:$I$263,3,0))</f>
        <v>0</v>
      </c>
      <c r="EL149" s="36">
        <f>IF(ISNA(VLOOKUP(A149,'Données projet'!$A$243:$I$263,4,0)),0,VLOOKUP(A149,'Données projet'!$A$243:$I$263,4,0))</f>
        <v>0</v>
      </c>
      <c r="EM149" s="37">
        <f>IF(ISNA(VLOOKUP(A149,'Données projet'!$A$243:$I$263,5,0)),0%,VLOOKUP(A149,'Données projet'!$A$243:$I$263,5,0)*VLOOKUP('Données projet'!$B$17,Paramètres!$A$1:$I$88,7,0))</f>
        <v>0</v>
      </c>
      <c r="EN149" s="37">
        <f>IF(ISNA(VLOOKUP(A149,'Données projet'!$A$243:$I$263,6,0)),0%,VLOOKUP(A149,'Données projet'!$A$243:$I$263,6,0)*VLOOKUP('Données projet'!$B$17,Paramètres!$A$1:$I$88,7,0))</f>
        <v>0</v>
      </c>
      <c r="EO149" s="37">
        <f>IF(ISNA(VLOOKUP(A149,'Données projet'!$A$243:$I$263,7,0)),0%,VLOOKUP(A149,'Données projet'!$A$243:$I$263,7,0))</f>
        <v>0</v>
      </c>
      <c r="EP149" s="45">
        <f>EXP(-LN(2)/35)*EP148+(1-EXP(-LN(2)/35))/(LN(2)/35)*EL149*EM149*VLOOKUP('Données projet'!$B$9,Paramètres!$A$1:$I$88,3,0)*0.475*44/12</f>
        <v>0</v>
      </c>
      <c r="EQ149" s="45">
        <f>EXP(-LN(2)/25)*EQ148+(1-EXP(-LN(2)/25))/(LN(2)/25)*Calculateur!EL149*Calculateur!EN149*VLOOKUP('Données projet'!$B$9,Paramètres!$A$1:$I$88,3,0)*0.475*44/12</f>
        <v>0</v>
      </c>
      <c r="ER149" s="45">
        <f>EXP(-LN(2)/2)*ER148+(1-EXP(-LN(2)/2))/(LN(2)/2)*EL149*EO149*VLOOKUP('Données projet'!$B$9,Paramètres!$A$1:$I$88,3,0)*0.475*44/12</f>
        <v>0</v>
      </c>
      <c r="ES149" s="46">
        <f t="shared" si="101"/>
        <v>0</v>
      </c>
      <c r="ET149" s="32" t="e">
        <f>VLOOKUP(A149,'Données projet'!$A$269:$I$289,2,0)</f>
        <v>#N/A</v>
      </c>
      <c r="EU149" s="33" t="e">
        <f>VLOOKUP(A149,'Données projet'!$A$269:$I$289,9,0)</f>
        <v>#N/A</v>
      </c>
      <c r="EV149" s="33">
        <f t="array" ref="EV149">INDEX(EU:EU,MIN(IF(ISNUMBER(EU149:EU345),ROW(EU149:EU345),"")))</f>
        <v>0</v>
      </c>
      <c r="EW149" s="33">
        <f t="shared" si="124"/>
        <v>0</v>
      </c>
      <c r="EX149" s="38" t="e">
        <f>EW149*VLOOKUP('Données projet'!$B$18,Paramètres!$A$1:$I$88,3,0)*VLOOKUP('Données projet'!$B$18,Paramètres!$A$1:$I$88,5,0)</f>
        <v>#N/A</v>
      </c>
      <c r="EY149" s="34" t="e">
        <f t="shared" si="125"/>
        <v>#N/A</v>
      </c>
      <c r="EZ149" s="44" t="e">
        <f t="shared" si="102"/>
        <v>#N/A</v>
      </c>
      <c r="FA149" s="36">
        <f>IF(ISNA(VLOOKUP(A149,'Données projet'!$A$269:$I$289,3,0)),0,VLOOKUP(A149,'Données projet'!$A$269:$I$289,3,0))</f>
        <v>0</v>
      </c>
      <c r="FB149" s="36">
        <f>IF(ISNA(VLOOKUP(A149,'Données projet'!$A$269:$I$289,4,0)),0,VLOOKUP(A149,'Données projet'!$A$269:$I$289,4,0))</f>
        <v>0</v>
      </c>
      <c r="FC149" s="37">
        <f>IF(ISNA(VLOOKUP(A149,'Données projet'!$A$269:$I$289,5,0)),0%,VLOOKUP(A149,'Données projet'!$A$269:$I$289,5,0)*VLOOKUP('Données projet'!$B$18,Paramètres!$A$1:$I$88,7,0))</f>
        <v>0</v>
      </c>
      <c r="FD149" s="37">
        <f>IF(ISNA(VLOOKUP(A149,'Données projet'!$A$269:$I$289,6,0)),0%,VLOOKUP(A149,'Données projet'!$A$269:$I$289,6,0)*VLOOKUP('Données projet'!$B$18,Paramètres!$A$1:$I$88,7,0))</f>
        <v>0</v>
      </c>
      <c r="FE149" s="37">
        <f>IF(ISNA(VLOOKUP(A149,'Données projet'!$A$269:$I$289,7,0)),0%,VLOOKUP(A149,'Données projet'!$A$269:$I$289,7,0))</f>
        <v>0</v>
      </c>
      <c r="FF149" s="45">
        <f>EXP(-LN(2)/35)*FF148+(1-EXP(-LN(2)/35))/(LN(2)/35)*FB149*FC149*VLOOKUP('Données projet'!$B$9,Paramètres!$A$1:$I$88,3,0)*0.475*44/12</f>
        <v>0</v>
      </c>
      <c r="FG149" s="45">
        <f>EXP(-LN(2)/25)*FG148+(1-EXP(-LN(2)/25))/(LN(2)/25)*Calculateur!FB149*Calculateur!FD149*VLOOKUP('Données projet'!$B$9,Paramètres!$A$1:$I$88,3,0)*0.475*44/12</f>
        <v>0</v>
      </c>
      <c r="FH149" s="45">
        <f>EXP(-LN(2)/2)*FH148+(1-EXP(-LN(2)/2))/(LN(2)/2)*FB149*FE149*VLOOKUP('Données projet'!$B$9,Paramètres!$A$1:$I$88,3,0)*0.475*44/12</f>
        <v>0</v>
      </c>
      <c r="FI149" s="46">
        <f t="shared" si="103"/>
        <v>0</v>
      </c>
    </row>
    <row r="150" spans="1:165" x14ac:dyDescent="0.25">
      <c r="A150" s="24">
        <f t="shared" si="104"/>
        <v>147</v>
      </c>
      <c r="B150" s="25">
        <f>IF('Scénario référence'!$N$1=1,5,0)</f>
        <v>0</v>
      </c>
      <c r="C150" s="40">
        <f>IF(OR('Scénario référence'!$N$1=2,'Scénario référence'!$N$1=4),C149+1*VLOOKUP('Scénario référence'!$G$14,Paramètres!$A$1:$I$88,3,0)*VLOOKUP('Scénario référence'!$G$14,Paramètres!$A$1:$I$88,5,0),IF(OR('Scénario référence'!$N$1=3,'Scénario référence'!$N$1=5),C149+0.5*VLOOKUP('Scénario référence'!$G$14,Paramètres!$A$1:$I$88,3,0)*VLOOKUP('Scénario référence'!$G$14,Paramètres!$A$1:$I$88,5,0),0))</f>
        <v>80.262000000000128</v>
      </c>
      <c r="D150" s="26">
        <f t="shared" si="105"/>
        <v>22.201232295351069</v>
      </c>
      <c r="E150" s="27">
        <f>IF('Scénario référence'!$N$1=1,B150*44/12,(C150+D150)*0.475*44/12)</f>
        <v>178.45679624773663</v>
      </c>
      <c r="F150" s="28" t="e">
        <f>VLOOKUP(A150,'Données projet'!$A$35:$I$55,2,0)</f>
        <v>#N/A</v>
      </c>
      <c r="G150" s="28" t="e">
        <f>VLOOKUP(A150,'Données projet'!$A$35:$I$55,9,0)</f>
        <v>#N/A</v>
      </c>
      <c r="H150" s="33">
        <f t="array" ref="H150">INDEX(G:G,MIN(IF(ISNUMBER(G150:G346),ROW(G150:G346),"")))</f>
        <v>2.2000000000000002</v>
      </c>
      <c r="I150" s="28">
        <f t="shared" si="106"/>
        <v>299.39999999999952</v>
      </c>
      <c r="J150" s="41">
        <f>I150*VLOOKUP('Données projet'!$B$9,Paramètres!$A$1:$I$88,3,0)*VLOOKUP('Données projet'!$B$9,Paramètres!$A$1:$I$88,5,0)</f>
        <v>303.59159999999952</v>
      </c>
      <c r="K150" s="41">
        <f t="shared" si="107"/>
        <v>71.928878488732622</v>
      </c>
      <c r="L150" s="42">
        <f t="shared" si="84"/>
        <v>654.03150003454175</v>
      </c>
      <c r="M150" s="30">
        <f>IF(ISNA(VLOOKUP(A150,'Données projet'!$A$35:$I$55,3,0)),0,VLOOKUP(A150,'Données projet'!$A$35:$I$55,3,0))</f>
        <v>0</v>
      </c>
      <c r="N150" s="30">
        <f>IF(ISNA(VLOOKUP(A150,'Données projet'!$A$35:$I$55,4,0)),0,VLOOKUP(A150,'Données projet'!$A$35:$I$55,4,0))</f>
        <v>0</v>
      </c>
      <c r="O150" s="31">
        <f>IF(ISNA(VLOOKUP(A150,'Données projet'!$A$35:$I$55,5,0)),0%,VLOOKUP(A150,'Données projet'!$A$35:$I$55,5,0)*VLOOKUP('Données projet'!$B$9,Paramètres!$A$1:$I$88,7,0))</f>
        <v>0</v>
      </c>
      <c r="P150" s="31">
        <f>IF(ISNA(VLOOKUP(A150,'Données projet'!$A$35:$I$55,6,0)),0%,VLOOKUP(A150,'Données projet'!$A$35:$I$55,6,0)*VLOOKUP('Données projet'!$B$9,Paramètres!$A$1:$I$88,7,0))</f>
        <v>0</v>
      </c>
      <c r="Q150" s="31">
        <f>IF(ISNA(VLOOKUP(A150,'Données projet'!$A$35:$I$55,7,0)),0%,VLOOKUP(A150,'Données projet'!$A$35:$I$55,7,0))</f>
        <v>0</v>
      </c>
      <c r="R150" s="43">
        <f>EXP(-LN(2)/35)*R149+(1-EXP(-LN(2)/35))/(LN(2)/35)*N150*O150*VLOOKUP('Données projet'!$B$9,Paramètres!$A$1:$I$88,3,0)*0.475*44/12</f>
        <v>0</v>
      </c>
      <c r="S150" s="43">
        <f>EXP(-LN(2)/25)*S149+(1-EXP(-LN(2)/25))/(LN(2)/25)*Calculateur!N150*Calculateur!P150*VLOOKUP('Données projet'!$B$9,Paramètres!$A$1:$I$88,3,0)*0.475*44/12</f>
        <v>0</v>
      </c>
      <c r="T150" s="43">
        <f>EXP(-LN(2)/2)*T149+(1-EXP(-LN(2)/2))/(LN(2)/2)*N150*Q150*VLOOKUP('Données projet'!$B$9,Paramètres!$A$1:$I$88,3,0)*0.475*44/12</f>
        <v>0</v>
      </c>
      <c r="U150" s="43">
        <f t="shared" si="85"/>
        <v>0</v>
      </c>
      <c r="V150" s="32" t="e">
        <f>VLOOKUP(A150,'Données projet'!$A$61:$I$81,2,0)</f>
        <v>#N/A</v>
      </c>
      <c r="W150" s="33" t="e">
        <f>VLOOKUP(A150,'Données projet'!$A$61:$I$81,9,0)</f>
        <v>#N/A</v>
      </c>
      <c r="X150" s="33">
        <f t="array" ref="X150">INDEX(W:W,MIN(IF(ISNUMBER(W150:W346),ROW(W150:W346),"")))</f>
        <v>0</v>
      </c>
      <c r="Y150" s="33">
        <f t="shared" si="108"/>
        <v>0</v>
      </c>
      <c r="Z150" s="34" t="e">
        <f>Y150*VLOOKUP('Données projet'!$B$10,Paramètres!$A$1:$I$88,3,0)*VLOOKUP('Données projet'!$B$10,Paramètres!$A$1:$I$88,5,0)</f>
        <v>#N/A</v>
      </c>
      <c r="AA150" s="34" t="e">
        <f t="shared" si="109"/>
        <v>#N/A</v>
      </c>
      <c r="AB150" s="44" t="e">
        <f t="shared" si="86"/>
        <v>#N/A</v>
      </c>
      <c r="AC150" s="36">
        <f>IF(ISNA(VLOOKUP(A150,'Données projet'!$A$61:$I$81,3,0)),0,VLOOKUP(A150,'Données projet'!$A$61:$I$81,3,0))</f>
        <v>0</v>
      </c>
      <c r="AD150" s="36">
        <f>IF(ISNA(VLOOKUP(A150,'Données projet'!$A$61:$I$81,4,0)),0,VLOOKUP(A150,'Données projet'!$A$61:$I$81,4,0))</f>
        <v>0</v>
      </c>
      <c r="AE150" s="37">
        <f>IF(ISNA(VLOOKUP(A150,'Données projet'!$A$61:$I$81,5,0)),0%,VLOOKUP(A150,'Données projet'!$A$61:$I$81,5,0)*VLOOKUP('Données projet'!$B$10,Paramètres!$A$1:$I$88,7,0))</f>
        <v>0</v>
      </c>
      <c r="AF150" s="37">
        <f>IF(ISNA(VLOOKUP(A150,'Données projet'!$A$61:$I$81,6,0)),0%,VLOOKUP(A150,'Données projet'!$A$61:$I$81,6,0)*VLOOKUP('Données projet'!$B$10,Paramètres!$A$1:$I$88,7,0))</f>
        <v>0</v>
      </c>
      <c r="AG150" s="37">
        <f>IF(ISNA(VLOOKUP(A150,'Données projet'!$A$61:$I$81,7,0)),0%,VLOOKUP(A150,'Données projet'!$A$61:$I$81,7,0))</f>
        <v>0</v>
      </c>
      <c r="AH150" s="45">
        <f>EXP(-LN(2)/35)*AH149+(1-EXP(-LN(2)/35))/(LN(2)/35)*AD150*AE150*VLOOKUP('Données projet'!$B$9,Paramètres!$A$1:$I$88,3,0)*0.475*44/12</f>
        <v>0</v>
      </c>
      <c r="AI150" s="45">
        <f>EXP(-LN(2)/25)*AI149+(1-EXP(-LN(2)/25))/(LN(2)/25)*Calculateur!AD150*Calculateur!AF150*VLOOKUP('Données projet'!$B$9,Paramètres!$A$1:$I$88,3,0)*0.475*44/12</f>
        <v>0</v>
      </c>
      <c r="AJ150" s="45">
        <f>EXP(-LN(2)/2)*AJ149+(1-EXP(-LN(2)/2))/(LN(2)/2)*AD150*AG150*VLOOKUP('Données projet'!$B$9,Paramètres!$A$1:$I$88,3,0)*0.475*44/12</f>
        <v>0</v>
      </c>
      <c r="AK150" s="45">
        <f t="shared" si="87"/>
        <v>0</v>
      </c>
      <c r="AL150" s="32" t="e">
        <f>VLOOKUP(A150,'Données projet'!$A$87:$I$107,2,0)</f>
        <v>#N/A</v>
      </c>
      <c r="AM150" s="33" t="e">
        <f>VLOOKUP(A150,'Données projet'!$A$87:$I$107,9,0)</f>
        <v>#N/A</v>
      </c>
      <c r="AN150" s="33">
        <f t="array" ref="AN150">INDEX(AM:AM,MIN(IF(ISNUMBER(AM150:AM346),ROW(AM150:AM346),"")))</f>
        <v>0</v>
      </c>
      <c r="AO150" s="33">
        <f t="shared" si="110"/>
        <v>0</v>
      </c>
      <c r="AP150" s="34" t="e">
        <f>AO150*VLOOKUP('Données projet'!$B$11,Paramètres!$A$1:$I$88,3,0)*VLOOKUP('Données projet'!$B$11,Paramètres!$A$1:$I$88,5,0)</f>
        <v>#N/A</v>
      </c>
      <c r="AQ150" s="34" t="e">
        <f t="shared" si="111"/>
        <v>#N/A</v>
      </c>
      <c r="AR150" s="44" t="e">
        <f t="shared" si="88"/>
        <v>#N/A</v>
      </c>
      <c r="AS150" s="36">
        <f>IF(ISNA(VLOOKUP(A150,'Données projet'!$A$87:$I$107,3,0)),0,VLOOKUP(A150,'Données projet'!$A$87:$I$107,3,0))</f>
        <v>0</v>
      </c>
      <c r="AT150" s="36">
        <f>IF(ISNA(VLOOKUP(A150,'Données projet'!$A$87:$I$107,4,0)),0,VLOOKUP(A150,'Données projet'!$A$87:$I$107,4,0))</f>
        <v>0</v>
      </c>
      <c r="AU150" s="37">
        <f>IF(ISNA(VLOOKUP(A150,'Données projet'!$A$87:$I$107,5,0)),0%,VLOOKUP(A150,'Données projet'!$A$87:$I$107,5,0)*VLOOKUP('Données projet'!$B$11,Paramètres!$A$1:$I$88,7,0))</f>
        <v>0</v>
      </c>
      <c r="AV150" s="37">
        <f>IF(ISNA(VLOOKUP(A150,'Données projet'!$A$87:$I$107,6,0)),0%,VLOOKUP(A150,'Données projet'!$A$87:$I$107,6,0)*VLOOKUP('Données projet'!$B$11,Paramètres!$A$1:$I$88,7,0))</f>
        <v>0</v>
      </c>
      <c r="AW150" s="37">
        <f>IF(ISNA(VLOOKUP(A150,'Données projet'!$A$87:$I$107,7,0)),0%,VLOOKUP(A150,'Données projet'!$A$87:$I$107,7,0))</f>
        <v>0</v>
      </c>
      <c r="AX150" s="45">
        <f>EXP(-LN(2)/35)*AX149+(1-EXP(-LN(2)/35))/(LN(2)/35)*AT150*AU150*VLOOKUP('Données projet'!$B$9,Paramètres!$A$1:$I$88,3,0)*0.475*44/12</f>
        <v>0</v>
      </c>
      <c r="AY150" s="45">
        <f>EXP(-LN(2)/25)*AY149+(1-EXP(-LN(2)/25))/(LN(2)/25)*Calculateur!AT150*Calculateur!AV150*VLOOKUP('Données projet'!$B$9,Paramètres!$A$1:$I$88,3,0)*0.475*44/12</f>
        <v>0</v>
      </c>
      <c r="AZ150" s="45">
        <f>EXP(-LN(2)/2)*AZ149+(1-EXP(-LN(2)/2))/(LN(2)/2)*AT150*AW150*VLOOKUP('Données projet'!$B$9,Paramètres!$A$1:$I$88,3,0)*0.475*44/12</f>
        <v>0</v>
      </c>
      <c r="BA150" s="46">
        <f t="shared" si="89"/>
        <v>0</v>
      </c>
      <c r="BB150" s="32" t="e">
        <f>VLOOKUP(A150,'Données projet'!$A$113:$I$133,2,0)</f>
        <v>#N/A</v>
      </c>
      <c r="BC150" s="33" t="e">
        <f>VLOOKUP(A150,'Données projet'!$A$113:$I$133,9,0)</f>
        <v>#N/A</v>
      </c>
      <c r="BD150" s="33">
        <f t="array" ref="BD150">INDEX(BC:BC,MIN(IF(ISNUMBER(BC150:BC346),ROW(BC150:BC346),"")))</f>
        <v>0</v>
      </c>
      <c r="BE150" s="33">
        <f t="shared" si="112"/>
        <v>0</v>
      </c>
      <c r="BF150" s="34" t="e">
        <f>BE150*VLOOKUP('Données projet'!$B$12,Paramètres!$A$1:$I$88,3,0)*VLOOKUP('Données projet'!$B$12,Paramètres!$A$1:$I$88,5,0)</f>
        <v>#N/A</v>
      </c>
      <c r="BG150" s="34" t="e">
        <f t="shared" si="113"/>
        <v>#N/A</v>
      </c>
      <c r="BH150" s="44" t="e">
        <f t="shared" si="90"/>
        <v>#N/A</v>
      </c>
      <c r="BI150" s="36">
        <f>IF(ISNA(VLOOKUP(A150,'Données projet'!$A$113:$I$133,3,0)),0,VLOOKUP(A150,'Données projet'!$A$113:$I$133,3,0))</f>
        <v>0</v>
      </c>
      <c r="BJ150" s="36">
        <f>IF(ISNA(VLOOKUP(A150,'Données projet'!$A$113:$I$133,4,0)),0,VLOOKUP(A150,'Données projet'!$A$113:$I$133,4,0))</f>
        <v>0</v>
      </c>
      <c r="BK150" s="37">
        <f>IF(ISNA(VLOOKUP(A150,'Données projet'!$A$113:$I$133,5,0)),0%,VLOOKUP(A150,'Données projet'!$A$113:$I$133,5,0)*VLOOKUP('Données projet'!$B$12,Paramètres!$A$1:$I$88,7,0))</f>
        <v>0</v>
      </c>
      <c r="BL150" s="37">
        <f>IF(ISNA(VLOOKUP(A150,'Données projet'!$A$113:$I$133,6,0)),0%,VLOOKUP(A150,'Données projet'!$A$113:$I$133,6,0)*VLOOKUP('Données projet'!$B$12,Paramètres!$A$1:$I$88,7,0))</f>
        <v>0</v>
      </c>
      <c r="BM150" s="37">
        <f>IF(ISNA(VLOOKUP(A150,'Données projet'!$A$113:$I$133,7,0)),0%,VLOOKUP(A150,'Données projet'!$A$113:$I$133,7,0))</f>
        <v>0</v>
      </c>
      <c r="BN150" s="45">
        <f>EXP(-LN(2)/35)*BN149+(1-EXP(-LN(2)/35))/(LN(2)/35)*BJ150*BK150*VLOOKUP('Données projet'!$B$9,Paramètres!$A$1:$I$88,3,0)*0.475*44/12</f>
        <v>0</v>
      </c>
      <c r="BO150" s="45">
        <f>EXP(-LN(2)/25)*BO149+(1-EXP(-LN(2)/25))/(LN(2)/25)*Calculateur!BJ150*Calculateur!BL150*VLOOKUP('Données projet'!$B$9,Paramètres!$A$1:$I$88,3,0)*0.475*44/12</f>
        <v>0</v>
      </c>
      <c r="BP150" s="45">
        <f>EXP(-LN(2)/2)*BP149+(1-EXP(-LN(2)/2))/(LN(2)/2)*BJ150*BM150*VLOOKUP('Données projet'!$B$9,Paramètres!$A$1:$I$88,3,0)*0.475*44/12</f>
        <v>0</v>
      </c>
      <c r="BQ150" s="46">
        <f t="shared" si="91"/>
        <v>0</v>
      </c>
      <c r="BR150" s="32" t="e">
        <f>VLOOKUP(A150,'Données projet'!$A$139:$I$159,2,0)</f>
        <v>#N/A</v>
      </c>
      <c r="BS150" s="33" t="e">
        <f>VLOOKUP(A150,'Données projet'!$A$139:$I$159,9,0)</f>
        <v>#N/A</v>
      </c>
      <c r="BT150" s="33">
        <f t="array" ref="BT150">INDEX(BS:BS,MIN(IF(ISNUMBER(BS150:BS346),ROW(BS150:BS346),"")))</f>
        <v>0</v>
      </c>
      <c r="BU150" s="33">
        <f t="shared" si="114"/>
        <v>0</v>
      </c>
      <c r="BV150" s="38" t="e">
        <f>BU150*VLOOKUP('Données projet'!$B$13,Paramètres!$A$1:$I$88,3,0)*VLOOKUP('Données projet'!$B$13,Paramètres!$A$1:$I$88,5,0)</f>
        <v>#N/A</v>
      </c>
      <c r="BW150" s="34" t="e">
        <f t="shared" si="115"/>
        <v>#N/A</v>
      </c>
      <c r="BX150" s="44" t="e">
        <f t="shared" si="92"/>
        <v>#N/A</v>
      </c>
      <c r="BY150" s="36">
        <f>IF(ISNA(VLOOKUP(A150,'Données projet'!$A$139:$I$159,3,0)),0,VLOOKUP(A150,'Données projet'!$A$139:$I$159,3,0))</f>
        <v>0</v>
      </c>
      <c r="BZ150" s="36">
        <f>IF(ISNA(VLOOKUP(A150,'Données projet'!$A$139:$I$159,4,0)),0,VLOOKUP(A150,'Données projet'!$A$139:$I$159,4,0))</f>
        <v>0</v>
      </c>
      <c r="CA150" s="37">
        <f>IF(ISNA(VLOOKUP(A150,'Données projet'!$A$139:$I$159,5,0)),0%,VLOOKUP(A150,'Données projet'!$A$139:$I$159,5,0)*VLOOKUP('Données projet'!$B$13,Paramètres!$A$1:$I$88,7,0))</f>
        <v>0</v>
      </c>
      <c r="CB150" s="37">
        <f>IF(ISNA(VLOOKUP(A150,'Données projet'!$A$139:$I$159,6,0)),0%,VLOOKUP(A150,'Données projet'!$A$139:$I$159,6,0)*VLOOKUP('Données projet'!$B$13,Paramètres!$A$1:$I$88,7,0))</f>
        <v>0</v>
      </c>
      <c r="CC150" s="37">
        <f>IF(ISNA(VLOOKUP(A150,'Données projet'!$A$139:$I$159,7,0)),0%,VLOOKUP(A150,'Données projet'!$A$139:$I$159,7,0))</f>
        <v>0</v>
      </c>
      <c r="CD150" s="45">
        <f>EXP(-LN(2)/35)*CD149+(1-EXP(-LN(2)/35))/(LN(2)/35)*BZ150*CA150*VLOOKUP('Données projet'!$B$9,Paramètres!$A$1:$I$88,3,0)*0.475*44/12</f>
        <v>0</v>
      </c>
      <c r="CE150" s="45">
        <f>EXP(-LN(2)/25)*CE149+(1-EXP(-LN(2)/25))/(LN(2)/25)*Calculateur!BZ150*Calculateur!CB150*VLOOKUP('Données projet'!$B$9,Paramètres!$A$1:$I$88,3,0)*0.475*44/12</f>
        <v>0</v>
      </c>
      <c r="CF150" s="45">
        <f>EXP(-LN(2)/2)*CF149+(1-EXP(-LN(2)/2))/(LN(2)/2)*BZ150*CC150*VLOOKUP('Données projet'!$B$9,Paramètres!$A$1:$I$88,3,0)*0.475*44/12</f>
        <v>0</v>
      </c>
      <c r="CG150" s="46">
        <f t="shared" si="93"/>
        <v>0</v>
      </c>
      <c r="CH150" s="32" t="e">
        <f>VLOOKUP(A150,'Données projet'!$A$165:$I$185,2,0)</f>
        <v>#N/A</v>
      </c>
      <c r="CI150" s="33" t="e">
        <f>VLOOKUP(A150,'Données projet'!$A$165:$I$185,9,0)</f>
        <v>#N/A</v>
      </c>
      <c r="CJ150" s="33">
        <f t="array" ref="CJ150">INDEX(CI:CI,MIN(IF(ISNUMBER(CI150:CI346),ROW(CI150:CI346),"")))</f>
        <v>0</v>
      </c>
      <c r="CK150" s="33">
        <f t="shared" si="116"/>
        <v>0</v>
      </c>
      <c r="CL150" s="38" t="e">
        <f>CK150*VLOOKUP('Données projet'!$B$14,Paramètres!$A$1:$I$88,3,0)*VLOOKUP('Données projet'!$B$14,Paramètres!$A$1:$I$88,5,0)</f>
        <v>#N/A</v>
      </c>
      <c r="CM150" s="34" t="e">
        <f t="shared" si="117"/>
        <v>#N/A</v>
      </c>
      <c r="CN150" s="44" t="e">
        <f t="shared" si="94"/>
        <v>#N/A</v>
      </c>
      <c r="CO150" s="36">
        <f>IF(ISNA(VLOOKUP(A150,'Données projet'!$A$165:$I$185,3,0)),0,VLOOKUP(A150,'Données projet'!$A$165:$I$185,3,0))</f>
        <v>0</v>
      </c>
      <c r="CP150" s="36">
        <f>IF(ISNA(VLOOKUP(A150,'Données projet'!$A$165:$I$185,4,0)),0,VLOOKUP(A150,'Données projet'!$A$165:$I$185,4,0))</f>
        <v>0</v>
      </c>
      <c r="CQ150" s="37">
        <f>IF(ISNA(VLOOKUP(A150,'Données projet'!$A$165:$I$185,5,0)),0%,VLOOKUP(A150,'Données projet'!$A$165:$I$185,5,0)*VLOOKUP('Données projet'!$B$14,Paramètres!$A$1:$I$88,7,0))</f>
        <v>0</v>
      </c>
      <c r="CR150" s="37">
        <f>IF(ISNA(VLOOKUP(A150,'Données projet'!$A$165:$I$185,6,0)),0%,VLOOKUP(A150,'Données projet'!$A$165:$I$185,6,0)*VLOOKUP('Données projet'!$B$14,Paramètres!$A$1:$I$88,7,0))</f>
        <v>0</v>
      </c>
      <c r="CS150" s="37">
        <f>IF(ISNA(VLOOKUP(A150,'Données projet'!$A$165:$I$185,7,0)),0%,VLOOKUP(A150,'Données projet'!$A$165:$I$185,7,0))</f>
        <v>0</v>
      </c>
      <c r="CT150" s="45">
        <f>EXP(-LN(2)/35)*CT149+(1-EXP(-LN(2)/35))/(LN(2)/35)*CP150*CQ150*VLOOKUP('Données projet'!$B$9,Paramètres!$A$1:$I$88,3,0)*0.475*44/12</f>
        <v>0</v>
      </c>
      <c r="CU150" s="45">
        <f>EXP(-LN(2)/25)*CU149+(1-EXP(-LN(2)/25))/(LN(2)/25)*Calculateur!CP150*Calculateur!CR150*VLOOKUP('Données projet'!$B$9,Paramètres!$A$1:$I$88,3,0)*0.475*44/12</f>
        <v>0</v>
      </c>
      <c r="CV150" s="45">
        <f>EXP(-LN(2)/2)*CV149+(1-EXP(-LN(2)/2))/(LN(2)/2)*CP150*CS150*VLOOKUP('Données projet'!$B$9,Paramètres!$A$1:$I$88,3,0)*0.475*44/12</f>
        <v>0</v>
      </c>
      <c r="CW150" s="46">
        <f t="shared" si="95"/>
        <v>0</v>
      </c>
      <c r="CX150" s="32" t="e">
        <f>VLOOKUP(A150,'Données projet'!$A$191:$I$211,2,0)</f>
        <v>#N/A</v>
      </c>
      <c r="CY150" s="33" t="e">
        <f>VLOOKUP(A150,'Données projet'!$A$191:$I$211,9,0)</f>
        <v>#N/A</v>
      </c>
      <c r="CZ150" s="33">
        <f t="array" ref="CZ150">INDEX(CY:CY,MIN(IF(ISNUMBER(CY150:CY346),ROW(CY150:CY346),"")))</f>
        <v>0</v>
      </c>
      <c r="DA150" s="33">
        <f t="shared" si="118"/>
        <v>0</v>
      </c>
      <c r="DB150" s="38" t="e">
        <f>DA150*VLOOKUP('Données projet'!$B$15,Paramètres!$A$1:$I$88,3,0)*VLOOKUP('Données projet'!$B$15,Paramètres!$A$1:$I$88,5,0)</f>
        <v>#N/A</v>
      </c>
      <c r="DC150" s="34" t="e">
        <f t="shared" si="119"/>
        <v>#N/A</v>
      </c>
      <c r="DD150" s="44" t="e">
        <f t="shared" si="96"/>
        <v>#N/A</v>
      </c>
      <c r="DE150" s="36">
        <f>IF(ISNA(VLOOKUP(A150,'Données projet'!$A$191:$I$211,3,0)),0,VLOOKUP(A150,'Données projet'!$A$191:$I$211,3,0))</f>
        <v>0</v>
      </c>
      <c r="DF150" s="36">
        <f>IF(ISNA(VLOOKUP(A150,'Données projet'!$A$191:$I$211,4,0)),0,VLOOKUP(A150,'Données projet'!$A$191:$I$211,4,0))</f>
        <v>0</v>
      </c>
      <c r="DG150" s="37">
        <f>IF(ISNA(VLOOKUP(A150,'Données projet'!$A$191:$I$211,5,0)),0%,VLOOKUP(A150,'Données projet'!$A$191:$I$211,5,0)*VLOOKUP('Données projet'!$B$15,Paramètres!$A$1:$I$88,7,0))</f>
        <v>0</v>
      </c>
      <c r="DH150" s="37">
        <f>IF(ISNA(VLOOKUP(A150,'Données projet'!$A$191:$I$211,6,0)),0%,VLOOKUP(A150,'Données projet'!$A$191:$I$211,6,0)*VLOOKUP('Données projet'!$B$15,Paramètres!$A$1:$I$88,7,0))</f>
        <v>0</v>
      </c>
      <c r="DI150" s="37">
        <f>IF(ISNA(VLOOKUP(A150,'Données projet'!$A$191:$I$211,7,0)),0%,VLOOKUP(A150,'Données projet'!$A$191:$I$211,7,0))</f>
        <v>0</v>
      </c>
      <c r="DJ150" s="45">
        <f>EXP(-LN(2)/35)*DJ149+(1-EXP(-LN(2)/35))/(LN(2)/35)*DF150*DG150*VLOOKUP('Données projet'!$B$9,Paramètres!$A$1:$I$88,3,0)*0.475*44/12</f>
        <v>0</v>
      </c>
      <c r="DK150" s="45">
        <f>EXP(-LN(2)/25)*DK149+(1-EXP(-LN(2)/25))/(LN(2)/25)*Calculateur!DF150*Calculateur!DH150*VLOOKUP('Données projet'!$B$9,Paramètres!$A$1:$I$88,3,0)*0.475*44/12</f>
        <v>0</v>
      </c>
      <c r="DL150" s="45">
        <f>EXP(-LN(2)/2)*DL149+(1-EXP(-LN(2)/2))/(LN(2)/2)*DF150*DI150*VLOOKUP('Données projet'!$B$9,Paramètres!$A$1:$I$88,3,0)*0.475*44/12</f>
        <v>0</v>
      </c>
      <c r="DM150" s="46">
        <f t="shared" si="97"/>
        <v>0</v>
      </c>
      <c r="DN150" s="32" t="e">
        <f>VLOOKUP(A150,'Données projet'!$A$217:$I$237,2,0)</f>
        <v>#N/A</v>
      </c>
      <c r="DO150" s="33" t="e">
        <f>VLOOKUP(A150,'Données projet'!$A$217:$I$237,9,0)</f>
        <v>#N/A</v>
      </c>
      <c r="DP150" s="33">
        <f t="array" ref="DP150">INDEX(DO:DO,MIN(IF(ISNUMBER(DO150:DO346),ROW(DO150:DO346),"")))</f>
        <v>0</v>
      </c>
      <c r="DQ150" s="33">
        <f t="shared" si="120"/>
        <v>0</v>
      </c>
      <c r="DR150" s="38" t="e">
        <f>DQ150*VLOOKUP('Données projet'!$B$16,Paramètres!$A$1:$I$88,3,0)*VLOOKUP('Données projet'!$B$16,Paramètres!$A$1:$I$88,5,0)</f>
        <v>#N/A</v>
      </c>
      <c r="DS150" s="34" t="e">
        <f t="shared" si="121"/>
        <v>#N/A</v>
      </c>
      <c r="DT150" s="44" t="e">
        <f t="shared" si="98"/>
        <v>#N/A</v>
      </c>
      <c r="DU150" s="36">
        <f>IF(ISNA(VLOOKUP(A150,'Données projet'!$A$217:$I$237,3,0)),0,VLOOKUP(A150,'Données projet'!$A$217:$I$237,3,0))</f>
        <v>0</v>
      </c>
      <c r="DV150" s="36">
        <f>IF(ISNA(VLOOKUP(A150,'Données projet'!$A$217:$I$237,4,0)),0,VLOOKUP(A150,'Données projet'!$A$217:$I$237,4,0))</f>
        <v>0</v>
      </c>
      <c r="DW150" s="37">
        <f>IF(ISNA(VLOOKUP(A150,'Données projet'!$A$217:$I$237,5,0)),0%,VLOOKUP(A150,'Données projet'!$A$217:$I$237,5,0)*VLOOKUP('Données projet'!$B$16,Paramètres!$A$1:$I$88,7,0))</f>
        <v>0</v>
      </c>
      <c r="DX150" s="37">
        <f>IF(ISNA(VLOOKUP(A150,'Données projet'!$A$217:$I$237,6,0)),0%,VLOOKUP(A150,'Données projet'!$A$217:$I$237,6,0)*VLOOKUP('Données projet'!$B$16,Paramètres!$A$1:$I$88,7,0))</f>
        <v>0</v>
      </c>
      <c r="DY150" s="37">
        <f>IF(ISNA(VLOOKUP(A150,'Données projet'!$A$217:$I$237,7,0)),0%,VLOOKUP(A150,'Données projet'!$A$217:$I$237,7,0))</f>
        <v>0</v>
      </c>
      <c r="DZ150" s="45">
        <f>EXP(-LN(2)/35)*DZ149+(1-EXP(-LN(2)/35))/(LN(2)/35)*DV150*DW150*VLOOKUP('Données projet'!$B$9,Paramètres!$A$1:$I$88,3,0)*0.475*44/12</f>
        <v>0</v>
      </c>
      <c r="EA150" s="45">
        <f>EXP(-LN(2)/25)*EA149+(1-EXP(-LN(2)/25))/(LN(2)/25)*Calculateur!DV150*Calculateur!DX150*VLOOKUP('Données projet'!$B$9,Paramètres!$A$1:$I$88,3,0)*0.475*44/12</f>
        <v>0</v>
      </c>
      <c r="EB150" s="45">
        <f>EXP(-LN(2)/2)*EB149+(1-EXP(-LN(2)/2))/(LN(2)/2)*DV150*DY150*VLOOKUP('Données projet'!$B$9,Paramètres!$A$1:$I$88,3,0)*0.475*44/12</f>
        <v>0</v>
      </c>
      <c r="EC150" s="46">
        <f t="shared" si="99"/>
        <v>0</v>
      </c>
      <c r="ED150" s="32" t="e">
        <f>VLOOKUP(A150,'Données projet'!$A$243:$I$263,2,0)</f>
        <v>#N/A</v>
      </c>
      <c r="EE150" s="33" t="e">
        <f>VLOOKUP(A150,'Données projet'!$A$243:$I$263,9,0)</f>
        <v>#N/A</v>
      </c>
      <c r="EF150" s="33">
        <f t="array" ref="EF150">INDEX(EE:EE,MIN(IF(ISNUMBER(EE150:EE346),ROW(EE150:EE346),"")))</f>
        <v>0</v>
      </c>
      <c r="EG150" s="33">
        <f t="shared" si="122"/>
        <v>0</v>
      </c>
      <c r="EH150" s="38" t="e">
        <f>EG150*VLOOKUP('Données projet'!$B$17,Paramètres!$A$1:$I$88,3,0)*VLOOKUP('Données projet'!$B$17,Paramètres!$A$1:$I$88,5,0)</f>
        <v>#N/A</v>
      </c>
      <c r="EI150" s="34" t="e">
        <f t="shared" si="123"/>
        <v>#N/A</v>
      </c>
      <c r="EJ150" s="44" t="e">
        <f t="shared" si="100"/>
        <v>#N/A</v>
      </c>
      <c r="EK150" s="36">
        <f>IF(ISNA(VLOOKUP(A150,'Données projet'!$A$243:$I$263,3,0)),0,VLOOKUP(A150,'Données projet'!$A$243:$I$263,3,0))</f>
        <v>0</v>
      </c>
      <c r="EL150" s="36">
        <f>IF(ISNA(VLOOKUP(A150,'Données projet'!$A$243:$I$263,4,0)),0,VLOOKUP(A150,'Données projet'!$A$243:$I$263,4,0))</f>
        <v>0</v>
      </c>
      <c r="EM150" s="37">
        <f>IF(ISNA(VLOOKUP(A150,'Données projet'!$A$243:$I$263,5,0)),0%,VLOOKUP(A150,'Données projet'!$A$243:$I$263,5,0)*VLOOKUP('Données projet'!$B$17,Paramètres!$A$1:$I$88,7,0))</f>
        <v>0</v>
      </c>
      <c r="EN150" s="37">
        <f>IF(ISNA(VLOOKUP(A150,'Données projet'!$A$243:$I$263,6,0)),0%,VLOOKUP(A150,'Données projet'!$A$243:$I$263,6,0)*VLOOKUP('Données projet'!$B$17,Paramètres!$A$1:$I$88,7,0))</f>
        <v>0</v>
      </c>
      <c r="EO150" s="37">
        <f>IF(ISNA(VLOOKUP(A150,'Données projet'!$A$243:$I$263,7,0)),0%,VLOOKUP(A150,'Données projet'!$A$243:$I$263,7,0))</f>
        <v>0</v>
      </c>
      <c r="EP150" s="45">
        <f>EXP(-LN(2)/35)*EP149+(1-EXP(-LN(2)/35))/(LN(2)/35)*EL150*EM150*VLOOKUP('Données projet'!$B$9,Paramètres!$A$1:$I$88,3,0)*0.475*44/12</f>
        <v>0</v>
      </c>
      <c r="EQ150" s="45">
        <f>EXP(-LN(2)/25)*EQ149+(1-EXP(-LN(2)/25))/(LN(2)/25)*Calculateur!EL150*Calculateur!EN150*VLOOKUP('Données projet'!$B$9,Paramètres!$A$1:$I$88,3,0)*0.475*44/12</f>
        <v>0</v>
      </c>
      <c r="ER150" s="45">
        <f>EXP(-LN(2)/2)*ER149+(1-EXP(-LN(2)/2))/(LN(2)/2)*EL150*EO150*VLOOKUP('Données projet'!$B$9,Paramètres!$A$1:$I$88,3,0)*0.475*44/12</f>
        <v>0</v>
      </c>
      <c r="ES150" s="46">
        <f t="shared" si="101"/>
        <v>0</v>
      </c>
      <c r="ET150" s="32" t="e">
        <f>VLOOKUP(A150,'Données projet'!$A$269:$I$289,2,0)</f>
        <v>#N/A</v>
      </c>
      <c r="EU150" s="33" t="e">
        <f>VLOOKUP(A150,'Données projet'!$A$269:$I$289,9,0)</f>
        <v>#N/A</v>
      </c>
      <c r="EV150" s="33">
        <f t="array" ref="EV150">INDEX(EU:EU,MIN(IF(ISNUMBER(EU150:EU346),ROW(EU150:EU346),"")))</f>
        <v>0</v>
      </c>
      <c r="EW150" s="33">
        <f t="shared" si="124"/>
        <v>0</v>
      </c>
      <c r="EX150" s="38" t="e">
        <f>EW150*VLOOKUP('Données projet'!$B$18,Paramètres!$A$1:$I$88,3,0)*VLOOKUP('Données projet'!$B$18,Paramètres!$A$1:$I$88,5,0)</f>
        <v>#N/A</v>
      </c>
      <c r="EY150" s="34" t="e">
        <f t="shared" si="125"/>
        <v>#N/A</v>
      </c>
      <c r="EZ150" s="44" t="e">
        <f t="shared" si="102"/>
        <v>#N/A</v>
      </c>
      <c r="FA150" s="36">
        <f>IF(ISNA(VLOOKUP(A150,'Données projet'!$A$269:$I$289,3,0)),0,VLOOKUP(A150,'Données projet'!$A$269:$I$289,3,0))</f>
        <v>0</v>
      </c>
      <c r="FB150" s="36">
        <f>IF(ISNA(VLOOKUP(A150,'Données projet'!$A$269:$I$289,4,0)),0,VLOOKUP(A150,'Données projet'!$A$269:$I$289,4,0))</f>
        <v>0</v>
      </c>
      <c r="FC150" s="37">
        <f>IF(ISNA(VLOOKUP(A150,'Données projet'!$A$269:$I$289,5,0)),0%,VLOOKUP(A150,'Données projet'!$A$269:$I$289,5,0)*VLOOKUP('Données projet'!$B$18,Paramètres!$A$1:$I$88,7,0))</f>
        <v>0</v>
      </c>
      <c r="FD150" s="37">
        <f>IF(ISNA(VLOOKUP(A150,'Données projet'!$A$269:$I$289,6,0)),0%,VLOOKUP(A150,'Données projet'!$A$269:$I$289,6,0)*VLOOKUP('Données projet'!$B$18,Paramètres!$A$1:$I$88,7,0))</f>
        <v>0</v>
      </c>
      <c r="FE150" s="37">
        <f>IF(ISNA(VLOOKUP(A150,'Données projet'!$A$269:$I$289,7,0)),0%,VLOOKUP(A150,'Données projet'!$A$269:$I$289,7,0))</f>
        <v>0</v>
      </c>
      <c r="FF150" s="45">
        <f>EXP(-LN(2)/35)*FF149+(1-EXP(-LN(2)/35))/(LN(2)/35)*FB150*FC150*VLOOKUP('Données projet'!$B$9,Paramètres!$A$1:$I$88,3,0)*0.475*44/12</f>
        <v>0</v>
      </c>
      <c r="FG150" s="45">
        <f>EXP(-LN(2)/25)*FG149+(1-EXP(-LN(2)/25))/(LN(2)/25)*Calculateur!FB150*Calculateur!FD150*VLOOKUP('Données projet'!$B$9,Paramètres!$A$1:$I$88,3,0)*0.475*44/12</f>
        <v>0</v>
      </c>
      <c r="FH150" s="45">
        <f>EXP(-LN(2)/2)*FH149+(1-EXP(-LN(2)/2))/(LN(2)/2)*FB150*FE150*VLOOKUP('Données projet'!$B$9,Paramètres!$A$1:$I$88,3,0)*0.475*44/12</f>
        <v>0</v>
      </c>
      <c r="FI150" s="46">
        <f t="shared" si="103"/>
        <v>0</v>
      </c>
    </row>
    <row r="151" spans="1:165" x14ac:dyDescent="0.25">
      <c r="A151" s="24">
        <f t="shared" si="104"/>
        <v>148</v>
      </c>
      <c r="B151" s="25">
        <f>IF('Scénario référence'!$N$1=1,5,0)</f>
        <v>0</v>
      </c>
      <c r="C151" s="40">
        <f>IF(OR('Scénario référence'!$N$1=2,'Scénario référence'!$N$1=4),C150+1*VLOOKUP('Scénario référence'!$G$14,Paramètres!$A$1:$I$88,3,0)*VLOOKUP('Scénario référence'!$G$14,Paramètres!$A$1:$I$88,5,0),IF(OR('Scénario référence'!$N$1=3,'Scénario référence'!$N$1=5),C150+0.5*VLOOKUP('Scénario référence'!$G$14,Paramètres!$A$1:$I$88,3,0)*VLOOKUP('Scénario référence'!$G$14,Paramètres!$A$1:$I$88,5,0),0))</f>
        <v>80.808000000000135</v>
      </c>
      <c r="D151" s="26">
        <f t="shared" si="105"/>
        <v>22.334628633536237</v>
      </c>
      <c r="E151" s="27">
        <f>IF('Scénario référence'!$N$1=1,B151*44/12,(C151+D151)*0.475*44/12)</f>
        <v>179.64007820340919</v>
      </c>
      <c r="F151" s="28" t="e">
        <f>VLOOKUP(A151,'Données projet'!$A$35:$I$55,2,0)</f>
        <v>#N/A</v>
      </c>
      <c r="G151" s="28" t="e">
        <f>VLOOKUP(A151,'Données projet'!$A$35:$I$55,9,0)</f>
        <v>#N/A</v>
      </c>
      <c r="H151" s="33">
        <f t="array" ref="H151">INDEX(G:G,MIN(IF(ISNUMBER(G151:G347),ROW(G151:G347),"")))</f>
        <v>2.2000000000000002</v>
      </c>
      <c r="I151" s="28">
        <f t="shared" si="106"/>
        <v>301.59999999999951</v>
      </c>
      <c r="J151" s="41">
        <f>I151*VLOOKUP('Données projet'!$B$9,Paramètres!$A$1:$I$88,3,0)*VLOOKUP('Données projet'!$B$9,Paramètres!$A$1:$I$88,5,0)</f>
        <v>305.8223999999995</v>
      </c>
      <c r="K151" s="41">
        <f t="shared" si="107"/>
        <v>72.395693291268813</v>
      </c>
      <c r="L151" s="42">
        <f t="shared" si="84"/>
        <v>658.72984581562559</v>
      </c>
      <c r="M151" s="30">
        <f>IF(ISNA(VLOOKUP(A151,'Données projet'!$A$35:$I$55,3,0)),0,VLOOKUP(A151,'Données projet'!$A$35:$I$55,3,0))</f>
        <v>0</v>
      </c>
      <c r="N151" s="30">
        <f>IF(ISNA(VLOOKUP(A151,'Données projet'!$A$35:$I$55,4,0)),0,VLOOKUP(A151,'Données projet'!$A$35:$I$55,4,0))</f>
        <v>0</v>
      </c>
      <c r="O151" s="31">
        <f>IF(ISNA(VLOOKUP(A151,'Données projet'!$A$35:$I$55,5,0)),0%,VLOOKUP(A151,'Données projet'!$A$35:$I$55,5,0)*VLOOKUP('Données projet'!$B$9,Paramètres!$A$1:$I$88,7,0))</f>
        <v>0</v>
      </c>
      <c r="P151" s="31">
        <f>IF(ISNA(VLOOKUP(A151,'Données projet'!$A$35:$I$55,6,0)),0%,VLOOKUP(A151,'Données projet'!$A$35:$I$55,6,0)*VLOOKUP('Données projet'!$B$9,Paramètres!$A$1:$I$88,7,0))</f>
        <v>0</v>
      </c>
      <c r="Q151" s="31">
        <f>IF(ISNA(VLOOKUP(A151,'Données projet'!$A$35:$I$55,7,0)),0%,VLOOKUP(A151,'Données projet'!$A$35:$I$55,7,0))</f>
        <v>0</v>
      </c>
      <c r="R151" s="43">
        <f>EXP(-LN(2)/35)*R150+(1-EXP(-LN(2)/35))/(LN(2)/35)*N151*O151*VLOOKUP('Données projet'!$B$9,Paramètres!$A$1:$I$88,3,0)*0.475*44/12</f>
        <v>0</v>
      </c>
      <c r="S151" s="43">
        <f>EXP(-LN(2)/25)*S150+(1-EXP(-LN(2)/25))/(LN(2)/25)*Calculateur!N151*Calculateur!P151*VLOOKUP('Données projet'!$B$9,Paramètres!$A$1:$I$88,3,0)*0.475*44/12</f>
        <v>0</v>
      </c>
      <c r="T151" s="43">
        <f>EXP(-LN(2)/2)*T150+(1-EXP(-LN(2)/2))/(LN(2)/2)*N151*Q151*VLOOKUP('Données projet'!$B$9,Paramètres!$A$1:$I$88,3,0)*0.475*44/12</f>
        <v>0</v>
      </c>
      <c r="U151" s="43">
        <f t="shared" si="85"/>
        <v>0</v>
      </c>
      <c r="V151" s="32" t="e">
        <f>VLOOKUP(A151,'Données projet'!$A$61:$I$81,2,0)</f>
        <v>#N/A</v>
      </c>
      <c r="W151" s="33" t="e">
        <f>VLOOKUP(A151,'Données projet'!$A$61:$I$81,9,0)</f>
        <v>#N/A</v>
      </c>
      <c r="X151" s="33">
        <f t="array" ref="X151">INDEX(W:W,MIN(IF(ISNUMBER(W151:W347),ROW(W151:W347),"")))</f>
        <v>0</v>
      </c>
      <c r="Y151" s="33">
        <f t="shared" si="108"/>
        <v>0</v>
      </c>
      <c r="Z151" s="34" t="e">
        <f>Y151*VLOOKUP('Données projet'!$B$10,Paramètres!$A$1:$I$88,3,0)*VLOOKUP('Données projet'!$B$10,Paramètres!$A$1:$I$88,5,0)</f>
        <v>#N/A</v>
      </c>
      <c r="AA151" s="34" t="e">
        <f t="shared" si="109"/>
        <v>#N/A</v>
      </c>
      <c r="AB151" s="44" t="e">
        <f t="shared" si="86"/>
        <v>#N/A</v>
      </c>
      <c r="AC151" s="36">
        <f>IF(ISNA(VLOOKUP(A151,'Données projet'!$A$61:$I$81,3,0)),0,VLOOKUP(A151,'Données projet'!$A$61:$I$81,3,0))</f>
        <v>0</v>
      </c>
      <c r="AD151" s="36">
        <f>IF(ISNA(VLOOKUP(A151,'Données projet'!$A$61:$I$81,4,0)),0,VLOOKUP(A151,'Données projet'!$A$61:$I$81,4,0))</f>
        <v>0</v>
      </c>
      <c r="AE151" s="37">
        <f>IF(ISNA(VLOOKUP(A151,'Données projet'!$A$61:$I$81,5,0)),0%,VLOOKUP(A151,'Données projet'!$A$61:$I$81,5,0)*VLOOKUP('Données projet'!$B$10,Paramètres!$A$1:$I$88,7,0))</f>
        <v>0</v>
      </c>
      <c r="AF151" s="37">
        <f>IF(ISNA(VLOOKUP(A151,'Données projet'!$A$61:$I$81,6,0)),0%,VLOOKUP(A151,'Données projet'!$A$61:$I$81,6,0)*VLOOKUP('Données projet'!$B$10,Paramètres!$A$1:$I$88,7,0))</f>
        <v>0</v>
      </c>
      <c r="AG151" s="37">
        <f>IF(ISNA(VLOOKUP(A151,'Données projet'!$A$61:$I$81,7,0)),0%,VLOOKUP(A151,'Données projet'!$A$61:$I$81,7,0))</f>
        <v>0</v>
      </c>
      <c r="AH151" s="45">
        <f>EXP(-LN(2)/35)*AH150+(1-EXP(-LN(2)/35))/(LN(2)/35)*AD151*AE151*VLOOKUP('Données projet'!$B$9,Paramètres!$A$1:$I$88,3,0)*0.475*44/12</f>
        <v>0</v>
      </c>
      <c r="AI151" s="45">
        <f>EXP(-LN(2)/25)*AI150+(1-EXP(-LN(2)/25))/(LN(2)/25)*Calculateur!AD151*Calculateur!AF151*VLOOKUP('Données projet'!$B$9,Paramètres!$A$1:$I$88,3,0)*0.475*44/12</f>
        <v>0</v>
      </c>
      <c r="AJ151" s="45">
        <f>EXP(-LN(2)/2)*AJ150+(1-EXP(-LN(2)/2))/(LN(2)/2)*AD151*AG151*VLOOKUP('Données projet'!$B$9,Paramètres!$A$1:$I$88,3,0)*0.475*44/12</f>
        <v>0</v>
      </c>
      <c r="AK151" s="45">
        <f t="shared" si="87"/>
        <v>0</v>
      </c>
      <c r="AL151" s="32" t="e">
        <f>VLOOKUP(A151,'Données projet'!$A$87:$I$107,2,0)</f>
        <v>#N/A</v>
      </c>
      <c r="AM151" s="33" t="e">
        <f>VLOOKUP(A151,'Données projet'!$A$87:$I$107,9,0)</f>
        <v>#N/A</v>
      </c>
      <c r="AN151" s="33">
        <f t="array" ref="AN151">INDEX(AM:AM,MIN(IF(ISNUMBER(AM151:AM347),ROW(AM151:AM347),"")))</f>
        <v>0</v>
      </c>
      <c r="AO151" s="33">
        <f t="shared" si="110"/>
        <v>0</v>
      </c>
      <c r="AP151" s="34" t="e">
        <f>AO151*VLOOKUP('Données projet'!$B$11,Paramètres!$A$1:$I$88,3,0)*VLOOKUP('Données projet'!$B$11,Paramètres!$A$1:$I$88,5,0)</f>
        <v>#N/A</v>
      </c>
      <c r="AQ151" s="34" t="e">
        <f t="shared" si="111"/>
        <v>#N/A</v>
      </c>
      <c r="AR151" s="44" t="e">
        <f t="shared" si="88"/>
        <v>#N/A</v>
      </c>
      <c r="AS151" s="36">
        <f>IF(ISNA(VLOOKUP(A151,'Données projet'!$A$87:$I$107,3,0)),0,VLOOKUP(A151,'Données projet'!$A$87:$I$107,3,0))</f>
        <v>0</v>
      </c>
      <c r="AT151" s="36">
        <f>IF(ISNA(VLOOKUP(A151,'Données projet'!$A$87:$I$107,4,0)),0,VLOOKUP(A151,'Données projet'!$A$87:$I$107,4,0))</f>
        <v>0</v>
      </c>
      <c r="AU151" s="37">
        <f>IF(ISNA(VLOOKUP(A151,'Données projet'!$A$87:$I$107,5,0)),0%,VLOOKUP(A151,'Données projet'!$A$87:$I$107,5,0)*VLOOKUP('Données projet'!$B$11,Paramètres!$A$1:$I$88,7,0))</f>
        <v>0</v>
      </c>
      <c r="AV151" s="37">
        <f>IF(ISNA(VLOOKUP(A151,'Données projet'!$A$87:$I$107,6,0)),0%,VLOOKUP(A151,'Données projet'!$A$87:$I$107,6,0)*VLOOKUP('Données projet'!$B$11,Paramètres!$A$1:$I$88,7,0))</f>
        <v>0</v>
      </c>
      <c r="AW151" s="37">
        <f>IF(ISNA(VLOOKUP(A151,'Données projet'!$A$87:$I$107,7,0)),0%,VLOOKUP(A151,'Données projet'!$A$87:$I$107,7,0))</f>
        <v>0</v>
      </c>
      <c r="AX151" s="45">
        <f>EXP(-LN(2)/35)*AX150+(1-EXP(-LN(2)/35))/(LN(2)/35)*AT151*AU151*VLOOKUP('Données projet'!$B$9,Paramètres!$A$1:$I$88,3,0)*0.475*44/12</f>
        <v>0</v>
      </c>
      <c r="AY151" s="45">
        <f>EXP(-LN(2)/25)*AY150+(1-EXP(-LN(2)/25))/(LN(2)/25)*Calculateur!AT151*Calculateur!AV151*VLOOKUP('Données projet'!$B$9,Paramètres!$A$1:$I$88,3,0)*0.475*44/12</f>
        <v>0</v>
      </c>
      <c r="AZ151" s="45">
        <f>EXP(-LN(2)/2)*AZ150+(1-EXP(-LN(2)/2))/(LN(2)/2)*AT151*AW151*VLOOKUP('Données projet'!$B$9,Paramètres!$A$1:$I$88,3,0)*0.475*44/12</f>
        <v>0</v>
      </c>
      <c r="BA151" s="46">
        <f t="shared" si="89"/>
        <v>0</v>
      </c>
      <c r="BB151" s="32" t="e">
        <f>VLOOKUP(A151,'Données projet'!$A$113:$I$133,2,0)</f>
        <v>#N/A</v>
      </c>
      <c r="BC151" s="33" t="e">
        <f>VLOOKUP(A151,'Données projet'!$A$113:$I$133,9,0)</f>
        <v>#N/A</v>
      </c>
      <c r="BD151" s="33">
        <f t="array" ref="BD151">INDEX(BC:BC,MIN(IF(ISNUMBER(BC151:BC347),ROW(BC151:BC347),"")))</f>
        <v>0</v>
      </c>
      <c r="BE151" s="33">
        <f t="shared" si="112"/>
        <v>0</v>
      </c>
      <c r="BF151" s="34" t="e">
        <f>BE151*VLOOKUP('Données projet'!$B$12,Paramètres!$A$1:$I$88,3,0)*VLOOKUP('Données projet'!$B$12,Paramètres!$A$1:$I$88,5,0)</f>
        <v>#N/A</v>
      </c>
      <c r="BG151" s="34" t="e">
        <f t="shared" si="113"/>
        <v>#N/A</v>
      </c>
      <c r="BH151" s="44" t="e">
        <f t="shared" si="90"/>
        <v>#N/A</v>
      </c>
      <c r="BI151" s="36">
        <f>IF(ISNA(VLOOKUP(A151,'Données projet'!$A$113:$I$133,3,0)),0,VLOOKUP(A151,'Données projet'!$A$113:$I$133,3,0))</f>
        <v>0</v>
      </c>
      <c r="BJ151" s="36">
        <f>IF(ISNA(VLOOKUP(A151,'Données projet'!$A$113:$I$133,4,0)),0,VLOOKUP(A151,'Données projet'!$A$113:$I$133,4,0))</f>
        <v>0</v>
      </c>
      <c r="BK151" s="37">
        <f>IF(ISNA(VLOOKUP(A151,'Données projet'!$A$113:$I$133,5,0)),0%,VLOOKUP(A151,'Données projet'!$A$113:$I$133,5,0)*VLOOKUP('Données projet'!$B$12,Paramètres!$A$1:$I$88,7,0))</f>
        <v>0</v>
      </c>
      <c r="BL151" s="37">
        <f>IF(ISNA(VLOOKUP(A151,'Données projet'!$A$113:$I$133,6,0)),0%,VLOOKUP(A151,'Données projet'!$A$113:$I$133,6,0)*VLOOKUP('Données projet'!$B$12,Paramètres!$A$1:$I$88,7,0))</f>
        <v>0</v>
      </c>
      <c r="BM151" s="37">
        <f>IF(ISNA(VLOOKUP(A151,'Données projet'!$A$113:$I$133,7,0)),0%,VLOOKUP(A151,'Données projet'!$A$113:$I$133,7,0))</f>
        <v>0</v>
      </c>
      <c r="BN151" s="45">
        <f>EXP(-LN(2)/35)*BN150+(1-EXP(-LN(2)/35))/(LN(2)/35)*BJ151*BK151*VLOOKUP('Données projet'!$B$9,Paramètres!$A$1:$I$88,3,0)*0.475*44/12</f>
        <v>0</v>
      </c>
      <c r="BO151" s="45">
        <f>EXP(-LN(2)/25)*BO150+(1-EXP(-LN(2)/25))/(LN(2)/25)*Calculateur!BJ151*Calculateur!BL151*VLOOKUP('Données projet'!$B$9,Paramètres!$A$1:$I$88,3,0)*0.475*44/12</f>
        <v>0</v>
      </c>
      <c r="BP151" s="45">
        <f>EXP(-LN(2)/2)*BP150+(1-EXP(-LN(2)/2))/(LN(2)/2)*BJ151*BM151*VLOOKUP('Données projet'!$B$9,Paramètres!$A$1:$I$88,3,0)*0.475*44/12</f>
        <v>0</v>
      </c>
      <c r="BQ151" s="46">
        <f t="shared" si="91"/>
        <v>0</v>
      </c>
      <c r="BR151" s="32" t="e">
        <f>VLOOKUP(A151,'Données projet'!$A$139:$I$159,2,0)</f>
        <v>#N/A</v>
      </c>
      <c r="BS151" s="33" t="e">
        <f>VLOOKUP(A151,'Données projet'!$A$139:$I$159,9,0)</f>
        <v>#N/A</v>
      </c>
      <c r="BT151" s="33">
        <f t="array" ref="BT151">INDEX(BS:BS,MIN(IF(ISNUMBER(BS151:BS347),ROW(BS151:BS347),"")))</f>
        <v>0</v>
      </c>
      <c r="BU151" s="33">
        <f t="shared" si="114"/>
        <v>0</v>
      </c>
      <c r="BV151" s="38" t="e">
        <f>BU151*VLOOKUP('Données projet'!$B$13,Paramètres!$A$1:$I$88,3,0)*VLOOKUP('Données projet'!$B$13,Paramètres!$A$1:$I$88,5,0)</f>
        <v>#N/A</v>
      </c>
      <c r="BW151" s="34" t="e">
        <f t="shared" si="115"/>
        <v>#N/A</v>
      </c>
      <c r="BX151" s="44" t="e">
        <f t="shared" si="92"/>
        <v>#N/A</v>
      </c>
      <c r="BY151" s="36">
        <f>IF(ISNA(VLOOKUP(A151,'Données projet'!$A$139:$I$159,3,0)),0,VLOOKUP(A151,'Données projet'!$A$139:$I$159,3,0))</f>
        <v>0</v>
      </c>
      <c r="BZ151" s="36">
        <f>IF(ISNA(VLOOKUP(A151,'Données projet'!$A$139:$I$159,4,0)),0,VLOOKUP(A151,'Données projet'!$A$139:$I$159,4,0))</f>
        <v>0</v>
      </c>
      <c r="CA151" s="37">
        <f>IF(ISNA(VLOOKUP(A151,'Données projet'!$A$139:$I$159,5,0)),0%,VLOOKUP(A151,'Données projet'!$A$139:$I$159,5,0)*VLOOKUP('Données projet'!$B$13,Paramètres!$A$1:$I$88,7,0))</f>
        <v>0</v>
      </c>
      <c r="CB151" s="37">
        <f>IF(ISNA(VLOOKUP(A151,'Données projet'!$A$139:$I$159,6,0)),0%,VLOOKUP(A151,'Données projet'!$A$139:$I$159,6,0)*VLOOKUP('Données projet'!$B$13,Paramètres!$A$1:$I$88,7,0))</f>
        <v>0</v>
      </c>
      <c r="CC151" s="37">
        <f>IF(ISNA(VLOOKUP(A151,'Données projet'!$A$139:$I$159,7,0)),0%,VLOOKUP(A151,'Données projet'!$A$139:$I$159,7,0))</f>
        <v>0</v>
      </c>
      <c r="CD151" s="45">
        <f>EXP(-LN(2)/35)*CD150+(1-EXP(-LN(2)/35))/(LN(2)/35)*BZ151*CA151*VLOOKUP('Données projet'!$B$9,Paramètres!$A$1:$I$88,3,0)*0.475*44/12</f>
        <v>0</v>
      </c>
      <c r="CE151" s="45">
        <f>EXP(-LN(2)/25)*CE150+(1-EXP(-LN(2)/25))/(LN(2)/25)*Calculateur!BZ151*Calculateur!CB151*VLOOKUP('Données projet'!$B$9,Paramètres!$A$1:$I$88,3,0)*0.475*44/12</f>
        <v>0</v>
      </c>
      <c r="CF151" s="45">
        <f>EXP(-LN(2)/2)*CF150+(1-EXP(-LN(2)/2))/(LN(2)/2)*BZ151*CC151*VLOOKUP('Données projet'!$B$9,Paramètres!$A$1:$I$88,3,0)*0.475*44/12</f>
        <v>0</v>
      </c>
      <c r="CG151" s="46">
        <f t="shared" si="93"/>
        <v>0</v>
      </c>
      <c r="CH151" s="32" t="e">
        <f>VLOOKUP(A151,'Données projet'!$A$165:$I$185,2,0)</f>
        <v>#N/A</v>
      </c>
      <c r="CI151" s="33" t="e">
        <f>VLOOKUP(A151,'Données projet'!$A$165:$I$185,9,0)</f>
        <v>#N/A</v>
      </c>
      <c r="CJ151" s="33">
        <f t="array" ref="CJ151">INDEX(CI:CI,MIN(IF(ISNUMBER(CI151:CI347),ROW(CI151:CI347),"")))</f>
        <v>0</v>
      </c>
      <c r="CK151" s="33">
        <f t="shared" si="116"/>
        <v>0</v>
      </c>
      <c r="CL151" s="38" t="e">
        <f>CK151*VLOOKUP('Données projet'!$B$14,Paramètres!$A$1:$I$88,3,0)*VLOOKUP('Données projet'!$B$14,Paramètres!$A$1:$I$88,5,0)</f>
        <v>#N/A</v>
      </c>
      <c r="CM151" s="34" t="e">
        <f t="shared" si="117"/>
        <v>#N/A</v>
      </c>
      <c r="CN151" s="44" t="e">
        <f t="shared" si="94"/>
        <v>#N/A</v>
      </c>
      <c r="CO151" s="36">
        <f>IF(ISNA(VLOOKUP(A151,'Données projet'!$A$165:$I$185,3,0)),0,VLOOKUP(A151,'Données projet'!$A$165:$I$185,3,0))</f>
        <v>0</v>
      </c>
      <c r="CP151" s="36">
        <f>IF(ISNA(VLOOKUP(A151,'Données projet'!$A$165:$I$185,4,0)),0,VLOOKUP(A151,'Données projet'!$A$165:$I$185,4,0))</f>
        <v>0</v>
      </c>
      <c r="CQ151" s="37">
        <f>IF(ISNA(VLOOKUP(A151,'Données projet'!$A$165:$I$185,5,0)),0%,VLOOKUP(A151,'Données projet'!$A$165:$I$185,5,0)*VLOOKUP('Données projet'!$B$14,Paramètres!$A$1:$I$88,7,0))</f>
        <v>0</v>
      </c>
      <c r="CR151" s="37">
        <f>IF(ISNA(VLOOKUP(A151,'Données projet'!$A$165:$I$185,6,0)),0%,VLOOKUP(A151,'Données projet'!$A$165:$I$185,6,0)*VLOOKUP('Données projet'!$B$14,Paramètres!$A$1:$I$88,7,0))</f>
        <v>0</v>
      </c>
      <c r="CS151" s="37">
        <f>IF(ISNA(VLOOKUP(A151,'Données projet'!$A$165:$I$185,7,0)),0%,VLOOKUP(A151,'Données projet'!$A$165:$I$185,7,0))</f>
        <v>0</v>
      </c>
      <c r="CT151" s="45">
        <f>EXP(-LN(2)/35)*CT150+(1-EXP(-LN(2)/35))/(LN(2)/35)*CP151*CQ151*VLOOKUP('Données projet'!$B$9,Paramètres!$A$1:$I$88,3,0)*0.475*44/12</f>
        <v>0</v>
      </c>
      <c r="CU151" s="45">
        <f>EXP(-LN(2)/25)*CU150+(1-EXP(-LN(2)/25))/(LN(2)/25)*Calculateur!CP151*Calculateur!CR151*VLOOKUP('Données projet'!$B$9,Paramètres!$A$1:$I$88,3,0)*0.475*44/12</f>
        <v>0</v>
      </c>
      <c r="CV151" s="45">
        <f>EXP(-LN(2)/2)*CV150+(1-EXP(-LN(2)/2))/(LN(2)/2)*CP151*CS151*VLOOKUP('Données projet'!$B$9,Paramètres!$A$1:$I$88,3,0)*0.475*44/12</f>
        <v>0</v>
      </c>
      <c r="CW151" s="46">
        <f t="shared" si="95"/>
        <v>0</v>
      </c>
      <c r="CX151" s="32" t="e">
        <f>VLOOKUP(A151,'Données projet'!$A$191:$I$211,2,0)</f>
        <v>#N/A</v>
      </c>
      <c r="CY151" s="33" t="e">
        <f>VLOOKUP(A151,'Données projet'!$A$191:$I$211,9,0)</f>
        <v>#N/A</v>
      </c>
      <c r="CZ151" s="33">
        <f t="array" ref="CZ151">INDEX(CY:CY,MIN(IF(ISNUMBER(CY151:CY347),ROW(CY151:CY347),"")))</f>
        <v>0</v>
      </c>
      <c r="DA151" s="33">
        <f t="shared" si="118"/>
        <v>0</v>
      </c>
      <c r="DB151" s="38" t="e">
        <f>DA151*VLOOKUP('Données projet'!$B$15,Paramètres!$A$1:$I$88,3,0)*VLOOKUP('Données projet'!$B$15,Paramètres!$A$1:$I$88,5,0)</f>
        <v>#N/A</v>
      </c>
      <c r="DC151" s="34" t="e">
        <f t="shared" si="119"/>
        <v>#N/A</v>
      </c>
      <c r="DD151" s="44" t="e">
        <f t="shared" si="96"/>
        <v>#N/A</v>
      </c>
      <c r="DE151" s="36">
        <f>IF(ISNA(VLOOKUP(A151,'Données projet'!$A$191:$I$211,3,0)),0,VLOOKUP(A151,'Données projet'!$A$191:$I$211,3,0))</f>
        <v>0</v>
      </c>
      <c r="DF151" s="36">
        <f>IF(ISNA(VLOOKUP(A151,'Données projet'!$A$191:$I$211,4,0)),0,VLOOKUP(A151,'Données projet'!$A$191:$I$211,4,0))</f>
        <v>0</v>
      </c>
      <c r="DG151" s="37">
        <f>IF(ISNA(VLOOKUP(A151,'Données projet'!$A$191:$I$211,5,0)),0%,VLOOKUP(A151,'Données projet'!$A$191:$I$211,5,0)*VLOOKUP('Données projet'!$B$15,Paramètres!$A$1:$I$88,7,0))</f>
        <v>0</v>
      </c>
      <c r="DH151" s="37">
        <f>IF(ISNA(VLOOKUP(A151,'Données projet'!$A$191:$I$211,6,0)),0%,VLOOKUP(A151,'Données projet'!$A$191:$I$211,6,0)*VLOOKUP('Données projet'!$B$15,Paramètres!$A$1:$I$88,7,0))</f>
        <v>0</v>
      </c>
      <c r="DI151" s="37">
        <f>IF(ISNA(VLOOKUP(A151,'Données projet'!$A$191:$I$211,7,0)),0%,VLOOKUP(A151,'Données projet'!$A$191:$I$211,7,0))</f>
        <v>0</v>
      </c>
      <c r="DJ151" s="45">
        <f>EXP(-LN(2)/35)*DJ150+(1-EXP(-LN(2)/35))/(LN(2)/35)*DF151*DG151*VLOOKUP('Données projet'!$B$9,Paramètres!$A$1:$I$88,3,0)*0.475*44/12</f>
        <v>0</v>
      </c>
      <c r="DK151" s="45">
        <f>EXP(-LN(2)/25)*DK150+(1-EXP(-LN(2)/25))/(LN(2)/25)*Calculateur!DF151*Calculateur!DH151*VLOOKUP('Données projet'!$B$9,Paramètres!$A$1:$I$88,3,0)*0.475*44/12</f>
        <v>0</v>
      </c>
      <c r="DL151" s="45">
        <f>EXP(-LN(2)/2)*DL150+(1-EXP(-LN(2)/2))/(LN(2)/2)*DF151*DI151*VLOOKUP('Données projet'!$B$9,Paramètres!$A$1:$I$88,3,0)*0.475*44/12</f>
        <v>0</v>
      </c>
      <c r="DM151" s="46">
        <f t="shared" si="97"/>
        <v>0</v>
      </c>
      <c r="DN151" s="32" t="e">
        <f>VLOOKUP(A151,'Données projet'!$A$217:$I$237,2,0)</f>
        <v>#N/A</v>
      </c>
      <c r="DO151" s="33" t="e">
        <f>VLOOKUP(A151,'Données projet'!$A$217:$I$237,9,0)</f>
        <v>#N/A</v>
      </c>
      <c r="DP151" s="33">
        <f t="array" ref="DP151">INDEX(DO:DO,MIN(IF(ISNUMBER(DO151:DO347),ROW(DO151:DO347),"")))</f>
        <v>0</v>
      </c>
      <c r="DQ151" s="33">
        <f t="shared" si="120"/>
        <v>0</v>
      </c>
      <c r="DR151" s="38" t="e">
        <f>DQ151*VLOOKUP('Données projet'!$B$16,Paramètres!$A$1:$I$88,3,0)*VLOOKUP('Données projet'!$B$16,Paramètres!$A$1:$I$88,5,0)</f>
        <v>#N/A</v>
      </c>
      <c r="DS151" s="34" t="e">
        <f t="shared" si="121"/>
        <v>#N/A</v>
      </c>
      <c r="DT151" s="44" t="e">
        <f t="shared" si="98"/>
        <v>#N/A</v>
      </c>
      <c r="DU151" s="36">
        <f>IF(ISNA(VLOOKUP(A151,'Données projet'!$A$217:$I$237,3,0)),0,VLOOKUP(A151,'Données projet'!$A$217:$I$237,3,0))</f>
        <v>0</v>
      </c>
      <c r="DV151" s="36">
        <f>IF(ISNA(VLOOKUP(A151,'Données projet'!$A$217:$I$237,4,0)),0,VLOOKUP(A151,'Données projet'!$A$217:$I$237,4,0))</f>
        <v>0</v>
      </c>
      <c r="DW151" s="37">
        <f>IF(ISNA(VLOOKUP(A151,'Données projet'!$A$217:$I$237,5,0)),0%,VLOOKUP(A151,'Données projet'!$A$217:$I$237,5,0)*VLOOKUP('Données projet'!$B$16,Paramètres!$A$1:$I$88,7,0))</f>
        <v>0</v>
      </c>
      <c r="DX151" s="37">
        <f>IF(ISNA(VLOOKUP(A151,'Données projet'!$A$217:$I$237,6,0)),0%,VLOOKUP(A151,'Données projet'!$A$217:$I$237,6,0)*VLOOKUP('Données projet'!$B$16,Paramètres!$A$1:$I$88,7,0))</f>
        <v>0</v>
      </c>
      <c r="DY151" s="37">
        <f>IF(ISNA(VLOOKUP(A151,'Données projet'!$A$217:$I$237,7,0)),0%,VLOOKUP(A151,'Données projet'!$A$217:$I$237,7,0))</f>
        <v>0</v>
      </c>
      <c r="DZ151" s="45">
        <f>EXP(-LN(2)/35)*DZ150+(1-EXP(-LN(2)/35))/(LN(2)/35)*DV151*DW151*VLOOKUP('Données projet'!$B$9,Paramètres!$A$1:$I$88,3,0)*0.475*44/12</f>
        <v>0</v>
      </c>
      <c r="EA151" s="45">
        <f>EXP(-LN(2)/25)*EA150+(1-EXP(-LN(2)/25))/(LN(2)/25)*Calculateur!DV151*Calculateur!DX151*VLOOKUP('Données projet'!$B$9,Paramètres!$A$1:$I$88,3,0)*0.475*44/12</f>
        <v>0</v>
      </c>
      <c r="EB151" s="45">
        <f>EXP(-LN(2)/2)*EB150+(1-EXP(-LN(2)/2))/(LN(2)/2)*DV151*DY151*VLOOKUP('Données projet'!$B$9,Paramètres!$A$1:$I$88,3,0)*0.475*44/12</f>
        <v>0</v>
      </c>
      <c r="EC151" s="46">
        <f t="shared" si="99"/>
        <v>0</v>
      </c>
      <c r="ED151" s="32" t="e">
        <f>VLOOKUP(A151,'Données projet'!$A$243:$I$263,2,0)</f>
        <v>#N/A</v>
      </c>
      <c r="EE151" s="33" t="e">
        <f>VLOOKUP(A151,'Données projet'!$A$243:$I$263,9,0)</f>
        <v>#N/A</v>
      </c>
      <c r="EF151" s="33">
        <f t="array" ref="EF151">INDEX(EE:EE,MIN(IF(ISNUMBER(EE151:EE347),ROW(EE151:EE347),"")))</f>
        <v>0</v>
      </c>
      <c r="EG151" s="33">
        <f t="shared" si="122"/>
        <v>0</v>
      </c>
      <c r="EH151" s="38" t="e">
        <f>EG151*VLOOKUP('Données projet'!$B$17,Paramètres!$A$1:$I$88,3,0)*VLOOKUP('Données projet'!$B$17,Paramètres!$A$1:$I$88,5,0)</f>
        <v>#N/A</v>
      </c>
      <c r="EI151" s="34" t="e">
        <f t="shared" si="123"/>
        <v>#N/A</v>
      </c>
      <c r="EJ151" s="44" t="e">
        <f t="shared" si="100"/>
        <v>#N/A</v>
      </c>
      <c r="EK151" s="36">
        <f>IF(ISNA(VLOOKUP(A151,'Données projet'!$A$243:$I$263,3,0)),0,VLOOKUP(A151,'Données projet'!$A$243:$I$263,3,0))</f>
        <v>0</v>
      </c>
      <c r="EL151" s="36">
        <f>IF(ISNA(VLOOKUP(A151,'Données projet'!$A$243:$I$263,4,0)),0,VLOOKUP(A151,'Données projet'!$A$243:$I$263,4,0))</f>
        <v>0</v>
      </c>
      <c r="EM151" s="37">
        <f>IF(ISNA(VLOOKUP(A151,'Données projet'!$A$243:$I$263,5,0)),0%,VLOOKUP(A151,'Données projet'!$A$243:$I$263,5,0)*VLOOKUP('Données projet'!$B$17,Paramètres!$A$1:$I$88,7,0))</f>
        <v>0</v>
      </c>
      <c r="EN151" s="37">
        <f>IF(ISNA(VLOOKUP(A151,'Données projet'!$A$243:$I$263,6,0)),0%,VLOOKUP(A151,'Données projet'!$A$243:$I$263,6,0)*VLOOKUP('Données projet'!$B$17,Paramètres!$A$1:$I$88,7,0))</f>
        <v>0</v>
      </c>
      <c r="EO151" s="37">
        <f>IF(ISNA(VLOOKUP(A151,'Données projet'!$A$243:$I$263,7,0)),0%,VLOOKUP(A151,'Données projet'!$A$243:$I$263,7,0))</f>
        <v>0</v>
      </c>
      <c r="EP151" s="45">
        <f>EXP(-LN(2)/35)*EP150+(1-EXP(-LN(2)/35))/(LN(2)/35)*EL151*EM151*VLOOKUP('Données projet'!$B$9,Paramètres!$A$1:$I$88,3,0)*0.475*44/12</f>
        <v>0</v>
      </c>
      <c r="EQ151" s="45">
        <f>EXP(-LN(2)/25)*EQ150+(1-EXP(-LN(2)/25))/(LN(2)/25)*Calculateur!EL151*Calculateur!EN151*VLOOKUP('Données projet'!$B$9,Paramètres!$A$1:$I$88,3,0)*0.475*44/12</f>
        <v>0</v>
      </c>
      <c r="ER151" s="45">
        <f>EXP(-LN(2)/2)*ER150+(1-EXP(-LN(2)/2))/(LN(2)/2)*EL151*EO151*VLOOKUP('Données projet'!$B$9,Paramètres!$A$1:$I$88,3,0)*0.475*44/12</f>
        <v>0</v>
      </c>
      <c r="ES151" s="46">
        <f t="shared" si="101"/>
        <v>0</v>
      </c>
      <c r="ET151" s="32" t="e">
        <f>VLOOKUP(A151,'Données projet'!$A$269:$I$289,2,0)</f>
        <v>#N/A</v>
      </c>
      <c r="EU151" s="33" t="e">
        <f>VLOOKUP(A151,'Données projet'!$A$269:$I$289,9,0)</f>
        <v>#N/A</v>
      </c>
      <c r="EV151" s="33">
        <f t="array" ref="EV151">INDEX(EU:EU,MIN(IF(ISNUMBER(EU151:EU347),ROW(EU151:EU347),"")))</f>
        <v>0</v>
      </c>
      <c r="EW151" s="33">
        <f t="shared" si="124"/>
        <v>0</v>
      </c>
      <c r="EX151" s="38" t="e">
        <f>EW151*VLOOKUP('Données projet'!$B$18,Paramètres!$A$1:$I$88,3,0)*VLOOKUP('Données projet'!$B$18,Paramètres!$A$1:$I$88,5,0)</f>
        <v>#N/A</v>
      </c>
      <c r="EY151" s="34" t="e">
        <f t="shared" si="125"/>
        <v>#N/A</v>
      </c>
      <c r="EZ151" s="44" t="e">
        <f t="shared" si="102"/>
        <v>#N/A</v>
      </c>
      <c r="FA151" s="36">
        <f>IF(ISNA(VLOOKUP(A151,'Données projet'!$A$269:$I$289,3,0)),0,VLOOKUP(A151,'Données projet'!$A$269:$I$289,3,0))</f>
        <v>0</v>
      </c>
      <c r="FB151" s="36">
        <f>IF(ISNA(VLOOKUP(A151,'Données projet'!$A$269:$I$289,4,0)),0,VLOOKUP(A151,'Données projet'!$A$269:$I$289,4,0))</f>
        <v>0</v>
      </c>
      <c r="FC151" s="37">
        <f>IF(ISNA(VLOOKUP(A151,'Données projet'!$A$269:$I$289,5,0)),0%,VLOOKUP(A151,'Données projet'!$A$269:$I$289,5,0)*VLOOKUP('Données projet'!$B$18,Paramètres!$A$1:$I$88,7,0))</f>
        <v>0</v>
      </c>
      <c r="FD151" s="37">
        <f>IF(ISNA(VLOOKUP(A151,'Données projet'!$A$269:$I$289,6,0)),0%,VLOOKUP(A151,'Données projet'!$A$269:$I$289,6,0)*VLOOKUP('Données projet'!$B$18,Paramètres!$A$1:$I$88,7,0))</f>
        <v>0</v>
      </c>
      <c r="FE151" s="37">
        <f>IF(ISNA(VLOOKUP(A151,'Données projet'!$A$269:$I$289,7,0)),0%,VLOOKUP(A151,'Données projet'!$A$269:$I$289,7,0))</f>
        <v>0</v>
      </c>
      <c r="FF151" s="45">
        <f>EXP(-LN(2)/35)*FF150+(1-EXP(-LN(2)/35))/(LN(2)/35)*FB151*FC151*VLOOKUP('Données projet'!$B$9,Paramètres!$A$1:$I$88,3,0)*0.475*44/12</f>
        <v>0</v>
      </c>
      <c r="FG151" s="45">
        <f>EXP(-LN(2)/25)*FG150+(1-EXP(-LN(2)/25))/(LN(2)/25)*Calculateur!FB151*Calculateur!FD151*VLOOKUP('Données projet'!$B$9,Paramètres!$A$1:$I$88,3,0)*0.475*44/12</f>
        <v>0</v>
      </c>
      <c r="FH151" s="45">
        <f>EXP(-LN(2)/2)*FH150+(1-EXP(-LN(2)/2))/(LN(2)/2)*FB151*FE151*VLOOKUP('Données projet'!$B$9,Paramètres!$A$1:$I$88,3,0)*0.475*44/12</f>
        <v>0</v>
      </c>
      <c r="FI151" s="46">
        <f t="shared" si="103"/>
        <v>0</v>
      </c>
    </row>
    <row r="152" spans="1:165" x14ac:dyDescent="0.25">
      <c r="A152" s="24">
        <f t="shared" si="104"/>
        <v>149</v>
      </c>
      <c r="B152" s="25">
        <f>IF('Scénario référence'!$N$1=1,5,0)</f>
        <v>0</v>
      </c>
      <c r="C152" s="40">
        <f>IF(OR('Scénario référence'!$N$1=2,'Scénario référence'!$N$1=4),C151+1*VLOOKUP('Scénario référence'!$G$14,Paramètres!$A$1:$I$88,3,0)*VLOOKUP('Scénario référence'!$G$14,Paramètres!$A$1:$I$88,5,0),IF(OR('Scénario référence'!$N$1=3,'Scénario référence'!$N$1=5),C151+0.5*VLOOKUP('Scénario référence'!$G$14,Paramètres!$A$1:$I$88,3,0)*VLOOKUP('Scénario référence'!$G$14,Paramètres!$A$1:$I$88,5,0),0))</f>
        <v>81.354000000000141</v>
      </c>
      <c r="D152" s="26">
        <f t="shared" si="105"/>
        <v>22.467920097706067</v>
      </c>
      <c r="E152" s="27">
        <f>IF('Scénario référence'!$N$1=1,B152*44/12,(C152+D152)*0.475*44/12)</f>
        <v>180.82317750350498</v>
      </c>
      <c r="F152" s="28" t="e">
        <f>VLOOKUP(A152,'Données projet'!$A$35:$I$55,2,0)</f>
        <v>#N/A</v>
      </c>
      <c r="G152" s="28" t="e">
        <f>VLOOKUP(A152,'Données projet'!$A$35:$I$55,9,0)</f>
        <v>#N/A</v>
      </c>
      <c r="H152" s="33">
        <f t="array" ref="H152">INDEX(G:G,MIN(IF(ISNUMBER(G152:G348),ROW(G152:G348),"")))</f>
        <v>2.2000000000000002</v>
      </c>
      <c r="I152" s="28">
        <f t="shared" si="106"/>
        <v>303.7999999999995</v>
      </c>
      <c r="J152" s="41">
        <f>I152*VLOOKUP('Données projet'!$B$9,Paramètres!$A$1:$I$88,3,0)*VLOOKUP('Données projet'!$B$9,Paramètres!$A$1:$I$88,5,0)</f>
        <v>308.05319999999955</v>
      </c>
      <c r="K152" s="41">
        <f t="shared" si="107"/>
        <v>72.862111899109848</v>
      </c>
      <c r="L152" s="42">
        <f t="shared" si="84"/>
        <v>663.42750155761553</v>
      </c>
      <c r="M152" s="30">
        <f>IF(ISNA(VLOOKUP(A152,'Données projet'!$A$35:$I$55,3,0)),0,VLOOKUP(A152,'Données projet'!$A$35:$I$55,3,0))</f>
        <v>0</v>
      </c>
      <c r="N152" s="30">
        <f>IF(ISNA(VLOOKUP(A152,'Données projet'!$A$35:$I$55,4,0)),0,VLOOKUP(A152,'Données projet'!$A$35:$I$55,4,0))</f>
        <v>0</v>
      </c>
      <c r="O152" s="31">
        <f>IF(ISNA(VLOOKUP(A152,'Données projet'!$A$35:$I$55,5,0)),0%,VLOOKUP(A152,'Données projet'!$A$35:$I$55,5,0)*VLOOKUP('Données projet'!$B$9,Paramètres!$A$1:$I$88,7,0))</f>
        <v>0</v>
      </c>
      <c r="P152" s="31">
        <f>IF(ISNA(VLOOKUP(A152,'Données projet'!$A$35:$I$55,6,0)),0%,VLOOKUP(A152,'Données projet'!$A$35:$I$55,6,0)*VLOOKUP('Données projet'!$B$9,Paramètres!$A$1:$I$88,7,0))</f>
        <v>0</v>
      </c>
      <c r="Q152" s="31">
        <f>IF(ISNA(VLOOKUP(A152,'Données projet'!$A$35:$I$55,7,0)),0%,VLOOKUP(A152,'Données projet'!$A$35:$I$55,7,0))</f>
        <v>0</v>
      </c>
      <c r="R152" s="43">
        <f>EXP(-LN(2)/35)*R151+(1-EXP(-LN(2)/35))/(LN(2)/35)*N152*O152*VLOOKUP('Données projet'!$B$9,Paramètres!$A$1:$I$88,3,0)*0.475*44/12</f>
        <v>0</v>
      </c>
      <c r="S152" s="43">
        <f>EXP(-LN(2)/25)*S151+(1-EXP(-LN(2)/25))/(LN(2)/25)*Calculateur!N152*Calculateur!P152*VLOOKUP('Données projet'!$B$9,Paramètres!$A$1:$I$88,3,0)*0.475*44/12</f>
        <v>0</v>
      </c>
      <c r="T152" s="43">
        <f>EXP(-LN(2)/2)*T151+(1-EXP(-LN(2)/2))/(LN(2)/2)*N152*Q152*VLOOKUP('Données projet'!$B$9,Paramètres!$A$1:$I$88,3,0)*0.475*44/12</f>
        <v>0</v>
      </c>
      <c r="U152" s="43">
        <f t="shared" si="85"/>
        <v>0</v>
      </c>
      <c r="V152" s="32" t="e">
        <f>VLOOKUP(A152,'Données projet'!$A$61:$I$81,2,0)</f>
        <v>#N/A</v>
      </c>
      <c r="W152" s="33" t="e">
        <f>VLOOKUP(A152,'Données projet'!$A$61:$I$81,9,0)</f>
        <v>#N/A</v>
      </c>
      <c r="X152" s="33">
        <f t="array" ref="X152">INDEX(W:W,MIN(IF(ISNUMBER(W152:W348),ROW(W152:W348),"")))</f>
        <v>0</v>
      </c>
      <c r="Y152" s="33">
        <f t="shared" si="108"/>
        <v>0</v>
      </c>
      <c r="Z152" s="34" t="e">
        <f>Y152*VLOOKUP('Données projet'!$B$10,Paramètres!$A$1:$I$88,3,0)*VLOOKUP('Données projet'!$B$10,Paramètres!$A$1:$I$88,5,0)</f>
        <v>#N/A</v>
      </c>
      <c r="AA152" s="34" t="e">
        <f t="shared" si="109"/>
        <v>#N/A</v>
      </c>
      <c r="AB152" s="44" t="e">
        <f t="shared" si="86"/>
        <v>#N/A</v>
      </c>
      <c r="AC152" s="36">
        <f>IF(ISNA(VLOOKUP(A152,'Données projet'!$A$61:$I$81,3,0)),0,VLOOKUP(A152,'Données projet'!$A$61:$I$81,3,0))</f>
        <v>0</v>
      </c>
      <c r="AD152" s="36">
        <f>IF(ISNA(VLOOKUP(A152,'Données projet'!$A$61:$I$81,4,0)),0,VLOOKUP(A152,'Données projet'!$A$61:$I$81,4,0))</f>
        <v>0</v>
      </c>
      <c r="AE152" s="37">
        <f>IF(ISNA(VLOOKUP(A152,'Données projet'!$A$61:$I$81,5,0)),0%,VLOOKUP(A152,'Données projet'!$A$61:$I$81,5,0)*VLOOKUP('Données projet'!$B$10,Paramètres!$A$1:$I$88,7,0))</f>
        <v>0</v>
      </c>
      <c r="AF152" s="37">
        <f>IF(ISNA(VLOOKUP(A152,'Données projet'!$A$61:$I$81,6,0)),0%,VLOOKUP(A152,'Données projet'!$A$61:$I$81,6,0)*VLOOKUP('Données projet'!$B$10,Paramètres!$A$1:$I$88,7,0))</f>
        <v>0</v>
      </c>
      <c r="AG152" s="37">
        <f>IF(ISNA(VLOOKUP(A152,'Données projet'!$A$61:$I$81,7,0)),0%,VLOOKUP(A152,'Données projet'!$A$61:$I$81,7,0))</f>
        <v>0</v>
      </c>
      <c r="AH152" s="45">
        <f>EXP(-LN(2)/35)*AH151+(1-EXP(-LN(2)/35))/(LN(2)/35)*AD152*AE152*VLOOKUP('Données projet'!$B$9,Paramètres!$A$1:$I$88,3,0)*0.475*44/12</f>
        <v>0</v>
      </c>
      <c r="AI152" s="45">
        <f>EXP(-LN(2)/25)*AI151+(1-EXP(-LN(2)/25))/(LN(2)/25)*Calculateur!AD152*Calculateur!AF152*VLOOKUP('Données projet'!$B$9,Paramètres!$A$1:$I$88,3,0)*0.475*44/12</f>
        <v>0</v>
      </c>
      <c r="AJ152" s="45">
        <f>EXP(-LN(2)/2)*AJ151+(1-EXP(-LN(2)/2))/(LN(2)/2)*AD152*AG152*VLOOKUP('Données projet'!$B$9,Paramètres!$A$1:$I$88,3,0)*0.475*44/12</f>
        <v>0</v>
      </c>
      <c r="AK152" s="45">
        <f t="shared" si="87"/>
        <v>0</v>
      </c>
      <c r="AL152" s="32" t="e">
        <f>VLOOKUP(A152,'Données projet'!$A$87:$I$107,2,0)</f>
        <v>#N/A</v>
      </c>
      <c r="AM152" s="33" t="e">
        <f>VLOOKUP(A152,'Données projet'!$A$87:$I$107,9,0)</f>
        <v>#N/A</v>
      </c>
      <c r="AN152" s="33">
        <f t="array" ref="AN152">INDEX(AM:AM,MIN(IF(ISNUMBER(AM152:AM348),ROW(AM152:AM348),"")))</f>
        <v>0</v>
      </c>
      <c r="AO152" s="33">
        <f t="shared" si="110"/>
        <v>0</v>
      </c>
      <c r="AP152" s="34" t="e">
        <f>AO152*VLOOKUP('Données projet'!$B$11,Paramètres!$A$1:$I$88,3,0)*VLOOKUP('Données projet'!$B$11,Paramètres!$A$1:$I$88,5,0)</f>
        <v>#N/A</v>
      </c>
      <c r="AQ152" s="34" t="e">
        <f t="shared" si="111"/>
        <v>#N/A</v>
      </c>
      <c r="AR152" s="44" t="e">
        <f t="shared" si="88"/>
        <v>#N/A</v>
      </c>
      <c r="AS152" s="36">
        <f>IF(ISNA(VLOOKUP(A152,'Données projet'!$A$87:$I$107,3,0)),0,VLOOKUP(A152,'Données projet'!$A$87:$I$107,3,0))</f>
        <v>0</v>
      </c>
      <c r="AT152" s="36">
        <f>IF(ISNA(VLOOKUP(A152,'Données projet'!$A$87:$I$107,4,0)),0,VLOOKUP(A152,'Données projet'!$A$87:$I$107,4,0))</f>
        <v>0</v>
      </c>
      <c r="AU152" s="37">
        <f>IF(ISNA(VLOOKUP(A152,'Données projet'!$A$87:$I$107,5,0)),0%,VLOOKUP(A152,'Données projet'!$A$87:$I$107,5,0)*VLOOKUP('Données projet'!$B$11,Paramètres!$A$1:$I$88,7,0))</f>
        <v>0</v>
      </c>
      <c r="AV152" s="37">
        <f>IF(ISNA(VLOOKUP(A152,'Données projet'!$A$87:$I$107,6,0)),0%,VLOOKUP(A152,'Données projet'!$A$87:$I$107,6,0)*VLOOKUP('Données projet'!$B$11,Paramètres!$A$1:$I$88,7,0))</f>
        <v>0</v>
      </c>
      <c r="AW152" s="37">
        <f>IF(ISNA(VLOOKUP(A152,'Données projet'!$A$87:$I$107,7,0)),0%,VLOOKUP(A152,'Données projet'!$A$87:$I$107,7,0))</f>
        <v>0</v>
      </c>
      <c r="AX152" s="45">
        <f>EXP(-LN(2)/35)*AX151+(1-EXP(-LN(2)/35))/(LN(2)/35)*AT152*AU152*VLOOKUP('Données projet'!$B$9,Paramètres!$A$1:$I$88,3,0)*0.475*44/12</f>
        <v>0</v>
      </c>
      <c r="AY152" s="45">
        <f>EXP(-LN(2)/25)*AY151+(1-EXP(-LN(2)/25))/(LN(2)/25)*Calculateur!AT152*Calculateur!AV152*VLOOKUP('Données projet'!$B$9,Paramètres!$A$1:$I$88,3,0)*0.475*44/12</f>
        <v>0</v>
      </c>
      <c r="AZ152" s="45">
        <f>EXP(-LN(2)/2)*AZ151+(1-EXP(-LN(2)/2))/(LN(2)/2)*AT152*AW152*VLOOKUP('Données projet'!$B$9,Paramètres!$A$1:$I$88,3,0)*0.475*44/12</f>
        <v>0</v>
      </c>
      <c r="BA152" s="46">
        <f t="shared" si="89"/>
        <v>0</v>
      </c>
      <c r="BB152" s="32" t="e">
        <f>VLOOKUP(A152,'Données projet'!$A$113:$I$133,2,0)</f>
        <v>#N/A</v>
      </c>
      <c r="BC152" s="33" t="e">
        <f>VLOOKUP(A152,'Données projet'!$A$113:$I$133,9,0)</f>
        <v>#N/A</v>
      </c>
      <c r="BD152" s="33">
        <f t="array" ref="BD152">INDEX(BC:BC,MIN(IF(ISNUMBER(BC152:BC348),ROW(BC152:BC348),"")))</f>
        <v>0</v>
      </c>
      <c r="BE152" s="33">
        <f t="shared" si="112"/>
        <v>0</v>
      </c>
      <c r="BF152" s="34" t="e">
        <f>BE152*VLOOKUP('Données projet'!$B$12,Paramètres!$A$1:$I$88,3,0)*VLOOKUP('Données projet'!$B$12,Paramètres!$A$1:$I$88,5,0)</f>
        <v>#N/A</v>
      </c>
      <c r="BG152" s="34" t="e">
        <f t="shared" si="113"/>
        <v>#N/A</v>
      </c>
      <c r="BH152" s="44" t="e">
        <f t="shared" si="90"/>
        <v>#N/A</v>
      </c>
      <c r="BI152" s="36">
        <f>IF(ISNA(VLOOKUP(A152,'Données projet'!$A$113:$I$133,3,0)),0,VLOOKUP(A152,'Données projet'!$A$113:$I$133,3,0))</f>
        <v>0</v>
      </c>
      <c r="BJ152" s="36">
        <f>IF(ISNA(VLOOKUP(A152,'Données projet'!$A$113:$I$133,4,0)),0,VLOOKUP(A152,'Données projet'!$A$113:$I$133,4,0))</f>
        <v>0</v>
      </c>
      <c r="BK152" s="37">
        <f>IF(ISNA(VLOOKUP(A152,'Données projet'!$A$113:$I$133,5,0)),0%,VLOOKUP(A152,'Données projet'!$A$113:$I$133,5,0)*VLOOKUP('Données projet'!$B$12,Paramètres!$A$1:$I$88,7,0))</f>
        <v>0</v>
      </c>
      <c r="BL152" s="37">
        <f>IF(ISNA(VLOOKUP(A152,'Données projet'!$A$113:$I$133,6,0)),0%,VLOOKUP(A152,'Données projet'!$A$113:$I$133,6,0)*VLOOKUP('Données projet'!$B$12,Paramètres!$A$1:$I$88,7,0))</f>
        <v>0</v>
      </c>
      <c r="BM152" s="37">
        <f>IF(ISNA(VLOOKUP(A152,'Données projet'!$A$113:$I$133,7,0)),0%,VLOOKUP(A152,'Données projet'!$A$113:$I$133,7,0))</f>
        <v>0</v>
      </c>
      <c r="BN152" s="45">
        <f>EXP(-LN(2)/35)*BN151+(1-EXP(-LN(2)/35))/(LN(2)/35)*BJ152*BK152*VLOOKUP('Données projet'!$B$9,Paramètres!$A$1:$I$88,3,0)*0.475*44/12</f>
        <v>0</v>
      </c>
      <c r="BO152" s="45">
        <f>EXP(-LN(2)/25)*BO151+(1-EXP(-LN(2)/25))/(LN(2)/25)*Calculateur!BJ152*Calculateur!BL152*VLOOKUP('Données projet'!$B$9,Paramètres!$A$1:$I$88,3,0)*0.475*44/12</f>
        <v>0</v>
      </c>
      <c r="BP152" s="45">
        <f>EXP(-LN(2)/2)*BP151+(1-EXP(-LN(2)/2))/(LN(2)/2)*BJ152*BM152*VLOOKUP('Données projet'!$B$9,Paramètres!$A$1:$I$88,3,0)*0.475*44/12</f>
        <v>0</v>
      </c>
      <c r="BQ152" s="46">
        <f t="shared" si="91"/>
        <v>0</v>
      </c>
      <c r="BR152" s="32" t="e">
        <f>VLOOKUP(A152,'Données projet'!$A$139:$I$159,2,0)</f>
        <v>#N/A</v>
      </c>
      <c r="BS152" s="33" t="e">
        <f>VLOOKUP(A152,'Données projet'!$A$139:$I$159,9,0)</f>
        <v>#N/A</v>
      </c>
      <c r="BT152" s="33">
        <f t="array" ref="BT152">INDEX(BS:BS,MIN(IF(ISNUMBER(BS152:BS348),ROW(BS152:BS348),"")))</f>
        <v>0</v>
      </c>
      <c r="BU152" s="33">
        <f t="shared" si="114"/>
        <v>0</v>
      </c>
      <c r="BV152" s="38" t="e">
        <f>BU152*VLOOKUP('Données projet'!$B$13,Paramètres!$A$1:$I$88,3,0)*VLOOKUP('Données projet'!$B$13,Paramètres!$A$1:$I$88,5,0)</f>
        <v>#N/A</v>
      </c>
      <c r="BW152" s="34" t="e">
        <f t="shared" si="115"/>
        <v>#N/A</v>
      </c>
      <c r="BX152" s="44" t="e">
        <f t="shared" si="92"/>
        <v>#N/A</v>
      </c>
      <c r="BY152" s="36">
        <f>IF(ISNA(VLOOKUP(A152,'Données projet'!$A$139:$I$159,3,0)),0,VLOOKUP(A152,'Données projet'!$A$139:$I$159,3,0))</f>
        <v>0</v>
      </c>
      <c r="BZ152" s="36">
        <f>IF(ISNA(VLOOKUP(A152,'Données projet'!$A$139:$I$159,4,0)),0,VLOOKUP(A152,'Données projet'!$A$139:$I$159,4,0))</f>
        <v>0</v>
      </c>
      <c r="CA152" s="37">
        <f>IF(ISNA(VLOOKUP(A152,'Données projet'!$A$139:$I$159,5,0)),0%,VLOOKUP(A152,'Données projet'!$A$139:$I$159,5,0)*VLOOKUP('Données projet'!$B$13,Paramètres!$A$1:$I$88,7,0))</f>
        <v>0</v>
      </c>
      <c r="CB152" s="37">
        <f>IF(ISNA(VLOOKUP(A152,'Données projet'!$A$139:$I$159,6,0)),0%,VLOOKUP(A152,'Données projet'!$A$139:$I$159,6,0)*VLOOKUP('Données projet'!$B$13,Paramètres!$A$1:$I$88,7,0))</f>
        <v>0</v>
      </c>
      <c r="CC152" s="37">
        <f>IF(ISNA(VLOOKUP(A152,'Données projet'!$A$139:$I$159,7,0)),0%,VLOOKUP(A152,'Données projet'!$A$139:$I$159,7,0))</f>
        <v>0</v>
      </c>
      <c r="CD152" s="45">
        <f>EXP(-LN(2)/35)*CD151+(1-EXP(-LN(2)/35))/(LN(2)/35)*BZ152*CA152*VLOOKUP('Données projet'!$B$9,Paramètres!$A$1:$I$88,3,0)*0.475*44/12</f>
        <v>0</v>
      </c>
      <c r="CE152" s="45">
        <f>EXP(-LN(2)/25)*CE151+(1-EXP(-LN(2)/25))/(LN(2)/25)*Calculateur!BZ152*Calculateur!CB152*VLOOKUP('Données projet'!$B$9,Paramètres!$A$1:$I$88,3,0)*0.475*44/12</f>
        <v>0</v>
      </c>
      <c r="CF152" s="45">
        <f>EXP(-LN(2)/2)*CF151+(1-EXP(-LN(2)/2))/(LN(2)/2)*BZ152*CC152*VLOOKUP('Données projet'!$B$9,Paramètres!$A$1:$I$88,3,0)*0.475*44/12</f>
        <v>0</v>
      </c>
      <c r="CG152" s="46">
        <f t="shared" si="93"/>
        <v>0</v>
      </c>
      <c r="CH152" s="32" t="e">
        <f>VLOOKUP(A152,'Données projet'!$A$165:$I$185,2,0)</f>
        <v>#N/A</v>
      </c>
      <c r="CI152" s="33" t="e">
        <f>VLOOKUP(A152,'Données projet'!$A$165:$I$185,9,0)</f>
        <v>#N/A</v>
      </c>
      <c r="CJ152" s="33">
        <f t="array" ref="CJ152">INDEX(CI:CI,MIN(IF(ISNUMBER(CI152:CI348),ROW(CI152:CI348),"")))</f>
        <v>0</v>
      </c>
      <c r="CK152" s="33">
        <f t="shared" si="116"/>
        <v>0</v>
      </c>
      <c r="CL152" s="38" t="e">
        <f>CK152*VLOOKUP('Données projet'!$B$14,Paramètres!$A$1:$I$88,3,0)*VLOOKUP('Données projet'!$B$14,Paramètres!$A$1:$I$88,5,0)</f>
        <v>#N/A</v>
      </c>
      <c r="CM152" s="34" t="e">
        <f t="shared" si="117"/>
        <v>#N/A</v>
      </c>
      <c r="CN152" s="44" t="e">
        <f t="shared" si="94"/>
        <v>#N/A</v>
      </c>
      <c r="CO152" s="36">
        <f>IF(ISNA(VLOOKUP(A152,'Données projet'!$A$165:$I$185,3,0)),0,VLOOKUP(A152,'Données projet'!$A$165:$I$185,3,0))</f>
        <v>0</v>
      </c>
      <c r="CP152" s="36">
        <f>IF(ISNA(VLOOKUP(A152,'Données projet'!$A$165:$I$185,4,0)),0,VLOOKUP(A152,'Données projet'!$A$165:$I$185,4,0))</f>
        <v>0</v>
      </c>
      <c r="CQ152" s="37">
        <f>IF(ISNA(VLOOKUP(A152,'Données projet'!$A$165:$I$185,5,0)),0%,VLOOKUP(A152,'Données projet'!$A$165:$I$185,5,0)*VLOOKUP('Données projet'!$B$14,Paramètres!$A$1:$I$88,7,0))</f>
        <v>0</v>
      </c>
      <c r="CR152" s="37">
        <f>IF(ISNA(VLOOKUP(A152,'Données projet'!$A$165:$I$185,6,0)),0%,VLOOKUP(A152,'Données projet'!$A$165:$I$185,6,0)*VLOOKUP('Données projet'!$B$14,Paramètres!$A$1:$I$88,7,0))</f>
        <v>0</v>
      </c>
      <c r="CS152" s="37">
        <f>IF(ISNA(VLOOKUP(A152,'Données projet'!$A$165:$I$185,7,0)),0%,VLOOKUP(A152,'Données projet'!$A$165:$I$185,7,0))</f>
        <v>0</v>
      </c>
      <c r="CT152" s="45">
        <f>EXP(-LN(2)/35)*CT151+(1-EXP(-LN(2)/35))/(LN(2)/35)*CP152*CQ152*VLOOKUP('Données projet'!$B$9,Paramètres!$A$1:$I$88,3,0)*0.475*44/12</f>
        <v>0</v>
      </c>
      <c r="CU152" s="45">
        <f>EXP(-LN(2)/25)*CU151+(1-EXP(-LN(2)/25))/(LN(2)/25)*Calculateur!CP152*Calculateur!CR152*VLOOKUP('Données projet'!$B$9,Paramètres!$A$1:$I$88,3,0)*0.475*44/12</f>
        <v>0</v>
      </c>
      <c r="CV152" s="45">
        <f>EXP(-LN(2)/2)*CV151+(1-EXP(-LN(2)/2))/(LN(2)/2)*CP152*CS152*VLOOKUP('Données projet'!$B$9,Paramètres!$A$1:$I$88,3,0)*0.475*44/12</f>
        <v>0</v>
      </c>
      <c r="CW152" s="46">
        <f t="shared" si="95"/>
        <v>0</v>
      </c>
      <c r="CX152" s="32" t="e">
        <f>VLOOKUP(A152,'Données projet'!$A$191:$I$211,2,0)</f>
        <v>#N/A</v>
      </c>
      <c r="CY152" s="33" t="e">
        <f>VLOOKUP(A152,'Données projet'!$A$191:$I$211,9,0)</f>
        <v>#N/A</v>
      </c>
      <c r="CZ152" s="33">
        <f t="array" ref="CZ152">INDEX(CY:CY,MIN(IF(ISNUMBER(CY152:CY348),ROW(CY152:CY348),"")))</f>
        <v>0</v>
      </c>
      <c r="DA152" s="33">
        <f t="shared" si="118"/>
        <v>0</v>
      </c>
      <c r="DB152" s="38" t="e">
        <f>DA152*VLOOKUP('Données projet'!$B$15,Paramètres!$A$1:$I$88,3,0)*VLOOKUP('Données projet'!$B$15,Paramètres!$A$1:$I$88,5,0)</f>
        <v>#N/A</v>
      </c>
      <c r="DC152" s="34" t="e">
        <f t="shared" si="119"/>
        <v>#N/A</v>
      </c>
      <c r="DD152" s="44" t="e">
        <f t="shared" si="96"/>
        <v>#N/A</v>
      </c>
      <c r="DE152" s="36">
        <f>IF(ISNA(VLOOKUP(A152,'Données projet'!$A$191:$I$211,3,0)),0,VLOOKUP(A152,'Données projet'!$A$191:$I$211,3,0))</f>
        <v>0</v>
      </c>
      <c r="DF152" s="36">
        <f>IF(ISNA(VLOOKUP(A152,'Données projet'!$A$191:$I$211,4,0)),0,VLOOKUP(A152,'Données projet'!$A$191:$I$211,4,0))</f>
        <v>0</v>
      </c>
      <c r="DG152" s="37">
        <f>IF(ISNA(VLOOKUP(A152,'Données projet'!$A$191:$I$211,5,0)),0%,VLOOKUP(A152,'Données projet'!$A$191:$I$211,5,0)*VLOOKUP('Données projet'!$B$15,Paramètres!$A$1:$I$88,7,0))</f>
        <v>0</v>
      </c>
      <c r="DH152" s="37">
        <f>IF(ISNA(VLOOKUP(A152,'Données projet'!$A$191:$I$211,6,0)),0%,VLOOKUP(A152,'Données projet'!$A$191:$I$211,6,0)*VLOOKUP('Données projet'!$B$15,Paramètres!$A$1:$I$88,7,0))</f>
        <v>0</v>
      </c>
      <c r="DI152" s="37">
        <f>IF(ISNA(VLOOKUP(A152,'Données projet'!$A$191:$I$211,7,0)),0%,VLOOKUP(A152,'Données projet'!$A$191:$I$211,7,0))</f>
        <v>0</v>
      </c>
      <c r="DJ152" s="45">
        <f>EXP(-LN(2)/35)*DJ151+(1-EXP(-LN(2)/35))/(LN(2)/35)*DF152*DG152*VLOOKUP('Données projet'!$B$9,Paramètres!$A$1:$I$88,3,0)*0.475*44/12</f>
        <v>0</v>
      </c>
      <c r="DK152" s="45">
        <f>EXP(-LN(2)/25)*DK151+(1-EXP(-LN(2)/25))/(LN(2)/25)*Calculateur!DF152*Calculateur!DH152*VLOOKUP('Données projet'!$B$9,Paramètres!$A$1:$I$88,3,0)*0.475*44/12</f>
        <v>0</v>
      </c>
      <c r="DL152" s="45">
        <f>EXP(-LN(2)/2)*DL151+(1-EXP(-LN(2)/2))/(LN(2)/2)*DF152*DI152*VLOOKUP('Données projet'!$B$9,Paramètres!$A$1:$I$88,3,0)*0.475*44/12</f>
        <v>0</v>
      </c>
      <c r="DM152" s="46">
        <f t="shared" si="97"/>
        <v>0</v>
      </c>
      <c r="DN152" s="32" t="e">
        <f>VLOOKUP(A152,'Données projet'!$A$217:$I$237,2,0)</f>
        <v>#N/A</v>
      </c>
      <c r="DO152" s="33" t="e">
        <f>VLOOKUP(A152,'Données projet'!$A$217:$I$237,9,0)</f>
        <v>#N/A</v>
      </c>
      <c r="DP152" s="33">
        <f t="array" ref="DP152">INDEX(DO:DO,MIN(IF(ISNUMBER(DO152:DO348),ROW(DO152:DO348),"")))</f>
        <v>0</v>
      </c>
      <c r="DQ152" s="33">
        <f t="shared" si="120"/>
        <v>0</v>
      </c>
      <c r="DR152" s="38" t="e">
        <f>DQ152*VLOOKUP('Données projet'!$B$16,Paramètres!$A$1:$I$88,3,0)*VLOOKUP('Données projet'!$B$16,Paramètres!$A$1:$I$88,5,0)</f>
        <v>#N/A</v>
      </c>
      <c r="DS152" s="34" t="e">
        <f t="shared" si="121"/>
        <v>#N/A</v>
      </c>
      <c r="DT152" s="44" t="e">
        <f t="shared" si="98"/>
        <v>#N/A</v>
      </c>
      <c r="DU152" s="36">
        <f>IF(ISNA(VLOOKUP(A152,'Données projet'!$A$217:$I$237,3,0)),0,VLOOKUP(A152,'Données projet'!$A$217:$I$237,3,0))</f>
        <v>0</v>
      </c>
      <c r="DV152" s="36">
        <f>IF(ISNA(VLOOKUP(A152,'Données projet'!$A$217:$I$237,4,0)),0,VLOOKUP(A152,'Données projet'!$A$217:$I$237,4,0))</f>
        <v>0</v>
      </c>
      <c r="DW152" s="37">
        <f>IF(ISNA(VLOOKUP(A152,'Données projet'!$A$217:$I$237,5,0)),0%,VLOOKUP(A152,'Données projet'!$A$217:$I$237,5,0)*VLOOKUP('Données projet'!$B$16,Paramètres!$A$1:$I$88,7,0))</f>
        <v>0</v>
      </c>
      <c r="DX152" s="37">
        <f>IF(ISNA(VLOOKUP(A152,'Données projet'!$A$217:$I$237,6,0)),0%,VLOOKUP(A152,'Données projet'!$A$217:$I$237,6,0)*VLOOKUP('Données projet'!$B$16,Paramètres!$A$1:$I$88,7,0))</f>
        <v>0</v>
      </c>
      <c r="DY152" s="37">
        <f>IF(ISNA(VLOOKUP(A152,'Données projet'!$A$217:$I$237,7,0)),0%,VLOOKUP(A152,'Données projet'!$A$217:$I$237,7,0))</f>
        <v>0</v>
      </c>
      <c r="DZ152" s="45">
        <f>EXP(-LN(2)/35)*DZ151+(1-EXP(-LN(2)/35))/(LN(2)/35)*DV152*DW152*VLOOKUP('Données projet'!$B$9,Paramètres!$A$1:$I$88,3,0)*0.475*44/12</f>
        <v>0</v>
      </c>
      <c r="EA152" s="45">
        <f>EXP(-LN(2)/25)*EA151+(1-EXP(-LN(2)/25))/(LN(2)/25)*Calculateur!DV152*Calculateur!DX152*VLOOKUP('Données projet'!$B$9,Paramètres!$A$1:$I$88,3,0)*0.475*44/12</f>
        <v>0</v>
      </c>
      <c r="EB152" s="45">
        <f>EXP(-LN(2)/2)*EB151+(1-EXP(-LN(2)/2))/(LN(2)/2)*DV152*DY152*VLOOKUP('Données projet'!$B$9,Paramètres!$A$1:$I$88,3,0)*0.475*44/12</f>
        <v>0</v>
      </c>
      <c r="EC152" s="46">
        <f t="shared" si="99"/>
        <v>0</v>
      </c>
      <c r="ED152" s="32" t="e">
        <f>VLOOKUP(A152,'Données projet'!$A$243:$I$263,2,0)</f>
        <v>#N/A</v>
      </c>
      <c r="EE152" s="33" t="e">
        <f>VLOOKUP(A152,'Données projet'!$A$243:$I$263,9,0)</f>
        <v>#N/A</v>
      </c>
      <c r="EF152" s="33">
        <f t="array" ref="EF152">INDEX(EE:EE,MIN(IF(ISNUMBER(EE152:EE348),ROW(EE152:EE348),"")))</f>
        <v>0</v>
      </c>
      <c r="EG152" s="33">
        <f t="shared" si="122"/>
        <v>0</v>
      </c>
      <c r="EH152" s="38" t="e">
        <f>EG152*VLOOKUP('Données projet'!$B$17,Paramètres!$A$1:$I$88,3,0)*VLOOKUP('Données projet'!$B$17,Paramètres!$A$1:$I$88,5,0)</f>
        <v>#N/A</v>
      </c>
      <c r="EI152" s="34" t="e">
        <f t="shared" si="123"/>
        <v>#N/A</v>
      </c>
      <c r="EJ152" s="44" t="e">
        <f t="shared" si="100"/>
        <v>#N/A</v>
      </c>
      <c r="EK152" s="36">
        <f>IF(ISNA(VLOOKUP(A152,'Données projet'!$A$243:$I$263,3,0)),0,VLOOKUP(A152,'Données projet'!$A$243:$I$263,3,0))</f>
        <v>0</v>
      </c>
      <c r="EL152" s="36">
        <f>IF(ISNA(VLOOKUP(A152,'Données projet'!$A$243:$I$263,4,0)),0,VLOOKUP(A152,'Données projet'!$A$243:$I$263,4,0))</f>
        <v>0</v>
      </c>
      <c r="EM152" s="37">
        <f>IF(ISNA(VLOOKUP(A152,'Données projet'!$A$243:$I$263,5,0)),0%,VLOOKUP(A152,'Données projet'!$A$243:$I$263,5,0)*VLOOKUP('Données projet'!$B$17,Paramètres!$A$1:$I$88,7,0))</f>
        <v>0</v>
      </c>
      <c r="EN152" s="37">
        <f>IF(ISNA(VLOOKUP(A152,'Données projet'!$A$243:$I$263,6,0)),0%,VLOOKUP(A152,'Données projet'!$A$243:$I$263,6,0)*VLOOKUP('Données projet'!$B$17,Paramètres!$A$1:$I$88,7,0))</f>
        <v>0</v>
      </c>
      <c r="EO152" s="37">
        <f>IF(ISNA(VLOOKUP(A152,'Données projet'!$A$243:$I$263,7,0)),0%,VLOOKUP(A152,'Données projet'!$A$243:$I$263,7,0))</f>
        <v>0</v>
      </c>
      <c r="EP152" s="45">
        <f>EXP(-LN(2)/35)*EP151+(1-EXP(-LN(2)/35))/(LN(2)/35)*EL152*EM152*VLOOKUP('Données projet'!$B$9,Paramètres!$A$1:$I$88,3,0)*0.475*44/12</f>
        <v>0</v>
      </c>
      <c r="EQ152" s="45">
        <f>EXP(-LN(2)/25)*EQ151+(1-EXP(-LN(2)/25))/(LN(2)/25)*Calculateur!EL152*Calculateur!EN152*VLOOKUP('Données projet'!$B$9,Paramètres!$A$1:$I$88,3,0)*0.475*44/12</f>
        <v>0</v>
      </c>
      <c r="ER152" s="45">
        <f>EXP(-LN(2)/2)*ER151+(1-EXP(-LN(2)/2))/(LN(2)/2)*EL152*EO152*VLOOKUP('Données projet'!$B$9,Paramètres!$A$1:$I$88,3,0)*0.475*44/12</f>
        <v>0</v>
      </c>
      <c r="ES152" s="46">
        <f t="shared" si="101"/>
        <v>0</v>
      </c>
      <c r="ET152" s="32" t="e">
        <f>VLOOKUP(A152,'Données projet'!$A$269:$I$289,2,0)</f>
        <v>#N/A</v>
      </c>
      <c r="EU152" s="33" t="e">
        <f>VLOOKUP(A152,'Données projet'!$A$269:$I$289,9,0)</f>
        <v>#N/A</v>
      </c>
      <c r="EV152" s="33">
        <f t="array" ref="EV152">INDEX(EU:EU,MIN(IF(ISNUMBER(EU152:EU348),ROW(EU152:EU348),"")))</f>
        <v>0</v>
      </c>
      <c r="EW152" s="33">
        <f t="shared" si="124"/>
        <v>0</v>
      </c>
      <c r="EX152" s="38" t="e">
        <f>EW152*VLOOKUP('Données projet'!$B$18,Paramètres!$A$1:$I$88,3,0)*VLOOKUP('Données projet'!$B$18,Paramètres!$A$1:$I$88,5,0)</f>
        <v>#N/A</v>
      </c>
      <c r="EY152" s="34" t="e">
        <f t="shared" si="125"/>
        <v>#N/A</v>
      </c>
      <c r="EZ152" s="44" t="e">
        <f t="shared" si="102"/>
        <v>#N/A</v>
      </c>
      <c r="FA152" s="36">
        <f>IF(ISNA(VLOOKUP(A152,'Données projet'!$A$269:$I$289,3,0)),0,VLOOKUP(A152,'Données projet'!$A$269:$I$289,3,0))</f>
        <v>0</v>
      </c>
      <c r="FB152" s="36">
        <f>IF(ISNA(VLOOKUP(A152,'Données projet'!$A$269:$I$289,4,0)),0,VLOOKUP(A152,'Données projet'!$A$269:$I$289,4,0))</f>
        <v>0</v>
      </c>
      <c r="FC152" s="37">
        <f>IF(ISNA(VLOOKUP(A152,'Données projet'!$A$269:$I$289,5,0)),0%,VLOOKUP(A152,'Données projet'!$A$269:$I$289,5,0)*VLOOKUP('Données projet'!$B$18,Paramètres!$A$1:$I$88,7,0))</f>
        <v>0</v>
      </c>
      <c r="FD152" s="37">
        <f>IF(ISNA(VLOOKUP(A152,'Données projet'!$A$269:$I$289,6,0)),0%,VLOOKUP(A152,'Données projet'!$A$269:$I$289,6,0)*VLOOKUP('Données projet'!$B$18,Paramètres!$A$1:$I$88,7,0))</f>
        <v>0</v>
      </c>
      <c r="FE152" s="37">
        <f>IF(ISNA(VLOOKUP(A152,'Données projet'!$A$269:$I$289,7,0)),0%,VLOOKUP(A152,'Données projet'!$A$269:$I$289,7,0))</f>
        <v>0</v>
      </c>
      <c r="FF152" s="45">
        <f>EXP(-LN(2)/35)*FF151+(1-EXP(-LN(2)/35))/(LN(2)/35)*FB152*FC152*VLOOKUP('Données projet'!$B$9,Paramètres!$A$1:$I$88,3,0)*0.475*44/12</f>
        <v>0</v>
      </c>
      <c r="FG152" s="45">
        <f>EXP(-LN(2)/25)*FG151+(1-EXP(-LN(2)/25))/(LN(2)/25)*Calculateur!FB152*Calculateur!FD152*VLOOKUP('Données projet'!$B$9,Paramètres!$A$1:$I$88,3,0)*0.475*44/12</f>
        <v>0</v>
      </c>
      <c r="FH152" s="45">
        <f>EXP(-LN(2)/2)*FH151+(1-EXP(-LN(2)/2))/(LN(2)/2)*FB152*FE152*VLOOKUP('Données projet'!$B$9,Paramètres!$A$1:$I$88,3,0)*0.475*44/12</f>
        <v>0</v>
      </c>
      <c r="FI152" s="46">
        <f t="shared" si="103"/>
        <v>0</v>
      </c>
    </row>
    <row r="153" spans="1:165" x14ac:dyDescent="0.25">
      <c r="A153" s="24">
        <f>A152+1</f>
        <v>150</v>
      </c>
      <c r="B153" s="25">
        <f>IF('Scénario référence'!$N$1=1,5,0)</f>
        <v>0</v>
      </c>
      <c r="C153" s="40">
        <f>IF(OR('Scénario référence'!$N$1=2,'Scénario référence'!$N$1=4),C152+1*VLOOKUP('Scénario référence'!$G$14,Paramètres!$A$1:$I$88,3,0)*VLOOKUP('Scénario référence'!$G$14,Paramètres!$A$1:$I$88,5,0),IF(OR('Scénario référence'!$N$1=3,'Scénario référence'!$N$1=5),C152+0.5*VLOOKUP('Scénario référence'!$G$14,Paramètres!$A$1:$I$88,3,0)*VLOOKUP('Scénario référence'!$G$14,Paramètres!$A$1:$I$88,5,0),0))</f>
        <v>81.900000000000148</v>
      </c>
      <c r="D153" s="26">
        <f t="shared" si="105"/>
        <v>22.601107473346371</v>
      </c>
      <c r="E153" s="27">
        <f>IF('Scénario référence'!$N$1=1,B153*44/12,(C153+D153)*0.475*44/12)</f>
        <v>182.00609551607852</v>
      </c>
      <c r="F153" s="28">
        <f>VLOOKUP(A153,'Données projet'!$A$35:$I$55,2,0)</f>
        <v>306</v>
      </c>
      <c r="G153" s="28">
        <f>VLOOKUP(A153,'Données projet'!$A$35:$I$55,9,0)</f>
        <v>2.2000000000000002</v>
      </c>
      <c r="H153" s="33">
        <f t="array" ref="H153">INDEX(G:G,MIN(IF(ISNUMBER(G153:G349),ROW(G153:G349),"")))</f>
        <v>2.2000000000000002</v>
      </c>
      <c r="I153" s="28">
        <f t="shared" si="106"/>
        <v>305.99999999999949</v>
      </c>
      <c r="J153" s="41">
        <f>I153*VLOOKUP('Données projet'!$B$9,Paramètres!$A$1:$I$88,3,0)*VLOOKUP('Données projet'!$B$9,Paramètres!$A$1:$I$88,5,0)</f>
        <v>310.28399999999948</v>
      </c>
      <c r="K153" s="41">
        <f t="shared" si="107"/>
        <v>73.328137514010024</v>
      </c>
      <c r="L153" s="42">
        <f t="shared" si="84"/>
        <v>668.12447283689983</v>
      </c>
      <c r="M153" s="30">
        <f>IF(ISNA(VLOOKUP(A153,'Données projet'!$A$35:$I$55,3,0)),0,VLOOKUP(A153,'Données projet'!$A$35:$I$55,3,0))</f>
        <v>13</v>
      </c>
      <c r="N153" s="30">
        <f>IF(ISNA(VLOOKUP(A153,'Données projet'!$A$35:$I$55,4,0)),0,VLOOKUP(A153,'Données projet'!$A$35:$I$55,4,0))</f>
        <v>306</v>
      </c>
      <c r="O153" s="31">
        <f>IF(ISNA(VLOOKUP(A153,'Données projet'!$A$35:$I$55,5,0)),0%,VLOOKUP(A153,'Données projet'!$A$35:$I$55,5,0)*VLOOKUP('Données projet'!$B$9,Paramètres!$A$1:$I$88,7,0))</f>
        <v>0</v>
      </c>
      <c r="P153" s="31">
        <f>IF(ISNA(VLOOKUP(A153,'Données projet'!$A$35:$I$55,6,0)),0%,VLOOKUP(A153,'Données projet'!$A$35:$I$55,6,0)*VLOOKUP('Données projet'!$B$9,Paramètres!$A$1:$I$88,7,0))</f>
        <v>0</v>
      </c>
      <c r="Q153" s="31">
        <f>IF(ISNA(VLOOKUP(A153,'Données projet'!$A$35:$I$55,7,0)),0%,VLOOKUP(A153,'Données projet'!$A$35:$I$55,7,0))</f>
        <v>0</v>
      </c>
      <c r="R153" s="43">
        <f>EXP(-LN(2)/35)*R152+(1-EXP(-LN(2)/35))/(LN(2)/35)*N153*O153*VLOOKUP('Données projet'!$B$9,Paramètres!$A$1:$I$88,3,0)*0.475*44/12</f>
        <v>0</v>
      </c>
      <c r="S153" s="43">
        <f>EXP(-LN(2)/25)*S152+(1-EXP(-LN(2)/25))/(LN(2)/25)*Calculateur!N153*Calculateur!P153*VLOOKUP('Données projet'!$B$9,Paramètres!$A$1:$I$88,3,0)*0.475*44/12</f>
        <v>0</v>
      </c>
      <c r="T153" s="43">
        <f>EXP(-LN(2)/2)*T152+(1-EXP(-LN(2)/2))/(LN(2)/2)*N153*Q153*VLOOKUP('Données projet'!$B$9,Paramètres!$A$1:$I$88,3,0)*0.475*44/12</f>
        <v>0</v>
      </c>
      <c r="U153" s="43">
        <f t="shared" si="85"/>
        <v>0</v>
      </c>
      <c r="V153" s="32" t="e">
        <f>VLOOKUP(A153,'Données projet'!$A$61:$I$81,2,0)</f>
        <v>#N/A</v>
      </c>
      <c r="W153" s="33" t="e">
        <f>VLOOKUP(A153,'Données projet'!$A$61:$I$81,9,0)</f>
        <v>#N/A</v>
      </c>
      <c r="X153" s="33">
        <f t="array" ref="X153">INDEX(W:W,MIN(IF(ISNUMBER(W153:W349),ROW(W153:W349),"")))</f>
        <v>0</v>
      </c>
      <c r="Y153" s="33">
        <f t="shared" si="108"/>
        <v>0</v>
      </c>
      <c r="Z153" s="34" t="e">
        <f>Y153*VLOOKUP('Données projet'!$B$10,Paramètres!$A$1:$I$88,3,0)*VLOOKUP('Données projet'!$B$10,Paramètres!$A$1:$I$88,5,0)</f>
        <v>#N/A</v>
      </c>
      <c r="AA153" s="34" t="e">
        <f t="shared" si="109"/>
        <v>#N/A</v>
      </c>
      <c r="AB153" s="44" t="e">
        <f t="shared" si="86"/>
        <v>#N/A</v>
      </c>
      <c r="AC153" s="36">
        <f>IF(ISNA(VLOOKUP(A153,'Données projet'!$A$61:$I$81,3,0)),0,VLOOKUP(A153,'Données projet'!$A$61:$I$81,3,0))</f>
        <v>0</v>
      </c>
      <c r="AD153" s="36">
        <f>IF(ISNA(VLOOKUP(A153,'Données projet'!$A$61:$I$81,4,0)),0,VLOOKUP(A153,'Données projet'!$A$61:$I$81,4,0))</f>
        <v>0</v>
      </c>
      <c r="AE153" s="37">
        <f>IF(ISNA(VLOOKUP(A153,'Données projet'!$A$61:$I$81,5,0)),0%,VLOOKUP(A153,'Données projet'!$A$61:$I$81,5,0)*VLOOKUP('Données projet'!$B$10,Paramètres!$A$1:$I$88,7,0))</f>
        <v>0</v>
      </c>
      <c r="AF153" s="37">
        <f>IF(ISNA(VLOOKUP(A153,'Données projet'!$A$61:$I$81,6,0)),0%,VLOOKUP(A153,'Données projet'!$A$61:$I$81,6,0)*VLOOKUP('Données projet'!$B$10,Paramètres!$A$1:$I$88,7,0))</f>
        <v>0</v>
      </c>
      <c r="AG153" s="37">
        <f>IF(ISNA(VLOOKUP(A153,'Données projet'!$A$61:$I$81,7,0)),0%,VLOOKUP(A153,'Données projet'!$A$61:$I$81,7,0))</f>
        <v>0</v>
      </c>
      <c r="AH153" s="45">
        <f>EXP(-LN(2)/35)*AH152+(1-EXP(-LN(2)/35))/(LN(2)/35)*AD153*AE153*VLOOKUP('Données projet'!$B$9,Paramètres!$A$1:$I$88,3,0)*0.475*44/12</f>
        <v>0</v>
      </c>
      <c r="AI153" s="45">
        <f>EXP(-LN(2)/25)*AI152+(1-EXP(-LN(2)/25))/(LN(2)/25)*Calculateur!AD153*Calculateur!AF153*VLOOKUP('Données projet'!$B$9,Paramètres!$A$1:$I$88,3,0)*0.475*44/12</f>
        <v>0</v>
      </c>
      <c r="AJ153" s="45">
        <f>EXP(-LN(2)/2)*AJ152+(1-EXP(-LN(2)/2))/(LN(2)/2)*AD153*AG153*VLOOKUP('Données projet'!$B$9,Paramètres!$A$1:$I$88,3,0)*0.475*44/12</f>
        <v>0</v>
      </c>
      <c r="AK153" s="45">
        <f t="shared" si="87"/>
        <v>0</v>
      </c>
      <c r="AL153" s="32" t="e">
        <f>VLOOKUP(A153,'Données projet'!$A$87:$I$107,2,0)</f>
        <v>#N/A</v>
      </c>
      <c r="AM153" s="33" t="e">
        <f>VLOOKUP(A153,'Données projet'!$A$87:$I$107,9,0)</f>
        <v>#N/A</v>
      </c>
      <c r="AN153" s="33">
        <f t="array" ref="AN153">INDEX(AM:AM,MIN(IF(ISNUMBER(AM153:AM349),ROW(AM153:AM349),"")))</f>
        <v>0</v>
      </c>
      <c r="AO153" s="33">
        <f t="shared" si="110"/>
        <v>0</v>
      </c>
      <c r="AP153" s="34" t="e">
        <f>AO153*VLOOKUP('Données projet'!$B$11,Paramètres!$A$1:$I$88,3,0)*VLOOKUP('Données projet'!$B$11,Paramètres!$A$1:$I$88,5,0)</f>
        <v>#N/A</v>
      </c>
      <c r="AQ153" s="34" t="e">
        <f t="shared" si="111"/>
        <v>#N/A</v>
      </c>
      <c r="AR153" s="44" t="e">
        <f t="shared" si="88"/>
        <v>#N/A</v>
      </c>
      <c r="AS153" s="36">
        <f>IF(ISNA(VLOOKUP(A153,'Données projet'!$A$87:$I$107,3,0)),0,VLOOKUP(A153,'Données projet'!$A$87:$I$107,3,0))</f>
        <v>0</v>
      </c>
      <c r="AT153" s="36">
        <f>IF(ISNA(VLOOKUP(A153,'Données projet'!$A$87:$I$107,4,0)),0,VLOOKUP(A153,'Données projet'!$A$87:$I$107,4,0))</f>
        <v>0</v>
      </c>
      <c r="AU153" s="37">
        <f>IF(ISNA(VLOOKUP(A153,'Données projet'!$A$87:$I$107,5,0)),0%,VLOOKUP(A153,'Données projet'!$A$87:$I$107,5,0)*VLOOKUP('Données projet'!$B$11,Paramètres!$A$1:$I$88,7,0))</f>
        <v>0</v>
      </c>
      <c r="AV153" s="37">
        <f>IF(ISNA(VLOOKUP(A153,'Données projet'!$A$87:$I$107,6,0)),0%,VLOOKUP(A153,'Données projet'!$A$87:$I$107,6,0)*VLOOKUP('Données projet'!$B$11,Paramètres!$A$1:$I$88,7,0))</f>
        <v>0</v>
      </c>
      <c r="AW153" s="37">
        <f>IF(ISNA(VLOOKUP(A153,'Données projet'!$A$87:$I$107,7,0)),0%,VLOOKUP(A153,'Données projet'!$A$87:$I$107,7,0))</f>
        <v>0</v>
      </c>
      <c r="AX153" s="45">
        <f>EXP(-LN(2)/35)*AX152+(1-EXP(-LN(2)/35))/(LN(2)/35)*AT153*AU153*VLOOKUP('Données projet'!$B$9,Paramètres!$A$1:$I$88,3,0)*0.475*44/12</f>
        <v>0</v>
      </c>
      <c r="AY153" s="45">
        <f>EXP(-LN(2)/25)*AY152+(1-EXP(-LN(2)/25))/(LN(2)/25)*Calculateur!AT153*Calculateur!AV153*VLOOKUP('Données projet'!$B$9,Paramètres!$A$1:$I$88,3,0)*0.475*44/12</f>
        <v>0</v>
      </c>
      <c r="AZ153" s="45">
        <f>EXP(-LN(2)/2)*AZ152+(1-EXP(-LN(2)/2))/(LN(2)/2)*AT153*AW153*VLOOKUP('Données projet'!$B$9,Paramètres!$A$1:$I$88,3,0)*0.475*44/12</f>
        <v>0</v>
      </c>
      <c r="BA153" s="46">
        <f t="shared" si="89"/>
        <v>0</v>
      </c>
      <c r="BB153" s="32" t="e">
        <f>VLOOKUP(A153,'Données projet'!$A$113:$I$133,2,0)</f>
        <v>#N/A</v>
      </c>
      <c r="BC153" s="33" t="e">
        <f>VLOOKUP(A153,'Données projet'!$A$113:$I$133,9,0)</f>
        <v>#N/A</v>
      </c>
      <c r="BD153" s="33">
        <f t="array" ref="BD153">INDEX(BC:BC,MIN(IF(ISNUMBER(BC153:BC349),ROW(BC153:BC349),"")))</f>
        <v>0</v>
      </c>
      <c r="BE153" s="33">
        <f t="shared" si="112"/>
        <v>0</v>
      </c>
      <c r="BF153" s="34" t="e">
        <f>BE153*VLOOKUP('Données projet'!$B$12,Paramètres!$A$1:$I$88,3,0)*VLOOKUP('Données projet'!$B$12,Paramètres!$A$1:$I$88,5,0)</f>
        <v>#N/A</v>
      </c>
      <c r="BG153" s="34" t="e">
        <f t="shared" si="113"/>
        <v>#N/A</v>
      </c>
      <c r="BH153" s="44" t="e">
        <f t="shared" si="90"/>
        <v>#N/A</v>
      </c>
      <c r="BI153" s="36">
        <f>IF(ISNA(VLOOKUP(A153,'Données projet'!$A$113:$I$133,3,0)),0,VLOOKUP(A153,'Données projet'!$A$113:$I$133,3,0))</f>
        <v>0</v>
      </c>
      <c r="BJ153" s="36">
        <f>IF(ISNA(VLOOKUP(A153,'Données projet'!$A$113:$I$133,4,0)),0,VLOOKUP(A153,'Données projet'!$A$113:$I$133,4,0))</f>
        <v>0</v>
      </c>
      <c r="BK153" s="37">
        <f>IF(ISNA(VLOOKUP(A153,'Données projet'!$A$113:$I$133,5,0)),0%,VLOOKUP(A153,'Données projet'!$A$113:$I$133,5,0)*VLOOKUP('Données projet'!$B$12,Paramètres!$A$1:$I$88,7,0))</f>
        <v>0</v>
      </c>
      <c r="BL153" s="37">
        <f>IF(ISNA(VLOOKUP(A153,'Données projet'!$A$113:$I$133,6,0)),0%,VLOOKUP(A153,'Données projet'!$A$113:$I$133,6,0)*VLOOKUP('Données projet'!$B$12,Paramètres!$A$1:$I$88,7,0))</f>
        <v>0</v>
      </c>
      <c r="BM153" s="37">
        <f>IF(ISNA(VLOOKUP(A153,'Données projet'!$A$113:$I$133,7,0)),0%,VLOOKUP(A153,'Données projet'!$A$113:$I$133,7,0))</f>
        <v>0</v>
      </c>
      <c r="BN153" s="45">
        <f>EXP(-LN(2)/35)*BN152+(1-EXP(-LN(2)/35))/(LN(2)/35)*BJ153*BK153*VLOOKUP('Données projet'!$B$9,Paramètres!$A$1:$I$88,3,0)*0.475*44/12</f>
        <v>0</v>
      </c>
      <c r="BO153" s="45">
        <f>EXP(-LN(2)/25)*BO152+(1-EXP(-LN(2)/25))/(LN(2)/25)*Calculateur!BJ153*Calculateur!BL153*VLOOKUP('Données projet'!$B$9,Paramètres!$A$1:$I$88,3,0)*0.475*44/12</f>
        <v>0</v>
      </c>
      <c r="BP153" s="45">
        <f>EXP(-LN(2)/2)*BP152+(1-EXP(-LN(2)/2))/(LN(2)/2)*BJ153*BM153*VLOOKUP('Données projet'!$B$9,Paramètres!$A$1:$I$88,3,0)*0.475*44/12</f>
        <v>0</v>
      </c>
      <c r="BQ153" s="46">
        <f t="shared" si="91"/>
        <v>0</v>
      </c>
      <c r="BR153" s="32" t="e">
        <f>VLOOKUP(A153,'Données projet'!$A$139:$I$159,2,0)</f>
        <v>#N/A</v>
      </c>
      <c r="BS153" s="33" t="e">
        <f>VLOOKUP(A153,'Données projet'!$A$139:$I$159,9,0)</f>
        <v>#N/A</v>
      </c>
      <c r="BT153" s="33">
        <f t="array" ref="BT153">INDEX(BS:BS,MIN(IF(ISNUMBER(BS153:BS349),ROW(BS153:BS349),"")))</f>
        <v>0</v>
      </c>
      <c r="BU153" s="33">
        <f t="shared" si="114"/>
        <v>0</v>
      </c>
      <c r="BV153" s="38" t="e">
        <f>BU153*VLOOKUP('Données projet'!$B$13,Paramètres!$A$1:$I$88,3,0)*VLOOKUP('Données projet'!$B$13,Paramètres!$A$1:$I$88,5,0)</f>
        <v>#N/A</v>
      </c>
      <c r="BW153" s="34" t="e">
        <f t="shared" si="115"/>
        <v>#N/A</v>
      </c>
      <c r="BX153" s="44" t="e">
        <f t="shared" si="92"/>
        <v>#N/A</v>
      </c>
      <c r="BY153" s="36">
        <f>IF(ISNA(VLOOKUP(A153,'Données projet'!$A$139:$I$159,3,0)),0,VLOOKUP(A153,'Données projet'!$A$139:$I$159,3,0))</f>
        <v>0</v>
      </c>
      <c r="BZ153" s="36">
        <f>IF(ISNA(VLOOKUP(A153,'Données projet'!$A$139:$I$159,4,0)),0,VLOOKUP(A153,'Données projet'!$A$139:$I$159,4,0))</f>
        <v>0</v>
      </c>
      <c r="CA153" s="37">
        <f>IF(ISNA(VLOOKUP(A153,'Données projet'!$A$139:$I$159,5,0)),0%,VLOOKUP(A153,'Données projet'!$A$139:$I$159,5,0)*VLOOKUP('Données projet'!$B$13,Paramètres!$A$1:$I$88,7,0))</f>
        <v>0</v>
      </c>
      <c r="CB153" s="37">
        <f>IF(ISNA(VLOOKUP(A153,'Données projet'!$A$139:$I$159,6,0)),0%,VLOOKUP(A153,'Données projet'!$A$139:$I$159,6,0)*VLOOKUP('Données projet'!$B$13,Paramètres!$A$1:$I$88,7,0))</f>
        <v>0</v>
      </c>
      <c r="CC153" s="37">
        <f>IF(ISNA(VLOOKUP(A153,'Données projet'!$A$139:$I$159,7,0)),0%,VLOOKUP(A153,'Données projet'!$A$139:$I$159,7,0))</f>
        <v>0</v>
      </c>
      <c r="CD153" s="45">
        <f>EXP(-LN(2)/35)*CD152+(1-EXP(-LN(2)/35))/(LN(2)/35)*BZ153*CA153*VLOOKUP('Données projet'!$B$9,Paramètres!$A$1:$I$88,3,0)*0.475*44/12</f>
        <v>0</v>
      </c>
      <c r="CE153" s="45">
        <f>EXP(-LN(2)/25)*CE152+(1-EXP(-LN(2)/25))/(LN(2)/25)*Calculateur!BZ153*Calculateur!CB153*VLOOKUP('Données projet'!$B$9,Paramètres!$A$1:$I$88,3,0)*0.475*44/12</f>
        <v>0</v>
      </c>
      <c r="CF153" s="45">
        <f>EXP(-LN(2)/2)*CF152+(1-EXP(-LN(2)/2))/(LN(2)/2)*BZ153*CC153*VLOOKUP('Données projet'!$B$9,Paramètres!$A$1:$I$88,3,0)*0.475*44/12</f>
        <v>0</v>
      </c>
      <c r="CG153" s="46">
        <f t="shared" si="93"/>
        <v>0</v>
      </c>
      <c r="CH153" s="32" t="e">
        <f>VLOOKUP(A153,'Données projet'!$A$165:$I$185,2,0)</f>
        <v>#N/A</v>
      </c>
      <c r="CI153" s="33" t="e">
        <f>VLOOKUP(A153,'Données projet'!$A$165:$I$185,9,0)</f>
        <v>#N/A</v>
      </c>
      <c r="CJ153" s="33">
        <f t="array" ref="CJ153">INDEX(CI:CI,MIN(IF(ISNUMBER(CI153:CI349),ROW(CI153:CI349),"")))</f>
        <v>0</v>
      </c>
      <c r="CK153" s="33">
        <f t="shared" si="116"/>
        <v>0</v>
      </c>
      <c r="CL153" s="38" t="e">
        <f>CK153*VLOOKUP('Données projet'!$B$14,Paramètres!$A$1:$I$88,3,0)*VLOOKUP('Données projet'!$B$14,Paramètres!$A$1:$I$88,5,0)</f>
        <v>#N/A</v>
      </c>
      <c r="CM153" s="34" t="e">
        <f t="shared" si="117"/>
        <v>#N/A</v>
      </c>
      <c r="CN153" s="44" t="e">
        <f t="shared" si="94"/>
        <v>#N/A</v>
      </c>
      <c r="CO153" s="36">
        <f>IF(ISNA(VLOOKUP(A153,'Données projet'!$A$165:$I$185,3,0)),0,VLOOKUP(A153,'Données projet'!$A$165:$I$185,3,0))</f>
        <v>0</v>
      </c>
      <c r="CP153" s="36">
        <f>IF(ISNA(VLOOKUP(A153,'Données projet'!$A$165:$I$185,4,0)),0,VLOOKUP(A153,'Données projet'!$A$165:$I$185,4,0))</f>
        <v>0</v>
      </c>
      <c r="CQ153" s="37">
        <f>IF(ISNA(VLOOKUP(A153,'Données projet'!$A$165:$I$185,5,0)),0%,VLOOKUP(A153,'Données projet'!$A$165:$I$185,5,0)*VLOOKUP('Données projet'!$B$14,Paramètres!$A$1:$I$88,7,0))</f>
        <v>0</v>
      </c>
      <c r="CR153" s="37">
        <f>IF(ISNA(VLOOKUP(A153,'Données projet'!$A$165:$I$185,6,0)),0%,VLOOKUP(A153,'Données projet'!$A$165:$I$185,6,0)*VLOOKUP('Données projet'!$B$14,Paramètres!$A$1:$I$88,7,0))</f>
        <v>0</v>
      </c>
      <c r="CS153" s="37">
        <f>IF(ISNA(VLOOKUP(A153,'Données projet'!$A$165:$I$185,7,0)),0%,VLOOKUP(A153,'Données projet'!$A$165:$I$185,7,0))</f>
        <v>0</v>
      </c>
      <c r="CT153" s="45">
        <f>EXP(-LN(2)/35)*CT152+(1-EXP(-LN(2)/35))/(LN(2)/35)*CP153*CQ153*VLOOKUP('Données projet'!$B$9,Paramètres!$A$1:$I$88,3,0)*0.475*44/12</f>
        <v>0</v>
      </c>
      <c r="CU153" s="45">
        <f>EXP(-LN(2)/25)*CU152+(1-EXP(-LN(2)/25))/(LN(2)/25)*Calculateur!CP153*Calculateur!CR153*VLOOKUP('Données projet'!$B$9,Paramètres!$A$1:$I$88,3,0)*0.475*44/12</f>
        <v>0</v>
      </c>
      <c r="CV153" s="45">
        <f>EXP(-LN(2)/2)*CV152+(1-EXP(-LN(2)/2))/(LN(2)/2)*CP153*CS153*VLOOKUP('Données projet'!$B$9,Paramètres!$A$1:$I$88,3,0)*0.475*44/12</f>
        <v>0</v>
      </c>
      <c r="CW153" s="46">
        <f t="shared" si="95"/>
        <v>0</v>
      </c>
      <c r="CX153" s="32" t="e">
        <f>VLOOKUP(A153,'Données projet'!$A$191:$I$211,2,0)</f>
        <v>#N/A</v>
      </c>
      <c r="CY153" s="33" t="e">
        <f>VLOOKUP(A153,'Données projet'!$A$191:$I$211,9,0)</f>
        <v>#N/A</v>
      </c>
      <c r="CZ153" s="33">
        <f t="array" ref="CZ153">INDEX(CY:CY,MIN(IF(ISNUMBER(CY153:CY349),ROW(CY153:CY349),"")))</f>
        <v>0</v>
      </c>
      <c r="DA153" s="33">
        <f t="shared" si="118"/>
        <v>0</v>
      </c>
      <c r="DB153" s="38" t="e">
        <f>DA153*VLOOKUP('Données projet'!$B$15,Paramètres!$A$1:$I$88,3,0)*VLOOKUP('Données projet'!$B$15,Paramètres!$A$1:$I$88,5,0)</f>
        <v>#N/A</v>
      </c>
      <c r="DC153" s="34" t="e">
        <f t="shared" si="119"/>
        <v>#N/A</v>
      </c>
      <c r="DD153" s="44" t="e">
        <f t="shared" si="96"/>
        <v>#N/A</v>
      </c>
      <c r="DE153" s="36">
        <f>IF(ISNA(VLOOKUP(A153,'Données projet'!$A$191:$I$211,3,0)),0,VLOOKUP(A153,'Données projet'!$A$191:$I$211,3,0))</f>
        <v>0</v>
      </c>
      <c r="DF153" s="36">
        <f>IF(ISNA(VLOOKUP(A153,'Données projet'!$A$191:$I$211,4,0)),0,VLOOKUP(A153,'Données projet'!$A$191:$I$211,4,0))</f>
        <v>0</v>
      </c>
      <c r="DG153" s="37">
        <f>IF(ISNA(VLOOKUP(A153,'Données projet'!$A$191:$I$211,5,0)),0%,VLOOKUP(A153,'Données projet'!$A$191:$I$211,5,0)*VLOOKUP('Données projet'!$B$15,Paramètres!$A$1:$I$88,7,0))</f>
        <v>0</v>
      </c>
      <c r="DH153" s="37">
        <f>IF(ISNA(VLOOKUP(A153,'Données projet'!$A$191:$I$211,6,0)),0%,VLOOKUP(A153,'Données projet'!$A$191:$I$211,6,0)*VLOOKUP('Données projet'!$B$15,Paramètres!$A$1:$I$88,7,0))</f>
        <v>0</v>
      </c>
      <c r="DI153" s="37">
        <f>IF(ISNA(VLOOKUP(A153,'Données projet'!$A$191:$I$211,7,0)),0%,VLOOKUP(A153,'Données projet'!$A$191:$I$211,7,0))</f>
        <v>0</v>
      </c>
      <c r="DJ153" s="45">
        <f>EXP(-LN(2)/35)*DJ152+(1-EXP(-LN(2)/35))/(LN(2)/35)*DF153*DG153*VLOOKUP('Données projet'!$B$9,Paramètres!$A$1:$I$88,3,0)*0.475*44/12</f>
        <v>0</v>
      </c>
      <c r="DK153" s="45">
        <f>EXP(-LN(2)/25)*DK152+(1-EXP(-LN(2)/25))/(LN(2)/25)*Calculateur!DF153*Calculateur!DH153*VLOOKUP('Données projet'!$B$9,Paramètres!$A$1:$I$88,3,0)*0.475*44/12</f>
        <v>0</v>
      </c>
      <c r="DL153" s="45">
        <f>EXP(-LN(2)/2)*DL152+(1-EXP(-LN(2)/2))/(LN(2)/2)*DF153*DI153*VLOOKUP('Données projet'!$B$9,Paramètres!$A$1:$I$88,3,0)*0.475*44/12</f>
        <v>0</v>
      </c>
      <c r="DM153" s="46">
        <f t="shared" si="97"/>
        <v>0</v>
      </c>
      <c r="DN153" s="32" t="e">
        <f>VLOOKUP(A153,'Données projet'!$A$217:$I$237,2,0)</f>
        <v>#N/A</v>
      </c>
      <c r="DO153" s="33" t="e">
        <f>VLOOKUP(A153,'Données projet'!$A$217:$I$237,9,0)</f>
        <v>#N/A</v>
      </c>
      <c r="DP153" s="33">
        <f t="array" ref="DP153">INDEX(DO:DO,MIN(IF(ISNUMBER(DO153:DO349),ROW(DO153:DO349),"")))</f>
        <v>0</v>
      </c>
      <c r="DQ153" s="33">
        <f t="shared" si="120"/>
        <v>0</v>
      </c>
      <c r="DR153" s="38" t="e">
        <f>DQ153*VLOOKUP('Données projet'!$B$16,Paramètres!$A$1:$I$88,3,0)*VLOOKUP('Données projet'!$B$16,Paramètres!$A$1:$I$88,5,0)</f>
        <v>#N/A</v>
      </c>
      <c r="DS153" s="34" t="e">
        <f t="shared" si="121"/>
        <v>#N/A</v>
      </c>
      <c r="DT153" s="44" t="e">
        <f t="shared" si="98"/>
        <v>#N/A</v>
      </c>
      <c r="DU153" s="36">
        <f>IF(ISNA(VLOOKUP(A153,'Données projet'!$A$217:$I$237,3,0)),0,VLOOKUP(A153,'Données projet'!$A$217:$I$237,3,0))</f>
        <v>0</v>
      </c>
      <c r="DV153" s="36">
        <f>IF(ISNA(VLOOKUP(A153,'Données projet'!$A$217:$I$237,4,0)),0,VLOOKUP(A153,'Données projet'!$A$217:$I$237,4,0))</f>
        <v>0</v>
      </c>
      <c r="DW153" s="37">
        <f>IF(ISNA(VLOOKUP(A153,'Données projet'!$A$217:$I$237,5,0)),0%,VLOOKUP(A153,'Données projet'!$A$217:$I$237,5,0)*VLOOKUP('Données projet'!$B$16,Paramètres!$A$1:$I$88,7,0))</f>
        <v>0</v>
      </c>
      <c r="DX153" s="37">
        <f>IF(ISNA(VLOOKUP(A153,'Données projet'!$A$217:$I$237,6,0)),0%,VLOOKUP(A153,'Données projet'!$A$217:$I$237,6,0)*VLOOKUP('Données projet'!$B$16,Paramètres!$A$1:$I$88,7,0))</f>
        <v>0</v>
      </c>
      <c r="DY153" s="37">
        <f>IF(ISNA(VLOOKUP(A153,'Données projet'!$A$217:$I$237,7,0)),0%,VLOOKUP(A153,'Données projet'!$A$217:$I$237,7,0))</f>
        <v>0</v>
      </c>
      <c r="DZ153" s="45">
        <f>EXP(-LN(2)/35)*DZ152+(1-EXP(-LN(2)/35))/(LN(2)/35)*DV153*DW153*VLOOKUP('Données projet'!$B$9,Paramètres!$A$1:$I$88,3,0)*0.475*44/12</f>
        <v>0</v>
      </c>
      <c r="EA153" s="45">
        <f>EXP(-LN(2)/25)*EA152+(1-EXP(-LN(2)/25))/(LN(2)/25)*Calculateur!DV153*Calculateur!DX153*VLOOKUP('Données projet'!$B$9,Paramètres!$A$1:$I$88,3,0)*0.475*44/12</f>
        <v>0</v>
      </c>
      <c r="EB153" s="45">
        <f>EXP(-LN(2)/2)*EB152+(1-EXP(-LN(2)/2))/(LN(2)/2)*DV153*DY153*VLOOKUP('Données projet'!$B$9,Paramètres!$A$1:$I$88,3,0)*0.475*44/12</f>
        <v>0</v>
      </c>
      <c r="EC153" s="46">
        <f t="shared" si="99"/>
        <v>0</v>
      </c>
      <c r="ED153" s="32" t="e">
        <f>VLOOKUP(A153,'Données projet'!$A$243:$I$263,2,0)</f>
        <v>#N/A</v>
      </c>
      <c r="EE153" s="33" t="e">
        <f>VLOOKUP(A153,'Données projet'!$A$243:$I$263,9,0)</f>
        <v>#N/A</v>
      </c>
      <c r="EF153" s="33">
        <f t="array" ref="EF153">INDEX(EE:EE,MIN(IF(ISNUMBER(EE153:EE349),ROW(EE153:EE349),"")))</f>
        <v>0</v>
      </c>
      <c r="EG153" s="33">
        <f t="shared" si="122"/>
        <v>0</v>
      </c>
      <c r="EH153" s="38" t="e">
        <f>EG153*VLOOKUP('Données projet'!$B$17,Paramètres!$A$1:$I$88,3,0)*VLOOKUP('Données projet'!$B$17,Paramètres!$A$1:$I$88,5,0)</f>
        <v>#N/A</v>
      </c>
      <c r="EI153" s="34" t="e">
        <f t="shared" si="123"/>
        <v>#N/A</v>
      </c>
      <c r="EJ153" s="44" t="e">
        <f t="shared" si="100"/>
        <v>#N/A</v>
      </c>
      <c r="EK153" s="36">
        <f>IF(ISNA(VLOOKUP(A153,'Données projet'!$A$243:$I$263,3,0)),0,VLOOKUP(A153,'Données projet'!$A$243:$I$263,3,0))</f>
        <v>0</v>
      </c>
      <c r="EL153" s="36">
        <f>IF(ISNA(VLOOKUP(A153,'Données projet'!$A$243:$I$263,4,0)),0,VLOOKUP(A153,'Données projet'!$A$243:$I$263,4,0))</f>
        <v>0</v>
      </c>
      <c r="EM153" s="37">
        <f>IF(ISNA(VLOOKUP(A153,'Données projet'!$A$243:$I$263,5,0)),0%,VLOOKUP(A153,'Données projet'!$A$243:$I$263,5,0)*VLOOKUP('Données projet'!$B$17,Paramètres!$A$1:$I$88,7,0))</f>
        <v>0</v>
      </c>
      <c r="EN153" s="37">
        <f>IF(ISNA(VLOOKUP(A153,'Données projet'!$A$243:$I$263,6,0)),0%,VLOOKUP(A153,'Données projet'!$A$243:$I$263,6,0)*VLOOKUP('Données projet'!$B$17,Paramètres!$A$1:$I$88,7,0))</f>
        <v>0</v>
      </c>
      <c r="EO153" s="37">
        <f>IF(ISNA(VLOOKUP(A153,'Données projet'!$A$243:$I$263,7,0)),0%,VLOOKUP(A153,'Données projet'!$A$243:$I$263,7,0))</f>
        <v>0</v>
      </c>
      <c r="EP153" s="45">
        <f>EXP(-LN(2)/35)*EP152+(1-EXP(-LN(2)/35))/(LN(2)/35)*EL153*EM153*VLOOKUP('Données projet'!$B$9,Paramètres!$A$1:$I$88,3,0)*0.475*44/12</f>
        <v>0</v>
      </c>
      <c r="EQ153" s="45">
        <f>EXP(-LN(2)/25)*EQ152+(1-EXP(-LN(2)/25))/(LN(2)/25)*Calculateur!EL153*Calculateur!EN153*VLOOKUP('Données projet'!$B$9,Paramètres!$A$1:$I$88,3,0)*0.475*44/12</f>
        <v>0</v>
      </c>
      <c r="ER153" s="45">
        <f>EXP(-LN(2)/2)*ER152+(1-EXP(-LN(2)/2))/(LN(2)/2)*EL153*EO153*VLOOKUP('Données projet'!$B$9,Paramètres!$A$1:$I$88,3,0)*0.475*44/12</f>
        <v>0</v>
      </c>
      <c r="ES153" s="46">
        <f t="shared" si="101"/>
        <v>0</v>
      </c>
      <c r="ET153" s="32" t="e">
        <f>VLOOKUP(A153,'Données projet'!$A$269:$I$289,2,0)</f>
        <v>#N/A</v>
      </c>
      <c r="EU153" s="33" t="e">
        <f>VLOOKUP(A153,'Données projet'!$A$269:$I$289,9,0)</f>
        <v>#N/A</v>
      </c>
      <c r="EV153" s="33">
        <f t="array" ref="EV153">INDEX(EU:EU,MIN(IF(ISNUMBER(EU153:EU349),ROW(EU153:EU349),"")))</f>
        <v>0</v>
      </c>
      <c r="EW153" s="33">
        <f t="shared" si="124"/>
        <v>0</v>
      </c>
      <c r="EX153" s="38" t="e">
        <f>EW153*VLOOKUP('Données projet'!$B$18,Paramètres!$A$1:$I$88,3,0)*VLOOKUP('Données projet'!$B$18,Paramètres!$A$1:$I$88,5,0)</f>
        <v>#N/A</v>
      </c>
      <c r="EY153" s="34" t="e">
        <f t="shared" si="125"/>
        <v>#N/A</v>
      </c>
      <c r="EZ153" s="44" t="e">
        <f t="shared" si="102"/>
        <v>#N/A</v>
      </c>
      <c r="FA153" s="36">
        <f>IF(ISNA(VLOOKUP(A153,'Données projet'!$A$269:$I$289,3,0)),0,VLOOKUP(A153,'Données projet'!$A$269:$I$289,3,0))</f>
        <v>0</v>
      </c>
      <c r="FB153" s="36">
        <f>IF(ISNA(VLOOKUP(A153,'Données projet'!$A$269:$I$289,4,0)),0,VLOOKUP(A153,'Données projet'!$A$269:$I$289,4,0))</f>
        <v>0</v>
      </c>
      <c r="FC153" s="37">
        <f>IF(ISNA(VLOOKUP(A153,'Données projet'!$A$269:$I$289,5,0)),0%,VLOOKUP(A153,'Données projet'!$A$269:$I$289,5,0)*VLOOKUP('Données projet'!$B$18,Paramètres!$A$1:$I$88,7,0))</f>
        <v>0</v>
      </c>
      <c r="FD153" s="37">
        <f>IF(ISNA(VLOOKUP(A153,'Données projet'!$A$269:$I$289,6,0)),0%,VLOOKUP(A153,'Données projet'!$A$269:$I$289,6,0)*VLOOKUP('Données projet'!$B$18,Paramètres!$A$1:$I$88,7,0))</f>
        <v>0</v>
      </c>
      <c r="FE153" s="37">
        <f>IF(ISNA(VLOOKUP(A153,'Données projet'!$A$269:$I$289,7,0)),0%,VLOOKUP(A153,'Données projet'!$A$269:$I$289,7,0))</f>
        <v>0</v>
      </c>
      <c r="FF153" s="45">
        <f>EXP(-LN(2)/35)*FF152+(1-EXP(-LN(2)/35))/(LN(2)/35)*FB153*FC153*VLOOKUP('Données projet'!$B$9,Paramètres!$A$1:$I$88,3,0)*0.475*44/12</f>
        <v>0</v>
      </c>
      <c r="FG153" s="45">
        <f>EXP(-LN(2)/25)*FG152+(1-EXP(-LN(2)/25))/(LN(2)/25)*Calculateur!FB153*Calculateur!FD153*VLOOKUP('Données projet'!$B$9,Paramètres!$A$1:$I$88,3,0)*0.475*44/12</f>
        <v>0</v>
      </c>
      <c r="FH153" s="45">
        <f>EXP(-LN(2)/2)*FH152+(1-EXP(-LN(2)/2))/(LN(2)/2)*FB153*FE153*VLOOKUP('Données projet'!$B$9,Paramètres!$A$1:$I$88,3,0)*0.475*44/12</f>
        <v>0</v>
      </c>
      <c r="FI153" s="46">
        <f t="shared" si="103"/>
        <v>0</v>
      </c>
    </row>
  </sheetData>
  <sheetProtection algorithmName="SHA-512" hashValue="CwLEyHEZiyEEulbVmo2D8rTCQqhan/38WflO8eEA4rC1/g+Rs9JilKlgIkL13gyzmS7TskzV1ZDSceujf8ZJ3g==" saltValue="YZhn2UhsFku98pR1lj02sQ==" spinCount="100000" sheet="1" objects="1" scenarios="1"/>
  <mergeCells count="11">
    <mergeCell ref="F1:U1"/>
    <mergeCell ref="B1:E1"/>
    <mergeCell ref="V1:AK1"/>
    <mergeCell ref="AL1:BA1"/>
    <mergeCell ref="BB1:BQ1"/>
    <mergeCell ref="ET1:FI1"/>
    <mergeCell ref="BR1:CG1"/>
    <mergeCell ref="CH1:CW1"/>
    <mergeCell ref="CX1:DM1"/>
    <mergeCell ref="DN1:EC1"/>
    <mergeCell ref="ED1:E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I7" sqref="I7"/>
    </sheetView>
  </sheetViews>
  <sheetFormatPr baseColWidth="10" defaultRowHeight="15" x14ac:dyDescent="0.25"/>
  <cols>
    <col min="1" max="1" width="23.42578125" style="15" bestFit="1" customWidth="1"/>
    <col min="2" max="2" width="27.7109375" style="15" bestFit="1" customWidth="1"/>
    <col min="3" max="3" width="11.85546875" style="15" bestFit="1" customWidth="1"/>
    <col min="4" max="4" width="40" style="15" bestFit="1" customWidth="1"/>
    <col min="5" max="5" width="11.85546875" style="15" bestFit="1" customWidth="1"/>
    <col min="6" max="6" width="13.7109375" style="15" bestFit="1" customWidth="1"/>
    <col min="7" max="7" width="11.42578125" style="15" bestFit="1" customWidth="1"/>
    <col min="8" max="8" width="39" style="15" bestFit="1" customWidth="1"/>
    <col min="9" max="9" width="16.7109375" style="15" customWidth="1"/>
    <col min="10" max="14" width="11.42578125" style="15"/>
    <col min="15" max="15" width="23.42578125" style="15" bestFit="1" customWidth="1"/>
    <col min="16" max="16384" width="11.42578125" style="15"/>
  </cols>
  <sheetData>
    <row r="1" spans="1:16" ht="45.75" thickBot="1" x14ac:dyDescent="0.3">
      <c r="A1" s="215" t="s">
        <v>0</v>
      </c>
      <c r="B1" s="216" t="s">
        <v>106</v>
      </c>
      <c r="C1" s="217" t="s">
        <v>144</v>
      </c>
      <c r="D1" s="216" t="s">
        <v>100</v>
      </c>
      <c r="E1" s="217" t="s">
        <v>145</v>
      </c>
      <c r="F1" s="217" t="s">
        <v>100</v>
      </c>
      <c r="G1" s="217" t="s">
        <v>146</v>
      </c>
      <c r="H1" s="217" t="s">
        <v>100</v>
      </c>
      <c r="I1" s="218" t="s">
        <v>147</v>
      </c>
      <c r="J1" s="99"/>
      <c r="K1" s="99"/>
      <c r="L1" s="99"/>
      <c r="M1" s="99"/>
      <c r="N1" s="99"/>
    </row>
    <row r="2" spans="1:16" x14ac:dyDescent="0.25">
      <c r="A2" s="219" t="s">
        <v>1</v>
      </c>
      <c r="B2" s="220" t="s">
        <v>53</v>
      </c>
      <c r="C2" s="221">
        <v>0.62</v>
      </c>
      <c r="D2" s="221" t="s">
        <v>161</v>
      </c>
      <c r="E2" s="221">
        <v>1.56</v>
      </c>
      <c r="F2" s="221" t="s">
        <v>287</v>
      </c>
      <c r="G2" s="222">
        <v>0.43</v>
      </c>
      <c r="H2" s="223" t="s">
        <v>291</v>
      </c>
      <c r="I2" s="224">
        <v>0.25</v>
      </c>
      <c r="J2" s="99"/>
      <c r="K2" s="99"/>
      <c r="L2" s="99"/>
      <c r="M2" s="99"/>
      <c r="N2" s="99"/>
      <c r="O2" s="272" t="s">
        <v>244</v>
      </c>
      <c r="P2" s="225">
        <v>0</v>
      </c>
    </row>
    <row r="3" spans="1:16" ht="15.75" thickBot="1" x14ac:dyDescent="0.3">
      <c r="A3" s="226" t="s">
        <v>2</v>
      </c>
      <c r="B3" s="227" t="s">
        <v>54</v>
      </c>
      <c r="C3" s="228">
        <v>0.64</v>
      </c>
      <c r="D3" s="228" t="s">
        <v>161</v>
      </c>
      <c r="E3" s="228">
        <v>1.56</v>
      </c>
      <c r="F3" s="229" t="s">
        <v>287</v>
      </c>
      <c r="G3" s="230">
        <v>0.43</v>
      </c>
      <c r="H3" s="228" t="s">
        <v>291</v>
      </c>
      <c r="I3" s="231">
        <v>0.25</v>
      </c>
      <c r="J3" s="99"/>
      <c r="K3" s="99"/>
      <c r="L3" s="99"/>
      <c r="M3" s="99"/>
      <c r="N3" s="99"/>
      <c r="O3" s="273"/>
      <c r="P3" s="232">
        <v>0.2</v>
      </c>
    </row>
    <row r="4" spans="1:16" ht="15.75" thickBot="1" x14ac:dyDescent="0.3">
      <c r="A4" s="226" t="s">
        <v>98</v>
      </c>
      <c r="B4" s="227" t="s">
        <v>99</v>
      </c>
      <c r="C4" s="228">
        <v>0.42</v>
      </c>
      <c r="D4" s="228" t="s">
        <v>161</v>
      </c>
      <c r="E4" s="228">
        <v>1.56</v>
      </c>
      <c r="F4" s="229" t="s">
        <v>287</v>
      </c>
      <c r="G4" s="230">
        <v>0.43</v>
      </c>
      <c r="H4" s="228" t="s">
        <v>291</v>
      </c>
      <c r="I4" s="231">
        <v>0.25</v>
      </c>
      <c r="J4" s="99"/>
      <c r="K4" s="99"/>
      <c r="L4" s="99"/>
      <c r="M4" s="99"/>
      <c r="N4" s="99"/>
    </row>
    <row r="5" spans="1:16" x14ac:dyDescent="0.25">
      <c r="A5" s="226" t="s">
        <v>4</v>
      </c>
      <c r="B5" s="227" t="s">
        <v>55</v>
      </c>
      <c r="C5" s="228">
        <v>0.42</v>
      </c>
      <c r="D5" s="228" t="s">
        <v>161</v>
      </c>
      <c r="E5" s="228">
        <v>1.56</v>
      </c>
      <c r="F5" s="229" t="s">
        <v>287</v>
      </c>
      <c r="G5" s="230">
        <v>0.43</v>
      </c>
      <c r="H5" s="228" t="s">
        <v>291</v>
      </c>
      <c r="I5" s="231">
        <v>0.25</v>
      </c>
      <c r="J5" s="99"/>
      <c r="K5" s="99"/>
      <c r="L5" s="99"/>
      <c r="M5" s="99"/>
      <c r="N5" s="99"/>
      <c r="O5" s="272" t="s">
        <v>243</v>
      </c>
      <c r="P5" s="233">
        <v>0</v>
      </c>
    </row>
    <row r="6" spans="1:16" x14ac:dyDescent="0.25">
      <c r="A6" s="226" t="s">
        <v>3</v>
      </c>
      <c r="B6" s="227" t="s">
        <v>97</v>
      </c>
      <c r="C6" s="228">
        <v>0.42</v>
      </c>
      <c r="D6" s="228" t="s">
        <v>161</v>
      </c>
      <c r="E6" s="228">
        <v>1.56</v>
      </c>
      <c r="F6" s="229" t="s">
        <v>287</v>
      </c>
      <c r="G6" s="230">
        <v>0.43</v>
      </c>
      <c r="H6" s="228" t="s">
        <v>291</v>
      </c>
      <c r="I6" s="231">
        <v>0.25</v>
      </c>
      <c r="J6" s="99"/>
      <c r="K6" s="99"/>
      <c r="L6" s="99"/>
      <c r="M6" s="99"/>
      <c r="N6" s="99"/>
      <c r="O6" s="274"/>
      <c r="P6" s="234">
        <v>0.05</v>
      </c>
    </row>
    <row r="7" spans="1:16" x14ac:dyDescent="0.25">
      <c r="A7" s="226" t="s">
        <v>5</v>
      </c>
      <c r="B7" s="227" t="s">
        <v>56</v>
      </c>
      <c r="C7" s="228">
        <v>0.52</v>
      </c>
      <c r="D7" s="228" t="s">
        <v>161</v>
      </c>
      <c r="E7" s="228">
        <v>1.56</v>
      </c>
      <c r="F7" s="229" t="s">
        <v>287</v>
      </c>
      <c r="G7" s="230">
        <v>0.43</v>
      </c>
      <c r="H7" s="228" t="s">
        <v>291</v>
      </c>
      <c r="I7" s="231">
        <v>0.25</v>
      </c>
      <c r="J7" s="99"/>
      <c r="K7" s="99"/>
      <c r="L7" s="99"/>
      <c r="M7" s="99"/>
      <c r="N7" s="99"/>
      <c r="O7" s="274"/>
      <c r="P7" s="234">
        <v>0.1</v>
      </c>
    </row>
    <row r="8" spans="1:16" ht="15.75" thickBot="1" x14ac:dyDescent="0.3">
      <c r="A8" s="226" t="s">
        <v>164</v>
      </c>
      <c r="B8" s="227" t="s">
        <v>57</v>
      </c>
      <c r="C8" s="228">
        <v>0.36</v>
      </c>
      <c r="D8" s="228" t="s">
        <v>161</v>
      </c>
      <c r="E8" s="228">
        <v>1.3</v>
      </c>
      <c r="F8" s="229" t="s">
        <v>287</v>
      </c>
      <c r="G8" s="230">
        <v>0.55000000000000004</v>
      </c>
      <c r="H8" s="228" t="s">
        <v>153</v>
      </c>
      <c r="I8" s="231">
        <v>0.43</v>
      </c>
      <c r="J8" s="99"/>
      <c r="K8" s="99"/>
      <c r="L8" s="99"/>
      <c r="M8" s="99"/>
      <c r="N8" s="99"/>
      <c r="O8" s="273"/>
      <c r="P8" s="232">
        <v>0.15</v>
      </c>
    </row>
    <row r="9" spans="1:16" ht="15.75" thickBot="1" x14ac:dyDescent="0.3">
      <c r="A9" s="226" t="s">
        <v>6</v>
      </c>
      <c r="B9" s="227" t="s">
        <v>58</v>
      </c>
      <c r="C9" s="228">
        <v>0.61</v>
      </c>
      <c r="D9" s="228" t="s">
        <v>161</v>
      </c>
      <c r="E9" s="228">
        <v>1.56</v>
      </c>
      <c r="F9" s="229" t="s">
        <v>287</v>
      </c>
      <c r="G9" s="230">
        <v>0.43</v>
      </c>
      <c r="H9" s="228" t="s">
        <v>291</v>
      </c>
      <c r="I9" s="231">
        <v>0.25</v>
      </c>
      <c r="J9" s="99"/>
      <c r="K9" s="99"/>
      <c r="L9" s="99"/>
      <c r="M9" s="99"/>
      <c r="N9" s="99"/>
    </row>
    <row r="10" spans="1:16" x14ac:dyDescent="0.25">
      <c r="A10" s="226" t="s">
        <v>7</v>
      </c>
      <c r="B10" s="227" t="s">
        <v>59</v>
      </c>
      <c r="C10" s="228">
        <v>0.66</v>
      </c>
      <c r="D10" s="228" t="s">
        <v>161</v>
      </c>
      <c r="E10" s="228">
        <v>1.56</v>
      </c>
      <c r="F10" s="229" t="s">
        <v>287</v>
      </c>
      <c r="G10" s="230">
        <v>0.43</v>
      </c>
      <c r="H10" s="228" t="s">
        <v>291</v>
      </c>
      <c r="I10" s="231">
        <v>0.25</v>
      </c>
      <c r="J10" s="99"/>
      <c r="K10" s="99"/>
      <c r="L10" s="99"/>
      <c r="M10" s="99"/>
      <c r="N10" s="99"/>
      <c r="O10" s="272" t="s">
        <v>242</v>
      </c>
      <c r="P10" s="225">
        <v>0</v>
      </c>
    </row>
    <row r="11" spans="1:16" ht="15.75" thickBot="1" x14ac:dyDescent="0.3">
      <c r="A11" s="226" t="s">
        <v>8</v>
      </c>
      <c r="B11" s="227" t="s">
        <v>60</v>
      </c>
      <c r="C11" s="228">
        <v>0.47</v>
      </c>
      <c r="D11" s="228" t="s">
        <v>161</v>
      </c>
      <c r="E11" s="228">
        <v>1.56</v>
      </c>
      <c r="F11" s="229" t="s">
        <v>287</v>
      </c>
      <c r="G11" s="230">
        <v>0.43</v>
      </c>
      <c r="H11" s="228" t="s">
        <v>291</v>
      </c>
      <c r="I11" s="231">
        <v>0.25</v>
      </c>
      <c r="J11" s="99"/>
      <c r="K11" s="99"/>
      <c r="L11" s="99"/>
      <c r="M11" s="99"/>
      <c r="N11" s="99"/>
      <c r="O11" s="273"/>
      <c r="P11" s="232">
        <v>0.1</v>
      </c>
    </row>
    <row r="12" spans="1:16" x14ac:dyDescent="0.25">
      <c r="A12" s="226" t="s">
        <v>9</v>
      </c>
      <c r="B12" s="227" t="s">
        <v>61</v>
      </c>
      <c r="C12" s="228">
        <v>0.67</v>
      </c>
      <c r="D12" s="228" t="s">
        <v>161</v>
      </c>
      <c r="E12" s="228">
        <v>1.56</v>
      </c>
      <c r="F12" s="229" t="s">
        <v>287</v>
      </c>
      <c r="G12" s="230">
        <v>0.43</v>
      </c>
      <c r="H12" s="228" t="s">
        <v>152</v>
      </c>
      <c r="I12" s="231">
        <v>0.25</v>
      </c>
      <c r="J12" s="99"/>
      <c r="K12" s="99"/>
      <c r="L12" s="99"/>
      <c r="M12" s="99"/>
      <c r="N12" s="99"/>
    </row>
    <row r="13" spans="1:16" x14ac:dyDescent="0.25">
      <c r="A13" s="226" t="s">
        <v>10</v>
      </c>
      <c r="B13" s="227" t="s">
        <v>62</v>
      </c>
      <c r="C13" s="228">
        <v>0.7</v>
      </c>
      <c r="D13" s="228" t="s">
        <v>161</v>
      </c>
      <c r="E13" s="228">
        <v>1.56</v>
      </c>
      <c r="F13" s="229" t="s">
        <v>287</v>
      </c>
      <c r="G13" s="230">
        <v>0.43</v>
      </c>
      <c r="H13" s="228" t="s">
        <v>152</v>
      </c>
      <c r="I13" s="231">
        <v>0.25</v>
      </c>
      <c r="J13" s="99"/>
      <c r="K13" s="99"/>
      <c r="L13" s="99"/>
      <c r="M13" s="99"/>
      <c r="N13" s="99"/>
    </row>
    <row r="14" spans="1:16" x14ac:dyDescent="0.25">
      <c r="A14" s="226" t="s">
        <v>11</v>
      </c>
      <c r="B14" s="227" t="s">
        <v>63</v>
      </c>
      <c r="C14" s="228">
        <v>0.54</v>
      </c>
      <c r="D14" s="228" t="s">
        <v>161</v>
      </c>
      <c r="E14" s="228">
        <v>1.56</v>
      </c>
      <c r="F14" s="229" t="s">
        <v>287</v>
      </c>
      <c r="G14" s="230">
        <v>0.43</v>
      </c>
      <c r="H14" s="228" t="s">
        <v>152</v>
      </c>
      <c r="I14" s="231">
        <v>0.25</v>
      </c>
      <c r="J14" s="99"/>
      <c r="K14" s="99"/>
      <c r="L14" s="99"/>
      <c r="M14" s="99"/>
      <c r="N14" s="99"/>
    </row>
    <row r="15" spans="1:16" x14ac:dyDescent="0.25">
      <c r="A15" s="226" t="s">
        <v>12</v>
      </c>
      <c r="B15" s="227" t="s">
        <v>64</v>
      </c>
      <c r="C15" s="228">
        <v>0.65</v>
      </c>
      <c r="D15" s="228" t="s">
        <v>161</v>
      </c>
      <c r="E15" s="228">
        <v>1.56</v>
      </c>
      <c r="F15" s="229" t="s">
        <v>287</v>
      </c>
      <c r="G15" s="230">
        <v>0.43</v>
      </c>
      <c r="H15" s="228" t="s">
        <v>152</v>
      </c>
      <c r="I15" s="231">
        <v>0.25</v>
      </c>
      <c r="J15" s="99"/>
      <c r="K15" s="99"/>
      <c r="L15" s="99"/>
      <c r="M15" s="99"/>
      <c r="N15" s="99"/>
    </row>
    <row r="16" spans="1:16" x14ac:dyDescent="0.25">
      <c r="A16" s="226" t="s">
        <v>13</v>
      </c>
      <c r="B16" s="227" t="s">
        <v>65</v>
      </c>
      <c r="C16" s="228">
        <v>0.56000000000000005</v>
      </c>
      <c r="D16" s="228" t="s">
        <v>161</v>
      </c>
      <c r="E16" s="228">
        <v>1.56</v>
      </c>
      <c r="F16" s="229" t="s">
        <v>287</v>
      </c>
      <c r="G16" s="230">
        <v>0.43</v>
      </c>
      <c r="H16" s="228" t="s">
        <v>152</v>
      </c>
      <c r="I16" s="231">
        <v>0.25</v>
      </c>
      <c r="J16" s="99"/>
      <c r="K16" s="99"/>
      <c r="L16" s="99"/>
      <c r="M16" s="99"/>
      <c r="N16" s="99"/>
    </row>
    <row r="17" spans="1:14" x14ac:dyDescent="0.25">
      <c r="A17" s="226" t="s">
        <v>14</v>
      </c>
      <c r="B17" s="227" t="s">
        <v>66</v>
      </c>
      <c r="C17" s="228">
        <v>0.57999999999999996</v>
      </c>
      <c r="D17" s="228" t="s">
        <v>161</v>
      </c>
      <c r="E17" s="228">
        <v>1.56</v>
      </c>
      <c r="F17" s="229" t="s">
        <v>287</v>
      </c>
      <c r="G17" s="230">
        <v>0.43</v>
      </c>
      <c r="H17" s="228" t="s">
        <v>152</v>
      </c>
      <c r="I17" s="231">
        <v>0.25</v>
      </c>
      <c r="J17" s="99"/>
      <c r="K17" s="99"/>
      <c r="L17" s="99"/>
      <c r="M17" s="99"/>
      <c r="N17" s="99"/>
    </row>
    <row r="18" spans="1:14" x14ac:dyDescent="0.25">
      <c r="A18" s="226" t="s">
        <v>15</v>
      </c>
      <c r="B18" s="227" t="s">
        <v>67</v>
      </c>
      <c r="C18" s="228">
        <v>0.64</v>
      </c>
      <c r="D18" s="228" t="s">
        <v>161</v>
      </c>
      <c r="E18" s="228">
        <v>1.56</v>
      </c>
      <c r="F18" s="229" t="s">
        <v>287</v>
      </c>
      <c r="G18" s="230">
        <v>0.43</v>
      </c>
      <c r="H18" s="228" t="s">
        <v>152</v>
      </c>
      <c r="I18" s="231">
        <v>0.25</v>
      </c>
      <c r="J18" s="99"/>
      <c r="K18" s="99"/>
      <c r="L18" s="99"/>
      <c r="M18" s="99"/>
      <c r="N18" s="99"/>
    </row>
    <row r="19" spans="1:14" x14ac:dyDescent="0.25">
      <c r="A19" s="226" t="s">
        <v>16</v>
      </c>
      <c r="B19" s="227" t="s">
        <v>68</v>
      </c>
      <c r="C19" s="228">
        <v>0.73</v>
      </c>
      <c r="D19" s="228" t="s">
        <v>161</v>
      </c>
      <c r="E19" s="228">
        <v>1.56</v>
      </c>
      <c r="F19" s="229" t="s">
        <v>287</v>
      </c>
      <c r="G19" s="230">
        <v>0.43</v>
      </c>
      <c r="H19" s="228" t="s">
        <v>152</v>
      </c>
      <c r="I19" s="231">
        <v>0.25</v>
      </c>
      <c r="J19" s="99"/>
      <c r="K19" s="99"/>
      <c r="L19" s="99"/>
      <c r="M19" s="99"/>
      <c r="N19" s="99"/>
    </row>
    <row r="20" spans="1:14" x14ac:dyDescent="0.25">
      <c r="A20" s="226" t="s">
        <v>52</v>
      </c>
      <c r="B20" s="227" t="s">
        <v>69</v>
      </c>
      <c r="C20" s="228">
        <v>0.69</v>
      </c>
      <c r="D20" s="228" t="s">
        <v>131</v>
      </c>
      <c r="E20" s="228">
        <v>1.56</v>
      </c>
      <c r="F20" s="229" t="s">
        <v>287</v>
      </c>
      <c r="G20" s="230">
        <v>0.43</v>
      </c>
      <c r="H20" s="228" t="s">
        <v>295</v>
      </c>
      <c r="I20" s="231">
        <v>0.25</v>
      </c>
      <c r="J20" s="99"/>
      <c r="K20" s="99"/>
      <c r="L20" s="99"/>
      <c r="M20" s="99"/>
      <c r="N20" s="99"/>
    </row>
    <row r="21" spans="1:14" x14ac:dyDescent="0.25">
      <c r="A21" s="226" t="s">
        <v>154</v>
      </c>
      <c r="B21" s="227" t="s">
        <v>155</v>
      </c>
      <c r="C21" s="228">
        <v>0.36</v>
      </c>
      <c r="D21" s="228" t="s">
        <v>161</v>
      </c>
      <c r="E21" s="228">
        <v>1.3</v>
      </c>
      <c r="F21" s="229" t="s">
        <v>287</v>
      </c>
      <c r="G21" s="230">
        <v>0.55000000000000004</v>
      </c>
      <c r="H21" s="228" t="s">
        <v>153</v>
      </c>
      <c r="I21" s="231">
        <v>0.43</v>
      </c>
      <c r="J21" s="99"/>
      <c r="K21" s="99"/>
      <c r="L21" s="99"/>
      <c r="M21" s="99"/>
      <c r="N21" s="99"/>
    </row>
    <row r="22" spans="1:14" x14ac:dyDescent="0.25">
      <c r="A22" s="226" t="s">
        <v>17</v>
      </c>
      <c r="B22" s="227" t="s">
        <v>70</v>
      </c>
      <c r="C22" s="228">
        <v>0.4</v>
      </c>
      <c r="D22" s="228" t="s">
        <v>161</v>
      </c>
      <c r="E22" s="228">
        <v>1.3</v>
      </c>
      <c r="F22" s="229" t="s">
        <v>287</v>
      </c>
      <c r="G22" s="230">
        <v>0.55000000000000004</v>
      </c>
      <c r="H22" s="228" t="s">
        <v>153</v>
      </c>
      <c r="I22" s="231">
        <v>0.43</v>
      </c>
      <c r="J22" s="99"/>
      <c r="K22" s="99"/>
      <c r="L22" s="99"/>
      <c r="M22" s="99"/>
      <c r="N22" s="99"/>
    </row>
    <row r="23" spans="1:14" x14ac:dyDescent="0.25">
      <c r="A23" s="226" t="s">
        <v>18</v>
      </c>
      <c r="B23" s="227" t="s">
        <v>71</v>
      </c>
      <c r="C23" s="228">
        <v>0.43</v>
      </c>
      <c r="D23" s="228" t="s">
        <v>161</v>
      </c>
      <c r="E23" s="228">
        <v>1.3</v>
      </c>
      <c r="F23" s="229" t="s">
        <v>287</v>
      </c>
      <c r="G23" s="230">
        <v>0.55000000000000004</v>
      </c>
      <c r="H23" s="228" t="s">
        <v>153</v>
      </c>
      <c r="I23" s="231">
        <v>0.43</v>
      </c>
      <c r="J23" s="99"/>
      <c r="K23" s="99"/>
      <c r="L23" s="99"/>
      <c r="M23" s="99"/>
      <c r="N23" s="99"/>
    </row>
    <row r="24" spans="1:14" x14ac:dyDescent="0.25">
      <c r="A24" s="226" t="s">
        <v>19</v>
      </c>
      <c r="B24" s="227" t="s">
        <v>72</v>
      </c>
      <c r="C24" s="228">
        <v>0.37</v>
      </c>
      <c r="D24" s="228" t="s">
        <v>161</v>
      </c>
      <c r="E24" s="228">
        <v>1.3</v>
      </c>
      <c r="F24" s="229" t="s">
        <v>287</v>
      </c>
      <c r="G24" s="230">
        <v>0.55000000000000004</v>
      </c>
      <c r="H24" s="228" t="s">
        <v>152</v>
      </c>
      <c r="I24" s="231">
        <v>0.43</v>
      </c>
      <c r="J24" s="99"/>
      <c r="K24" s="99"/>
      <c r="L24" s="99"/>
      <c r="M24" s="99"/>
      <c r="N24" s="99"/>
    </row>
    <row r="25" spans="1:14" x14ac:dyDescent="0.25">
      <c r="A25" s="226" t="s">
        <v>20</v>
      </c>
      <c r="B25" s="227" t="s">
        <v>73</v>
      </c>
      <c r="C25" s="228">
        <v>0.36</v>
      </c>
      <c r="D25" s="228" t="s">
        <v>161</v>
      </c>
      <c r="E25" s="228">
        <v>1.3</v>
      </c>
      <c r="F25" s="229" t="s">
        <v>287</v>
      </c>
      <c r="G25" s="230">
        <v>0.55000000000000004</v>
      </c>
      <c r="H25" s="228" t="s">
        <v>152</v>
      </c>
      <c r="I25" s="231">
        <v>0.43</v>
      </c>
      <c r="J25" s="99"/>
      <c r="K25" s="99"/>
      <c r="L25" s="99"/>
      <c r="M25" s="99"/>
      <c r="N25" s="99"/>
    </row>
    <row r="26" spans="1:14" x14ac:dyDescent="0.25">
      <c r="A26" s="226" t="s">
        <v>21</v>
      </c>
      <c r="B26" s="227" t="s">
        <v>74</v>
      </c>
      <c r="C26" s="228">
        <v>0.56000000000000005</v>
      </c>
      <c r="D26" s="228" t="s">
        <v>161</v>
      </c>
      <c r="E26" s="228">
        <v>1.56</v>
      </c>
      <c r="F26" s="229" t="s">
        <v>287</v>
      </c>
      <c r="G26" s="230">
        <v>0.53</v>
      </c>
      <c r="H26" s="228" t="s">
        <v>288</v>
      </c>
      <c r="I26" s="231">
        <v>0.25</v>
      </c>
      <c r="J26" s="99"/>
      <c r="K26" s="99"/>
      <c r="L26" s="99"/>
      <c r="M26" s="99"/>
      <c r="N26" s="99"/>
    </row>
    <row r="27" spans="1:14" x14ac:dyDescent="0.25">
      <c r="A27" s="226" t="s">
        <v>22</v>
      </c>
      <c r="B27" s="227" t="s">
        <v>75</v>
      </c>
      <c r="C27" s="228">
        <v>0.51</v>
      </c>
      <c r="D27" s="228" t="s">
        <v>161</v>
      </c>
      <c r="E27" s="228">
        <v>1.56</v>
      </c>
      <c r="F27" s="229" t="s">
        <v>287</v>
      </c>
      <c r="G27" s="230">
        <v>0.53</v>
      </c>
      <c r="H27" s="228" t="s">
        <v>288</v>
      </c>
      <c r="I27" s="231">
        <v>0.25</v>
      </c>
      <c r="J27" s="99"/>
      <c r="K27" s="99"/>
      <c r="L27" s="99"/>
      <c r="M27" s="99"/>
      <c r="N27" s="99"/>
    </row>
    <row r="28" spans="1:14" x14ac:dyDescent="0.25">
      <c r="A28" s="226" t="s">
        <v>23</v>
      </c>
      <c r="B28" s="227" t="s">
        <v>76</v>
      </c>
      <c r="C28" s="228">
        <v>0.51</v>
      </c>
      <c r="D28" s="228" t="s">
        <v>161</v>
      </c>
      <c r="E28" s="228">
        <v>1.56</v>
      </c>
      <c r="F28" s="229" t="s">
        <v>287</v>
      </c>
      <c r="G28" s="230">
        <v>0.53</v>
      </c>
      <c r="H28" s="228" t="s">
        <v>288</v>
      </c>
      <c r="I28" s="231">
        <v>0.25</v>
      </c>
      <c r="J28" s="99"/>
      <c r="K28" s="99"/>
      <c r="L28" s="99"/>
      <c r="M28" s="99"/>
      <c r="N28" s="99"/>
    </row>
    <row r="29" spans="1:14" x14ac:dyDescent="0.25">
      <c r="A29" s="226" t="s">
        <v>24</v>
      </c>
      <c r="B29" s="227" t="s">
        <v>24</v>
      </c>
      <c r="C29" s="228">
        <v>0.56000000000000005</v>
      </c>
      <c r="D29" s="228" t="s">
        <v>161</v>
      </c>
      <c r="E29" s="228">
        <v>1.56</v>
      </c>
      <c r="F29" s="229" t="s">
        <v>287</v>
      </c>
      <c r="G29" s="230">
        <v>0.53</v>
      </c>
      <c r="H29" s="228" t="s">
        <v>288</v>
      </c>
      <c r="I29" s="231">
        <v>0.25</v>
      </c>
      <c r="J29" s="99"/>
      <c r="K29" s="99"/>
      <c r="L29" s="99"/>
      <c r="M29" s="99"/>
      <c r="N29" s="99"/>
    </row>
    <row r="30" spans="1:14" x14ac:dyDescent="0.25">
      <c r="A30" s="226" t="s">
        <v>25</v>
      </c>
      <c r="B30" s="227" t="s">
        <v>77</v>
      </c>
      <c r="C30" s="228">
        <v>0.55000000000000004</v>
      </c>
      <c r="D30" s="228" t="s">
        <v>161</v>
      </c>
      <c r="E30" s="228">
        <v>1.56</v>
      </c>
      <c r="F30" s="229" t="s">
        <v>287</v>
      </c>
      <c r="G30" s="230">
        <v>0.53</v>
      </c>
      <c r="H30" s="228" t="s">
        <v>152</v>
      </c>
      <c r="I30" s="231">
        <v>0.25</v>
      </c>
      <c r="J30" s="99"/>
      <c r="K30" s="99"/>
      <c r="L30" s="99"/>
      <c r="M30" s="99"/>
      <c r="N30" s="99"/>
    </row>
    <row r="31" spans="1:14" x14ac:dyDescent="0.25">
      <c r="A31" s="226" t="s">
        <v>26</v>
      </c>
      <c r="B31" s="227" t="s">
        <v>78</v>
      </c>
      <c r="C31" s="228">
        <v>0.56000000000000005</v>
      </c>
      <c r="D31" s="228" t="s">
        <v>161</v>
      </c>
      <c r="E31" s="228">
        <v>1.56</v>
      </c>
      <c r="F31" s="229" t="s">
        <v>287</v>
      </c>
      <c r="G31" s="230">
        <v>0.43</v>
      </c>
      <c r="H31" s="228" t="s">
        <v>291</v>
      </c>
      <c r="I31" s="231">
        <v>0.25</v>
      </c>
      <c r="J31" s="99"/>
      <c r="K31" s="99"/>
      <c r="L31" s="99"/>
      <c r="M31" s="99"/>
      <c r="N31" s="99"/>
    </row>
    <row r="32" spans="1:14" x14ac:dyDescent="0.25">
      <c r="A32" s="226" t="s">
        <v>27</v>
      </c>
      <c r="B32" s="227" t="s">
        <v>79</v>
      </c>
      <c r="C32" s="228">
        <v>0.48</v>
      </c>
      <c r="D32" s="228" t="s">
        <v>161</v>
      </c>
      <c r="E32" s="228">
        <v>1.3</v>
      </c>
      <c r="F32" s="229" t="s">
        <v>287</v>
      </c>
      <c r="G32" s="230">
        <v>0.6</v>
      </c>
      <c r="H32" s="228" t="s">
        <v>294</v>
      </c>
      <c r="I32" s="231">
        <v>0.43</v>
      </c>
      <c r="J32" s="99"/>
      <c r="K32" s="99"/>
      <c r="L32" s="99"/>
      <c r="M32" s="99"/>
      <c r="N32" s="99"/>
    </row>
    <row r="33" spans="1:14" x14ac:dyDescent="0.25">
      <c r="A33" s="226" t="s">
        <v>28</v>
      </c>
      <c r="B33" s="227" t="s">
        <v>80</v>
      </c>
      <c r="C33" s="228">
        <v>0.42</v>
      </c>
      <c r="D33" s="228" t="s">
        <v>161</v>
      </c>
      <c r="E33" s="228">
        <v>1.3</v>
      </c>
      <c r="F33" s="229" t="s">
        <v>287</v>
      </c>
      <c r="G33" s="230">
        <v>0.6</v>
      </c>
      <c r="H33" s="228" t="s">
        <v>294</v>
      </c>
      <c r="I33" s="231">
        <v>0.43</v>
      </c>
      <c r="J33" s="99"/>
      <c r="K33" s="99"/>
      <c r="L33" s="99"/>
      <c r="M33" s="99"/>
      <c r="N33" s="99"/>
    </row>
    <row r="34" spans="1:14" x14ac:dyDescent="0.25">
      <c r="A34" s="226" t="s">
        <v>81</v>
      </c>
      <c r="B34" s="227" t="s">
        <v>163</v>
      </c>
      <c r="C34" s="228">
        <v>0.42</v>
      </c>
      <c r="D34" s="228" t="s">
        <v>103</v>
      </c>
      <c r="E34" s="228">
        <v>1.3</v>
      </c>
      <c r="F34" s="229" t="s">
        <v>287</v>
      </c>
      <c r="G34" s="230">
        <v>0.6</v>
      </c>
      <c r="H34" s="227" t="s">
        <v>293</v>
      </c>
      <c r="I34" s="231">
        <v>0.43</v>
      </c>
      <c r="J34" s="99"/>
      <c r="K34" s="99"/>
      <c r="L34" s="99"/>
      <c r="M34" s="99"/>
      <c r="N34" s="99"/>
    </row>
    <row r="35" spans="1:14" x14ac:dyDescent="0.25">
      <c r="A35" s="226" t="s">
        <v>29</v>
      </c>
      <c r="B35" s="227" t="s">
        <v>82</v>
      </c>
      <c r="C35" s="228">
        <v>0.5</v>
      </c>
      <c r="D35" s="228" t="s">
        <v>161</v>
      </c>
      <c r="E35" s="228">
        <v>1.56</v>
      </c>
      <c r="F35" s="229" t="s">
        <v>287</v>
      </c>
      <c r="G35" s="230">
        <v>0.43</v>
      </c>
      <c r="H35" s="228" t="s">
        <v>291</v>
      </c>
      <c r="I35" s="231">
        <v>0.25</v>
      </c>
      <c r="J35" s="99"/>
      <c r="K35" s="99"/>
      <c r="L35" s="99"/>
      <c r="M35" s="99"/>
      <c r="N35" s="99"/>
    </row>
    <row r="36" spans="1:14" x14ac:dyDescent="0.25">
      <c r="A36" s="226" t="s">
        <v>102</v>
      </c>
      <c r="B36" s="227" t="s">
        <v>101</v>
      </c>
      <c r="C36" s="228">
        <v>0.55000000000000004</v>
      </c>
      <c r="D36" s="228" t="s">
        <v>161</v>
      </c>
      <c r="E36" s="228">
        <v>1.56</v>
      </c>
      <c r="F36" s="229" t="s">
        <v>287</v>
      </c>
      <c r="G36" s="230">
        <v>0.53</v>
      </c>
      <c r="H36" s="228" t="s">
        <v>288</v>
      </c>
      <c r="I36" s="231">
        <v>0.25</v>
      </c>
      <c r="J36" s="99"/>
      <c r="K36" s="99"/>
      <c r="L36" s="99"/>
      <c r="M36" s="99"/>
      <c r="N36" s="99"/>
    </row>
    <row r="37" spans="1:14" x14ac:dyDescent="0.25">
      <c r="A37" s="226" t="s">
        <v>30</v>
      </c>
      <c r="B37" s="227" t="s">
        <v>104</v>
      </c>
      <c r="C37" s="228">
        <v>0.52</v>
      </c>
      <c r="D37" s="228" t="s">
        <v>161</v>
      </c>
      <c r="E37" s="228">
        <v>1.56</v>
      </c>
      <c r="F37" s="229" t="s">
        <v>287</v>
      </c>
      <c r="G37" s="230">
        <v>0.53</v>
      </c>
      <c r="H37" s="228" t="s">
        <v>288</v>
      </c>
      <c r="I37" s="231">
        <v>0.25</v>
      </c>
      <c r="J37" s="99"/>
      <c r="K37" s="99"/>
      <c r="L37" s="99"/>
      <c r="M37" s="99"/>
      <c r="N37" s="99"/>
    </row>
    <row r="38" spans="1:14" x14ac:dyDescent="0.25">
      <c r="A38" s="226" t="s">
        <v>31</v>
      </c>
      <c r="B38" s="227" t="s">
        <v>105</v>
      </c>
      <c r="C38" s="228">
        <v>0.52</v>
      </c>
      <c r="D38" s="228" t="s">
        <v>161</v>
      </c>
      <c r="E38" s="228">
        <v>1.56</v>
      </c>
      <c r="F38" s="229" t="s">
        <v>287</v>
      </c>
      <c r="G38" s="230">
        <v>0.43</v>
      </c>
      <c r="H38" s="228" t="s">
        <v>291</v>
      </c>
      <c r="I38" s="231">
        <v>0.25</v>
      </c>
      <c r="J38" s="99"/>
      <c r="K38" s="99"/>
      <c r="L38" s="99"/>
      <c r="M38" s="99"/>
      <c r="N38" s="99"/>
    </row>
    <row r="39" spans="1:14" x14ac:dyDescent="0.25">
      <c r="A39" s="226" t="s">
        <v>107</v>
      </c>
      <c r="B39" s="227" t="s">
        <v>132</v>
      </c>
      <c r="C39" s="228">
        <v>0.313</v>
      </c>
      <c r="D39" s="228" t="s">
        <v>130</v>
      </c>
      <c r="E39" s="228">
        <v>1.56</v>
      </c>
      <c r="F39" s="229" t="s">
        <v>287</v>
      </c>
      <c r="G39" s="230">
        <v>0.6</v>
      </c>
      <c r="H39" s="228" t="s">
        <v>296</v>
      </c>
      <c r="I39" s="231">
        <v>1.03</v>
      </c>
      <c r="J39" s="99"/>
      <c r="K39" s="99"/>
      <c r="L39" s="99"/>
      <c r="M39" s="99"/>
      <c r="N39" s="99"/>
    </row>
    <row r="40" spans="1:14" x14ac:dyDescent="0.25">
      <c r="A40" s="226" t="s">
        <v>108</v>
      </c>
      <c r="B40" s="227" t="s">
        <v>132</v>
      </c>
      <c r="C40" s="228">
        <v>0.35199999999999998</v>
      </c>
      <c r="D40" s="228" t="s">
        <v>130</v>
      </c>
      <c r="E40" s="228">
        <v>1.56</v>
      </c>
      <c r="F40" s="229" t="s">
        <v>287</v>
      </c>
      <c r="G40" s="230">
        <v>0.6</v>
      </c>
      <c r="H40" s="228" t="s">
        <v>296</v>
      </c>
      <c r="I40" s="231">
        <v>1.03</v>
      </c>
      <c r="J40" s="99"/>
      <c r="K40" s="99"/>
      <c r="L40" s="99"/>
      <c r="M40" s="99"/>
      <c r="N40" s="99"/>
    </row>
    <row r="41" spans="1:14" x14ac:dyDescent="0.25">
      <c r="A41" s="226" t="s">
        <v>121</v>
      </c>
      <c r="B41" s="227" t="s">
        <v>132</v>
      </c>
      <c r="C41" s="228">
        <v>0.32200000000000001</v>
      </c>
      <c r="D41" s="228" t="s">
        <v>130</v>
      </c>
      <c r="E41" s="228">
        <v>1.56</v>
      </c>
      <c r="F41" s="229" t="s">
        <v>287</v>
      </c>
      <c r="G41" s="230">
        <v>0.6</v>
      </c>
      <c r="H41" s="228" t="s">
        <v>296</v>
      </c>
      <c r="I41" s="231">
        <v>1.03</v>
      </c>
      <c r="J41" s="99"/>
      <c r="K41" s="99"/>
      <c r="L41" s="99"/>
      <c r="M41" s="99"/>
      <c r="N41" s="99"/>
    </row>
    <row r="42" spans="1:14" x14ac:dyDescent="0.25">
      <c r="A42" s="226" t="s">
        <v>122</v>
      </c>
      <c r="B42" s="227" t="s">
        <v>132</v>
      </c>
      <c r="C42" s="228">
        <v>0.311</v>
      </c>
      <c r="D42" s="228" t="s">
        <v>130</v>
      </c>
      <c r="E42" s="228">
        <v>1.56</v>
      </c>
      <c r="F42" s="229" t="s">
        <v>287</v>
      </c>
      <c r="G42" s="230">
        <v>0.6</v>
      </c>
      <c r="H42" s="228" t="s">
        <v>296</v>
      </c>
      <c r="I42" s="231">
        <v>1.03</v>
      </c>
      <c r="J42" s="99"/>
      <c r="K42" s="99"/>
      <c r="L42" s="99"/>
      <c r="M42" s="99"/>
      <c r="N42" s="99"/>
    </row>
    <row r="43" spans="1:14" x14ac:dyDescent="0.25">
      <c r="A43" s="226" t="s">
        <v>109</v>
      </c>
      <c r="B43" s="227" t="s">
        <v>132</v>
      </c>
      <c r="C43" s="228">
        <v>0.33900000000000002</v>
      </c>
      <c r="D43" s="228" t="s">
        <v>130</v>
      </c>
      <c r="E43" s="228">
        <v>1.56</v>
      </c>
      <c r="F43" s="229" t="s">
        <v>287</v>
      </c>
      <c r="G43" s="230">
        <v>0.6</v>
      </c>
      <c r="H43" s="228" t="s">
        <v>296</v>
      </c>
      <c r="I43" s="231">
        <v>1.03</v>
      </c>
      <c r="J43" s="99"/>
      <c r="K43" s="99"/>
      <c r="L43" s="99"/>
      <c r="M43" s="99"/>
      <c r="N43" s="99"/>
    </row>
    <row r="44" spans="1:14" x14ac:dyDescent="0.25">
      <c r="A44" s="226" t="s">
        <v>123</v>
      </c>
      <c r="B44" s="227" t="s">
        <v>132</v>
      </c>
      <c r="C44" s="228">
        <v>0.33600000000000002</v>
      </c>
      <c r="D44" s="228" t="s">
        <v>130</v>
      </c>
      <c r="E44" s="228">
        <v>1.56</v>
      </c>
      <c r="F44" s="229" t="s">
        <v>287</v>
      </c>
      <c r="G44" s="230">
        <v>0.6</v>
      </c>
      <c r="H44" s="228" t="s">
        <v>296</v>
      </c>
      <c r="I44" s="231">
        <v>1.03</v>
      </c>
      <c r="J44" s="99"/>
      <c r="K44" s="99"/>
      <c r="L44" s="99"/>
      <c r="M44" s="99"/>
      <c r="N44" s="99"/>
    </row>
    <row r="45" spans="1:14" x14ac:dyDescent="0.25">
      <c r="A45" s="226" t="s">
        <v>110</v>
      </c>
      <c r="B45" s="227" t="s">
        <v>132</v>
      </c>
      <c r="C45" s="228">
        <v>0.32900000000000001</v>
      </c>
      <c r="D45" s="228" t="s">
        <v>130</v>
      </c>
      <c r="E45" s="228">
        <v>1.56</v>
      </c>
      <c r="F45" s="229" t="s">
        <v>287</v>
      </c>
      <c r="G45" s="230">
        <v>0.6</v>
      </c>
      <c r="H45" s="228" t="s">
        <v>296</v>
      </c>
      <c r="I45" s="231">
        <v>1.03</v>
      </c>
      <c r="J45" s="99"/>
      <c r="K45" s="99"/>
      <c r="L45" s="99"/>
      <c r="M45" s="99"/>
      <c r="N45" s="99"/>
    </row>
    <row r="46" spans="1:14" x14ac:dyDescent="0.25">
      <c r="A46" s="226" t="s">
        <v>124</v>
      </c>
      <c r="B46" s="227" t="s">
        <v>132</v>
      </c>
      <c r="C46" s="228">
        <v>0.34300000000000003</v>
      </c>
      <c r="D46" s="228" t="s">
        <v>130</v>
      </c>
      <c r="E46" s="228">
        <v>1.56</v>
      </c>
      <c r="F46" s="229" t="s">
        <v>287</v>
      </c>
      <c r="G46" s="230">
        <v>0.6</v>
      </c>
      <c r="H46" s="228" t="s">
        <v>296</v>
      </c>
      <c r="I46" s="231">
        <v>1.03</v>
      </c>
      <c r="J46" s="99"/>
      <c r="K46" s="99"/>
      <c r="L46" s="99"/>
      <c r="M46" s="99"/>
      <c r="N46" s="99"/>
    </row>
    <row r="47" spans="1:14" x14ac:dyDescent="0.25">
      <c r="A47" s="226" t="s">
        <v>125</v>
      </c>
      <c r="B47" s="227" t="s">
        <v>132</v>
      </c>
      <c r="C47" s="228">
        <v>0.32500000000000001</v>
      </c>
      <c r="D47" s="228" t="s">
        <v>130</v>
      </c>
      <c r="E47" s="228">
        <v>1.56</v>
      </c>
      <c r="F47" s="229" t="s">
        <v>287</v>
      </c>
      <c r="G47" s="230">
        <v>0.6</v>
      </c>
      <c r="H47" s="228" t="s">
        <v>296</v>
      </c>
      <c r="I47" s="231">
        <v>1.03</v>
      </c>
      <c r="J47" s="99"/>
      <c r="K47" s="99"/>
      <c r="L47" s="99"/>
      <c r="M47" s="99"/>
      <c r="N47" s="99"/>
    </row>
    <row r="48" spans="1:14" x14ac:dyDescent="0.25">
      <c r="A48" s="226" t="s">
        <v>126</v>
      </c>
      <c r="B48" s="227" t="s">
        <v>132</v>
      </c>
      <c r="C48" s="228">
        <v>0.32</v>
      </c>
      <c r="D48" s="228" t="s">
        <v>130</v>
      </c>
      <c r="E48" s="228">
        <v>1.56</v>
      </c>
      <c r="F48" s="229" t="s">
        <v>287</v>
      </c>
      <c r="G48" s="230">
        <v>0.6</v>
      </c>
      <c r="H48" s="228" t="s">
        <v>296</v>
      </c>
      <c r="I48" s="231">
        <v>1.03</v>
      </c>
      <c r="J48" s="99"/>
      <c r="K48" s="99"/>
      <c r="L48" s="99"/>
      <c r="M48" s="99"/>
      <c r="N48" s="99"/>
    </row>
    <row r="49" spans="1:14" x14ac:dyDescent="0.25">
      <c r="A49" s="226" t="s">
        <v>111</v>
      </c>
      <c r="B49" s="227" t="s">
        <v>132</v>
      </c>
      <c r="C49" s="228">
        <v>0.28199999999999997</v>
      </c>
      <c r="D49" s="228" t="s">
        <v>130</v>
      </c>
      <c r="E49" s="228">
        <v>1.56</v>
      </c>
      <c r="F49" s="229" t="s">
        <v>287</v>
      </c>
      <c r="G49" s="230">
        <v>0.6</v>
      </c>
      <c r="H49" s="228" t="s">
        <v>296</v>
      </c>
      <c r="I49" s="231">
        <v>1.03</v>
      </c>
      <c r="J49" s="99"/>
      <c r="K49" s="99"/>
      <c r="L49" s="99"/>
      <c r="M49" s="99"/>
      <c r="N49" s="99"/>
    </row>
    <row r="50" spans="1:14" x14ac:dyDescent="0.25">
      <c r="A50" s="226" t="s">
        <v>127</v>
      </c>
      <c r="B50" s="227" t="s">
        <v>132</v>
      </c>
      <c r="C50" s="228">
        <v>0.32800000000000001</v>
      </c>
      <c r="D50" s="228" t="s">
        <v>130</v>
      </c>
      <c r="E50" s="228">
        <v>1.56</v>
      </c>
      <c r="F50" s="229" t="s">
        <v>287</v>
      </c>
      <c r="G50" s="230">
        <v>0.6</v>
      </c>
      <c r="H50" s="228" t="s">
        <v>296</v>
      </c>
      <c r="I50" s="231">
        <v>1.03</v>
      </c>
      <c r="J50" s="99"/>
      <c r="K50" s="99"/>
      <c r="L50" s="99"/>
      <c r="M50" s="99"/>
      <c r="N50" s="99"/>
    </row>
    <row r="51" spans="1:14" x14ac:dyDescent="0.25">
      <c r="A51" s="226" t="s">
        <v>112</v>
      </c>
      <c r="B51" s="227" t="s">
        <v>132</v>
      </c>
      <c r="C51" s="228">
        <v>0.32600000000000001</v>
      </c>
      <c r="D51" s="228" t="s">
        <v>130</v>
      </c>
      <c r="E51" s="228">
        <v>1.56</v>
      </c>
      <c r="F51" s="229" t="s">
        <v>287</v>
      </c>
      <c r="G51" s="230">
        <v>0.6</v>
      </c>
      <c r="H51" s="228" t="s">
        <v>296</v>
      </c>
      <c r="I51" s="231">
        <v>1.03</v>
      </c>
      <c r="J51" s="99"/>
      <c r="K51" s="99"/>
      <c r="L51" s="99"/>
      <c r="M51" s="99"/>
      <c r="N51" s="99"/>
    </row>
    <row r="52" spans="1:14" x14ac:dyDescent="0.25">
      <c r="A52" s="226" t="s">
        <v>113</v>
      </c>
      <c r="B52" s="227" t="s">
        <v>132</v>
      </c>
      <c r="C52" s="228">
        <v>0.35899999999999999</v>
      </c>
      <c r="D52" s="228" t="s">
        <v>130</v>
      </c>
      <c r="E52" s="228">
        <v>1.56</v>
      </c>
      <c r="F52" s="229" t="s">
        <v>287</v>
      </c>
      <c r="G52" s="230">
        <v>0.6</v>
      </c>
      <c r="H52" s="228" t="s">
        <v>296</v>
      </c>
      <c r="I52" s="231">
        <v>1.03</v>
      </c>
      <c r="J52" s="99"/>
      <c r="K52" s="99"/>
      <c r="L52" s="99"/>
      <c r="M52" s="99"/>
      <c r="N52" s="99"/>
    </row>
    <row r="53" spans="1:14" x14ac:dyDescent="0.25">
      <c r="A53" s="226" t="s">
        <v>114</v>
      </c>
      <c r="B53" s="227" t="s">
        <v>132</v>
      </c>
      <c r="C53" s="228">
        <v>0.34599999999999997</v>
      </c>
      <c r="D53" s="228" t="s">
        <v>130</v>
      </c>
      <c r="E53" s="228">
        <v>1.56</v>
      </c>
      <c r="F53" s="229" t="s">
        <v>287</v>
      </c>
      <c r="G53" s="230">
        <v>0.6</v>
      </c>
      <c r="H53" s="228" t="s">
        <v>296</v>
      </c>
      <c r="I53" s="231">
        <v>1.03</v>
      </c>
      <c r="J53" s="99"/>
      <c r="K53" s="99"/>
      <c r="L53" s="99"/>
      <c r="M53" s="99"/>
      <c r="N53" s="99"/>
    </row>
    <row r="54" spans="1:14" x14ac:dyDescent="0.25">
      <c r="A54" s="226" t="s">
        <v>115</v>
      </c>
      <c r="B54" s="227" t="s">
        <v>132</v>
      </c>
      <c r="C54" s="228">
        <v>0.32600000000000001</v>
      </c>
      <c r="D54" s="228" t="s">
        <v>130</v>
      </c>
      <c r="E54" s="228">
        <v>1.56</v>
      </c>
      <c r="F54" s="229" t="s">
        <v>287</v>
      </c>
      <c r="G54" s="230">
        <v>0.6</v>
      </c>
      <c r="H54" s="228" t="s">
        <v>296</v>
      </c>
      <c r="I54" s="231">
        <v>1.03</v>
      </c>
      <c r="J54" s="99"/>
      <c r="K54" s="99"/>
      <c r="L54" s="99"/>
      <c r="M54" s="99"/>
      <c r="N54" s="99"/>
    </row>
    <row r="55" spans="1:14" x14ac:dyDescent="0.25">
      <c r="A55" s="226" t="s">
        <v>116</v>
      </c>
      <c r="B55" s="227" t="s">
        <v>132</v>
      </c>
      <c r="C55" s="228">
        <v>0.30499999999999999</v>
      </c>
      <c r="D55" s="228" t="s">
        <v>130</v>
      </c>
      <c r="E55" s="228">
        <v>1.56</v>
      </c>
      <c r="F55" s="229" t="s">
        <v>287</v>
      </c>
      <c r="G55" s="230">
        <v>0.6</v>
      </c>
      <c r="H55" s="228" t="s">
        <v>296</v>
      </c>
      <c r="I55" s="231">
        <v>1.03</v>
      </c>
      <c r="J55" s="99"/>
      <c r="K55" s="99"/>
      <c r="L55" s="99"/>
      <c r="M55" s="99"/>
      <c r="N55" s="99"/>
    </row>
    <row r="56" spans="1:14" x14ac:dyDescent="0.25">
      <c r="A56" s="226" t="s">
        <v>128</v>
      </c>
      <c r="B56" s="227" t="s">
        <v>132</v>
      </c>
      <c r="C56" s="228">
        <v>0.32300000000000001</v>
      </c>
      <c r="D56" s="228" t="s">
        <v>130</v>
      </c>
      <c r="E56" s="228">
        <v>1.56</v>
      </c>
      <c r="F56" s="229" t="s">
        <v>287</v>
      </c>
      <c r="G56" s="230">
        <v>0.6</v>
      </c>
      <c r="H56" s="228" t="s">
        <v>296</v>
      </c>
      <c r="I56" s="231">
        <v>1.03</v>
      </c>
      <c r="J56" s="99"/>
      <c r="K56" s="99"/>
      <c r="L56" s="99"/>
      <c r="M56" s="99"/>
      <c r="N56" s="99"/>
    </row>
    <row r="57" spans="1:14" x14ac:dyDescent="0.25">
      <c r="A57" s="226" t="s">
        <v>129</v>
      </c>
      <c r="B57" s="227" t="s">
        <v>132</v>
      </c>
      <c r="C57" s="228">
        <v>0.36699999999999999</v>
      </c>
      <c r="D57" s="228" t="s">
        <v>130</v>
      </c>
      <c r="E57" s="228">
        <v>1.56</v>
      </c>
      <c r="F57" s="229" t="s">
        <v>287</v>
      </c>
      <c r="G57" s="230">
        <v>0.6</v>
      </c>
      <c r="H57" s="228" t="s">
        <v>296</v>
      </c>
      <c r="I57" s="231">
        <v>1.03</v>
      </c>
      <c r="J57" s="99"/>
      <c r="K57" s="99"/>
      <c r="L57" s="99"/>
      <c r="M57" s="99"/>
      <c r="N57" s="99"/>
    </row>
    <row r="58" spans="1:14" x14ac:dyDescent="0.25">
      <c r="A58" s="226" t="s">
        <v>117</v>
      </c>
      <c r="B58" s="227" t="s">
        <v>132</v>
      </c>
      <c r="C58" s="228">
        <v>0.36</v>
      </c>
      <c r="D58" s="228" t="s">
        <v>130</v>
      </c>
      <c r="E58" s="228">
        <v>1.56</v>
      </c>
      <c r="F58" s="229" t="s">
        <v>287</v>
      </c>
      <c r="G58" s="230">
        <v>0.6</v>
      </c>
      <c r="H58" s="228" t="s">
        <v>296</v>
      </c>
      <c r="I58" s="231">
        <v>1.03</v>
      </c>
      <c r="J58" s="99"/>
      <c r="K58" s="99"/>
      <c r="L58" s="99"/>
      <c r="M58" s="99"/>
      <c r="N58" s="99"/>
    </row>
    <row r="59" spans="1:14" x14ac:dyDescent="0.25">
      <c r="A59" s="226" t="s">
        <v>118</v>
      </c>
      <c r="B59" s="227" t="s">
        <v>132</v>
      </c>
      <c r="C59" s="228">
        <v>0.36799999999999999</v>
      </c>
      <c r="D59" s="228" t="s">
        <v>130</v>
      </c>
      <c r="E59" s="228">
        <v>1.56</v>
      </c>
      <c r="F59" s="229" t="s">
        <v>287</v>
      </c>
      <c r="G59" s="230">
        <v>0.6</v>
      </c>
      <c r="H59" s="228" t="s">
        <v>296</v>
      </c>
      <c r="I59" s="231">
        <v>1.03</v>
      </c>
      <c r="J59" s="99"/>
      <c r="K59" s="99"/>
      <c r="L59" s="99"/>
      <c r="M59" s="99"/>
      <c r="N59" s="99"/>
    </row>
    <row r="60" spans="1:14" x14ac:dyDescent="0.25">
      <c r="A60" s="226" t="s">
        <v>119</v>
      </c>
      <c r="B60" s="227" t="s">
        <v>132</v>
      </c>
      <c r="C60" s="228">
        <v>0.30599999999999999</v>
      </c>
      <c r="D60" s="228" t="s">
        <v>130</v>
      </c>
      <c r="E60" s="228">
        <v>1.56</v>
      </c>
      <c r="F60" s="229" t="s">
        <v>287</v>
      </c>
      <c r="G60" s="230">
        <v>0.6</v>
      </c>
      <c r="H60" s="228" t="s">
        <v>296</v>
      </c>
      <c r="I60" s="231">
        <v>1.03</v>
      </c>
      <c r="J60" s="99"/>
      <c r="K60" s="99"/>
      <c r="L60" s="99"/>
      <c r="M60" s="99"/>
      <c r="N60" s="99"/>
    </row>
    <row r="61" spans="1:14" x14ac:dyDescent="0.25">
      <c r="A61" s="226" t="s">
        <v>120</v>
      </c>
      <c r="B61" s="227" t="s">
        <v>132</v>
      </c>
      <c r="C61" s="228">
        <v>0.313</v>
      </c>
      <c r="D61" s="228" t="s">
        <v>130</v>
      </c>
      <c r="E61" s="228">
        <v>1.56</v>
      </c>
      <c r="F61" s="229" t="s">
        <v>287</v>
      </c>
      <c r="G61" s="230">
        <v>0.6</v>
      </c>
      <c r="H61" s="228" t="s">
        <v>296</v>
      </c>
      <c r="I61" s="231">
        <v>1.03</v>
      </c>
      <c r="J61" s="99"/>
      <c r="K61" s="99"/>
      <c r="L61" s="99"/>
      <c r="M61" s="99"/>
      <c r="N61" s="99"/>
    </row>
    <row r="62" spans="1:14" x14ac:dyDescent="0.25">
      <c r="A62" s="226" t="s">
        <v>32</v>
      </c>
      <c r="B62" s="227" t="s">
        <v>133</v>
      </c>
      <c r="C62" s="228">
        <v>0.37</v>
      </c>
      <c r="D62" s="228" t="s">
        <v>161</v>
      </c>
      <c r="E62" s="228">
        <v>1.56</v>
      </c>
      <c r="F62" s="229" t="s">
        <v>287</v>
      </c>
      <c r="G62" s="230">
        <v>0.6</v>
      </c>
      <c r="H62" s="228" t="s">
        <v>296</v>
      </c>
      <c r="I62" s="231">
        <v>1.03</v>
      </c>
      <c r="J62" s="99"/>
      <c r="K62" s="99"/>
      <c r="L62" s="99"/>
      <c r="M62" s="99"/>
      <c r="N62" s="99"/>
    </row>
    <row r="63" spans="1:14" x14ac:dyDescent="0.25">
      <c r="A63" s="226" t="s">
        <v>90</v>
      </c>
      <c r="B63" s="227" t="s">
        <v>83</v>
      </c>
      <c r="C63" s="228">
        <v>0.45</v>
      </c>
      <c r="D63" s="228" t="s">
        <v>161</v>
      </c>
      <c r="E63" s="228">
        <v>1.3</v>
      </c>
      <c r="F63" s="229" t="s">
        <v>287</v>
      </c>
      <c r="G63" s="230">
        <v>0.45</v>
      </c>
      <c r="H63" s="228" t="s">
        <v>289</v>
      </c>
      <c r="I63" s="231">
        <v>0.43</v>
      </c>
      <c r="J63" s="99"/>
      <c r="K63" s="99"/>
      <c r="L63" s="99"/>
      <c r="M63" s="99"/>
      <c r="N63" s="99"/>
    </row>
    <row r="64" spans="1:14" x14ac:dyDescent="0.25">
      <c r="A64" s="226" t="s">
        <v>33</v>
      </c>
      <c r="B64" s="227" t="s">
        <v>134</v>
      </c>
      <c r="C64" s="228">
        <v>0.39</v>
      </c>
      <c r="D64" s="228" t="s">
        <v>161</v>
      </c>
      <c r="E64" s="228">
        <v>1.3</v>
      </c>
      <c r="F64" s="229" t="s">
        <v>287</v>
      </c>
      <c r="G64" s="230">
        <v>0.45</v>
      </c>
      <c r="H64" s="228" t="s">
        <v>289</v>
      </c>
      <c r="I64" s="231">
        <v>0.43</v>
      </c>
      <c r="J64" s="99"/>
      <c r="K64" s="99"/>
      <c r="L64" s="99"/>
      <c r="M64" s="99"/>
      <c r="N64" s="99"/>
    </row>
    <row r="65" spans="1:14" x14ac:dyDescent="0.25">
      <c r="A65" s="226" t="s">
        <v>34</v>
      </c>
      <c r="B65" s="227" t="s">
        <v>135</v>
      </c>
      <c r="C65" s="228">
        <v>0.44</v>
      </c>
      <c r="D65" s="228" t="s">
        <v>161</v>
      </c>
      <c r="E65" s="228">
        <v>1.3</v>
      </c>
      <c r="F65" s="229" t="s">
        <v>287</v>
      </c>
      <c r="G65" s="230">
        <v>0.45</v>
      </c>
      <c r="H65" s="228" t="s">
        <v>289</v>
      </c>
      <c r="I65" s="231">
        <v>0.43</v>
      </c>
      <c r="J65" s="99"/>
      <c r="K65" s="99"/>
      <c r="L65" s="99"/>
      <c r="M65" s="99"/>
      <c r="N65" s="99"/>
    </row>
    <row r="66" spans="1:14" x14ac:dyDescent="0.25">
      <c r="A66" s="226" t="s">
        <v>35</v>
      </c>
      <c r="B66" s="227" t="s">
        <v>84</v>
      </c>
      <c r="C66" s="228">
        <v>0.46</v>
      </c>
      <c r="D66" s="228" t="s">
        <v>161</v>
      </c>
      <c r="E66" s="228">
        <v>1.3</v>
      </c>
      <c r="F66" s="229" t="s">
        <v>287</v>
      </c>
      <c r="G66" s="230">
        <v>0.45</v>
      </c>
      <c r="H66" s="228" t="s">
        <v>289</v>
      </c>
      <c r="I66" s="231">
        <v>0.43</v>
      </c>
      <c r="J66" s="99"/>
      <c r="K66" s="99"/>
      <c r="L66" s="99"/>
      <c r="M66" s="99"/>
      <c r="N66" s="99"/>
    </row>
    <row r="67" spans="1:14" x14ac:dyDescent="0.25">
      <c r="A67" s="226" t="s">
        <v>36</v>
      </c>
      <c r="B67" s="227" t="s">
        <v>85</v>
      </c>
      <c r="C67" s="228">
        <v>0.46</v>
      </c>
      <c r="D67" s="228" t="s">
        <v>161</v>
      </c>
      <c r="E67" s="228">
        <v>1.3</v>
      </c>
      <c r="F67" s="229" t="s">
        <v>287</v>
      </c>
      <c r="G67" s="230">
        <v>0.45</v>
      </c>
      <c r="H67" s="228" t="s">
        <v>152</v>
      </c>
      <c r="I67" s="231">
        <v>0.59</v>
      </c>
      <c r="J67" s="99"/>
      <c r="K67" s="99"/>
      <c r="L67" s="99"/>
      <c r="M67" s="99"/>
      <c r="N67" s="99"/>
    </row>
    <row r="68" spans="1:14" x14ac:dyDescent="0.25">
      <c r="A68" s="226" t="s">
        <v>37</v>
      </c>
      <c r="B68" s="227" t="s">
        <v>136</v>
      </c>
      <c r="C68" s="228">
        <v>0.44</v>
      </c>
      <c r="D68" s="228" t="s">
        <v>161</v>
      </c>
      <c r="E68" s="228">
        <v>1.3</v>
      </c>
      <c r="F68" s="229" t="s">
        <v>287</v>
      </c>
      <c r="G68" s="230">
        <v>0.45</v>
      </c>
      <c r="H68" s="228" t="s">
        <v>289</v>
      </c>
      <c r="I68" s="231">
        <v>0.43</v>
      </c>
      <c r="J68" s="99"/>
      <c r="K68" s="99"/>
      <c r="L68" s="99"/>
      <c r="M68" s="99"/>
      <c r="N68" s="99"/>
    </row>
    <row r="69" spans="1:14" x14ac:dyDescent="0.25">
      <c r="A69" s="226" t="s">
        <v>38</v>
      </c>
      <c r="B69" s="227" t="s">
        <v>86</v>
      </c>
      <c r="C69" s="228">
        <v>0.46</v>
      </c>
      <c r="D69" s="228" t="s">
        <v>161</v>
      </c>
      <c r="E69" s="228">
        <v>1.3</v>
      </c>
      <c r="F69" s="229" t="s">
        <v>287</v>
      </c>
      <c r="G69" s="230">
        <v>0.45</v>
      </c>
      <c r="H69" s="228" t="s">
        <v>289</v>
      </c>
      <c r="I69" s="231">
        <v>0.43</v>
      </c>
      <c r="J69" s="99"/>
      <c r="K69" s="99"/>
      <c r="L69" s="99"/>
      <c r="M69" s="99"/>
      <c r="N69" s="99"/>
    </row>
    <row r="70" spans="1:14" x14ac:dyDescent="0.25">
      <c r="A70" s="226" t="s">
        <v>39</v>
      </c>
      <c r="B70" s="227" t="s">
        <v>137</v>
      </c>
      <c r="C70" s="228">
        <v>0.48</v>
      </c>
      <c r="D70" s="228" t="s">
        <v>161</v>
      </c>
      <c r="E70" s="228">
        <v>2.4</v>
      </c>
      <c r="F70" s="228" t="s">
        <v>297</v>
      </c>
      <c r="G70" s="230">
        <v>0.45</v>
      </c>
      <c r="H70" s="228" t="s">
        <v>289</v>
      </c>
      <c r="I70" s="231">
        <v>0.43</v>
      </c>
      <c r="J70" s="99"/>
      <c r="K70" s="99"/>
      <c r="L70" s="99"/>
      <c r="M70" s="99"/>
      <c r="N70" s="99"/>
    </row>
    <row r="71" spans="1:14" x14ac:dyDescent="0.25">
      <c r="A71" s="226" t="s">
        <v>40</v>
      </c>
      <c r="B71" s="227" t="s">
        <v>87</v>
      </c>
      <c r="C71" s="228">
        <v>0.46</v>
      </c>
      <c r="D71" s="228" t="s">
        <v>150</v>
      </c>
      <c r="E71" s="228">
        <v>1.3</v>
      </c>
      <c r="F71" s="229" t="s">
        <v>287</v>
      </c>
      <c r="G71" s="230">
        <v>0.45</v>
      </c>
      <c r="H71" s="228" t="s">
        <v>289</v>
      </c>
      <c r="I71" s="231">
        <v>0.43</v>
      </c>
      <c r="J71" s="99"/>
      <c r="K71" s="99"/>
      <c r="L71" s="99"/>
      <c r="M71" s="99"/>
      <c r="N71" s="99"/>
    </row>
    <row r="72" spans="1:14" x14ac:dyDescent="0.25">
      <c r="A72" s="226" t="s">
        <v>41</v>
      </c>
      <c r="B72" s="227" t="s">
        <v>88</v>
      </c>
      <c r="C72" s="228">
        <v>0.44</v>
      </c>
      <c r="D72" s="228" t="s">
        <v>161</v>
      </c>
      <c r="E72" s="228">
        <v>1.3</v>
      </c>
      <c r="F72" s="229" t="s">
        <v>287</v>
      </c>
      <c r="G72" s="230">
        <v>0.45</v>
      </c>
      <c r="H72" s="228" t="s">
        <v>289</v>
      </c>
      <c r="I72" s="231">
        <v>0.43</v>
      </c>
      <c r="J72" s="99"/>
      <c r="K72" s="99"/>
      <c r="L72" s="99"/>
      <c r="M72" s="99"/>
      <c r="N72" s="99"/>
    </row>
    <row r="73" spans="1:14" x14ac:dyDescent="0.25">
      <c r="A73" s="226" t="s">
        <v>138</v>
      </c>
      <c r="B73" s="227" t="s">
        <v>140</v>
      </c>
      <c r="C73" s="228">
        <v>0.46</v>
      </c>
      <c r="D73" s="228" t="s">
        <v>151</v>
      </c>
      <c r="E73" s="228">
        <v>1.3</v>
      </c>
      <c r="F73" s="229" t="s">
        <v>287</v>
      </c>
      <c r="G73" s="230">
        <v>0.45</v>
      </c>
      <c r="H73" s="228" t="s">
        <v>289</v>
      </c>
      <c r="I73" s="231">
        <v>0.43</v>
      </c>
      <c r="J73" s="99"/>
      <c r="K73" s="99"/>
      <c r="L73" s="99"/>
      <c r="M73" s="99"/>
      <c r="N73" s="99"/>
    </row>
    <row r="74" spans="1:14" x14ac:dyDescent="0.25">
      <c r="A74" s="226" t="s">
        <v>42</v>
      </c>
      <c r="B74" s="227" t="s">
        <v>139</v>
      </c>
      <c r="C74" s="228">
        <v>0.34</v>
      </c>
      <c r="D74" s="228" t="s">
        <v>161</v>
      </c>
      <c r="E74" s="228">
        <v>1.3</v>
      </c>
      <c r="F74" s="229" t="s">
        <v>287</v>
      </c>
      <c r="G74" s="230">
        <v>0.45</v>
      </c>
      <c r="H74" s="228" t="s">
        <v>289</v>
      </c>
      <c r="I74" s="231">
        <v>0.43</v>
      </c>
      <c r="J74" s="99"/>
      <c r="K74" s="99"/>
      <c r="L74" s="99"/>
      <c r="M74" s="99"/>
      <c r="N74" s="99"/>
    </row>
    <row r="75" spans="1:14" x14ac:dyDescent="0.25">
      <c r="A75" s="226" t="s">
        <v>43</v>
      </c>
      <c r="B75" s="227" t="s">
        <v>162</v>
      </c>
      <c r="C75" s="228">
        <v>0.5</v>
      </c>
      <c r="D75" s="228" t="s">
        <v>161</v>
      </c>
      <c r="E75" s="228">
        <v>1.56</v>
      </c>
      <c r="F75" s="229" t="s">
        <v>287</v>
      </c>
      <c r="G75" s="230">
        <v>0.53</v>
      </c>
      <c r="H75" s="228" t="s">
        <v>288</v>
      </c>
      <c r="I75" s="231">
        <v>0.25</v>
      </c>
      <c r="J75" s="99"/>
      <c r="K75" s="99"/>
      <c r="L75" s="99"/>
      <c r="M75" s="99"/>
      <c r="N75" s="99"/>
    </row>
    <row r="76" spans="1:14" x14ac:dyDescent="0.25">
      <c r="A76" s="226" t="s">
        <v>44</v>
      </c>
      <c r="B76" s="227" t="s">
        <v>89</v>
      </c>
      <c r="C76" s="228">
        <v>0.57999999999999996</v>
      </c>
      <c r="D76" s="228" t="s">
        <v>161</v>
      </c>
      <c r="E76" s="228">
        <v>1.56</v>
      </c>
      <c r="F76" s="229" t="s">
        <v>287</v>
      </c>
      <c r="G76" s="230">
        <v>0.3</v>
      </c>
      <c r="H76" s="228" t="s">
        <v>290</v>
      </c>
      <c r="I76" s="231">
        <v>0.25</v>
      </c>
      <c r="J76" s="99"/>
      <c r="K76" s="99"/>
      <c r="L76" s="99"/>
      <c r="M76" s="99"/>
      <c r="N76" s="99"/>
    </row>
    <row r="77" spans="1:14" x14ac:dyDescent="0.25">
      <c r="A77" s="226" t="s">
        <v>47</v>
      </c>
      <c r="B77" s="227" t="s">
        <v>141</v>
      </c>
      <c r="C77" s="228">
        <v>0.37</v>
      </c>
      <c r="D77" s="228" t="s">
        <v>161</v>
      </c>
      <c r="E77" s="228">
        <v>1.3</v>
      </c>
      <c r="F77" s="229" t="s">
        <v>287</v>
      </c>
      <c r="G77" s="230">
        <v>0.55000000000000004</v>
      </c>
      <c r="H77" s="228" t="s">
        <v>152</v>
      </c>
      <c r="I77" s="231">
        <v>0.43</v>
      </c>
      <c r="J77" s="99"/>
      <c r="K77" s="99"/>
      <c r="L77" s="99"/>
      <c r="M77" s="99"/>
      <c r="N77" s="99"/>
    </row>
    <row r="78" spans="1:14" x14ac:dyDescent="0.25">
      <c r="A78" s="226" t="s">
        <v>45</v>
      </c>
      <c r="B78" s="227" t="s">
        <v>96</v>
      </c>
      <c r="C78" s="228">
        <v>0.37</v>
      </c>
      <c r="D78" s="228" t="s">
        <v>161</v>
      </c>
      <c r="E78" s="228">
        <v>1.3</v>
      </c>
      <c r="F78" s="229" t="s">
        <v>287</v>
      </c>
      <c r="G78" s="230">
        <v>0.55000000000000004</v>
      </c>
      <c r="H78" s="228" t="s">
        <v>152</v>
      </c>
      <c r="I78" s="231">
        <v>0.43</v>
      </c>
      <c r="J78" s="99"/>
      <c r="K78" s="99"/>
      <c r="L78" s="99"/>
      <c r="M78" s="99"/>
      <c r="N78" s="99"/>
    </row>
    <row r="79" spans="1:14" x14ac:dyDescent="0.25">
      <c r="A79" s="226" t="s">
        <v>46</v>
      </c>
      <c r="B79" s="227" t="s">
        <v>95</v>
      </c>
      <c r="C79" s="228">
        <v>0.38</v>
      </c>
      <c r="D79" s="228" t="s">
        <v>161</v>
      </c>
      <c r="E79" s="228">
        <v>1.3</v>
      </c>
      <c r="F79" s="229" t="s">
        <v>287</v>
      </c>
      <c r="G79" s="230">
        <v>0.55000000000000004</v>
      </c>
      <c r="H79" s="228" t="s">
        <v>153</v>
      </c>
      <c r="I79" s="231">
        <v>0.43</v>
      </c>
      <c r="J79" s="99"/>
      <c r="K79" s="99"/>
      <c r="L79" s="99"/>
      <c r="M79" s="99"/>
      <c r="N79" s="99"/>
    </row>
    <row r="80" spans="1:14" x14ac:dyDescent="0.25">
      <c r="A80" s="226" t="s">
        <v>48</v>
      </c>
      <c r="B80" s="227" t="s">
        <v>94</v>
      </c>
      <c r="C80" s="228">
        <v>0.36</v>
      </c>
      <c r="D80" s="228" t="s">
        <v>161</v>
      </c>
      <c r="E80" s="228">
        <v>1.3</v>
      </c>
      <c r="F80" s="229" t="s">
        <v>287</v>
      </c>
      <c r="G80" s="230">
        <v>0.55000000000000004</v>
      </c>
      <c r="H80" s="228" t="s">
        <v>153</v>
      </c>
      <c r="I80" s="231">
        <v>0.43</v>
      </c>
      <c r="J80" s="99"/>
      <c r="K80" s="99"/>
      <c r="L80" s="99"/>
      <c r="M80" s="99"/>
      <c r="N80" s="99"/>
    </row>
    <row r="81" spans="1:14" x14ac:dyDescent="0.25">
      <c r="A81" s="226" t="s">
        <v>49</v>
      </c>
      <c r="B81" s="227" t="s">
        <v>142</v>
      </c>
      <c r="C81" s="228">
        <v>0.37</v>
      </c>
      <c r="D81" s="228" t="s">
        <v>161</v>
      </c>
      <c r="E81" s="228">
        <v>1.56</v>
      </c>
      <c r="F81" s="229" t="s">
        <v>287</v>
      </c>
      <c r="G81" s="230">
        <v>0.43</v>
      </c>
      <c r="H81" s="228" t="s">
        <v>291</v>
      </c>
      <c r="I81" s="231">
        <v>0.25</v>
      </c>
      <c r="J81" s="99"/>
      <c r="K81" s="99"/>
      <c r="L81" s="99"/>
      <c r="M81" s="99"/>
      <c r="N81" s="99"/>
    </row>
    <row r="82" spans="1:14" x14ac:dyDescent="0.25">
      <c r="A82" s="226" t="s">
        <v>158</v>
      </c>
      <c r="B82" s="227" t="s">
        <v>159</v>
      </c>
      <c r="C82" s="228">
        <v>0.35</v>
      </c>
      <c r="D82" s="228" t="s">
        <v>160</v>
      </c>
      <c r="E82" s="228">
        <v>1.3</v>
      </c>
      <c r="F82" s="229" t="s">
        <v>287</v>
      </c>
      <c r="G82" s="230">
        <v>0.55000000000000004</v>
      </c>
      <c r="H82" s="228" t="s">
        <v>153</v>
      </c>
      <c r="I82" s="231">
        <v>0.43</v>
      </c>
      <c r="J82" s="99"/>
      <c r="K82" s="99"/>
      <c r="L82" s="99"/>
      <c r="M82" s="99"/>
      <c r="N82" s="99"/>
    </row>
    <row r="83" spans="1:14" x14ac:dyDescent="0.25">
      <c r="A83" s="226" t="s">
        <v>156</v>
      </c>
      <c r="B83" s="227" t="s">
        <v>157</v>
      </c>
      <c r="C83" s="228">
        <v>0.34</v>
      </c>
      <c r="D83" s="228" t="s">
        <v>161</v>
      </c>
      <c r="E83" s="228">
        <v>1.3</v>
      </c>
      <c r="F83" s="229" t="s">
        <v>287</v>
      </c>
      <c r="G83" s="230">
        <v>0.55000000000000004</v>
      </c>
      <c r="H83" s="228" t="s">
        <v>153</v>
      </c>
      <c r="I83" s="231">
        <v>0.43</v>
      </c>
      <c r="J83" s="99"/>
      <c r="K83" s="99"/>
      <c r="L83" s="99"/>
      <c r="M83" s="99"/>
      <c r="N83" s="99"/>
    </row>
    <row r="84" spans="1:14" x14ac:dyDescent="0.25">
      <c r="A84" s="226" t="s">
        <v>92</v>
      </c>
      <c r="B84" s="227" t="s">
        <v>93</v>
      </c>
      <c r="C84" s="228">
        <v>0.31</v>
      </c>
      <c r="D84" s="228" t="s">
        <v>161</v>
      </c>
      <c r="E84" s="228">
        <v>1.3</v>
      </c>
      <c r="F84" s="229" t="s">
        <v>287</v>
      </c>
      <c r="G84" s="230">
        <v>0.55000000000000004</v>
      </c>
      <c r="H84" s="228" t="s">
        <v>153</v>
      </c>
      <c r="I84" s="231">
        <v>0.43</v>
      </c>
      <c r="J84" s="99"/>
      <c r="K84" s="99"/>
      <c r="L84" s="99"/>
      <c r="M84" s="99"/>
      <c r="N84" s="99"/>
    </row>
    <row r="85" spans="1:14" x14ac:dyDescent="0.25">
      <c r="A85" s="226" t="s">
        <v>50</v>
      </c>
      <c r="B85" s="227" t="s">
        <v>143</v>
      </c>
      <c r="C85" s="228">
        <v>0.43</v>
      </c>
      <c r="D85" s="228" t="s">
        <v>161</v>
      </c>
      <c r="E85" s="228">
        <v>1.56</v>
      </c>
      <c r="F85" s="229" t="s">
        <v>287</v>
      </c>
      <c r="G85" s="230">
        <v>0.53</v>
      </c>
      <c r="H85" s="228" t="s">
        <v>288</v>
      </c>
      <c r="I85" s="231">
        <v>0.25</v>
      </c>
      <c r="J85" s="99"/>
      <c r="K85" s="99"/>
      <c r="L85" s="99"/>
      <c r="M85" s="99"/>
      <c r="N85" s="99"/>
    </row>
    <row r="86" spans="1:14" x14ac:dyDescent="0.25">
      <c r="A86" s="226" t="s">
        <v>51</v>
      </c>
      <c r="B86" s="227" t="s">
        <v>91</v>
      </c>
      <c r="C86" s="228">
        <v>0.38</v>
      </c>
      <c r="D86" s="228" t="s">
        <v>161</v>
      </c>
      <c r="E86" s="228">
        <v>1.56</v>
      </c>
      <c r="F86" s="229" t="s">
        <v>287</v>
      </c>
      <c r="G86" s="230">
        <v>0.6</v>
      </c>
      <c r="H86" s="228" t="s">
        <v>292</v>
      </c>
      <c r="I86" s="231">
        <v>0.25</v>
      </c>
      <c r="J86" s="99"/>
      <c r="K86" s="99"/>
      <c r="L86" s="99"/>
      <c r="M86" s="99"/>
      <c r="N86" s="99"/>
    </row>
    <row r="87" spans="1:14" x14ac:dyDescent="0.25">
      <c r="A87" s="226" t="s">
        <v>148</v>
      </c>
      <c r="B87" s="235"/>
      <c r="C87" s="228">
        <v>0.42</v>
      </c>
      <c r="D87" s="228" t="s">
        <v>161</v>
      </c>
      <c r="E87" s="228">
        <v>1.3</v>
      </c>
      <c r="F87" s="229" t="s">
        <v>287</v>
      </c>
      <c r="G87" s="236"/>
      <c r="H87" s="235"/>
      <c r="I87" s="237"/>
    </row>
    <row r="88" spans="1:14" ht="15.75" thickBot="1" x14ac:dyDescent="0.3">
      <c r="A88" s="238" t="s">
        <v>149</v>
      </c>
      <c r="B88" s="239"/>
      <c r="C88" s="240">
        <v>0.56999999999999995</v>
      </c>
      <c r="D88" s="241" t="s">
        <v>161</v>
      </c>
      <c r="E88" s="240">
        <v>1.56</v>
      </c>
      <c r="F88" s="240" t="s">
        <v>287</v>
      </c>
      <c r="G88" s="239"/>
      <c r="H88" s="239"/>
      <c r="I88" s="242"/>
    </row>
    <row r="92" spans="1:14" x14ac:dyDescent="0.25">
      <c r="A92" s="226" t="s">
        <v>209</v>
      </c>
    </row>
    <row r="93" spans="1:14" x14ac:dyDescent="0.25">
      <c r="A93" s="226" t="s">
        <v>210</v>
      </c>
    </row>
    <row r="94" spans="1:14" x14ac:dyDescent="0.25">
      <c r="A94" s="226" t="s">
        <v>211</v>
      </c>
    </row>
  </sheetData>
  <sheetProtection algorithmName="SHA-512" hashValue="SHbeXc6bAcHasYMi/RxFnLqrGNuTby5H2jVbOlLWgjjlaGW+88LEn86Nai0+1xKNtRQKOq/qbdQCU2Vzsm6yhg==" saltValue="2Kk3L72wOSeW6YbgicJSm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P18"/>
  <sheetViews>
    <sheetView topLeftCell="A4" zoomScaleNormal="100" workbookViewId="0">
      <selection activeCell="E20" sqref="E20"/>
    </sheetView>
  </sheetViews>
  <sheetFormatPr baseColWidth="10" defaultRowHeight="15" x14ac:dyDescent="0.25"/>
  <cols>
    <col min="1" max="1" width="22.85546875" style="15" bestFit="1" customWidth="1"/>
    <col min="2" max="2" width="10.5703125" style="15" bestFit="1" customWidth="1"/>
    <col min="3" max="3" width="15.5703125" style="15" bestFit="1" customWidth="1"/>
    <col min="4" max="4" width="13.42578125" style="15" bestFit="1" customWidth="1"/>
    <col min="5" max="10" width="11.42578125" style="15"/>
    <col min="11" max="12" width="13.42578125" style="15" customWidth="1"/>
    <col min="13" max="16384" width="11.42578125" style="15"/>
  </cols>
  <sheetData>
    <row r="1" spans="1:16" ht="15.75" thickBot="1" x14ac:dyDescent="0.3"/>
    <row r="2" spans="1:16" ht="27" thickBot="1" x14ac:dyDescent="0.45">
      <c r="B2" s="264" t="s">
        <v>283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</row>
    <row r="4" spans="1:16" ht="15.75" thickBot="1" x14ac:dyDescent="0.3"/>
    <row r="5" spans="1:16" ht="75.75" thickBot="1" x14ac:dyDescent="0.3">
      <c r="A5" s="174" t="s">
        <v>208</v>
      </c>
      <c r="B5" s="175" t="s">
        <v>256</v>
      </c>
      <c r="C5" s="176" t="s">
        <v>228</v>
      </c>
      <c r="D5" s="177" t="s">
        <v>229</v>
      </c>
      <c r="E5" s="177" t="s">
        <v>230</v>
      </c>
      <c r="F5" s="177" t="s">
        <v>231</v>
      </c>
      <c r="G5" s="177" t="s">
        <v>232</v>
      </c>
      <c r="H5" s="177" t="s">
        <v>233</v>
      </c>
      <c r="I5" s="177" t="s">
        <v>245</v>
      </c>
      <c r="J5" s="178" t="s">
        <v>246</v>
      </c>
      <c r="K5" s="179" t="s">
        <v>247</v>
      </c>
      <c r="L5" s="180" t="s">
        <v>248</v>
      </c>
      <c r="M5" s="181" t="s">
        <v>249</v>
      </c>
      <c r="N5" s="182" t="s">
        <v>250</v>
      </c>
      <c r="O5" s="183" t="s">
        <v>251</v>
      </c>
    </row>
    <row r="6" spans="1:16" x14ac:dyDescent="0.25">
      <c r="A6" s="184" t="str">
        <f>IF('Données projet'!$B$9="","",'Données projet'!$B$9)</f>
        <v>Chêne pubescent</v>
      </c>
      <c r="B6" s="185">
        <f>'Données projet'!D9</f>
        <v>0.8</v>
      </c>
      <c r="C6" s="186">
        <f ca="1">IF(OR('Données projet'!B9="",'Données projet'!C9="",'Données projet'!C9=0%),0,IF('Données projet'!E9&gt;=30,Calculateur!L33-Calculateur!E33,OFFSET(Calculateur!$L$3,'Données projet'!E9,0)-OFFSET(Calculateur!$E$3,'Données projet'!E9,0)))</f>
        <v>179.56041631665809</v>
      </c>
      <c r="D6" s="187">
        <f ca="1">IF(OR('Données projet'!B9="",'Données projet'!C9="",'Données projet'!C9=0%),0,AVERAGE(OFFSET(Calculateur!$L$3,0,0,'Données projet'!$E$9+1,1))-AVERAGE(OFFSET(Calculateur!$E$3,0,0,'Données projet'!$E$9+1,1)))</f>
        <v>355.14977530364825</v>
      </c>
      <c r="E6" s="187">
        <f ca="1">MIN(C6,D6)</f>
        <v>179.56041631665809</v>
      </c>
      <c r="F6" s="187">
        <v>0</v>
      </c>
      <c r="G6" s="187">
        <f>IF(A6="","",IF(AND('Scénario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6" s="187">
        <f>IF(A6="","",IF(OR('Scénario référence'!$N$1=1,'Scénario référence'!$N$1=2,'Scénario référence'!$N$1=3),10*44/12,0))</f>
        <v>0</v>
      </c>
      <c r="I6" s="187">
        <f ca="1">SUM(E6:H6)*B6</f>
        <v>143.64833305332647</v>
      </c>
      <c r="J6" s="188">
        <f ca="1">I6*(100%-'Données projet'!$C$24)*(100%-'Données projet'!$C$25)*(100%-'Données projet'!$C$26)*(100%-'Données projet'!$C$27)</f>
        <v>129.28349974799383</v>
      </c>
      <c r="K6" s="189">
        <f>IF(OR('Données projet'!B9="",'Données projet'!C9="",'Données projet'!C9=0%),0,AVERAGE(Calculateur!$U$3:$U$33)*B6)</f>
        <v>0</v>
      </c>
      <c r="L6" s="190">
        <f>K6*(100%-'Données projet'!$C$24)*(100%-'Données projet'!$C$25)*(100%-'Données projet'!$C$26)*(100%-'Données projet'!$C$27)</f>
        <v>0</v>
      </c>
      <c r="M6" s="191">
        <f>IF(OR('Données projet'!B9="",'Données projet'!C9="",'Données projet'!C9=0%),0,SUM(Calculateur!$N$3:$N$33)*VLOOKUP('Données projet'!$B$9,Paramètres!$A$1:$I$88,9,0)*B6)</f>
        <v>1.6</v>
      </c>
      <c r="N6" s="192">
        <f>M6*(100%-'Données projet'!$C$24)*(100%-'Données projet'!$C$25)*(100%-'Données projet'!$C$26)*(100%-'Données projet'!$C$27)</f>
        <v>1.4400000000000002</v>
      </c>
      <c r="O6" s="193">
        <f ca="1">J6+L6+N6</f>
        <v>130.72349974799383</v>
      </c>
    </row>
    <row r="7" spans="1:16" x14ac:dyDescent="0.25">
      <c r="A7" s="194" t="str">
        <f>IF('Données projet'!$B$10="","",'Données projet'!$B$10)</f>
        <v/>
      </c>
      <c r="B7" s="195">
        <f>'Données projet'!D10</f>
        <v>0</v>
      </c>
      <c r="C7" s="186">
        <f ca="1">IF(OR('Données projet'!B10="",'Données projet'!C10="",'Données projet'!C10=0%),0,IF('Données projet'!E10&gt;=30,Calculateur!AB33-Calculateur!E33,OFFSET(Calculateur!$AB$3,'Données projet'!E10,0)-OFFSET(Calculateur!$E$3,'Données projet'!E10,0)))</f>
        <v>0</v>
      </c>
      <c r="D7" s="163">
        <f ca="1">IF(OR('Données projet'!B10="",'Données projet'!C10="",'Données projet'!C10=0%),0,AVERAGE(OFFSET(Calculateur!$AB$3,0,0,'Données projet'!$E$10+1,1))-AVERAGE(OFFSET(Calculateur!$E$3,0,0,'Données projet'!$E$10+1,1)))</f>
        <v>0</v>
      </c>
      <c r="E7" s="187">
        <f t="shared" ref="E7:E15" ca="1" si="0">MIN(C7,D7)</f>
        <v>0</v>
      </c>
      <c r="F7" s="163">
        <v>0</v>
      </c>
      <c r="G7" s="187" t="str">
        <f>IF(A7="","",IF(AND('Scénario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7" s="187" t="str">
        <f>IF(A7="","",IF(OR('Scénario référence'!$N$1=1,'Scénario référence'!$N$1=2,'Scénario référence'!$N$1=3),10*44/12,0))</f>
        <v/>
      </c>
      <c r="I7" s="187">
        <f t="shared" ref="I7:I15" ca="1" si="1">SUM(E7:H7)*B7</f>
        <v>0</v>
      </c>
      <c r="J7" s="188">
        <f ca="1">I7*(100%-'Données projet'!$C$24)*(100%-'Données projet'!$C$25)*(100%-'Données projet'!$C$26)*(100%-'Données projet'!$C$27)</f>
        <v>0</v>
      </c>
      <c r="K7" s="196">
        <f>IF(OR('Données projet'!B10="",'Données projet'!C10="",'Données projet'!C10=0%),0,AVERAGE(Calculateur!$AK$3:$AK$33)*B7)</f>
        <v>0</v>
      </c>
      <c r="L7" s="190">
        <f>K7*(100%-'Données projet'!$C$24)*(100%-'Données projet'!$C$25)*(100%-'Données projet'!$C$26)*(100%-'Données projet'!$C$27)</f>
        <v>0</v>
      </c>
      <c r="M7" s="191">
        <f>IF(OR('Données projet'!B10="",'Données projet'!C10="",'Données projet'!C10=0%),0,SUM(Calculateur!$AD$3:$AD$33)*VLOOKUP('Données projet'!$B$10,Paramètres!$A$1:$I$88,9,0)*B7)</f>
        <v>0</v>
      </c>
      <c r="N7" s="192">
        <f>M7*(100%-'Données projet'!$C$24)*(100%-'Données projet'!$C$25)*(100%-'Données projet'!$C$26)*(100%-'Données projet'!$C$27)</f>
        <v>0</v>
      </c>
      <c r="O7" s="193">
        <f t="shared" ref="O7:O15" ca="1" si="2">J7+L7+N7</f>
        <v>0</v>
      </c>
    </row>
    <row r="8" spans="1:16" x14ac:dyDescent="0.25">
      <c r="A8" s="194" t="str">
        <f>IF('Données projet'!$B$11="","",'Données projet'!$B$11)</f>
        <v/>
      </c>
      <c r="B8" s="195">
        <f>'Données projet'!D11</f>
        <v>0</v>
      </c>
      <c r="C8" s="186">
        <f ca="1">IF(OR('Données projet'!B11="",'Données projet'!C11="",'Données projet'!C11=0%),0,IF('Données projet'!E11&gt;=30,Calculateur!AR33-Calculateur!E33,OFFSET(Calculateur!$AR$3,'Données projet'!E11,0)-OFFSET(Calculateur!$E$3,'Données projet'!E11,0)))</f>
        <v>0</v>
      </c>
      <c r="D8" s="163">
        <f ca="1">IF(OR('Données projet'!B11="",'Données projet'!C11="",'Données projet'!C11=0%),0,AVERAGE(OFFSET(Calculateur!$AR$3,0,0,'Données projet'!$E$11+1,1))-AVERAGE(OFFSET(Calculateur!$E$3,0,0,'Données projet'!$E$11+1,1)))</f>
        <v>0</v>
      </c>
      <c r="E8" s="187">
        <f t="shared" ca="1" si="0"/>
        <v>0</v>
      </c>
      <c r="F8" s="163">
        <v>0</v>
      </c>
      <c r="G8" s="187" t="str">
        <f>IF(A8="","",IF(AND('Scénario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8" s="187" t="str">
        <f>IF(A8="","",IF(OR('Scénario référence'!$N$1=1,'Scénario référence'!$N$1=2,'Scénario référence'!$N$1=3),10*44/12,0))</f>
        <v/>
      </c>
      <c r="I8" s="187">
        <f t="shared" ca="1" si="1"/>
        <v>0</v>
      </c>
      <c r="J8" s="188">
        <f ca="1">I8*(100%-'Données projet'!$C$24)*(100%-'Données projet'!$C$25)*(100%-'Données projet'!$C$26)*(100%-'Données projet'!$C$27)</f>
        <v>0</v>
      </c>
      <c r="K8" s="196">
        <f>IF(OR('Données projet'!B11="",'Données projet'!C11="",'Données projet'!C11=0%),0,AVERAGE(Calculateur!$BA$3:$BA$33)*B8)</f>
        <v>0</v>
      </c>
      <c r="L8" s="190">
        <f>K8*(100%-'Données projet'!$C$24)*(100%-'Données projet'!$C$25)*(100%-'Données projet'!$C$26)*(100%-'Données projet'!$C$27)</f>
        <v>0</v>
      </c>
      <c r="M8" s="191">
        <f>IF(OR('Données projet'!B11="",'Données projet'!C11="",'Données projet'!C11=0%),0,SUM(Calculateur!$AT$3:$AT$33)*VLOOKUP('Données projet'!$B$11,Paramètres!$A$1:$I$88,9,0)*B8)</f>
        <v>0</v>
      </c>
      <c r="N8" s="192">
        <f>M8*(100%-'Données projet'!$C$24)*(100%-'Données projet'!$C$25)*(100%-'Données projet'!$C$26)*(100%-'Données projet'!$C$27)</f>
        <v>0</v>
      </c>
      <c r="O8" s="193">
        <f t="shared" ca="1" si="2"/>
        <v>0</v>
      </c>
    </row>
    <row r="9" spans="1:16" x14ac:dyDescent="0.25">
      <c r="A9" s="194" t="str">
        <f>IF('Données projet'!$B$12="","",'Données projet'!$B$12)</f>
        <v/>
      </c>
      <c r="B9" s="195">
        <f>'Données projet'!D12</f>
        <v>0</v>
      </c>
      <c r="C9" s="186">
        <f ca="1">IF(OR('Données projet'!B12="",'Données projet'!C12="",'Données projet'!C12=0%),0,IF('Données projet'!E12&gt;=30,Calculateur!BH33-Calculateur!E33,OFFSET(Calculateur!$BH$3,'Données projet'!E12,0)-OFFSET(Calculateur!$E$3,'Données projet'!E12,0)))</f>
        <v>0</v>
      </c>
      <c r="D9" s="163">
        <f ca="1">IF(OR('Données projet'!B12="",'Données projet'!C12="",'Données projet'!C12=0%),0,AVERAGE(OFFSET(Calculateur!$BH$3,0,0,'Données projet'!$E$12+1,1))-AVERAGE(OFFSET(Calculateur!$E$3,0,0,'Données projet'!$E$12+1,1)))</f>
        <v>0</v>
      </c>
      <c r="E9" s="187">
        <f t="shared" ca="1" si="0"/>
        <v>0</v>
      </c>
      <c r="F9" s="163">
        <v>0</v>
      </c>
      <c r="G9" s="187" t="str">
        <f>IF(A9="","",IF(AND('Scénario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9" s="187" t="str">
        <f>IF(A9="","",IF(OR('Scénario référence'!$N$1=1,'Scénario référence'!$N$1=2,'Scénario référence'!$N$1=3),10*44/12,0))</f>
        <v/>
      </c>
      <c r="I9" s="187">
        <f ca="1">SUM(E9:H9)*B9</f>
        <v>0</v>
      </c>
      <c r="J9" s="188">
        <f ca="1">I9*(100%-'Données projet'!$C$24)*(100%-'Données projet'!$C$25)*(100%-'Données projet'!$C$26)*(100%-'Données projet'!$C$27)</f>
        <v>0</v>
      </c>
      <c r="K9" s="196">
        <f>IF(OR('Données projet'!B12="",'Données projet'!C12="",'Données projet'!C12=0%),0,AVERAGE(Calculateur!$BQ$3:$BQ$33)*B9)</f>
        <v>0</v>
      </c>
      <c r="L9" s="190">
        <f>K9*(100%-'Données projet'!$C$24)*(100%-'Données projet'!$C$25)*(100%-'Données projet'!$C$26)*(100%-'Données projet'!$C$27)</f>
        <v>0</v>
      </c>
      <c r="M9" s="191">
        <f>IF(OR('Données projet'!B12="",'Données projet'!C12="",'Données projet'!C12=0%),0,SUM(Calculateur!$BJ$3:$BJ$33)*VLOOKUP('Données projet'!$B$12,Paramètres!$A$1:$I$88,9,0)*B9)</f>
        <v>0</v>
      </c>
      <c r="N9" s="192">
        <f>M9*(100%-'Données projet'!$C$24)*(100%-'Données projet'!$C$25)*(100%-'Données projet'!$C$26)*(100%-'Données projet'!$C$27)</f>
        <v>0</v>
      </c>
      <c r="O9" s="193">
        <f t="shared" ca="1" si="2"/>
        <v>0</v>
      </c>
    </row>
    <row r="10" spans="1:16" x14ac:dyDescent="0.25">
      <c r="A10" s="194" t="str">
        <f>IF('Données projet'!$B$13="","",'Données projet'!$B$13)</f>
        <v/>
      </c>
      <c r="B10" s="195">
        <f>'Données projet'!D13</f>
        <v>0</v>
      </c>
      <c r="C10" s="186">
        <f ca="1">IF(OR('Données projet'!B13="",'Données projet'!C13="",'Données projet'!C13=0%),0,IF('Données projet'!E13&gt;=30,Calculateur!BX33-Calculateur!E33,OFFSET(Calculateur!$BX$3,'Données projet'!E13,0)-OFFSET(Calculateur!$E$3,'Données projet'!E13,0)))</f>
        <v>0</v>
      </c>
      <c r="D10" s="163">
        <f ca="1">IF(OR('Données projet'!B13="",'Données projet'!C13="",'Données projet'!C13=0%),0,AVERAGE(OFFSET(Calculateur!$BX$3,0,0,'Données projet'!$E$13+1,1))-AVERAGE(OFFSET(Calculateur!$E$3,0,0,'Données projet'!$E$13+1,1)))</f>
        <v>0</v>
      </c>
      <c r="E10" s="187">
        <f t="shared" ca="1" si="0"/>
        <v>0</v>
      </c>
      <c r="F10" s="163">
        <v>0</v>
      </c>
      <c r="G10" s="187" t="str">
        <f>IF(A10="","",IF(AND('Scénario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0" s="187" t="str">
        <f>IF(A10="","",IF(OR('Scénario référence'!$N$1=1,'Scénario référence'!$N$1=2,'Scénario référence'!$N$1=3),10*44/12,0))</f>
        <v/>
      </c>
      <c r="I10" s="187">
        <f t="shared" ca="1" si="1"/>
        <v>0</v>
      </c>
      <c r="J10" s="188">
        <f ca="1">I10*(100%-'Données projet'!$C$24)*(100%-'Données projet'!$C$25)*(100%-'Données projet'!$C$26)*(100%-'Données projet'!$C$27)</f>
        <v>0</v>
      </c>
      <c r="K10" s="196">
        <f>IF(OR('Données projet'!B13="",'Données projet'!C13="",'Données projet'!C13=0%),0,AVERAGE(Calculateur!$CG$3:$CG$33)*B10)</f>
        <v>0</v>
      </c>
      <c r="L10" s="190">
        <f>K10*(100%-'Données projet'!$C$24)*(100%-'Données projet'!$C$25)*(100%-'Données projet'!$C$26)*(100%-'Données projet'!$C$27)</f>
        <v>0</v>
      </c>
      <c r="M10" s="191">
        <f>IF(OR('Données projet'!B13="",'Données projet'!C13="",'Données projet'!C13=0%),0,SUM(Calculateur!$BZ$3:$BZ$33)*VLOOKUP('Données projet'!$B$13,Paramètres!$A$1:$I$88,9,0)*B10)</f>
        <v>0</v>
      </c>
      <c r="N10" s="192">
        <f>M10*(100%-'Données projet'!$C$24)*(100%-'Données projet'!$C$25)*(100%-'Données projet'!$C$26)*(100%-'Données projet'!$C$27)</f>
        <v>0</v>
      </c>
      <c r="O10" s="193">
        <f ca="1">J10+L10+N10</f>
        <v>0</v>
      </c>
    </row>
    <row r="11" spans="1:16" x14ac:dyDescent="0.25">
      <c r="A11" s="194" t="str">
        <f>IF('Données projet'!$B$14="","",'Données projet'!$B$14)</f>
        <v/>
      </c>
      <c r="B11" s="195">
        <f>'Données projet'!D14</f>
        <v>0</v>
      </c>
      <c r="C11" s="186">
        <f ca="1">IF(OR('Données projet'!B14="",'Données projet'!C14="",'Données projet'!C14=0%),0,IF('Données projet'!E14&gt;=30,Calculateur!CN33-Calculateur!E33,OFFSET(Calculateur!$CN$3,'Données projet'!E14,0)-OFFSET(Calculateur!$E$3,'Données projet'!E14,0)))</f>
        <v>0</v>
      </c>
      <c r="D11" s="163">
        <f ca="1">IF(OR('Données projet'!B14="",'Données projet'!C14="",'Données projet'!C14=0%),0,AVERAGE(OFFSET(Calculateur!$CN$3,0,0,'Données projet'!$E$14+1,1))-AVERAGE(OFFSET(Calculateur!$E$3,0,0,'Données projet'!$E$14+1,1)))</f>
        <v>0</v>
      </c>
      <c r="E11" s="187">
        <f t="shared" ca="1" si="0"/>
        <v>0</v>
      </c>
      <c r="F11" s="163">
        <v>0</v>
      </c>
      <c r="G11" s="187" t="str">
        <f>IF(A11="","",IF(AND('Scénario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1" s="187" t="str">
        <f>IF(A11="","",IF(OR('Scénario référence'!$N$1=1,'Scénario référence'!$N$1=2,'Scénario référence'!$N$1=3),10*44/12,0))</f>
        <v/>
      </c>
      <c r="I11" s="187">
        <f t="shared" ca="1" si="1"/>
        <v>0</v>
      </c>
      <c r="J11" s="188">
        <f ca="1">I11*(100%-'Données projet'!$C$24)*(100%-'Données projet'!$C$25)*(100%-'Données projet'!$C$26)*(100%-'Données projet'!$C$27)</f>
        <v>0</v>
      </c>
      <c r="K11" s="196">
        <f>IF(OR('Données projet'!B14="",'Données projet'!C14="",'Données projet'!C14=0%),0,AVERAGE(Calculateur!$CW$3:$CW$33)*B11)</f>
        <v>0</v>
      </c>
      <c r="L11" s="190">
        <f>K11*(100%-'Données projet'!$C$24)*(100%-'Données projet'!$C$25)*(100%-'Données projet'!$C$26)*(100%-'Données projet'!$C$27)</f>
        <v>0</v>
      </c>
      <c r="M11" s="191">
        <f>IF(OR('Données projet'!B14="",'Données projet'!C14="",'Données projet'!C14=0%),0,SUM(Calculateur!$CP$3:$CP$33)*VLOOKUP('Données projet'!$B$14,Paramètres!$A$1:$I$88,9,0)*B11)</f>
        <v>0</v>
      </c>
      <c r="N11" s="192">
        <f>M11*(100%-'Données projet'!$C$24)*(100%-'Données projet'!$C$25)*(100%-'Données projet'!$C$26)*(100%-'Données projet'!$C$27)</f>
        <v>0</v>
      </c>
      <c r="O11" s="193">
        <f t="shared" ca="1" si="2"/>
        <v>0</v>
      </c>
    </row>
    <row r="12" spans="1:16" x14ac:dyDescent="0.25">
      <c r="A12" s="194" t="str">
        <f>IF('Données projet'!$B$15="","",'Données projet'!$B$15)</f>
        <v/>
      </c>
      <c r="B12" s="195">
        <f>'Données projet'!D15</f>
        <v>0</v>
      </c>
      <c r="C12" s="186">
        <f ca="1">IF(OR('Données projet'!B15="",'Données projet'!C15="",'Données projet'!C15=0%),0,IF('Données projet'!E15&gt;=30,Calculateur!DD33-Calculateur!E33,OFFSET(Calculateur!$DD$3,'Données projet'!E15,0)-OFFSET(Calculateur!$E$3,'Données projet'!E15,0)))</f>
        <v>0</v>
      </c>
      <c r="D12" s="163">
        <f ca="1">IF(OR('Données projet'!B15="",'Données projet'!C15="",'Données projet'!C15=0%),0,AVERAGE(OFFSET(Calculateur!$DD$3,0,0,'Données projet'!$E$15+1,1))-AVERAGE(OFFSET(Calculateur!$E$3,0,0,'Données projet'!$E$15+1,1)))</f>
        <v>0</v>
      </c>
      <c r="E12" s="187">
        <f t="shared" ca="1" si="0"/>
        <v>0</v>
      </c>
      <c r="F12" s="163">
        <v>0</v>
      </c>
      <c r="G12" s="187" t="str">
        <f>IF(A12="","",IF(AND('Scénario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2" s="187" t="str">
        <f>IF(A12="","",IF(OR('Scénario référence'!$N$1=1,'Scénario référence'!$N$1=2,'Scénario référence'!$N$1=3),10*44/12,0))</f>
        <v/>
      </c>
      <c r="I12" s="187">
        <f t="shared" ca="1" si="1"/>
        <v>0</v>
      </c>
      <c r="J12" s="188">
        <f ca="1">I12*(100%-'Données projet'!$C$24)*(100%-'Données projet'!$C$25)*(100%-'Données projet'!$C$26)*(100%-'Données projet'!$C$27)</f>
        <v>0</v>
      </c>
      <c r="K12" s="196">
        <f>IF(OR('Données projet'!B15="",'Données projet'!C15="",'Données projet'!C15=0%),0,AVERAGE(Calculateur!$DM$3:$DM$33)*B12)</f>
        <v>0</v>
      </c>
      <c r="L12" s="190">
        <f>K12*(100%-'Données projet'!$C$24)*(100%-'Données projet'!$C$25)*(100%-'Données projet'!$C$26)*(100%-'Données projet'!$C$27)</f>
        <v>0</v>
      </c>
      <c r="M12" s="191">
        <f>IF(OR('Données projet'!B15="",'Données projet'!C15="",'Données projet'!C15=0%),0,SUM(Calculateur!$DF$3:$DF$33)*VLOOKUP('Données projet'!$B$15,Paramètres!$A$1:$I$88,9,0)*B12)</f>
        <v>0</v>
      </c>
      <c r="N12" s="192">
        <f>M12*(100%-'Données projet'!$C$24)*(100%-'Données projet'!$C$25)*(100%-'Données projet'!$C$26)*(100%-'Données projet'!$C$27)</f>
        <v>0</v>
      </c>
      <c r="O12" s="193">
        <f t="shared" ca="1" si="2"/>
        <v>0</v>
      </c>
    </row>
    <row r="13" spans="1:16" x14ac:dyDescent="0.25">
      <c r="A13" s="194" t="str">
        <f>IF('Données projet'!$B$16="","",'Données projet'!$B$16)</f>
        <v/>
      </c>
      <c r="B13" s="195">
        <f>'Données projet'!D16</f>
        <v>0</v>
      </c>
      <c r="C13" s="186">
        <f ca="1">IF(OR('Données projet'!B16="",'Données projet'!C16="",'Données projet'!C16=0%),0,IF('Données projet'!E16&gt;=30,Calculateur!DT33-Calculateur!E33,OFFSET(Calculateur!$DT$3,'Données projet'!E16,0)-OFFSET(Calculateur!$E$3,'Données projet'!E16,0)))</f>
        <v>0</v>
      </c>
      <c r="D13" s="163">
        <f ca="1">IF(OR('Données projet'!B16="",'Données projet'!C16="",'Données projet'!C16=0%),0,AVERAGE(OFFSET(Calculateur!$DT$3,0,0,'Données projet'!$E$16+1,1))-AVERAGE(OFFSET(Calculateur!$E$3,0,0,'Données projet'!$E$16+1,1)))</f>
        <v>0</v>
      </c>
      <c r="E13" s="187">
        <f t="shared" ca="1" si="0"/>
        <v>0</v>
      </c>
      <c r="F13" s="163">
        <v>0</v>
      </c>
      <c r="G13" s="187" t="str">
        <f>IF(A13="","",IF(AND('Scénario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3" s="187" t="str">
        <f>IF(A13="","",IF(OR('Scénario référence'!$N$1=1,'Scénario référence'!$N$1=2,'Scénario référence'!$N$1=3),10*44/12,0))</f>
        <v/>
      </c>
      <c r="I13" s="187">
        <f t="shared" ca="1" si="1"/>
        <v>0</v>
      </c>
      <c r="J13" s="188">
        <f ca="1">I13*(100%-'Données projet'!$C$24)*(100%-'Données projet'!$C$25)*(100%-'Données projet'!$C$26)*(100%-'Données projet'!$C$27)</f>
        <v>0</v>
      </c>
      <c r="K13" s="196">
        <f>IF(OR('Données projet'!C16="",'Données projet'!C16=0%),0,AVERAGE(Calculateur!$EC$3:$EC$33)*B13)</f>
        <v>0</v>
      </c>
      <c r="L13" s="190">
        <f>K13*(100%-'Données projet'!$C$24)*(100%-'Données projet'!$C$25)*(100%-'Données projet'!$C$26)*(100%-'Données projet'!$C$27)</f>
        <v>0</v>
      </c>
      <c r="M13" s="191">
        <f>IF(OR('Données projet'!C16="",'Données projet'!C16=0%),0,SUM(Calculateur!$DV$3:$DV$33)*VLOOKUP('Données projet'!$B$16,Paramètres!$A$1:$I$88,9,0)*B13)</f>
        <v>0</v>
      </c>
      <c r="N13" s="192">
        <f>M13*(100%-'Données projet'!$C$24)*(100%-'Données projet'!$C$25)*(100%-'Données projet'!$C$26)*(100%-'Données projet'!$C$27)</f>
        <v>0</v>
      </c>
      <c r="O13" s="193">
        <f t="shared" ca="1" si="2"/>
        <v>0</v>
      </c>
    </row>
    <row r="14" spans="1:16" x14ac:dyDescent="0.25">
      <c r="A14" s="194" t="str">
        <f>IF('Données projet'!$B$17="","",'Données projet'!$B$17)</f>
        <v/>
      </c>
      <c r="B14" s="195">
        <f>'Données projet'!D17</f>
        <v>0</v>
      </c>
      <c r="C14" s="186">
        <f ca="1">IF(OR('Données projet'!B17="",'Données projet'!C17="",'Données projet'!C17=0%),0,IF('Données projet'!E17&gt;=30,Calculateur!EJ33-Calculateur!E33,OFFSET(Calculateur!$EJ$3,'Données projet'!E17,0)-OFFSET(Calculateur!$E$3,'Données projet'!E17,0)))</f>
        <v>0</v>
      </c>
      <c r="D14" s="163">
        <f ca="1">IF(OR('Données projet'!B17="",'Données projet'!C17="",'Données projet'!C17=0%),0,AVERAGE(OFFSET(Calculateur!$EJ$3,0,0,'Données projet'!$E$17+1,1))-AVERAGE(OFFSET(Calculateur!$E$3,0,0,'Données projet'!$E$17+1,1)))</f>
        <v>0</v>
      </c>
      <c r="E14" s="187">
        <f t="shared" ca="1" si="0"/>
        <v>0</v>
      </c>
      <c r="F14" s="163">
        <v>0</v>
      </c>
      <c r="G14" s="187" t="str">
        <f>IF(A14="","",IF(AND('Scénario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4" s="187" t="str">
        <f>IF(A14="","",IF(OR('Scénario référence'!$N$1=1,'Scénario référence'!$N$1=2,'Scénario référence'!$N$1=3),10*44/12,0))</f>
        <v/>
      </c>
      <c r="I14" s="187">
        <f t="shared" ca="1" si="1"/>
        <v>0</v>
      </c>
      <c r="J14" s="188">
        <f ca="1">I14*(100%-'Données projet'!$C$24)*(100%-'Données projet'!$C$25)*(100%-'Données projet'!$C$26)*(100%-'Données projet'!$C$27)</f>
        <v>0</v>
      </c>
      <c r="K14" s="196">
        <f>IF(OR('Données projet'!B17="",'Données projet'!C17="",'Données projet'!C17=0%),0,AVERAGE(Calculateur!$ES$3:$ES$33)*B14)</f>
        <v>0</v>
      </c>
      <c r="L14" s="190">
        <f>K14*(100%-'Données projet'!$C$24)*(100%-'Données projet'!$C$25)*(100%-'Données projet'!$C$26)*(100%-'Données projet'!$C$27)</f>
        <v>0</v>
      </c>
      <c r="M14" s="191">
        <f>IF(OR('Données projet'!B17="",'Données projet'!C17="",'Données projet'!C17=0%),0,SUM(Calculateur!$EL$3:$EL$33)*VLOOKUP('Données projet'!$B$17,Paramètres!$A$1:$I$88,9,0)*B14)</f>
        <v>0</v>
      </c>
      <c r="N14" s="192">
        <f>M14*(100%-'Données projet'!$C$24)*(100%-'Données projet'!$C$25)*(100%-'Données projet'!$C$26)*(100%-'Données projet'!$C$27)</f>
        <v>0</v>
      </c>
      <c r="O14" s="193">
        <f t="shared" ca="1" si="2"/>
        <v>0</v>
      </c>
    </row>
    <row r="15" spans="1:16" ht="15.75" thickBot="1" x14ac:dyDescent="0.3">
      <c r="A15" s="197" t="str">
        <f>IF('Données projet'!B18="","",'Données projet'!B18)</f>
        <v/>
      </c>
      <c r="B15" s="198">
        <f>'Données projet'!D18</f>
        <v>0</v>
      </c>
      <c r="C15" s="199">
        <f ca="1">IF(OR('Données projet'!B18="",'Données projet'!C18="",'Données projet'!C18=0%),0,IF('Données projet'!E18&gt;=30,Calculateur!EZ33-Calculateur!E33,OFFSET(Calculateur!$EZ$3,'Données projet'!E18,0)-OFFSET(Calculateur!$E$3,'Données projet'!E18,0)))</f>
        <v>0</v>
      </c>
      <c r="D15" s="200">
        <f ca="1">IF(OR('Données projet'!B18="",'Données projet'!C18="",'Données projet'!C18=0%),0,AVERAGE(OFFSET(Calculateur!$EZ$3,0,0,'Données projet'!$E$18+1,1))-AVERAGE(OFFSET(Calculateur!$E$3,0,0,'Données projet'!$E$18+1,1)))</f>
        <v>0</v>
      </c>
      <c r="E15" s="200">
        <f t="shared" ca="1" si="0"/>
        <v>0</v>
      </c>
      <c r="F15" s="200">
        <v>0</v>
      </c>
      <c r="G15" s="200" t="str">
        <f>IF(A15="","",IF(AND('Scénario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5" s="200" t="str">
        <f>IF(A15="","",IF(OR('Scénario référence'!$N$1=1,'Scénario référence'!$N$1=2,'Scénario référence'!$N$1=3),10*44/12,0))</f>
        <v/>
      </c>
      <c r="I15" s="200">
        <f t="shared" ca="1" si="1"/>
        <v>0</v>
      </c>
      <c r="J15" s="201">
        <f ca="1">I15*(100%-'Données projet'!$C$24)*(100%-'Données projet'!$C$25)*(100%-'Données projet'!$C$26)*(100%-'Données projet'!$C$27)</f>
        <v>0</v>
      </c>
      <c r="K15" s="202">
        <f>IF(OR('Données projet'!B18="",'Données projet'!C18="",'Données projet'!C18=0%),0,AVERAGE(Calculateur!$FI$3:$FI$33)*B15)</f>
        <v>0</v>
      </c>
      <c r="L15" s="203">
        <f>K15*(100%-'Données projet'!$C$24)*(100%-'Données projet'!$C$25)*(100%-'Données projet'!$C$26)*(100%-'Données projet'!$C$27)</f>
        <v>0</v>
      </c>
      <c r="M15" s="204">
        <f>IF(OR('Données projet'!B18="",'Données projet'!C18="",'Données projet'!C18=0%),0,SUM(Calculateur!$FB$3:$FB$33)*VLOOKUP('Données projet'!$B$18,Paramètres!$A$1:$I$88,9,0)*B15)</f>
        <v>0</v>
      </c>
      <c r="N15" s="205">
        <f>M15*(100%-'Données projet'!$C$24)*(100%-'Données projet'!$C$25)*(100%-'Données projet'!$C$26)*(100%-'Données projet'!$C$27)</f>
        <v>0</v>
      </c>
      <c r="O15" s="206">
        <f t="shared" ca="1" si="2"/>
        <v>0</v>
      </c>
    </row>
    <row r="16" spans="1:16" ht="15.75" thickBot="1" x14ac:dyDescent="0.3">
      <c r="I16" s="207">
        <f t="shared" ref="I16:N16" ca="1" si="3">SUM(I6:I15)</f>
        <v>143.64833305332647</v>
      </c>
      <c r="J16" s="208">
        <f t="shared" ca="1" si="3"/>
        <v>129.28349974799383</v>
      </c>
      <c r="K16" s="209">
        <f t="shared" si="3"/>
        <v>0</v>
      </c>
      <c r="L16" s="210">
        <f t="shared" si="3"/>
        <v>0</v>
      </c>
      <c r="M16" s="211">
        <f t="shared" si="3"/>
        <v>1.6</v>
      </c>
      <c r="N16" s="212">
        <f t="shared" si="3"/>
        <v>1.4400000000000002</v>
      </c>
      <c r="O16" s="213">
        <f ca="1">SUM(O6:O15)</f>
        <v>130.72349974799383</v>
      </c>
      <c r="P16" s="214"/>
    </row>
    <row r="17" spans="9:15" x14ac:dyDescent="0.25">
      <c r="I17" s="275" t="s">
        <v>252</v>
      </c>
      <c r="J17" s="276"/>
      <c r="K17" s="276"/>
      <c r="L17" s="276"/>
      <c r="M17" s="276"/>
      <c r="N17" s="276"/>
      <c r="O17" s="276"/>
    </row>
    <row r="18" spans="9:15" x14ac:dyDescent="0.25">
      <c r="I18" s="277"/>
      <c r="J18" s="277"/>
      <c r="K18" s="277"/>
      <c r="L18" s="277"/>
      <c r="M18" s="277"/>
      <c r="N18" s="277"/>
      <c r="O18" s="277"/>
    </row>
  </sheetData>
  <sheetProtection algorithmName="SHA-512" hashValue="9ZANn9RcYm+xK0iI9vPzfpTCoyK/rpUvkUo9oufd4r4ENA+FCWNLB25psg1Rs5gN+WsvjnBip96BnLKculGShg==" saltValue="IkYSoonm3htxa//xUa6Fjw==" spinCount="100000" sheet="1" objects="1" scenarios="1"/>
  <mergeCells count="2">
    <mergeCell ref="I17:O18"/>
    <mergeCell ref="B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698"/>
  <sheetViews>
    <sheetView tabSelected="1" topLeftCell="I17" zoomScaleNormal="100" workbookViewId="0">
      <selection activeCell="Q19" sqref="Q19"/>
    </sheetView>
  </sheetViews>
  <sheetFormatPr baseColWidth="10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4" customWidth="1"/>
    <col min="7" max="7" width="11.42578125" style="4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12.7109375" style="1" customWidth="1"/>
    <col min="17" max="16384" width="11.42578125" style="1"/>
  </cols>
  <sheetData>
    <row r="1" spans="1:33" ht="15.75" thickBot="1" x14ac:dyDescent="0.3">
      <c r="A1" s="15"/>
      <c r="B1" s="15"/>
      <c r="C1" s="15"/>
      <c r="D1" s="15"/>
      <c r="E1" s="15"/>
      <c r="F1" s="113"/>
      <c r="G1" s="1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27" thickBot="1" x14ac:dyDescent="0.45">
      <c r="A2" s="15"/>
      <c r="B2" s="264" t="s">
        <v>284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6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2" customFormat="1" x14ac:dyDescent="0.25">
      <c r="A3" s="102"/>
      <c r="B3" s="102"/>
      <c r="C3" s="102"/>
      <c r="D3" s="102"/>
      <c r="E3" s="102"/>
      <c r="F3" s="135"/>
      <c r="G3" s="135"/>
      <c r="H3" s="102"/>
      <c r="I3" s="136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</row>
    <row r="4" spans="1:33" s="2" customFormat="1" x14ac:dyDescent="0.25">
      <c r="A4" s="102"/>
      <c r="B4" s="102"/>
      <c r="C4" s="102"/>
      <c r="D4" s="102"/>
      <c r="E4" s="102"/>
      <c r="F4" s="135"/>
      <c r="G4" s="135"/>
      <c r="H4" s="102"/>
      <c r="I4" s="248" t="s">
        <v>189</v>
      </c>
      <c r="J4" s="248"/>
      <c r="K4" s="248"/>
      <c r="L4" s="248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</row>
    <row r="5" spans="1:33" s="2" customFormat="1" x14ac:dyDescent="0.25">
      <c r="A5" s="102"/>
      <c r="B5" s="102"/>
      <c r="C5" s="102"/>
      <c r="D5" s="102"/>
      <c r="E5" s="102"/>
      <c r="F5" s="135"/>
      <c r="G5" s="135"/>
      <c r="H5" s="102"/>
      <c r="I5" s="137"/>
      <c r="J5" s="137"/>
      <c r="K5" s="137"/>
      <c r="L5" s="137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</row>
    <row r="6" spans="1:33" s="2" customFormat="1" ht="26.25" x14ac:dyDescent="0.4">
      <c r="A6" s="102"/>
      <c r="B6" s="278" t="s">
        <v>191</v>
      </c>
      <c r="C6" s="278"/>
      <c r="D6" s="102"/>
      <c r="E6" s="102"/>
      <c r="F6" s="138"/>
      <c r="G6" s="110"/>
      <c r="H6" s="102"/>
      <c r="I6" s="91" t="s">
        <v>259</v>
      </c>
      <c r="J6" s="139">
        <v>4.4999999999999998E-2</v>
      </c>
      <c r="K6" s="102"/>
      <c r="L6" s="102"/>
      <c r="M6" s="102"/>
      <c r="N6" s="140"/>
      <c r="O6" s="278" t="s">
        <v>190</v>
      </c>
      <c r="P6" s="278"/>
      <c r="Q6" s="278"/>
      <c r="R6" s="278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</row>
    <row r="7" spans="1:33" x14ac:dyDescent="0.25">
      <c r="A7" s="15"/>
      <c r="B7" s="15"/>
      <c r="C7" s="15"/>
      <c r="D7" s="15"/>
      <c r="E7" s="15"/>
      <c r="F7" s="141"/>
      <c r="G7" s="111"/>
      <c r="H7" s="15"/>
      <c r="I7" s="15"/>
      <c r="J7" s="15"/>
      <c r="K7" s="142"/>
      <c r="L7" s="142"/>
      <c r="M7" s="15"/>
      <c r="N7" s="143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25">
      <c r="A8" s="15"/>
      <c r="B8" s="15"/>
      <c r="C8" s="15"/>
      <c r="D8" s="15"/>
      <c r="E8" s="15"/>
      <c r="F8" s="141"/>
      <c r="G8" s="111"/>
      <c r="H8" s="15"/>
      <c r="I8" s="91" t="s">
        <v>178</v>
      </c>
      <c r="J8" s="91" t="s">
        <v>306</v>
      </c>
      <c r="K8" s="142"/>
      <c r="L8" s="142"/>
      <c r="M8" s="15"/>
      <c r="N8" s="143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25">
      <c r="A9" s="15"/>
      <c r="B9" s="15"/>
      <c r="C9" s="15"/>
      <c r="D9" s="15"/>
      <c r="E9" s="15"/>
      <c r="F9" s="141"/>
      <c r="G9" s="111"/>
      <c r="H9" s="15"/>
      <c r="I9" s="84"/>
      <c r="J9" s="80">
        <v>0</v>
      </c>
      <c r="K9" s="142"/>
      <c r="L9" s="142"/>
      <c r="M9" s="15"/>
      <c r="N9" s="143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x14ac:dyDescent="0.25">
      <c r="A10" s="15"/>
      <c r="B10" s="15"/>
      <c r="C10" s="15"/>
      <c r="D10" s="15"/>
      <c r="E10" s="15"/>
      <c r="F10" s="141"/>
      <c r="G10" s="111"/>
      <c r="H10" s="15"/>
      <c r="I10" s="15"/>
      <c r="J10" s="15"/>
      <c r="K10" s="142"/>
      <c r="L10" s="142"/>
      <c r="M10" s="15"/>
      <c r="N10" s="14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x14ac:dyDescent="0.25">
      <c r="A11" s="15"/>
      <c r="B11" s="15"/>
      <c r="C11" s="15"/>
      <c r="D11" s="15"/>
      <c r="E11" s="15"/>
      <c r="F11" s="141"/>
      <c r="G11" s="15"/>
      <c r="H11" s="15"/>
      <c r="I11" s="91" t="s">
        <v>178</v>
      </c>
      <c r="J11" s="91" t="s">
        <v>301</v>
      </c>
      <c r="K11" s="15"/>
      <c r="L11" s="142"/>
      <c r="M11" s="15"/>
      <c r="N11" s="14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x14ac:dyDescent="0.25">
      <c r="A12" s="15"/>
      <c r="B12" s="15"/>
      <c r="C12" s="15"/>
      <c r="D12" s="15"/>
      <c r="E12" s="15"/>
      <c r="F12" s="144"/>
      <c r="G12" s="146"/>
      <c r="H12" s="15"/>
      <c r="I12" s="84">
        <v>0</v>
      </c>
      <c r="J12" s="80">
        <v>6202</v>
      </c>
      <c r="K12" s="147"/>
      <c r="L12" s="148"/>
      <c r="M12" s="15"/>
      <c r="N12" s="143"/>
      <c r="O12" s="149" t="s">
        <v>263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x14ac:dyDescent="0.25">
      <c r="A13" s="15"/>
      <c r="B13" s="15"/>
      <c r="C13" s="15"/>
      <c r="D13" s="15"/>
      <c r="E13" s="15"/>
      <c r="F13" s="144"/>
      <c r="G13" s="146"/>
      <c r="H13" s="15"/>
      <c r="I13" s="84"/>
      <c r="J13" s="80"/>
      <c r="K13" s="150"/>
      <c r="L13" s="148"/>
      <c r="M13" s="15"/>
      <c r="N13" s="143"/>
      <c r="O13" s="14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x14ac:dyDescent="0.25">
      <c r="A14" s="15"/>
      <c r="B14" s="15"/>
      <c r="C14" s="15"/>
      <c r="D14" s="15"/>
      <c r="E14" s="15"/>
      <c r="F14" s="144"/>
      <c r="G14" s="146"/>
      <c r="H14" s="15"/>
      <c r="I14" s="84"/>
      <c r="J14" s="80"/>
      <c r="K14" s="150"/>
      <c r="L14" s="148"/>
      <c r="M14" s="15"/>
      <c r="N14" s="143"/>
      <c r="O14" s="14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x14ac:dyDescent="0.25">
      <c r="A15" s="15"/>
      <c r="B15" s="15"/>
      <c r="C15" s="15"/>
      <c r="D15" s="15"/>
      <c r="E15" s="15"/>
      <c r="F15" s="144"/>
      <c r="G15" s="146"/>
      <c r="H15" s="15"/>
      <c r="I15" s="84"/>
      <c r="J15" s="80"/>
      <c r="K15" s="150"/>
      <c r="L15" s="148"/>
      <c r="M15" s="15"/>
      <c r="N15" s="143"/>
      <c r="O15" s="14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x14ac:dyDescent="0.25">
      <c r="A16" s="15"/>
      <c r="B16" s="15"/>
      <c r="C16" s="15"/>
      <c r="D16" s="15"/>
      <c r="E16" s="15"/>
      <c r="F16" s="144"/>
      <c r="G16" s="146"/>
      <c r="H16" s="15"/>
      <c r="I16" s="84"/>
      <c r="J16" s="80"/>
      <c r="K16" s="150"/>
      <c r="L16" s="148"/>
      <c r="M16" s="15"/>
      <c r="N16" s="143"/>
      <c r="O16" s="149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25">
      <c r="A17" s="137"/>
      <c r="B17" s="137"/>
      <c r="C17" s="15"/>
      <c r="D17" s="15"/>
      <c r="E17" s="15"/>
      <c r="F17" s="141"/>
      <c r="G17" s="279" t="s">
        <v>304</v>
      </c>
      <c r="H17" s="280"/>
      <c r="I17" s="280"/>
      <c r="J17" s="280"/>
      <c r="K17" s="280"/>
      <c r="L17" s="280"/>
      <c r="M17" s="281"/>
      <c r="N17" s="143"/>
      <c r="O17" s="244" t="s">
        <v>260</v>
      </c>
      <c r="P17" s="244"/>
      <c r="Q17" s="3">
        <v>100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x14ac:dyDescent="0.25">
      <c r="A18" s="71" t="s">
        <v>165</v>
      </c>
      <c r="B18" s="145" t="str">
        <f>IF('Données projet'!$B$9="","",'Données projet'!$B$9)</f>
        <v>Chêne pubescent</v>
      </c>
      <c r="C18" s="15"/>
      <c r="D18" s="15"/>
      <c r="E18" s="15"/>
      <c r="F18" s="141"/>
      <c r="G18" s="111"/>
      <c r="H18" s="15"/>
      <c r="I18" s="15"/>
      <c r="J18" s="15"/>
      <c r="K18" s="15"/>
      <c r="L18" s="15"/>
      <c r="M18" s="15"/>
      <c r="N18" s="143"/>
      <c r="O18" s="253" t="s">
        <v>303</v>
      </c>
      <c r="P18" s="253"/>
      <c r="Q18" s="163">
        <f>VLOOKUP(Q17,Calculateur!$A$2:$E$153,3,0)/VLOOKUP('Scénario référence'!$G$14,Paramètres!A1:I88,3,0)/VLOOKUP('Scénario référence'!$G$14,Paramètres!A1:I88,5,0)</f>
        <v>99.999999999999915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x14ac:dyDescent="0.25">
      <c r="A19" s="15"/>
      <c r="B19" s="15"/>
      <c r="C19" s="15"/>
      <c r="D19" s="15"/>
      <c r="E19" s="15"/>
      <c r="F19" s="141"/>
      <c r="G19" s="111"/>
      <c r="H19" s="15"/>
      <c r="I19" s="15"/>
      <c r="J19" s="91" t="s">
        <v>269</v>
      </c>
      <c r="K19" s="151" t="s">
        <v>255</v>
      </c>
      <c r="L19" s="91" t="s">
        <v>270</v>
      </c>
      <c r="M19" s="15"/>
      <c r="N19" s="143"/>
      <c r="O19" s="253" t="s">
        <v>261</v>
      </c>
      <c r="P19" s="253"/>
      <c r="Q19" s="81">
        <v>20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x14ac:dyDescent="0.25">
      <c r="A20" s="91" t="s">
        <v>180</v>
      </c>
      <c r="B20" s="73" t="s">
        <v>262</v>
      </c>
      <c r="C20" s="73" t="s">
        <v>261</v>
      </c>
      <c r="D20" s="91" t="s">
        <v>258</v>
      </c>
      <c r="E20" s="91" t="s">
        <v>300</v>
      </c>
      <c r="F20" s="141"/>
      <c r="G20" s="152"/>
      <c r="H20" s="15"/>
      <c r="I20" s="91" t="str">
        <f>B18</f>
        <v>Chêne pubescent</v>
      </c>
      <c r="J20" s="153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780.80375995704742</v>
      </c>
      <c r="K20" s="154">
        <f>'Données projet'!D9</f>
        <v>0.8</v>
      </c>
      <c r="L20" s="153">
        <f>K20*J20</f>
        <v>624.64300796563793</v>
      </c>
      <c r="M20" s="15"/>
      <c r="N20" s="143"/>
      <c r="O20" s="253" t="s">
        <v>302</v>
      </c>
      <c r="P20" s="253"/>
      <c r="Q20" s="164">
        <f>Q18*Q19</f>
        <v>1999.9999999999982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x14ac:dyDescent="0.25">
      <c r="A21" s="6">
        <f>'Données projet'!A36</f>
        <v>20</v>
      </c>
      <c r="B21" s="5">
        <f>'Données projet'!D36</f>
        <v>0</v>
      </c>
      <c r="C21" s="80"/>
      <c r="D21" s="83">
        <f>B21*C21</f>
        <v>0</v>
      </c>
      <c r="E21" s="80"/>
      <c r="F21" s="141"/>
      <c r="G21" s="155"/>
      <c r="H21" s="15"/>
      <c r="I21" s="91" t="str">
        <f>B43</f>
        <v/>
      </c>
      <c r="J21" s="153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0</v>
      </c>
      <c r="K21" s="154">
        <f>'Données projet'!D10</f>
        <v>0</v>
      </c>
      <c r="L21" s="153">
        <f t="shared" ref="L21:L29" si="0">K21*J21</f>
        <v>0</v>
      </c>
      <c r="M21" s="15"/>
      <c r="N21" s="14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x14ac:dyDescent="0.25">
      <c r="A22" s="6">
        <f>'Données projet'!A37</f>
        <v>25</v>
      </c>
      <c r="B22" s="5">
        <f>'Données projet'!D37</f>
        <v>8</v>
      </c>
      <c r="C22" s="80">
        <v>10</v>
      </c>
      <c r="D22" s="83">
        <f t="shared" ref="D22:D40" si="1">B22*C22</f>
        <v>80</v>
      </c>
      <c r="E22" s="80"/>
      <c r="F22" s="169"/>
      <c r="G22" s="155"/>
      <c r="H22" s="15"/>
      <c r="I22" s="91" t="str">
        <f>B68</f>
        <v/>
      </c>
      <c r="J22" s="153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154">
        <f>'Données projet'!D11</f>
        <v>0</v>
      </c>
      <c r="L22" s="153">
        <f t="shared" si="0"/>
        <v>0</v>
      </c>
      <c r="M22" s="149"/>
      <c r="N22" s="161"/>
      <c r="O22" s="286" t="s">
        <v>267</v>
      </c>
      <c r="P22" s="286"/>
      <c r="Q22" s="286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x14ac:dyDescent="0.25">
      <c r="A23" s="6">
        <f>'Données projet'!A38</f>
        <v>30</v>
      </c>
      <c r="B23" s="5">
        <f>'Données projet'!D38</f>
        <v>0</v>
      </c>
      <c r="C23" s="80"/>
      <c r="D23" s="83">
        <f t="shared" si="1"/>
        <v>0</v>
      </c>
      <c r="E23" s="80"/>
      <c r="F23" s="169"/>
      <c r="G23" s="155"/>
      <c r="H23" s="15"/>
      <c r="I23" s="91" t="str">
        <f>B93</f>
        <v/>
      </c>
      <c r="J23" s="153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154">
        <f>'Données projet'!D12</f>
        <v>0</v>
      </c>
      <c r="L23" s="153">
        <f t="shared" si="0"/>
        <v>0</v>
      </c>
      <c r="M23" s="15"/>
      <c r="N23" s="143"/>
      <c r="O23" s="284" t="s">
        <v>298</v>
      </c>
      <c r="P23" s="284"/>
      <c r="Q23" s="284"/>
      <c r="R23" s="284"/>
      <c r="S23" s="284"/>
      <c r="T23" s="81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25">
      <c r="A24" s="6">
        <f>'Données projet'!A39</f>
        <v>35</v>
      </c>
      <c r="B24" s="5">
        <f>'Données projet'!D39</f>
        <v>42</v>
      </c>
      <c r="C24" s="80">
        <v>10</v>
      </c>
      <c r="D24" s="83">
        <f t="shared" si="1"/>
        <v>420</v>
      </c>
      <c r="E24" s="80"/>
      <c r="F24" s="169"/>
      <c r="G24" s="155"/>
      <c r="H24" s="15"/>
      <c r="I24" s="91" t="str">
        <f>B118</f>
        <v/>
      </c>
      <c r="J24" s="153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154">
        <f>'Données projet'!D13</f>
        <v>0</v>
      </c>
      <c r="L24" s="153">
        <f t="shared" si="0"/>
        <v>0</v>
      </c>
      <c r="M24" s="15"/>
      <c r="N24" s="143"/>
      <c r="O24" s="285" t="s">
        <v>264</v>
      </c>
      <c r="P24" s="285"/>
      <c r="Q24" s="285"/>
      <c r="R24" s="285"/>
      <c r="S24" s="285"/>
      <c r="T24" s="28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x14ac:dyDescent="0.25">
      <c r="A25" s="6">
        <f>'Données projet'!A40</f>
        <v>40</v>
      </c>
      <c r="B25" s="5">
        <f>'Données projet'!D40</f>
        <v>0</v>
      </c>
      <c r="C25" s="80"/>
      <c r="D25" s="83">
        <f t="shared" si="1"/>
        <v>0</v>
      </c>
      <c r="E25" s="80"/>
      <c r="F25" s="169"/>
      <c r="G25" s="155"/>
      <c r="H25" s="15"/>
      <c r="I25" s="91" t="str">
        <f>B143</f>
        <v/>
      </c>
      <c r="J25" s="153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154">
        <f>'Données projet'!D14</f>
        <v>0</v>
      </c>
      <c r="L25" s="153">
        <f t="shared" si="0"/>
        <v>0</v>
      </c>
      <c r="M25" s="15"/>
      <c r="N25" s="143"/>
      <c r="O25" s="285"/>
      <c r="P25" s="285"/>
      <c r="Q25" s="285"/>
      <c r="R25" s="285"/>
      <c r="S25" s="285"/>
      <c r="T25" s="28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x14ac:dyDescent="0.25">
      <c r="A26" s="6">
        <f>'Données projet'!A41</f>
        <v>45</v>
      </c>
      <c r="B26" s="5">
        <f>'Données projet'!D41</f>
        <v>42</v>
      </c>
      <c r="C26" s="80">
        <v>20</v>
      </c>
      <c r="D26" s="83">
        <f t="shared" si="1"/>
        <v>840</v>
      </c>
      <c r="E26" s="80"/>
      <c r="F26" s="169"/>
      <c r="G26" s="155"/>
      <c r="H26" s="15"/>
      <c r="I26" s="91" t="str">
        <f>B168</f>
        <v/>
      </c>
      <c r="J26" s="153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54">
        <f>'Données projet'!D15</f>
        <v>0</v>
      </c>
      <c r="L26" s="153">
        <f t="shared" si="0"/>
        <v>0</v>
      </c>
      <c r="M26" s="15"/>
      <c r="N26" s="143"/>
      <c r="O26" s="165"/>
      <c r="P26" s="165"/>
      <c r="Q26" s="165"/>
      <c r="R26" s="165"/>
      <c r="S26" s="165"/>
      <c r="T26" s="16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x14ac:dyDescent="0.25">
      <c r="A27" s="6">
        <f>'Données projet'!A42</f>
        <v>50</v>
      </c>
      <c r="B27" s="5">
        <f>'Données projet'!D42</f>
        <v>0</v>
      </c>
      <c r="C27" s="80"/>
      <c r="D27" s="83">
        <f t="shared" si="1"/>
        <v>0</v>
      </c>
      <c r="E27" s="80"/>
      <c r="F27" s="169"/>
      <c r="G27" s="155"/>
      <c r="H27" s="15"/>
      <c r="I27" s="91" t="str">
        <f>B193</f>
        <v/>
      </c>
      <c r="J27" s="153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54">
        <f>'Données projet'!D16</f>
        <v>0</v>
      </c>
      <c r="L27" s="153">
        <f t="shared" si="0"/>
        <v>0</v>
      </c>
      <c r="M27" s="15"/>
      <c r="N27" s="143"/>
      <c r="O27" s="91" t="s">
        <v>265</v>
      </c>
      <c r="P27" s="166">
        <f ca="1">SUM(OFFSET($S$28,0,0,MIN('Données projet'!$E$9:$E$18)+1,1))</f>
        <v>0</v>
      </c>
      <c r="Q27" s="15"/>
      <c r="R27" s="92" t="s">
        <v>178</v>
      </c>
      <c r="S27" s="92" t="s">
        <v>258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x14ac:dyDescent="0.25">
      <c r="A28" s="6">
        <f>'Données projet'!A43</f>
        <v>55</v>
      </c>
      <c r="B28" s="5">
        <f>'Données projet'!D43</f>
        <v>42</v>
      </c>
      <c r="C28" s="80">
        <v>30</v>
      </c>
      <c r="D28" s="83">
        <f t="shared" si="1"/>
        <v>1260</v>
      </c>
      <c r="E28" s="80"/>
      <c r="F28" s="169"/>
      <c r="G28" s="155"/>
      <c r="H28" s="15"/>
      <c r="I28" s="91" t="str">
        <f>B218</f>
        <v/>
      </c>
      <c r="J28" s="153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54">
        <f>'Données projet'!D17</f>
        <v>0</v>
      </c>
      <c r="L28" s="153">
        <f t="shared" si="0"/>
        <v>0</v>
      </c>
      <c r="M28" s="15"/>
      <c r="N28" s="143"/>
      <c r="O28" s="15"/>
      <c r="P28" s="15"/>
      <c r="Q28" s="15"/>
      <c r="R28" s="82">
        <v>0</v>
      </c>
      <c r="S28" s="167">
        <f>$T$23/(1+$J$6)^R28</f>
        <v>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x14ac:dyDescent="0.25">
      <c r="A29" s="6">
        <f>'Données projet'!A44</f>
        <v>60</v>
      </c>
      <c r="B29" s="5">
        <f>'Données projet'!D44</f>
        <v>0</v>
      </c>
      <c r="C29" s="80"/>
      <c r="D29" s="83">
        <f t="shared" si="1"/>
        <v>0</v>
      </c>
      <c r="E29" s="80"/>
      <c r="F29" s="169"/>
      <c r="G29" s="155"/>
      <c r="H29" s="15"/>
      <c r="I29" s="91" t="str">
        <f>B243</f>
        <v/>
      </c>
      <c r="J29" s="153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54">
        <f>'Données projet'!D18</f>
        <v>0</v>
      </c>
      <c r="L29" s="153">
        <f t="shared" si="0"/>
        <v>0</v>
      </c>
      <c r="M29" s="15"/>
      <c r="N29" s="143"/>
      <c r="O29" s="282" t="s">
        <v>266</v>
      </c>
      <c r="P29" s="282"/>
      <c r="Q29" s="283"/>
      <c r="R29" s="82">
        <f>IF(R28+1&lt;=MIN('Données projet'!$E$9:$E$18),R28+1,"STOP")</f>
        <v>1</v>
      </c>
      <c r="S29" s="167">
        <f t="shared" ref="S29:S59" si="2">$T$23/(1+$J$6)^R29</f>
        <v>0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x14ac:dyDescent="0.25">
      <c r="A30" s="6">
        <f>'Données projet'!A45</f>
        <v>65</v>
      </c>
      <c r="B30" s="5">
        <f>'Données projet'!D45</f>
        <v>42</v>
      </c>
      <c r="C30" s="80">
        <v>40</v>
      </c>
      <c r="D30" s="83">
        <f t="shared" si="1"/>
        <v>1680</v>
      </c>
      <c r="E30" s="80"/>
      <c r="F30" s="169"/>
      <c r="G30" s="155"/>
      <c r="H30" s="15"/>
      <c r="I30" s="15"/>
      <c r="J30" s="15"/>
      <c r="K30" s="15"/>
      <c r="L30" s="15"/>
      <c r="M30" s="15"/>
      <c r="N30" s="143"/>
      <c r="O30" s="15"/>
      <c r="P30" s="15"/>
      <c r="Q30" s="15"/>
      <c r="R30" s="82">
        <f>IF(R29+1&lt;=MIN('Données projet'!$E$9:$E$18),R29+1,"STOP")</f>
        <v>2</v>
      </c>
      <c r="S30" s="167">
        <f t="shared" si="2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x14ac:dyDescent="0.25">
      <c r="A31" s="6">
        <f>'Données projet'!A46</f>
        <v>70</v>
      </c>
      <c r="B31" s="5">
        <f>'Données projet'!D46</f>
        <v>0</v>
      </c>
      <c r="C31" s="80"/>
      <c r="D31" s="83">
        <f t="shared" si="1"/>
        <v>0</v>
      </c>
      <c r="E31" s="80"/>
      <c r="F31" s="169"/>
      <c r="G31" s="155"/>
      <c r="H31" s="15"/>
      <c r="I31" s="15"/>
      <c r="J31" s="15"/>
      <c r="K31" s="15"/>
      <c r="L31" s="15"/>
      <c r="M31" s="15"/>
      <c r="N31" s="143"/>
      <c r="O31" s="15"/>
      <c r="P31" s="15"/>
      <c r="Q31" s="15"/>
      <c r="R31" s="82">
        <f>IF(R30+1&lt;=MIN('Données projet'!$E$9:$E$18),R30+1,"STOP")</f>
        <v>3</v>
      </c>
      <c r="S31" s="167">
        <f t="shared" si="2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x14ac:dyDescent="0.25">
      <c r="A32" s="6">
        <f>'Données projet'!A47</f>
        <v>75</v>
      </c>
      <c r="B32" s="5">
        <f>'Données projet'!D47</f>
        <v>42</v>
      </c>
      <c r="C32" s="80">
        <v>50</v>
      </c>
      <c r="D32" s="83">
        <f t="shared" si="1"/>
        <v>2100</v>
      </c>
      <c r="E32" s="80"/>
      <c r="F32" s="169"/>
      <c r="G32" s="155"/>
      <c r="H32" s="15"/>
      <c r="I32" s="91" t="s">
        <v>271</v>
      </c>
      <c r="J32" s="288">
        <f>SUM(L20:L29) - (J12/(1+J6)^I12 + J13/(1+J6)^I13 + J14/(1+J6)^I14 + J15/(1+J6)^I15 + J16/(1+J6)^I16 + J9/(1+J6)^I9)*'Données projet'!C5</f>
        <v>-5577.3569920343616</v>
      </c>
      <c r="K32" s="288"/>
      <c r="L32" s="288"/>
      <c r="M32" s="15"/>
      <c r="N32" s="143"/>
      <c r="O32" s="15"/>
      <c r="P32" s="15"/>
      <c r="Q32" s="15"/>
      <c r="R32" s="82">
        <f>IF(R31+1&lt;=MIN('Données projet'!$E$9:$E$18),R31+1,"STOP")</f>
        <v>4</v>
      </c>
      <c r="S32" s="167">
        <f t="shared" si="2"/>
        <v>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x14ac:dyDescent="0.25">
      <c r="A33" s="6">
        <f>'Données projet'!A48</f>
        <v>85</v>
      </c>
      <c r="B33" s="5">
        <f>'Données projet'!D48</f>
        <v>42</v>
      </c>
      <c r="C33" s="80">
        <v>60</v>
      </c>
      <c r="D33" s="83">
        <f t="shared" si="1"/>
        <v>2520</v>
      </c>
      <c r="E33" s="80"/>
      <c r="F33" s="169"/>
      <c r="G33" s="155"/>
      <c r="H33" s="15"/>
      <c r="I33" s="91" t="s">
        <v>268</v>
      </c>
      <c r="J33" s="289">
        <f>IF('Scénario référence'!$N$1=1,$P$27*'Données projet'!$C$5,$Q$20/(1+J6)^Q17*'Données projet'!$C$5)</f>
        <v>24.51325319103443</v>
      </c>
      <c r="K33" s="289"/>
      <c r="L33" s="289"/>
      <c r="M33" s="15"/>
      <c r="N33" s="143"/>
      <c r="O33" s="15"/>
      <c r="P33" s="15"/>
      <c r="Q33" s="15"/>
      <c r="R33" s="82">
        <f>IF(R32+1&lt;=MIN('Données projet'!$E$9:$E$18),R32+1,"STOP")</f>
        <v>5</v>
      </c>
      <c r="S33" s="167">
        <f t="shared" si="2"/>
        <v>0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x14ac:dyDescent="0.25">
      <c r="A34" s="6">
        <f>'Données projet'!A49</f>
        <v>95</v>
      </c>
      <c r="B34" s="5">
        <f>'Données projet'!D49</f>
        <v>42</v>
      </c>
      <c r="C34" s="80">
        <v>70</v>
      </c>
      <c r="D34" s="83">
        <f t="shared" si="1"/>
        <v>2940</v>
      </c>
      <c r="E34" s="80"/>
      <c r="F34" s="169"/>
      <c r="G34" s="155"/>
      <c r="H34" s="15"/>
      <c r="I34" s="156" t="s">
        <v>273</v>
      </c>
      <c r="J34" s="290">
        <f>J32-J33</f>
        <v>-5601.8702452253956</v>
      </c>
      <c r="K34" s="290"/>
      <c r="L34" s="290"/>
      <c r="M34" s="15"/>
      <c r="N34" s="143"/>
      <c r="O34" s="15"/>
      <c r="P34" s="15"/>
      <c r="Q34" s="15"/>
      <c r="R34" s="82">
        <f>IF(R33+1&lt;=MIN('Données projet'!$E$9:$E$18),R33+1,"STOP")</f>
        <v>6</v>
      </c>
      <c r="S34" s="167">
        <f t="shared" si="2"/>
        <v>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x14ac:dyDescent="0.25">
      <c r="A35" s="6">
        <f>'Données projet'!A50</f>
        <v>105</v>
      </c>
      <c r="B35" s="5">
        <f>'Données projet'!D50</f>
        <v>41</v>
      </c>
      <c r="C35" s="80">
        <v>80</v>
      </c>
      <c r="D35" s="83">
        <f t="shared" si="1"/>
        <v>3280</v>
      </c>
      <c r="E35" s="80"/>
      <c r="F35" s="169"/>
      <c r="G35" s="155"/>
      <c r="H35" s="15"/>
      <c r="I35" s="156" t="s">
        <v>272</v>
      </c>
      <c r="J35" s="287" t="str">
        <f>IF(J34&lt;0,"Votre projet est additionnel","Votre projet n'est pas additionnel")</f>
        <v>Votre projet est additionnel</v>
      </c>
      <c r="K35" s="287"/>
      <c r="L35" s="287"/>
      <c r="M35" s="15"/>
      <c r="N35" s="143"/>
      <c r="O35" s="15"/>
      <c r="P35" s="15"/>
      <c r="Q35" s="15"/>
      <c r="R35" s="82">
        <f>IF(R34+1&lt;=MIN('Données projet'!$E$9:$E$18),R34+1,"STOP")</f>
        <v>7</v>
      </c>
      <c r="S35" s="167">
        <f t="shared" si="2"/>
        <v>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x14ac:dyDescent="0.25">
      <c r="A36" s="6">
        <f>'Données projet'!A51</f>
        <v>115</v>
      </c>
      <c r="B36" s="5">
        <f>'Données projet'!D51</f>
        <v>37</v>
      </c>
      <c r="C36" s="80">
        <v>90</v>
      </c>
      <c r="D36" s="83">
        <f t="shared" si="1"/>
        <v>3330</v>
      </c>
      <c r="E36" s="80"/>
      <c r="F36" s="169"/>
      <c r="G36" s="155"/>
      <c r="H36" s="15"/>
      <c r="I36" s="291" t="s">
        <v>274</v>
      </c>
      <c r="J36" s="291"/>
      <c r="K36" s="291"/>
      <c r="L36" s="291"/>
      <c r="M36" s="15"/>
      <c r="N36" s="143"/>
      <c r="O36" s="15"/>
      <c r="P36" s="15"/>
      <c r="Q36" s="15"/>
      <c r="R36" s="82">
        <f>IF(R35+1&lt;=MIN('Données projet'!$E$9:$E$18),R35+1,"STOP")</f>
        <v>8</v>
      </c>
      <c r="S36" s="167">
        <f t="shared" si="2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x14ac:dyDescent="0.25">
      <c r="A37" s="6">
        <f>'Données projet'!A52</f>
        <v>125</v>
      </c>
      <c r="B37" s="5">
        <f>'Données projet'!D52</f>
        <v>33</v>
      </c>
      <c r="C37" s="80">
        <v>100</v>
      </c>
      <c r="D37" s="83">
        <f t="shared" si="1"/>
        <v>3300</v>
      </c>
      <c r="E37" s="80"/>
      <c r="F37" s="169"/>
      <c r="G37" s="155"/>
      <c r="H37" s="15"/>
      <c r="I37" s="15"/>
      <c r="J37" s="15"/>
      <c r="K37" s="15"/>
      <c r="L37" s="15"/>
      <c r="M37" s="15"/>
      <c r="N37" s="143"/>
      <c r="O37" s="15"/>
      <c r="P37" s="15"/>
      <c r="Q37" s="15"/>
      <c r="R37" s="82">
        <f>IF(R36+1&lt;=MIN('Données projet'!$E$9:$E$18),R36+1,"STOP")</f>
        <v>9</v>
      </c>
      <c r="S37" s="167">
        <f t="shared" si="2"/>
        <v>0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25">
      <c r="A38" s="6">
        <f>'Données projet'!A53</f>
        <v>135</v>
      </c>
      <c r="B38" s="5">
        <f>'Données projet'!D53</f>
        <v>29</v>
      </c>
      <c r="C38" s="80">
        <v>110</v>
      </c>
      <c r="D38" s="83">
        <f t="shared" si="1"/>
        <v>3190</v>
      </c>
      <c r="E38" s="80"/>
      <c r="F38" s="169"/>
      <c r="G38" s="155"/>
      <c r="H38" s="15"/>
      <c r="I38" s="15"/>
      <c r="J38" s="15"/>
      <c r="K38" s="15"/>
      <c r="L38" s="15"/>
      <c r="M38" s="15"/>
      <c r="N38" s="143"/>
      <c r="O38" s="15"/>
      <c r="P38" s="15"/>
      <c r="Q38" s="15"/>
      <c r="R38" s="82">
        <f>IF(R37+1&lt;=MIN('Données projet'!$E$9:$E$18),R37+1,"STOP")</f>
        <v>10</v>
      </c>
      <c r="S38" s="167">
        <f t="shared" si="2"/>
        <v>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25">
      <c r="A39" s="6">
        <f>'Données projet'!A54</f>
        <v>145</v>
      </c>
      <c r="B39" s="5">
        <f>'Données projet'!D54</f>
        <v>0</v>
      </c>
      <c r="C39" s="80"/>
      <c r="D39" s="83">
        <f t="shared" si="1"/>
        <v>0</v>
      </c>
      <c r="E39" s="80"/>
      <c r="F39" s="169"/>
      <c r="G39" s="155"/>
      <c r="H39" s="15"/>
      <c r="I39" s="15"/>
      <c r="J39" s="15"/>
      <c r="K39" s="15"/>
      <c r="L39" s="15"/>
      <c r="M39" s="15"/>
      <c r="N39" s="143"/>
      <c r="O39" s="15"/>
      <c r="P39" s="15"/>
      <c r="Q39" s="15"/>
      <c r="R39" s="82">
        <f>IF(R38+1&lt;=MIN('Données projet'!$E$9:$E$18),R38+1,"STOP")</f>
        <v>11</v>
      </c>
      <c r="S39" s="167">
        <f t="shared" si="2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x14ac:dyDescent="0.25">
      <c r="A40" s="6">
        <f>'Données projet'!A55</f>
        <v>150</v>
      </c>
      <c r="B40" s="5">
        <f>'Données projet'!D55</f>
        <v>306</v>
      </c>
      <c r="C40" s="80">
        <v>200</v>
      </c>
      <c r="D40" s="83">
        <f t="shared" si="1"/>
        <v>61200</v>
      </c>
      <c r="E40" s="80"/>
      <c r="F40" s="169"/>
      <c r="G40" s="155"/>
      <c r="H40" s="15"/>
      <c r="I40" s="15"/>
      <c r="J40" s="15"/>
      <c r="K40" s="15"/>
      <c r="L40" s="15"/>
      <c r="M40" s="15"/>
      <c r="N40" s="143"/>
      <c r="O40" s="15"/>
      <c r="P40" s="15"/>
      <c r="Q40" s="15"/>
      <c r="R40" s="82">
        <f>IF(R39+1&lt;=MIN('Données projet'!$E$9:$E$18),R39+1,"STOP")</f>
        <v>12</v>
      </c>
      <c r="S40" s="167">
        <f t="shared" si="2"/>
        <v>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s="85" customFormat="1" ht="47.25" customHeight="1" x14ac:dyDescent="0.25">
      <c r="A41" s="158"/>
      <c r="B41" s="158"/>
      <c r="C41" s="158"/>
      <c r="D41" s="158"/>
      <c r="E41" s="280" t="s">
        <v>305</v>
      </c>
      <c r="F41" s="281"/>
      <c r="G41" s="157"/>
      <c r="H41" s="158"/>
      <c r="I41" s="158"/>
      <c r="J41" s="158"/>
      <c r="K41" s="158"/>
      <c r="L41" s="158"/>
      <c r="M41" s="158"/>
      <c r="N41" s="162"/>
      <c r="O41" s="158"/>
      <c r="P41" s="158"/>
      <c r="Q41" s="158"/>
      <c r="R41" s="86">
        <f>IF(R40+1&lt;=MIN('Données projet'!$E$9:$E$18),R40+1,"STOP")</f>
        <v>13</v>
      </c>
      <c r="S41" s="168">
        <f t="shared" si="2"/>
        <v>0</v>
      </c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1:33" x14ac:dyDescent="0.25">
      <c r="A42" s="15"/>
      <c r="B42" s="15"/>
      <c r="C42" s="15"/>
      <c r="D42" s="15"/>
      <c r="E42" s="15"/>
      <c r="F42" s="141"/>
      <c r="G42" s="111"/>
      <c r="H42" s="15"/>
      <c r="I42" s="15"/>
      <c r="J42" s="15"/>
      <c r="K42" s="15"/>
      <c r="L42" s="15"/>
      <c r="M42" s="15"/>
      <c r="N42" s="143"/>
      <c r="O42" s="15"/>
      <c r="P42" s="15"/>
      <c r="Q42" s="15"/>
      <c r="R42" s="82">
        <f>IF(R41+1&lt;=MIN('Données projet'!$E$9:$E$18),R41+1,"STOP")</f>
        <v>14</v>
      </c>
      <c r="S42" s="167">
        <f t="shared" si="2"/>
        <v>0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x14ac:dyDescent="0.25">
      <c r="A43" s="71" t="s">
        <v>166</v>
      </c>
      <c r="B43" s="145" t="str">
        <f>IF('Données projet'!$B$10="","",'Données projet'!$B$10)</f>
        <v/>
      </c>
      <c r="C43" s="15"/>
      <c r="D43" s="15"/>
      <c r="E43" s="15"/>
      <c r="F43" s="141"/>
      <c r="G43" s="111"/>
      <c r="H43" s="15"/>
      <c r="I43" s="15"/>
      <c r="J43" s="15"/>
      <c r="K43" s="15"/>
      <c r="L43" s="15"/>
      <c r="M43" s="15"/>
      <c r="N43" s="143"/>
      <c r="O43" s="15"/>
      <c r="P43" s="15"/>
      <c r="Q43" s="15"/>
      <c r="R43" s="82">
        <f>IF(R42+1&lt;=MIN('Données projet'!$E$9:$E$18),R42+1,"STOP")</f>
        <v>15</v>
      </c>
      <c r="S43" s="167">
        <f t="shared" si="2"/>
        <v>0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x14ac:dyDescent="0.25">
      <c r="A44" s="15"/>
      <c r="B44" s="15"/>
      <c r="C44" s="15"/>
      <c r="D44" s="15"/>
      <c r="E44" s="15"/>
      <c r="F44" s="141"/>
      <c r="G44" s="111"/>
      <c r="H44" s="15"/>
      <c r="I44" s="15"/>
      <c r="J44" s="15"/>
      <c r="K44" s="15"/>
      <c r="L44" s="15"/>
      <c r="M44" s="15"/>
      <c r="N44" s="143"/>
      <c r="O44" s="15"/>
      <c r="P44" s="15"/>
      <c r="Q44" s="15"/>
      <c r="R44" s="82">
        <f>IF(R43+1&lt;=MIN('Données projet'!$E$9:$E$18),R43+1,"STOP")</f>
        <v>16</v>
      </c>
      <c r="S44" s="167">
        <f t="shared" si="2"/>
        <v>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x14ac:dyDescent="0.25">
      <c r="A45" s="91" t="s">
        <v>180</v>
      </c>
      <c r="B45" s="73" t="s">
        <v>262</v>
      </c>
      <c r="C45" s="73" t="s">
        <v>261</v>
      </c>
      <c r="D45" s="91" t="s">
        <v>258</v>
      </c>
      <c r="E45" s="91" t="s">
        <v>300</v>
      </c>
      <c r="F45" s="170"/>
      <c r="G45" s="152"/>
      <c r="H45" s="15"/>
      <c r="I45" s="15"/>
      <c r="J45" s="15"/>
      <c r="K45" s="15"/>
      <c r="L45" s="15"/>
      <c r="M45" s="15"/>
      <c r="N45" s="143"/>
      <c r="O45" s="15"/>
      <c r="P45" s="15"/>
      <c r="Q45" s="15"/>
      <c r="R45" s="82">
        <f>IF(R44+1&lt;=MIN('Données projet'!$E$9:$E$18),R44+1,"STOP")</f>
        <v>17</v>
      </c>
      <c r="S45" s="167">
        <f t="shared" si="2"/>
        <v>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x14ac:dyDescent="0.25">
      <c r="A46" s="6">
        <f>'Données projet'!A62</f>
        <v>0</v>
      </c>
      <c r="B46" s="5">
        <f>'Données projet'!D62</f>
        <v>0</v>
      </c>
      <c r="C46" s="80"/>
      <c r="D46" s="83">
        <f>B46*C46</f>
        <v>0</v>
      </c>
      <c r="E46" s="80"/>
      <c r="F46" s="171"/>
      <c r="G46" s="159"/>
      <c r="H46" s="15"/>
      <c r="I46" s="15"/>
      <c r="J46" s="15"/>
      <c r="K46" s="15"/>
      <c r="L46" s="15"/>
      <c r="M46" s="15"/>
      <c r="N46" s="143"/>
      <c r="O46" s="15"/>
      <c r="P46" s="15"/>
      <c r="Q46" s="15"/>
      <c r="R46" s="82">
        <f>IF(R45+1&lt;=MIN('Données projet'!$E$9:$E$18),R45+1,"STOP")</f>
        <v>18</v>
      </c>
      <c r="S46" s="167">
        <f t="shared" si="2"/>
        <v>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x14ac:dyDescent="0.25">
      <c r="A47" s="6">
        <f>'Données projet'!A63</f>
        <v>0</v>
      </c>
      <c r="B47" s="5">
        <f>'Données projet'!D63</f>
        <v>0</v>
      </c>
      <c r="C47" s="80"/>
      <c r="D47" s="83">
        <f t="shared" ref="D47:D65" si="3">B47*C47</f>
        <v>0</v>
      </c>
      <c r="E47" s="80"/>
      <c r="F47" s="171"/>
      <c r="G47" s="159"/>
      <c r="H47" s="15"/>
      <c r="I47" s="15"/>
      <c r="J47" s="15"/>
      <c r="K47" s="15"/>
      <c r="L47" s="15"/>
      <c r="M47" s="15"/>
      <c r="N47" s="143"/>
      <c r="O47" s="15"/>
      <c r="P47" s="15"/>
      <c r="Q47" s="15"/>
      <c r="R47" s="82">
        <f>IF(R46+1&lt;=MIN('Données projet'!$E$9:$E$18),R46+1,"STOP")</f>
        <v>19</v>
      </c>
      <c r="S47" s="167">
        <f t="shared" si="2"/>
        <v>0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 x14ac:dyDescent="0.25">
      <c r="A48" s="6">
        <f>'Données projet'!A64</f>
        <v>0</v>
      </c>
      <c r="B48" s="5">
        <f>'Données projet'!D64</f>
        <v>0</v>
      </c>
      <c r="C48" s="80"/>
      <c r="D48" s="83">
        <f t="shared" si="3"/>
        <v>0</v>
      </c>
      <c r="E48" s="80"/>
      <c r="F48" s="171"/>
      <c r="G48" s="159"/>
      <c r="H48" s="15"/>
      <c r="I48" s="15"/>
      <c r="J48" s="15"/>
      <c r="K48" s="15"/>
      <c r="L48" s="15"/>
      <c r="M48" s="15"/>
      <c r="N48" s="143"/>
      <c r="O48" s="15"/>
      <c r="P48" s="15"/>
      <c r="Q48" s="15"/>
      <c r="R48" s="82">
        <f>IF(R47+1&lt;=MIN('Données projet'!$E$9:$E$18),R47+1,"STOP")</f>
        <v>20</v>
      </c>
      <c r="S48" s="167">
        <f t="shared" si="2"/>
        <v>0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 x14ac:dyDescent="0.25">
      <c r="A49" s="6">
        <f>'Données projet'!A65</f>
        <v>0</v>
      </c>
      <c r="B49" s="5">
        <f>'Données projet'!D65</f>
        <v>0</v>
      </c>
      <c r="C49" s="80"/>
      <c r="D49" s="83">
        <f t="shared" si="3"/>
        <v>0</v>
      </c>
      <c r="E49" s="80"/>
      <c r="F49" s="171"/>
      <c r="G49" s="159"/>
      <c r="H49" s="15"/>
      <c r="I49" s="15"/>
      <c r="J49" s="15"/>
      <c r="K49" s="15"/>
      <c r="L49" s="15"/>
      <c r="M49" s="15"/>
      <c r="N49" s="143"/>
      <c r="O49" s="15"/>
      <c r="P49" s="15"/>
      <c r="Q49" s="15"/>
      <c r="R49" s="82">
        <f>IF(R48+1&lt;=MIN('Données projet'!$E$9:$E$18),R48+1,"STOP")</f>
        <v>21</v>
      </c>
      <c r="S49" s="167">
        <f t="shared" si="2"/>
        <v>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 x14ac:dyDescent="0.25">
      <c r="A50" s="6">
        <f>'Données projet'!A66</f>
        <v>0</v>
      </c>
      <c r="B50" s="5">
        <f>'Données projet'!D66</f>
        <v>0</v>
      </c>
      <c r="C50" s="80"/>
      <c r="D50" s="83">
        <f t="shared" si="3"/>
        <v>0</v>
      </c>
      <c r="E50" s="80"/>
      <c r="F50" s="171"/>
      <c r="G50" s="159"/>
      <c r="H50" s="15"/>
      <c r="I50" s="15"/>
      <c r="J50" s="160"/>
      <c r="K50" s="160"/>
      <c r="L50" s="160"/>
      <c r="M50" s="15"/>
      <c r="N50" s="143"/>
      <c r="O50" s="15"/>
      <c r="P50" s="15"/>
      <c r="Q50" s="15"/>
      <c r="R50" s="82">
        <f>IF(R49+1&lt;=MIN('Données projet'!$E$9:$E$18),R49+1,"STOP")</f>
        <v>22</v>
      </c>
      <c r="S50" s="167">
        <f t="shared" si="2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x14ac:dyDescent="0.25">
      <c r="A51" s="6">
        <f>'Données projet'!A67</f>
        <v>0</v>
      </c>
      <c r="B51" s="5">
        <f>'Données projet'!D67</f>
        <v>0</v>
      </c>
      <c r="C51" s="80"/>
      <c r="D51" s="83">
        <f t="shared" si="3"/>
        <v>0</v>
      </c>
      <c r="E51" s="80"/>
      <c r="F51" s="171"/>
      <c r="G51" s="159"/>
      <c r="H51" s="15"/>
      <c r="I51" s="15"/>
      <c r="J51" s="160"/>
      <c r="K51" s="160"/>
      <c r="L51" s="160"/>
      <c r="M51" s="15"/>
      <c r="N51" s="143"/>
      <c r="O51" s="15"/>
      <c r="P51" s="15"/>
      <c r="Q51" s="15"/>
      <c r="R51" s="82">
        <f>IF(R50+1&lt;=MIN('Données projet'!$E$9:$E$18),R50+1,"STOP")</f>
        <v>23</v>
      </c>
      <c r="S51" s="167">
        <f t="shared" si="2"/>
        <v>0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x14ac:dyDescent="0.25">
      <c r="A52" s="6">
        <f>'Données projet'!A68</f>
        <v>0</v>
      </c>
      <c r="B52" s="5">
        <f>'Données projet'!D68</f>
        <v>0</v>
      </c>
      <c r="C52" s="80"/>
      <c r="D52" s="83">
        <f t="shared" si="3"/>
        <v>0</v>
      </c>
      <c r="E52" s="80"/>
      <c r="F52" s="171"/>
      <c r="G52" s="159"/>
      <c r="H52" s="15"/>
      <c r="I52" s="15"/>
      <c r="J52" s="160"/>
      <c r="K52" s="160"/>
      <c r="L52" s="160"/>
      <c r="M52" s="15"/>
      <c r="N52" s="143"/>
      <c r="O52" s="15"/>
      <c r="P52" s="15"/>
      <c r="Q52" s="15"/>
      <c r="R52" s="82">
        <f>IF(R51+1&lt;=MIN('Données projet'!$E$9:$E$18),R51+1,"STOP")</f>
        <v>24</v>
      </c>
      <c r="S52" s="167">
        <f t="shared" si="2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x14ac:dyDescent="0.25">
      <c r="A53" s="6">
        <f>'Données projet'!A69</f>
        <v>0</v>
      </c>
      <c r="B53" s="5">
        <f>'Données projet'!D69</f>
        <v>0</v>
      </c>
      <c r="C53" s="80"/>
      <c r="D53" s="83">
        <f t="shared" si="3"/>
        <v>0</v>
      </c>
      <c r="E53" s="80"/>
      <c r="F53" s="171"/>
      <c r="G53" s="159"/>
      <c r="H53" s="15"/>
      <c r="I53" s="15"/>
      <c r="J53" s="160"/>
      <c r="K53" s="160"/>
      <c r="L53" s="160"/>
      <c r="M53" s="15"/>
      <c r="N53" s="143"/>
      <c r="O53" s="15"/>
      <c r="P53" s="15"/>
      <c r="Q53" s="15"/>
      <c r="R53" s="82">
        <f>IF(R52+1&lt;=MIN('Données projet'!$E$9:$E$18),R52+1,"STOP")</f>
        <v>25</v>
      </c>
      <c r="S53" s="167">
        <f t="shared" si="2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 x14ac:dyDescent="0.25">
      <c r="A54" s="6">
        <f>'Données projet'!A70</f>
        <v>0</v>
      </c>
      <c r="B54" s="5">
        <f>'Données projet'!D70</f>
        <v>0</v>
      </c>
      <c r="C54" s="80"/>
      <c r="D54" s="83">
        <f t="shared" si="3"/>
        <v>0</v>
      </c>
      <c r="E54" s="80"/>
      <c r="F54" s="171"/>
      <c r="G54" s="159"/>
      <c r="H54" s="15"/>
      <c r="I54" s="15"/>
      <c r="J54" s="160"/>
      <c r="K54" s="160"/>
      <c r="L54" s="160"/>
      <c r="M54" s="15"/>
      <c r="N54" s="143"/>
      <c r="O54" s="15"/>
      <c r="P54" s="15"/>
      <c r="Q54" s="15"/>
      <c r="R54" s="82">
        <f>IF(R53+1&lt;=MIN('Données projet'!$E$9:$E$18),R53+1,"STOP")</f>
        <v>26</v>
      </c>
      <c r="S54" s="167">
        <f t="shared" si="2"/>
        <v>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 x14ac:dyDescent="0.25">
      <c r="A55" s="6">
        <f>'Données projet'!A71</f>
        <v>0</v>
      </c>
      <c r="B55" s="5">
        <f>'Données projet'!D71</f>
        <v>0</v>
      </c>
      <c r="C55" s="80"/>
      <c r="D55" s="83">
        <f t="shared" si="3"/>
        <v>0</v>
      </c>
      <c r="E55" s="80"/>
      <c r="F55" s="171"/>
      <c r="G55" s="159"/>
      <c r="H55" s="15"/>
      <c r="I55" s="15"/>
      <c r="J55" s="160"/>
      <c r="K55" s="160"/>
      <c r="L55" s="160"/>
      <c r="M55" s="15"/>
      <c r="N55" s="143"/>
      <c r="O55" s="15"/>
      <c r="P55" s="15"/>
      <c r="Q55" s="15"/>
      <c r="R55" s="82">
        <f>IF(R54+1&lt;=MIN('Données projet'!$E$9:$E$18),R54+1,"STOP")</f>
        <v>27</v>
      </c>
      <c r="S55" s="167">
        <f t="shared" si="2"/>
        <v>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 x14ac:dyDescent="0.25">
      <c r="A56" s="6">
        <f>'Données projet'!A72</f>
        <v>0</v>
      </c>
      <c r="B56" s="5">
        <f>'Données projet'!D72</f>
        <v>0</v>
      </c>
      <c r="C56" s="80"/>
      <c r="D56" s="83">
        <f t="shared" si="3"/>
        <v>0</v>
      </c>
      <c r="E56" s="80"/>
      <c r="F56" s="171"/>
      <c r="G56" s="159"/>
      <c r="H56" s="15"/>
      <c r="I56" s="15"/>
      <c r="J56" s="160"/>
      <c r="K56" s="160"/>
      <c r="L56" s="160"/>
      <c r="M56" s="15"/>
      <c r="N56" s="143"/>
      <c r="O56" s="15"/>
      <c r="P56" s="15"/>
      <c r="Q56" s="15"/>
      <c r="R56" s="82">
        <f>IF(R55+1&lt;=MIN('Données projet'!$E$9:$E$18),R55+1,"STOP")</f>
        <v>28</v>
      </c>
      <c r="S56" s="167">
        <f t="shared" si="2"/>
        <v>0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 x14ac:dyDescent="0.25">
      <c r="A57" s="6">
        <f>'Données projet'!A73</f>
        <v>0</v>
      </c>
      <c r="B57" s="5">
        <f>'Données projet'!D73</f>
        <v>0</v>
      </c>
      <c r="C57" s="80"/>
      <c r="D57" s="83">
        <f t="shared" si="3"/>
        <v>0</v>
      </c>
      <c r="E57" s="80"/>
      <c r="F57" s="171"/>
      <c r="G57" s="159"/>
      <c r="H57" s="15"/>
      <c r="I57" s="15"/>
      <c r="J57" s="160"/>
      <c r="K57" s="160"/>
      <c r="L57" s="160"/>
      <c r="M57" s="15"/>
      <c r="N57" s="143"/>
      <c r="O57" s="15"/>
      <c r="P57" s="15"/>
      <c r="Q57" s="15"/>
      <c r="R57" s="82"/>
      <c r="S57" s="167">
        <f t="shared" si="2"/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x14ac:dyDescent="0.25">
      <c r="A58" s="6">
        <f>'Données projet'!A74</f>
        <v>0</v>
      </c>
      <c r="B58" s="5">
        <f>'Données projet'!D74</f>
        <v>0</v>
      </c>
      <c r="C58" s="80"/>
      <c r="D58" s="83">
        <f t="shared" si="3"/>
        <v>0</v>
      </c>
      <c r="E58" s="80"/>
      <c r="F58" s="171"/>
      <c r="G58" s="159"/>
      <c r="H58" s="15"/>
      <c r="I58" s="15"/>
      <c r="J58" s="15"/>
      <c r="K58" s="15"/>
      <c r="L58" s="15"/>
      <c r="M58" s="15"/>
      <c r="N58" s="143"/>
      <c r="O58" s="15"/>
      <c r="P58" s="15"/>
      <c r="Q58" s="15"/>
      <c r="R58" s="82"/>
      <c r="S58" s="167">
        <f t="shared" si="2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 x14ac:dyDescent="0.25">
      <c r="A59" s="6">
        <f>'Données projet'!A75</f>
        <v>0</v>
      </c>
      <c r="B59" s="5">
        <f>'Données projet'!D75</f>
        <v>0</v>
      </c>
      <c r="C59" s="80"/>
      <c r="D59" s="83">
        <f t="shared" si="3"/>
        <v>0</v>
      </c>
      <c r="E59" s="80"/>
      <c r="F59" s="171"/>
      <c r="G59" s="159"/>
      <c r="H59" s="15"/>
      <c r="I59" s="15"/>
      <c r="J59" s="15"/>
      <c r="K59" s="15"/>
      <c r="L59" s="15"/>
      <c r="M59" s="15"/>
      <c r="N59" s="143"/>
      <c r="O59" s="15"/>
      <c r="P59" s="15"/>
      <c r="Q59" s="15"/>
      <c r="R59" s="82"/>
      <c r="S59" s="167">
        <f t="shared" si="2"/>
        <v>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 x14ac:dyDescent="0.25">
      <c r="A60" s="6">
        <f>'Données projet'!A76</f>
        <v>0</v>
      </c>
      <c r="B60" s="5">
        <f>'Données projet'!D76</f>
        <v>0</v>
      </c>
      <c r="C60" s="80"/>
      <c r="D60" s="83">
        <f t="shared" si="3"/>
        <v>0</v>
      </c>
      <c r="E60" s="80"/>
      <c r="F60" s="171"/>
      <c r="G60" s="159"/>
      <c r="H60" s="15"/>
      <c r="I60" s="15"/>
      <c r="J60" s="15"/>
      <c r="K60" s="15"/>
      <c r="L60" s="15"/>
      <c r="M60" s="15"/>
      <c r="N60" s="143"/>
      <c r="O60" s="15"/>
      <c r="P60" s="15"/>
      <c r="Q60" s="15"/>
      <c r="R60" s="82"/>
      <c r="S60" s="167">
        <f t="shared" ref="S60:S91" si="4">$T$23/(1+$J$6)^R60</f>
        <v>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 x14ac:dyDescent="0.25">
      <c r="A61" s="6">
        <f>'Données projet'!A77</f>
        <v>0</v>
      </c>
      <c r="B61" s="5">
        <f>'Données projet'!D77</f>
        <v>0</v>
      </c>
      <c r="C61" s="80"/>
      <c r="D61" s="83">
        <f t="shared" si="3"/>
        <v>0</v>
      </c>
      <c r="E61" s="80"/>
      <c r="F61" s="171"/>
      <c r="G61" s="159"/>
      <c r="H61" s="15"/>
      <c r="I61" s="15"/>
      <c r="J61" s="15"/>
      <c r="K61" s="15"/>
      <c r="L61" s="15"/>
      <c r="M61" s="15"/>
      <c r="N61" s="143"/>
      <c r="O61" s="15"/>
      <c r="P61" s="15"/>
      <c r="Q61" s="15"/>
      <c r="R61" s="82"/>
      <c r="S61" s="167">
        <f t="shared" si="4"/>
        <v>0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x14ac:dyDescent="0.25">
      <c r="A62" s="6">
        <f>'Données projet'!A78</f>
        <v>0</v>
      </c>
      <c r="B62" s="5">
        <f>'Données projet'!D78</f>
        <v>0</v>
      </c>
      <c r="C62" s="80"/>
      <c r="D62" s="83">
        <f t="shared" si="3"/>
        <v>0</v>
      </c>
      <c r="E62" s="80"/>
      <c r="F62" s="171"/>
      <c r="G62" s="159"/>
      <c r="H62" s="15"/>
      <c r="I62" s="15"/>
      <c r="J62" s="15"/>
      <c r="K62" s="15"/>
      <c r="L62" s="15"/>
      <c r="M62" s="15"/>
      <c r="N62" s="143"/>
      <c r="O62" s="15"/>
      <c r="P62" s="15"/>
      <c r="Q62" s="15"/>
      <c r="R62" s="82"/>
      <c r="S62" s="167">
        <f t="shared" si="4"/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 x14ac:dyDescent="0.25">
      <c r="A63" s="6">
        <f>'Données projet'!A79</f>
        <v>0</v>
      </c>
      <c r="B63" s="5">
        <f>'Données projet'!D79</f>
        <v>0</v>
      </c>
      <c r="C63" s="80"/>
      <c r="D63" s="83">
        <f t="shared" si="3"/>
        <v>0</v>
      </c>
      <c r="E63" s="80"/>
      <c r="F63" s="171"/>
      <c r="G63" s="159"/>
      <c r="H63" s="15"/>
      <c r="I63" s="15"/>
      <c r="J63" s="15"/>
      <c r="K63" s="15"/>
      <c r="L63" s="15"/>
      <c r="M63" s="15"/>
      <c r="N63" s="143"/>
      <c r="O63" s="15"/>
      <c r="P63" s="15"/>
      <c r="Q63" s="15"/>
      <c r="R63" s="82"/>
      <c r="S63" s="167">
        <f t="shared" si="4"/>
        <v>0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 x14ac:dyDescent="0.25">
      <c r="A64" s="6">
        <f>'Données projet'!A80</f>
        <v>0</v>
      </c>
      <c r="B64" s="5">
        <f>'Données projet'!D80</f>
        <v>0</v>
      </c>
      <c r="C64" s="80"/>
      <c r="D64" s="83">
        <f t="shared" si="3"/>
        <v>0</v>
      </c>
      <c r="E64" s="80"/>
      <c r="F64" s="171"/>
      <c r="G64" s="159"/>
      <c r="H64" s="15"/>
      <c r="I64" s="15"/>
      <c r="J64" s="15"/>
      <c r="K64" s="15"/>
      <c r="L64" s="15"/>
      <c r="M64" s="15"/>
      <c r="N64" s="143"/>
      <c r="O64" s="15"/>
      <c r="P64" s="15"/>
      <c r="Q64" s="15"/>
      <c r="R64" s="82"/>
      <c r="S64" s="167">
        <f t="shared" si="4"/>
        <v>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 x14ac:dyDescent="0.25">
      <c r="A65" s="6">
        <f>'Données projet'!A81</f>
        <v>0</v>
      </c>
      <c r="B65" s="5">
        <f>'Données projet'!D81</f>
        <v>0</v>
      </c>
      <c r="C65" s="80"/>
      <c r="D65" s="83">
        <f t="shared" si="3"/>
        <v>0</v>
      </c>
      <c r="E65" s="80"/>
      <c r="F65" s="171"/>
      <c r="G65" s="159"/>
      <c r="H65" s="15"/>
      <c r="I65" s="15"/>
      <c r="J65" s="15"/>
      <c r="K65" s="15"/>
      <c r="L65" s="15"/>
      <c r="M65" s="15"/>
      <c r="N65" s="143"/>
      <c r="O65" s="15"/>
      <c r="P65" s="15"/>
      <c r="Q65" s="15"/>
      <c r="R65" s="82"/>
      <c r="S65" s="167">
        <f t="shared" si="4"/>
        <v>0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 x14ac:dyDescent="0.25">
      <c r="A66" s="15"/>
      <c r="B66" s="15"/>
      <c r="C66" s="15"/>
      <c r="D66" s="15"/>
      <c r="E66" s="15"/>
      <c r="F66" s="141"/>
      <c r="G66" s="111"/>
      <c r="H66" s="15"/>
      <c r="I66" s="15"/>
      <c r="J66" s="15"/>
      <c r="K66" s="15"/>
      <c r="L66" s="15"/>
      <c r="M66" s="15"/>
      <c r="N66" s="143"/>
      <c r="O66" s="15"/>
      <c r="P66" s="15"/>
      <c r="Q66" s="15"/>
      <c r="R66" s="82"/>
      <c r="S66" s="167">
        <f t="shared" si="4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 x14ac:dyDescent="0.25">
      <c r="A67" s="15"/>
      <c r="B67" s="15"/>
      <c r="C67" s="15"/>
      <c r="D67" s="15"/>
      <c r="E67" s="15"/>
      <c r="F67" s="141"/>
      <c r="G67" s="111"/>
      <c r="H67" s="15"/>
      <c r="I67" s="15"/>
      <c r="J67" s="15"/>
      <c r="K67" s="15"/>
      <c r="L67" s="15"/>
      <c r="M67" s="15"/>
      <c r="N67" s="143"/>
      <c r="O67" s="15"/>
      <c r="P67" s="15"/>
      <c r="Q67" s="15"/>
      <c r="R67" s="82"/>
      <c r="S67" s="167">
        <f t="shared" si="4"/>
        <v>0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 x14ac:dyDescent="0.25">
      <c r="A68" s="71" t="s">
        <v>167</v>
      </c>
      <c r="B68" s="145" t="str">
        <f>IF('Données projet'!B11="","",'Données projet'!B11)</f>
        <v/>
      </c>
      <c r="C68" s="15"/>
      <c r="D68" s="15"/>
      <c r="E68" s="15"/>
      <c r="F68" s="141"/>
      <c r="G68" s="111"/>
      <c r="H68" s="15"/>
      <c r="I68" s="15"/>
      <c r="J68" s="15"/>
      <c r="K68" s="15"/>
      <c r="L68" s="15"/>
      <c r="M68" s="15"/>
      <c r="N68" s="143"/>
      <c r="O68" s="15"/>
      <c r="P68" s="15"/>
      <c r="Q68" s="15"/>
      <c r="R68" s="82"/>
      <c r="S68" s="167">
        <f t="shared" si="4"/>
        <v>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x14ac:dyDescent="0.25">
      <c r="A69" s="15"/>
      <c r="B69" s="15"/>
      <c r="C69" s="15"/>
      <c r="D69" s="15"/>
      <c r="E69" s="15"/>
      <c r="F69" s="141"/>
      <c r="G69" s="111"/>
      <c r="H69" s="15"/>
      <c r="I69" s="15"/>
      <c r="J69" s="15"/>
      <c r="K69" s="15"/>
      <c r="L69" s="15"/>
      <c r="M69" s="15"/>
      <c r="N69" s="143"/>
      <c r="O69" s="15"/>
      <c r="P69" s="15"/>
      <c r="Q69" s="15"/>
      <c r="R69" s="82"/>
      <c r="S69" s="167">
        <f t="shared" si="4"/>
        <v>0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x14ac:dyDescent="0.25">
      <c r="A70" s="91" t="s">
        <v>180</v>
      </c>
      <c r="B70" s="73" t="s">
        <v>262</v>
      </c>
      <c r="C70" s="73" t="s">
        <v>261</v>
      </c>
      <c r="D70" s="91" t="s">
        <v>258</v>
      </c>
      <c r="E70" s="91" t="s">
        <v>300</v>
      </c>
      <c r="F70" s="170"/>
      <c r="G70" s="152"/>
      <c r="H70" s="15"/>
      <c r="I70" s="15"/>
      <c r="J70" s="15"/>
      <c r="K70" s="15"/>
      <c r="L70" s="15"/>
      <c r="M70" s="15"/>
      <c r="N70" s="143"/>
      <c r="O70" s="15"/>
      <c r="P70" s="15"/>
      <c r="Q70" s="15"/>
      <c r="R70" s="82"/>
      <c r="S70" s="167">
        <f t="shared" si="4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x14ac:dyDescent="0.25">
      <c r="A71" s="67">
        <f>'Données projet'!A88</f>
        <v>0</v>
      </c>
      <c r="B71" s="131">
        <f>'Données projet'!D88</f>
        <v>0</v>
      </c>
      <c r="C71" s="80"/>
      <c r="D71" s="172">
        <f>B71*C71</f>
        <v>0</v>
      </c>
      <c r="E71" s="80"/>
      <c r="F71" s="171"/>
      <c r="G71" s="159"/>
      <c r="H71" s="15"/>
      <c r="I71" s="15"/>
      <c r="J71" s="15"/>
      <c r="K71" s="15"/>
      <c r="L71" s="15"/>
      <c r="M71" s="15"/>
      <c r="N71" s="143"/>
      <c r="O71" s="15"/>
      <c r="P71" s="15"/>
      <c r="Q71" s="15"/>
      <c r="R71" s="82"/>
      <c r="S71" s="167">
        <f t="shared" si="4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x14ac:dyDescent="0.25">
      <c r="A72" s="67">
        <f>'Données projet'!A89</f>
        <v>0</v>
      </c>
      <c r="B72" s="131">
        <f>'Données projet'!D89</f>
        <v>0</v>
      </c>
      <c r="C72" s="80"/>
      <c r="D72" s="172">
        <f t="shared" ref="D72:D90" si="5">B72*C72</f>
        <v>0</v>
      </c>
      <c r="E72" s="80"/>
      <c r="F72" s="171"/>
      <c r="G72" s="159"/>
      <c r="H72" s="15"/>
      <c r="I72" s="15"/>
      <c r="J72" s="15"/>
      <c r="K72" s="15"/>
      <c r="L72" s="15"/>
      <c r="M72" s="15"/>
      <c r="N72" s="143"/>
      <c r="O72" s="15"/>
      <c r="P72" s="15"/>
      <c r="Q72" s="15"/>
      <c r="R72" s="82"/>
      <c r="S72" s="167">
        <f t="shared" si="4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 x14ac:dyDescent="0.25">
      <c r="A73" s="67">
        <f>'Données projet'!A90</f>
        <v>0</v>
      </c>
      <c r="B73" s="131">
        <f>'Données projet'!D90</f>
        <v>0</v>
      </c>
      <c r="C73" s="80"/>
      <c r="D73" s="172">
        <f t="shared" si="5"/>
        <v>0</v>
      </c>
      <c r="E73" s="80"/>
      <c r="F73" s="171"/>
      <c r="G73" s="159"/>
      <c r="H73" s="15"/>
      <c r="I73" s="15"/>
      <c r="J73" s="15"/>
      <c r="K73" s="15"/>
      <c r="L73" s="15"/>
      <c r="M73" s="15"/>
      <c r="N73" s="143"/>
      <c r="O73" s="15"/>
      <c r="P73" s="15"/>
      <c r="Q73" s="15"/>
      <c r="R73" s="82"/>
      <c r="S73" s="167">
        <f t="shared" si="4"/>
        <v>0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x14ac:dyDescent="0.25">
      <c r="A74" s="67">
        <f>'Données projet'!A91</f>
        <v>0</v>
      </c>
      <c r="B74" s="131">
        <f>'Données projet'!D91</f>
        <v>0</v>
      </c>
      <c r="C74" s="80"/>
      <c r="D74" s="172">
        <f t="shared" si="5"/>
        <v>0</v>
      </c>
      <c r="E74" s="80"/>
      <c r="F74" s="171"/>
      <c r="G74" s="159"/>
      <c r="H74" s="15"/>
      <c r="I74" s="15"/>
      <c r="J74" s="15"/>
      <c r="K74" s="15"/>
      <c r="L74" s="15"/>
      <c r="M74" s="15"/>
      <c r="N74" s="143"/>
      <c r="O74" s="15"/>
      <c r="P74" s="15"/>
      <c r="Q74" s="15"/>
      <c r="R74" s="82"/>
      <c r="S74" s="167">
        <f t="shared" si="4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x14ac:dyDescent="0.25">
      <c r="A75" s="67">
        <f>'Données projet'!A92</f>
        <v>0</v>
      </c>
      <c r="B75" s="131">
        <f>'Données projet'!D92</f>
        <v>0</v>
      </c>
      <c r="C75" s="80"/>
      <c r="D75" s="172">
        <f t="shared" si="5"/>
        <v>0</v>
      </c>
      <c r="E75" s="80"/>
      <c r="F75" s="171"/>
      <c r="G75" s="159"/>
      <c r="H75" s="15"/>
      <c r="I75" s="15"/>
      <c r="J75" s="15"/>
      <c r="K75" s="15"/>
      <c r="L75" s="15"/>
      <c r="M75" s="15"/>
      <c r="N75" s="143"/>
      <c r="O75" s="15"/>
      <c r="P75" s="15"/>
      <c r="Q75" s="15"/>
      <c r="R75" s="82"/>
      <c r="S75" s="167">
        <f t="shared" si="4"/>
        <v>0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 x14ac:dyDescent="0.25">
      <c r="A76" s="67">
        <f>'Données projet'!A93</f>
        <v>0</v>
      </c>
      <c r="B76" s="131">
        <f>'Données projet'!D93</f>
        <v>0</v>
      </c>
      <c r="C76" s="80"/>
      <c r="D76" s="172">
        <f t="shared" si="5"/>
        <v>0</v>
      </c>
      <c r="E76" s="80"/>
      <c r="F76" s="171"/>
      <c r="G76" s="159"/>
      <c r="H76" s="15"/>
      <c r="I76" s="15"/>
      <c r="J76" s="15"/>
      <c r="K76" s="15"/>
      <c r="L76" s="15"/>
      <c r="M76" s="15"/>
      <c r="N76" s="143"/>
      <c r="O76" s="15"/>
      <c r="P76" s="15"/>
      <c r="Q76" s="15"/>
      <c r="R76" s="82"/>
      <c r="S76" s="167">
        <f t="shared" si="4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x14ac:dyDescent="0.25">
      <c r="A77" s="67">
        <f>'Données projet'!A94</f>
        <v>0</v>
      </c>
      <c r="B77" s="131">
        <f>'Données projet'!D94</f>
        <v>0</v>
      </c>
      <c r="C77" s="80"/>
      <c r="D77" s="172">
        <f t="shared" si="5"/>
        <v>0</v>
      </c>
      <c r="E77" s="80"/>
      <c r="F77" s="171"/>
      <c r="G77" s="159"/>
      <c r="H77" s="15"/>
      <c r="I77" s="15"/>
      <c r="J77" s="15"/>
      <c r="K77" s="15"/>
      <c r="L77" s="15"/>
      <c r="M77" s="15"/>
      <c r="N77" s="143"/>
      <c r="O77" s="15"/>
      <c r="P77" s="15"/>
      <c r="Q77" s="15"/>
      <c r="R77" s="82"/>
      <c r="S77" s="167">
        <f t="shared" si="4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x14ac:dyDescent="0.25">
      <c r="A78" s="67">
        <f>'Données projet'!A95</f>
        <v>0</v>
      </c>
      <c r="B78" s="131">
        <f>'Données projet'!D95</f>
        <v>0</v>
      </c>
      <c r="C78" s="80"/>
      <c r="D78" s="172">
        <f t="shared" si="5"/>
        <v>0</v>
      </c>
      <c r="E78" s="80"/>
      <c r="F78" s="171"/>
      <c r="G78" s="159"/>
      <c r="H78" s="15"/>
      <c r="I78" s="15"/>
      <c r="J78" s="15"/>
      <c r="K78" s="15"/>
      <c r="L78" s="15"/>
      <c r="M78" s="15"/>
      <c r="N78" s="143"/>
      <c r="O78" s="15"/>
      <c r="P78" s="15"/>
      <c r="Q78" s="15"/>
      <c r="R78" s="82"/>
      <c r="S78" s="167">
        <f t="shared" si="4"/>
        <v>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x14ac:dyDescent="0.25">
      <c r="A79" s="67">
        <f>'Données projet'!A96</f>
        <v>0</v>
      </c>
      <c r="B79" s="131">
        <f>'Données projet'!D96</f>
        <v>0</v>
      </c>
      <c r="C79" s="80"/>
      <c r="D79" s="172">
        <f t="shared" si="5"/>
        <v>0</v>
      </c>
      <c r="E79" s="80"/>
      <c r="F79" s="171"/>
      <c r="G79" s="159"/>
      <c r="H79" s="15"/>
      <c r="I79" s="15"/>
      <c r="J79" s="15"/>
      <c r="K79" s="15"/>
      <c r="L79" s="15"/>
      <c r="M79" s="15"/>
      <c r="N79" s="143"/>
      <c r="O79" s="15"/>
      <c r="P79" s="15"/>
      <c r="Q79" s="15"/>
      <c r="R79" s="82"/>
      <c r="S79" s="167">
        <f t="shared" si="4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x14ac:dyDescent="0.25">
      <c r="A80" s="67">
        <f>'Données projet'!A97</f>
        <v>0</v>
      </c>
      <c r="B80" s="131">
        <f>'Données projet'!D97</f>
        <v>0</v>
      </c>
      <c r="C80" s="80"/>
      <c r="D80" s="172">
        <f t="shared" si="5"/>
        <v>0</v>
      </c>
      <c r="E80" s="80"/>
      <c r="F80" s="171"/>
      <c r="G80" s="159"/>
      <c r="H80" s="15"/>
      <c r="I80" s="15"/>
      <c r="J80" s="15"/>
      <c r="K80" s="15"/>
      <c r="L80" s="15"/>
      <c r="M80" s="15"/>
      <c r="N80" s="143"/>
      <c r="O80" s="15"/>
      <c r="P80" s="15"/>
      <c r="Q80" s="15"/>
      <c r="R80" s="82"/>
      <c r="S80" s="167">
        <f t="shared" si="4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 x14ac:dyDescent="0.25">
      <c r="A81" s="67">
        <f>'Données projet'!A98</f>
        <v>0</v>
      </c>
      <c r="B81" s="131">
        <f>'Données projet'!D98</f>
        <v>0</v>
      </c>
      <c r="C81" s="80"/>
      <c r="D81" s="172">
        <f t="shared" si="5"/>
        <v>0</v>
      </c>
      <c r="E81" s="80"/>
      <c r="F81" s="171"/>
      <c r="G81" s="159"/>
      <c r="H81" s="15"/>
      <c r="I81" s="15"/>
      <c r="J81" s="15"/>
      <c r="K81" s="15"/>
      <c r="L81" s="15"/>
      <c r="M81" s="15"/>
      <c r="N81" s="143"/>
      <c r="O81" s="15"/>
      <c r="P81" s="15"/>
      <c r="Q81" s="15"/>
      <c r="R81" s="82"/>
      <c r="S81" s="167">
        <f t="shared" si="4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 x14ac:dyDescent="0.25">
      <c r="A82" s="67">
        <f>'Données projet'!A99</f>
        <v>0</v>
      </c>
      <c r="B82" s="131">
        <f>'Données projet'!D99</f>
        <v>0</v>
      </c>
      <c r="C82" s="80"/>
      <c r="D82" s="172">
        <f t="shared" si="5"/>
        <v>0</v>
      </c>
      <c r="E82" s="80"/>
      <c r="F82" s="171"/>
      <c r="G82" s="159"/>
      <c r="H82" s="15"/>
      <c r="I82" s="15"/>
      <c r="J82" s="15"/>
      <c r="K82" s="15"/>
      <c r="L82" s="15"/>
      <c r="M82" s="15"/>
      <c r="N82" s="143"/>
      <c r="O82" s="15"/>
      <c r="P82" s="15"/>
      <c r="Q82" s="15"/>
      <c r="R82" s="82"/>
      <c r="S82" s="167">
        <f t="shared" si="4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 x14ac:dyDescent="0.25">
      <c r="A83" s="67">
        <f>'Données projet'!A100</f>
        <v>0</v>
      </c>
      <c r="B83" s="131">
        <f>'Données projet'!D100</f>
        <v>0</v>
      </c>
      <c r="C83" s="80"/>
      <c r="D83" s="172">
        <f t="shared" si="5"/>
        <v>0</v>
      </c>
      <c r="E83" s="80"/>
      <c r="F83" s="171"/>
      <c r="G83" s="159"/>
      <c r="H83" s="15"/>
      <c r="I83" s="15"/>
      <c r="J83" s="15"/>
      <c r="K83" s="15"/>
      <c r="L83" s="15"/>
      <c r="M83" s="15"/>
      <c r="N83" s="143"/>
      <c r="O83" s="15"/>
      <c r="P83" s="15"/>
      <c r="Q83" s="15"/>
      <c r="R83" s="82"/>
      <c r="S83" s="167">
        <f t="shared" si="4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 x14ac:dyDescent="0.25">
      <c r="A84" s="67">
        <f>'Données projet'!A101</f>
        <v>0</v>
      </c>
      <c r="B84" s="131">
        <f>'Données projet'!D101</f>
        <v>0</v>
      </c>
      <c r="C84" s="80"/>
      <c r="D84" s="172">
        <f t="shared" si="5"/>
        <v>0</v>
      </c>
      <c r="E84" s="80"/>
      <c r="F84" s="171"/>
      <c r="G84" s="159"/>
      <c r="H84" s="15"/>
      <c r="I84" s="15"/>
      <c r="J84" s="15"/>
      <c r="K84" s="15"/>
      <c r="L84" s="15"/>
      <c r="M84" s="15"/>
      <c r="N84" s="143"/>
      <c r="O84" s="15"/>
      <c r="P84" s="15"/>
      <c r="Q84" s="15"/>
      <c r="R84" s="82"/>
      <c r="S84" s="167">
        <f t="shared" si="4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 x14ac:dyDescent="0.25">
      <c r="A85" s="67">
        <f>'Données projet'!A102</f>
        <v>0</v>
      </c>
      <c r="B85" s="131">
        <f>'Données projet'!D102</f>
        <v>0</v>
      </c>
      <c r="C85" s="80"/>
      <c r="D85" s="172">
        <f t="shared" si="5"/>
        <v>0</v>
      </c>
      <c r="E85" s="80"/>
      <c r="F85" s="171"/>
      <c r="G85" s="159"/>
      <c r="H85" s="15"/>
      <c r="I85" s="15"/>
      <c r="J85" s="15"/>
      <c r="K85" s="15"/>
      <c r="L85" s="15"/>
      <c r="M85" s="15"/>
      <c r="N85" s="143"/>
      <c r="O85" s="15"/>
      <c r="P85" s="15"/>
      <c r="Q85" s="15"/>
      <c r="R85" s="82"/>
      <c r="S85" s="167">
        <f t="shared" si="4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 x14ac:dyDescent="0.25">
      <c r="A86" s="67">
        <f>'Données projet'!A103</f>
        <v>0</v>
      </c>
      <c r="B86" s="131">
        <f>'Données projet'!D103</f>
        <v>0</v>
      </c>
      <c r="C86" s="80"/>
      <c r="D86" s="172">
        <f t="shared" si="5"/>
        <v>0</v>
      </c>
      <c r="E86" s="80"/>
      <c r="F86" s="171"/>
      <c r="G86" s="159"/>
      <c r="H86" s="15"/>
      <c r="I86" s="15"/>
      <c r="J86" s="15"/>
      <c r="K86" s="15"/>
      <c r="L86" s="15"/>
      <c r="M86" s="15"/>
      <c r="N86" s="143"/>
      <c r="O86" s="15"/>
      <c r="P86" s="15"/>
      <c r="Q86" s="15"/>
      <c r="R86" s="82"/>
      <c r="S86" s="167">
        <f t="shared" si="4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x14ac:dyDescent="0.25">
      <c r="A87" s="67">
        <f>'Données projet'!A104</f>
        <v>0</v>
      </c>
      <c r="B87" s="131">
        <f>'Données projet'!D104</f>
        <v>0</v>
      </c>
      <c r="C87" s="80"/>
      <c r="D87" s="172">
        <f t="shared" si="5"/>
        <v>0</v>
      </c>
      <c r="E87" s="80"/>
      <c r="F87" s="171"/>
      <c r="G87" s="159"/>
      <c r="H87" s="15"/>
      <c r="I87" s="15"/>
      <c r="J87" s="15"/>
      <c r="K87" s="15"/>
      <c r="L87" s="15"/>
      <c r="M87" s="15"/>
      <c r="N87" s="143"/>
      <c r="O87" s="15"/>
      <c r="P87" s="15"/>
      <c r="Q87" s="15"/>
      <c r="R87" s="82"/>
      <c r="S87" s="167">
        <f t="shared" si="4"/>
        <v>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 x14ac:dyDescent="0.25">
      <c r="A88" s="67">
        <f>'Données projet'!A105</f>
        <v>0</v>
      </c>
      <c r="B88" s="131">
        <f>'Données projet'!D105</f>
        <v>0</v>
      </c>
      <c r="C88" s="80"/>
      <c r="D88" s="172">
        <f t="shared" si="5"/>
        <v>0</v>
      </c>
      <c r="E88" s="80"/>
      <c r="F88" s="171"/>
      <c r="G88" s="159"/>
      <c r="H88" s="15"/>
      <c r="I88" s="15"/>
      <c r="J88" s="15"/>
      <c r="K88" s="15"/>
      <c r="L88" s="15"/>
      <c r="M88" s="15"/>
      <c r="N88" s="143"/>
      <c r="O88" s="15"/>
      <c r="P88" s="15"/>
      <c r="Q88" s="15"/>
      <c r="R88" s="82"/>
      <c r="S88" s="167">
        <f t="shared" si="4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 x14ac:dyDescent="0.25">
      <c r="A89" s="67">
        <f>'Données projet'!A106</f>
        <v>0</v>
      </c>
      <c r="B89" s="131">
        <f>'Données projet'!D106</f>
        <v>0</v>
      </c>
      <c r="C89" s="80"/>
      <c r="D89" s="172">
        <f t="shared" si="5"/>
        <v>0</v>
      </c>
      <c r="E89" s="80"/>
      <c r="F89" s="171"/>
      <c r="G89" s="159"/>
      <c r="H89" s="15"/>
      <c r="I89" s="15"/>
      <c r="J89" s="15"/>
      <c r="K89" s="15"/>
      <c r="L89" s="15"/>
      <c r="M89" s="15"/>
      <c r="N89" s="143"/>
      <c r="O89" s="15"/>
      <c r="P89" s="15"/>
      <c r="Q89" s="15"/>
      <c r="R89" s="82"/>
      <c r="S89" s="167">
        <f t="shared" si="4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x14ac:dyDescent="0.25">
      <c r="A90" s="67">
        <f>'Données projet'!A107</f>
        <v>0</v>
      </c>
      <c r="B90" s="131">
        <f>'Données projet'!D107</f>
        <v>0</v>
      </c>
      <c r="C90" s="80"/>
      <c r="D90" s="172">
        <f t="shared" si="5"/>
        <v>0</v>
      </c>
      <c r="E90" s="80"/>
      <c r="F90" s="171"/>
      <c r="G90" s="159"/>
      <c r="H90" s="15"/>
      <c r="I90" s="15"/>
      <c r="J90" s="15"/>
      <c r="K90" s="15"/>
      <c r="L90" s="15"/>
      <c r="M90" s="15"/>
      <c r="N90" s="143"/>
      <c r="O90" s="15"/>
      <c r="P90" s="15"/>
      <c r="Q90" s="15"/>
      <c r="R90" s="82"/>
      <c r="S90" s="167">
        <f t="shared" si="4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 x14ac:dyDescent="0.25">
      <c r="A91" s="15"/>
      <c r="B91" s="15"/>
      <c r="C91" s="15"/>
      <c r="D91" s="15"/>
      <c r="E91" s="15"/>
      <c r="F91" s="141"/>
      <c r="G91" s="111"/>
      <c r="H91" s="15"/>
      <c r="I91" s="15"/>
      <c r="J91" s="15"/>
      <c r="K91" s="15"/>
      <c r="L91" s="15"/>
      <c r="M91" s="15"/>
      <c r="N91" s="143"/>
      <c r="O91" s="15"/>
      <c r="P91" s="15"/>
      <c r="Q91" s="15"/>
      <c r="R91" s="82"/>
      <c r="S91" s="167">
        <f t="shared" si="4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 x14ac:dyDescent="0.25">
      <c r="A92" s="15"/>
      <c r="B92" s="15"/>
      <c r="C92" s="15"/>
      <c r="D92" s="15"/>
      <c r="E92" s="15"/>
      <c r="F92" s="141"/>
      <c r="G92" s="111"/>
      <c r="H92" s="15"/>
      <c r="I92" s="15"/>
      <c r="J92" s="15"/>
      <c r="K92" s="15"/>
      <c r="L92" s="15"/>
      <c r="M92" s="15"/>
      <c r="N92" s="143"/>
      <c r="O92" s="15"/>
      <c r="P92" s="15"/>
      <c r="Q92" s="15"/>
      <c r="R92" s="82"/>
      <c r="S92" s="167">
        <f t="shared" ref="S92:S123" si="6">$T$23/(1+$J$6)^R92</f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 x14ac:dyDescent="0.25">
      <c r="A93" s="71" t="s">
        <v>168</v>
      </c>
      <c r="B93" s="145" t="str">
        <f>IF('Données projet'!B12="","",'Données projet'!B12)</f>
        <v/>
      </c>
      <c r="C93" s="15"/>
      <c r="D93" s="15"/>
      <c r="E93" s="15"/>
      <c r="F93" s="141"/>
      <c r="G93" s="111"/>
      <c r="H93" s="15"/>
      <c r="I93" s="15"/>
      <c r="J93" s="15"/>
      <c r="K93" s="15"/>
      <c r="L93" s="15"/>
      <c r="M93" s="15"/>
      <c r="N93" s="143"/>
      <c r="O93" s="15"/>
      <c r="P93" s="15"/>
      <c r="Q93" s="15"/>
      <c r="R93" s="82"/>
      <c r="S93" s="167">
        <f t="shared" si="6"/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 x14ac:dyDescent="0.25">
      <c r="A94" s="15"/>
      <c r="B94" s="15"/>
      <c r="C94" s="15"/>
      <c r="D94" s="15"/>
      <c r="E94" s="15"/>
      <c r="F94" s="141"/>
      <c r="G94" s="111"/>
      <c r="H94" s="15"/>
      <c r="I94" s="15"/>
      <c r="J94" s="15"/>
      <c r="K94" s="15"/>
      <c r="L94" s="15"/>
      <c r="M94" s="15"/>
      <c r="N94" s="143"/>
      <c r="O94" s="15"/>
      <c r="P94" s="15"/>
      <c r="Q94" s="15"/>
      <c r="R94" s="82"/>
      <c r="S94" s="167">
        <f t="shared" si="6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 x14ac:dyDescent="0.25">
      <c r="A95" s="91" t="s">
        <v>180</v>
      </c>
      <c r="B95" s="73" t="s">
        <v>262</v>
      </c>
      <c r="C95" s="73" t="s">
        <v>261</v>
      </c>
      <c r="D95" s="91" t="s">
        <v>258</v>
      </c>
      <c r="E95" s="91" t="s">
        <v>300</v>
      </c>
      <c r="F95" s="170"/>
      <c r="G95" s="152"/>
      <c r="H95" s="15"/>
      <c r="I95" s="15"/>
      <c r="J95" s="15"/>
      <c r="K95" s="15"/>
      <c r="L95" s="15"/>
      <c r="M95" s="15"/>
      <c r="N95" s="143"/>
      <c r="O95" s="15"/>
      <c r="P95" s="15"/>
      <c r="Q95" s="15"/>
      <c r="R95" s="82"/>
      <c r="S95" s="167">
        <f t="shared" si="6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 x14ac:dyDescent="0.25">
      <c r="A96" s="67">
        <f>'Données projet'!A114</f>
        <v>0</v>
      </c>
      <c r="B96" s="131">
        <f>'Données projet'!D114</f>
        <v>0</v>
      </c>
      <c r="C96" s="80"/>
      <c r="D96" s="172">
        <f>B96*C96</f>
        <v>0</v>
      </c>
      <c r="E96" s="80"/>
      <c r="F96" s="171"/>
      <c r="G96" s="159"/>
      <c r="H96" s="15"/>
      <c r="I96" s="15"/>
      <c r="J96" s="15"/>
      <c r="K96" s="15"/>
      <c r="L96" s="15"/>
      <c r="M96" s="15"/>
      <c r="N96" s="143"/>
      <c r="O96" s="15"/>
      <c r="P96" s="15"/>
      <c r="Q96" s="15"/>
      <c r="R96" s="82"/>
      <c r="S96" s="167">
        <f t="shared" si="6"/>
        <v>0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 x14ac:dyDescent="0.25">
      <c r="A97" s="67">
        <f>'Données projet'!A115</f>
        <v>0</v>
      </c>
      <c r="B97" s="131">
        <f>'Données projet'!D115</f>
        <v>0</v>
      </c>
      <c r="C97" s="80"/>
      <c r="D97" s="172">
        <f t="shared" ref="D97:D115" si="7">B97*C97</f>
        <v>0</v>
      </c>
      <c r="E97" s="80"/>
      <c r="F97" s="171"/>
      <c r="G97" s="159"/>
      <c r="H97" s="15"/>
      <c r="I97" s="15"/>
      <c r="J97" s="15"/>
      <c r="K97" s="15"/>
      <c r="L97" s="15"/>
      <c r="M97" s="15"/>
      <c r="N97" s="143"/>
      <c r="O97" s="15"/>
      <c r="P97" s="15"/>
      <c r="Q97" s="15"/>
      <c r="R97" s="82"/>
      <c r="S97" s="167">
        <f t="shared" si="6"/>
        <v>0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x14ac:dyDescent="0.25">
      <c r="A98" s="67">
        <f>'Données projet'!A116</f>
        <v>0</v>
      </c>
      <c r="B98" s="131">
        <f>'Données projet'!D116</f>
        <v>0</v>
      </c>
      <c r="C98" s="80"/>
      <c r="D98" s="172">
        <f t="shared" si="7"/>
        <v>0</v>
      </c>
      <c r="E98" s="80"/>
      <c r="F98" s="171"/>
      <c r="G98" s="159"/>
      <c r="H98" s="15"/>
      <c r="I98" s="15"/>
      <c r="J98" s="15"/>
      <c r="K98" s="15"/>
      <c r="L98" s="15"/>
      <c r="M98" s="15"/>
      <c r="N98" s="143"/>
      <c r="O98" s="15"/>
      <c r="P98" s="15"/>
      <c r="Q98" s="15"/>
      <c r="R98" s="82"/>
      <c r="S98" s="167">
        <f t="shared" si="6"/>
        <v>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 x14ac:dyDescent="0.25">
      <c r="A99" s="67">
        <f>'Données projet'!A117</f>
        <v>0</v>
      </c>
      <c r="B99" s="131">
        <f>'Données projet'!D117</f>
        <v>0</v>
      </c>
      <c r="C99" s="80"/>
      <c r="D99" s="172">
        <f t="shared" si="7"/>
        <v>0</v>
      </c>
      <c r="E99" s="80"/>
      <c r="F99" s="171"/>
      <c r="G99" s="159"/>
      <c r="H99" s="15"/>
      <c r="I99" s="15"/>
      <c r="J99" s="15"/>
      <c r="K99" s="15"/>
      <c r="L99" s="15"/>
      <c r="M99" s="15"/>
      <c r="N99" s="143"/>
      <c r="O99" s="15"/>
      <c r="P99" s="15"/>
      <c r="Q99" s="15"/>
      <c r="R99" s="82"/>
      <c r="S99" s="167">
        <f t="shared" si="6"/>
        <v>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 x14ac:dyDescent="0.25">
      <c r="A100" s="67">
        <f>'Données projet'!A118</f>
        <v>0</v>
      </c>
      <c r="B100" s="131">
        <f>'Données projet'!D118</f>
        <v>0</v>
      </c>
      <c r="C100" s="80"/>
      <c r="D100" s="172">
        <f t="shared" si="7"/>
        <v>0</v>
      </c>
      <c r="E100" s="80"/>
      <c r="F100" s="171"/>
      <c r="G100" s="159"/>
      <c r="H100" s="15"/>
      <c r="I100" s="15"/>
      <c r="J100" s="15"/>
      <c r="K100" s="15"/>
      <c r="L100" s="15"/>
      <c r="M100" s="15"/>
      <c r="N100" s="143"/>
      <c r="O100" s="15"/>
      <c r="P100" s="15"/>
      <c r="Q100" s="15"/>
      <c r="R100" s="82"/>
      <c r="S100" s="167">
        <f t="shared" si="6"/>
        <v>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 x14ac:dyDescent="0.25">
      <c r="A101" s="67">
        <f>'Données projet'!A119</f>
        <v>0</v>
      </c>
      <c r="B101" s="131">
        <f>'Données projet'!D119</f>
        <v>0</v>
      </c>
      <c r="C101" s="80"/>
      <c r="D101" s="172">
        <f t="shared" si="7"/>
        <v>0</v>
      </c>
      <c r="E101" s="80"/>
      <c r="F101" s="171"/>
      <c r="G101" s="159"/>
      <c r="H101" s="15"/>
      <c r="I101" s="15"/>
      <c r="J101" s="15"/>
      <c r="K101" s="15"/>
      <c r="L101" s="15"/>
      <c r="M101" s="15"/>
      <c r="N101" s="143"/>
      <c r="O101" s="15"/>
      <c r="P101" s="15"/>
      <c r="Q101" s="15"/>
      <c r="R101" s="82"/>
      <c r="S101" s="167">
        <f t="shared" si="6"/>
        <v>0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 x14ac:dyDescent="0.25">
      <c r="A102" s="67">
        <f>'Données projet'!A120</f>
        <v>0</v>
      </c>
      <c r="B102" s="131">
        <f>'Données projet'!D120</f>
        <v>0</v>
      </c>
      <c r="C102" s="80"/>
      <c r="D102" s="172">
        <f t="shared" si="7"/>
        <v>0</v>
      </c>
      <c r="E102" s="80"/>
      <c r="F102" s="171"/>
      <c r="G102" s="159"/>
      <c r="H102" s="15"/>
      <c r="I102" s="15"/>
      <c r="J102" s="15"/>
      <c r="K102" s="15"/>
      <c r="L102" s="15"/>
      <c r="M102" s="15"/>
      <c r="N102" s="143"/>
      <c r="O102" s="15"/>
      <c r="P102" s="15"/>
      <c r="Q102" s="15"/>
      <c r="R102" s="82"/>
      <c r="S102" s="167">
        <f t="shared" si="6"/>
        <v>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 x14ac:dyDescent="0.25">
      <c r="A103" s="67">
        <f>'Données projet'!A121</f>
        <v>0</v>
      </c>
      <c r="B103" s="131">
        <f>'Données projet'!D121</f>
        <v>0</v>
      </c>
      <c r="C103" s="80"/>
      <c r="D103" s="172">
        <f t="shared" si="7"/>
        <v>0</v>
      </c>
      <c r="E103" s="80"/>
      <c r="F103" s="171"/>
      <c r="G103" s="159"/>
      <c r="H103" s="15"/>
      <c r="I103" s="15"/>
      <c r="J103" s="15"/>
      <c r="K103" s="15"/>
      <c r="L103" s="15"/>
      <c r="M103" s="15"/>
      <c r="N103" s="143"/>
      <c r="O103" s="15"/>
      <c r="P103" s="15"/>
      <c r="Q103" s="15"/>
      <c r="R103" s="82"/>
      <c r="S103" s="167">
        <f t="shared" si="6"/>
        <v>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 x14ac:dyDescent="0.25">
      <c r="A104" s="67">
        <f>'Données projet'!A122</f>
        <v>0</v>
      </c>
      <c r="B104" s="131">
        <f>'Données projet'!D122</f>
        <v>0</v>
      </c>
      <c r="C104" s="80"/>
      <c r="D104" s="172">
        <f t="shared" si="7"/>
        <v>0</v>
      </c>
      <c r="E104" s="80"/>
      <c r="F104" s="171"/>
      <c r="G104" s="159"/>
      <c r="H104" s="15"/>
      <c r="I104" s="15"/>
      <c r="J104" s="15"/>
      <c r="K104" s="15"/>
      <c r="L104" s="15"/>
      <c r="M104" s="15"/>
      <c r="N104" s="143"/>
      <c r="O104" s="15"/>
      <c r="P104" s="15"/>
      <c r="Q104" s="15"/>
      <c r="R104" s="82"/>
      <c r="S104" s="167">
        <f t="shared" si="6"/>
        <v>0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x14ac:dyDescent="0.25">
      <c r="A105" s="67">
        <f>'Données projet'!A123</f>
        <v>0</v>
      </c>
      <c r="B105" s="131">
        <f>'Données projet'!D123</f>
        <v>0</v>
      </c>
      <c r="C105" s="80"/>
      <c r="D105" s="172">
        <f t="shared" si="7"/>
        <v>0</v>
      </c>
      <c r="E105" s="80"/>
      <c r="F105" s="171"/>
      <c r="G105" s="159"/>
      <c r="H105" s="15"/>
      <c r="I105" s="15"/>
      <c r="J105" s="15"/>
      <c r="K105" s="15"/>
      <c r="L105" s="15"/>
      <c r="M105" s="15"/>
      <c r="N105" s="143"/>
      <c r="O105" s="15"/>
      <c r="P105" s="15"/>
      <c r="Q105" s="15"/>
      <c r="R105" s="82"/>
      <c r="S105" s="167">
        <f t="shared" si="6"/>
        <v>0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:33" x14ac:dyDescent="0.25">
      <c r="A106" s="67">
        <f>'Données projet'!A124</f>
        <v>0</v>
      </c>
      <c r="B106" s="131">
        <f>'Données projet'!D124</f>
        <v>0</v>
      </c>
      <c r="C106" s="80"/>
      <c r="D106" s="172">
        <f t="shared" si="7"/>
        <v>0</v>
      </c>
      <c r="E106" s="80"/>
      <c r="F106" s="171"/>
      <c r="G106" s="159"/>
      <c r="H106" s="15"/>
      <c r="I106" s="15"/>
      <c r="J106" s="15"/>
      <c r="K106" s="15"/>
      <c r="L106" s="15"/>
      <c r="M106" s="15"/>
      <c r="N106" s="143"/>
      <c r="O106" s="15"/>
      <c r="P106" s="15"/>
      <c r="Q106" s="15"/>
      <c r="R106" s="82"/>
      <c r="S106" s="167">
        <f t="shared" si="6"/>
        <v>0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:33" x14ac:dyDescent="0.25">
      <c r="A107" s="67">
        <f>'Données projet'!A125</f>
        <v>0</v>
      </c>
      <c r="B107" s="131">
        <f>'Données projet'!D125</f>
        <v>0</v>
      </c>
      <c r="C107" s="80"/>
      <c r="D107" s="172">
        <f t="shared" si="7"/>
        <v>0</v>
      </c>
      <c r="E107" s="80"/>
      <c r="F107" s="171"/>
      <c r="G107" s="159"/>
      <c r="H107" s="15"/>
      <c r="I107" s="15"/>
      <c r="J107" s="15"/>
      <c r="K107" s="15"/>
      <c r="L107" s="15"/>
      <c r="M107" s="15"/>
      <c r="N107" s="143"/>
      <c r="O107" s="15"/>
      <c r="P107" s="15"/>
      <c r="Q107" s="15"/>
      <c r="R107" s="82"/>
      <c r="S107" s="167">
        <f t="shared" si="6"/>
        <v>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:33" x14ac:dyDescent="0.25">
      <c r="A108" s="67">
        <f>'Données projet'!A126</f>
        <v>0</v>
      </c>
      <c r="B108" s="131">
        <f>'Données projet'!D126</f>
        <v>0</v>
      </c>
      <c r="C108" s="80"/>
      <c r="D108" s="172">
        <f t="shared" si="7"/>
        <v>0</v>
      </c>
      <c r="E108" s="80"/>
      <c r="F108" s="171"/>
      <c r="G108" s="159"/>
      <c r="H108" s="15"/>
      <c r="I108" s="15"/>
      <c r="J108" s="15"/>
      <c r="K108" s="15"/>
      <c r="L108" s="15"/>
      <c r="M108" s="15"/>
      <c r="N108" s="143"/>
      <c r="O108" s="15"/>
      <c r="P108" s="15"/>
      <c r="Q108" s="15"/>
      <c r="R108" s="82"/>
      <c r="S108" s="167">
        <f t="shared" si="6"/>
        <v>0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:33" x14ac:dyDescent="0.25">
      <c r="A109" s="67">
        <f>'Données projet'!A127</f>
        <v>0</v>
      </c>
      <c r="B109" s="131">
        <f>'Données projet'!D127</f>
        <v>0</v>
      </c>
      <c r="C109" s="80"/>
      <c r="D109" s="172">
        <f t="shared" si="7"/>
        <v>0</v>
      </c>
      <c r="E109" s="80"/>
      <c r="F109" s="171"/>
      <c r="G109" s="159"/>
      <c r="H109" s="15"/>
      <c r="I109" s="15"/>
      <c r="J109" s="15"/>
      <c r="K109" s="15"/>
      <c r="L109" s="15"/>
      <c r="M109" s="15"/>
      <c r="N109" s="143"/>
      <c r="O109" s="15"/>
      <c r="P109" s="15"/>
      <c r="Q109" s="15"/>
      <c r="R109" s="82"/>
      <c r="S109" s="167">
        <f t="shared" si="6"/>
        <v>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:33" x14ac:dyDescent="0.25">
      <c r="A110" s="67">
        <f>'Données projet'!A128</f>
        <v>0</v>
      </c>
      <c r="B110" s="131">
        <f>'Données projet'!D128</f>
        <v>0</v>
      </c>
      <c r="C110" s="80"/>
      <c r="D110" s="172">
        <f t="shared" si="7"/>
        <v>0</v>
      </c>
      <c r="E110" s="80"/>
      <c r="F110" s="171"/>
      <c r="G110" s="159"/>
      <c r="H110" s="15"/>
      <c r="I110" s="15"/>
      <c r="J110" s="15"/>
      <c r="K110" s="15"/>
      <c r="L110" s="15"/>
      <c r="M110" s="15"/>
      <c r="N110" s="143"/>
      <c r="O110" s="15"/>
      <c r="P110" s="15"/>
      <c r="Q110" s="15"/>
      <c r="R110" s="82"/>
      <c r="S110" s="167">
        <f t="shared" si="6"/>
        <v>0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:33" x14ac:dyDescent="0.25">
      <c r="A111" s="67">
        <f>'Données projet'!A129</f>
        <v>0</v>
      </c>
      <c r="B111" s="131">
        <f>'Données projet'!D129</f>
        <v>0</v>
      </c>
      <c r="C111" s="80"/>
      <c r="D111" s="172">
        <f t="shared" si="7"/>
        <v>0</v>
      </c>
      <c r="E111" s="80"/>
      <c r="F111" s="171"/>
      <c r="G111" s="159"/>
      <c r="H111" s="15"/>
      <c r="I111" s="15"/>
      <c r="J111" s="15"/>
      <c r="K111" s="15"/>
      <c r="L111" s="15"/>
      <c r="M111" s="15"/>
      <c r="N111" s="143"/>
      <c r="O111" s="15"/>
      <c r="P111" s="15"/>
      <c r="Q111" s="15"/>
      <c r="R111" s="82"/>
      <c r="S111" s="167">
        <f t="shared" si="6"/>
        <v>0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:33" x14ac:dyDescent="0.25">
      <c r="A112" s="67">
        <f>'Données projet'!A130</f>
        <v>0</v>
      </c>
      <c r="B112" s="131">
        <f>'Données projet'!D130</f>
        <v>0</v>
      </c>
      <c r="C112" s="80"/>
      <c r="D112" s="172">
        <f t="shared" si="7"/>
        <v>0</v>
      </c>
      <c r="E112" s="80"/>
      <c r="F112" s="171"/>
      <c r="G112" s="159"/>
      <c r="H112" s="15"/>
      <c r="I112" s="15"/>
      <c r="J112" s="15"/>
      <c r="K112" s="15"/>
      <c r="L112" s="15"/>
      <c r="M112" s="15"/>
      <c r="N112" s="143"/>
      <c r="O112" s="15"/>
      <c r="P112" s="15"/>
      <c r="Q112" s="15"/>
      <c r="R112" s="82"/>
      <c r="S112" s="167">
        <f t="shared" si="6"/>
        <v>0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:33" x14ac:dyDescent="0.25">
      <c r="A113" s="67">
        <f>'Données projet'!A131</f>
        <v>0</v>
      </c>
      <c r="B113" s="131">
        <f>'Données projet'!D131</f>
        <v>0</v>
      </c>
      <c r="C113" s="80"/>
      <c r="D113" s="172">
        <f t="shared" si="7"/>
        <v>0</v>
      </c>
      <c r="E113" s="80"/>
      <c r="F113" s="171"/>
      <c r="G113" s="159"/>
      <c r="H113" s="15"/>
      <c r="I113" s="15"/>
      <c r="J113" s="15"/>
      <c r="K113" s="15"/>
      <c r="L113" s="15"/>
      <c r="M113" s="15"/>
      <c r="N113" s="143"/>
      <c r="O113" s="15"/>
      <c r="P113" s="15"/>
      <c r="Q113" s="15"/>
      <c r="R113" s="82"/>
      <c r="S113" s="167">
        <f t="shared" si="6"/>
        <v>0</v>
      </c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:33" x14ac:dyDescent="0.25">
      <c r="A114" s="67">
        <f>'Données projet'!A132</f>
        <v>0</v>
      </c>
      <c r="B114" s="131">
        <f>'Données projet'!D132</f>
        <v>0</v>
      </c>
      <c r="C114" s="80"/>
      <c r="D114" s="172">
        <f t="shared" si="7"/>
        <v>0</v>
      </c>
      <c r="E114" s="80"/>
      <c r="F114" s="171"/>
      <c r="G114" s="159"/>
      <c r="H114" s="15"/>
      <c r="I114" s="15"/>
      <c r="J114" s="15"/>
      <c r="K114" s="15"/>
      <c r="L114" s="15"/>
      <c r="M114" s="15"/>
      <c r="N114" s="143"/>
      <c r="O114" s="15"/>
      <c r="P114" s="15"/>
      <c r="Q114" s="15"/>
      <c r="R114" s="82"/>
      <c r="S114" s="167">
        <f t="shared" si="6"/>
        <v>0</v>
      </c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:33" x14ac:dyDescent="0.25">
      <c r="A115" s="67">
        <f>'Données projet'!A133</f>
        <v>0</v>
      </c>
      <c r="B115" s="131">
        <f>'Données projet'!D133</f>
        <v>0</v>
      </c>
      <c r="C115" s="80"/>
      <c r="D115" s="172">
        <f t="shared" si="7"/>
        <v>0</v>
      </c>
      <c r="E115" s="80"/>
      <c r="F115" s="171"/>
      <c r="G115" s="159"/>
      <c r="H115" s="15"/>
      <c r="I115" s="15"/>
      <c r="J115" s="15"/>
      <c r="K115" s="15"/>
      <c r="L115" s="15"/>
      <c r="M115" s="15"/>
      <c r="N115" s="143"/>
      <c r="O115" s="15"/>
      <c r="P115" s="15"/>
      <c r="Q115" s="15"/>
      <c r="R115" s="82"/>
      <c r="S115" s="167">
        <f t="shared" si="6"/>
        <v>0</v>
      </c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x14ac:dyDescent="0.25">
      <c r="A116" s="15"/>
      <c r="B116" s="15"/>
      <c r="C116" s="15"/>
      <c r="D116" s="15"/>
      <c r="E116" s="15"/>
      <c r="F116" s="141"/>
      <c r="G116" s="111"/>
      <c r="H116" s="15"/>
      <c r="I116" s="15"/>
      <c r="J116" s="15"/>
      <c r="K116" s="15"/>
      <c r="L116" s="15"/>
      <c r="M116" s="15"/>
      <c r="N116" s="143"/>
      <c r="O116" s="15"/>
      <c r="P116" s="15"/>
      <c r="Q116" s="15"/>
      <c r="R116" s="82"/>
      <c r="S116" s="167">
        <f t="shared" si="6"/>
        <v>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 x14ac:dyDescent="0.25">
      <c r="A117" s="15"/>
      <c r="B117" s="15"/>
      <c r="C117" s="15"/>
      <c r="D117" s="15"/>
      <c r="E117" s="15"/>
      <c r="F117" s="141"/>
      <c r="G117" s="111"/>
      <c r="H117" s="15"/>
      <c r="I117" s="15"/>
      <c r="J117" s="15"/>
      <c r="K117" s="15"/>
      <c r="L117" s="15"/>
      <c r="M117" s="15"/>
      <c r="N117" s="143"/>
      <c r="O117" s="15"/>
      <c r="P117" s="15"/>
      <c r="Q117" s="15"/>
      <c r="R117" s="82"/>
      <c r="S117" s="167">
        <f t="shared" si="6"/>
        <v>0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 x14ac:dyDescent="0.25">
      <c r="A118" s="71" t="s">
        <v>169</v>
      </c>
      <c r="B118" s="145" t="str">
        <f>IF('Données projet'!B13="","",'Données projet'!B13)</f>
        <v/>
      </c>
      <c r="C118" s="15"/>
      <c r="D118" s="15"/>
      <c r="E118" s="15"/>
      <c r="F118" s="141"/>
      <c r="G118" s="111"/>
      <c r="H118" s="15"/>
      <c r="I118" s="15"/>
      <c r="J118" s="15"/>
      <c r="K118" s="15"/>
      <c r="L118" s="15"/>
      <c r="M118" s="15"/>
      <c r="N118" s="143"/>
      <c r="O118" s="15"/>
      <c r="P118" s="15"/>
      <c r="Q118" s="15"/>
      <c r="R118" s="82"/>
      <c r="S118" s="167">
        <f t="shared" si="6"/>
        <v>0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 x14ac:dyDescent="0.25">
      <c r="A119" s="15"/>
      <c r="B119" s="15"/>
      <c r="C119" s="15"/>
      <c r="D119" s="15"/>
      <c r="E119" s="15"/>
      <c r="F119" s="141"/>
      <c r="G119" s="111"/>
      <c r="H119" s="15"/>
      <c r="I119" s="15"/>
      <c r="J119" s="15"/>
      <c r="K119" s="15"/>
      <c r="L119" s="15"/>
      <c r="M119" s="15"/>
      <c r="N119" s="143"/>
      <c r="O119" s="15"/>
      <c r="P119" s="15"/>
      <c r="Q119" s="15"/>
      <c r="R119" s="82"/>
      <c r="S119" s="167">
        <f t="shared" si="6"/>
        <v>0</v>
      </c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 x14ac:dyDescent="0.25">
      <c r="A120" s="91" t="s">
        <v>180</v>
      </c>
      <c r="B120" s="73" t="s">
        <v>262</v>
      </c>
      <c r="C120" s="73" t="s">
        <v>261</v>
      </c>
      <c r="D120" s="91" t="s">
        <v>258</v>
      </c>
      <c r="E120" s="91" t="s">
        <v>300</v>
      </c>
      <c r="F120" s="170"/>
      <c r="G120" s="152"/>
      <c r="H120" s="15"/>
      <c r="I120" s="15"/>
      <c r="J120" s="15"/>
      <c r="K120" s="15"/>
      <c r="L120" s="15"/>
      <c r="M120" s="15"/>
      <c r="N120" s="143"/>
      <c r="O120" s="15"/>
      <c r="P120" s="15"/>
      <c r="Q120" s="15"/>
      <c r="R120" s="82"/>
      <c r="S120" s="167">
        <f t="shared" si="6"/>
        <v>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 x14ac:dyDescent="0.25">
      <c r="A121" s="67">
        <f>'Données projet'!A140</f>
        <v>0</v>
      </c>
      <c r="B121" s="173">
        <f>'Données projet'!D140</f>
        <v>0</v>
      </c>
      <c r="C121" s="80"/>
      <c r="D121" s="172">
        <f>B121*C121</f>
        <v>0</v>
      </c>
      <c r="E121" s="80"/>
      <c r="F121" s="169"/>
      <c r="G121" s="155"/>
      <c r="H121" s="15"/>
      <c r="I121" s="15"/>
      <c r="J121" s="15"/>
      <c r="K121" s="15"/>
      <c r="L121" s="15"/>
      <c r="M121" s="15"/>
      <c r="N121" s="143"/>
      <c r="O121" s="15"/>
      <c r="P121" s="15"/>
      <c r="Q121" s="15"/>
      <c r="R121" s="82"/>
      <c r="S121" s="167">
        <f t="shared" si="6"/>
        <v>0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 x14ac:dyDescent="0.25">
      <c r="A122" s="67">
        <f>'Données projet'!A141</f>
        <v>0</v>
      </c>
      <c r="B122" s="173">
        <f>'Données projet'!D141</f>
        <v>0</v>
      </c>
      <c r="C122" s="80"/>
      <c r="D122" s="172">
        <f t="shared" ref="D122:D140" si="8">B122*C122</f>
        <v>0</v>
      </c>
      <c r="E122" s="80"/>
      <c r="F122" s="169"/>
      <c r="G122" s="155"/>
      <c r="H122" s="15"/>
      <c r="I122" s="15"/>
      <c r="J122" s="15"/>
      <c r="K122" s="15"/>
      <c r="L122" s="15"/>
      <c r="M122" s="15"/>
      <c r="N122" s="143"/>
      <c r="O122" s="15"/>
      <c r="P122" s="15"/>
      <c r="Q122" s="15"/>
      <c r="R122" s="82"/>
      <c r="S122" s="167">
        <f t="shared" si="6"/>
        <v>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x14ac:dyDescent="0.25">
      <c r="A123" s="67">
        <f>'Données projet'!A142</f>
        <v>0</v>
      </c>
      <c r="B123" s="173">
        <f>'Données projet'!D142</f>
        <v>0</v>
      </c>
      <c r="C123" s="80"/>
      <c r="D123" s="172">
        <f t="shared" si="8"/>
        <v>0</v>
      </c>
      <c r="E123" s="80"/>
      <c r="F123" s="169"/>
      <c r="G123" s="155"/>
      <c r="H123" s="15"/>
      <c r="I123" s="15"/>
      <c r="J123" s="15"/>
      <c r="K123" s="15"/>
      <c r="L123" s="15"/>
      <c r="M123" s="15"/>
      <c r="N123" s="143"/>
      <c r="O123" s="15"/>
      <c r="P123" s="15"/>
      <c r="Q123" s="15"/>
      <c r="R123" s="82"/>
      <c r="S123" s="167">
        <f t="shared" si="6"/>
        <v>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 x14ac:dyDescent="0.25">
      <c r="A124" s="67">
        <f>'Données projet'!A143</f>
        <v>0</v>
      </c>
      <c r="B124" s="173">
        <f>'Données projet'!D143</f>
        <v>0</v>
      </c>
      <c r="C124" s="80"/>
      <c r="D124" s="172">
        <f t="shared" si="8"/>
        <v>0</v>
      </c>
      <c r="E124" s="80"/>
      <c r="F124" s="169"/>
      <c r="G124" s="155"/>
      <c r="H124" s="15"/>
      <c r="I124" s="15"/>
      <c r="J124" s="15"/>
      <c r="K124" s="15"/>
      <c r="L124" s="15"/>
      <c r="M124" s="15"/>
      <c r="N124" s="143"/>
      <c r="O124" s="15"/>
      <c r="P124" s="15"/>
      <c r="Q124" s="15"/>
      <c r="R124" s="82"/>
      <c r="S124" s="167">
        <f t="shared" ref="S124:S127" si="9">$T$23/(1+$J$6)^R124</f>
        <v>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 x14ac:dyDescent="0.25">
      <c r="A125" s="67">
        <f>'Données projet'!A144</f>
        <v>0</v>
      </c>
      <c r="B125" s="173">
        <f>'Données projet'!D144</f>
        <v>0</v>
      </c>
      <c r="C125" s="80"/>
      <c r="D125" s="172">
        <f t="shared" si="8"/>
        <v>0</v>
      </c>
      <c r="E125" s="80"/>
      <c r="F125" s="169"/>
      <c r="G125" s="155"/>
      <c r="H125" s="15"/>
      <c r="I125" s="15"/>
      <c r="J125" s="15"/>
      <c r="K125" s="15"/>
      <c r="L125" s="15"/>
      <c r="M125" s="15"/>
      <c r="N125" s="143"/>
      <c r="O125" s="15"/>
      <c r="P125" s="15"/>
      <c r="Q125" s="15"/>
      <c r="R125" s="82"/>
      <c r="S125" s="167">
        <f t="shared" si="9"/>
        <v>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 x14ac:dyDescent="0.25">
      <c r="A126" s="67">
        <f>'Données projet'!A145</f>
        <v>0</v>
      </c>
      <c r="B126" s="173">
        <f>'Données projet'!D145</f>
        <v>0</v>
      </c>
      <c r="C126" s="80"/>
      <c r="D126" s="172">
        <f t="shared" si="8"/>
        <v>0</v>
      </c>
      <c r="E126" s="80"/>
      <c r="F126" s="169"/>
      <c r="G126" s="155"/>
      <c r="H126" s="15"/>
      <c r="I126" s="15"/>
      <c r="J126" s="15"/>
      <c r="K126" s="15"/>
      <c r="L126" s="15"/>
      <c r="M126" s="15"/>
      <c r="N126" s="143"/>
      <c r="O126" s="15"/>
      <c r="P126" s="15"/>
      <c r="Q126" s="15"/>
      <c r="R126" s="82"/>
      <c r="S126" s="167">
        <f t="shared" si="9"/>
        <v>0</v>
      </c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 x14ac:dyDescent="0.25">
      <c r="A127" s="67">
        <f>'Données projet'!A146</f>
        <v>0</v>
      </c>
      <c r="B127" s="173">
        <f>'Données projet'!D146</f>
        <v>0</v>
      </c>
      <c r="C127" s="80"/>
      <c r="D127" s="172">
        <f t="shared" si="8"/>
        <v>0</v>
      </c>
      <c r="E127" s="80"/>
      <c r="F127" s="169"/>
      <c r="G127" s="155"/>
      <c r="H127" s="15"/>
      <c r="I127" s="15"/>
      <c r="J127" s="15"/>
      <c r="K127" s="15"/>
      <c r="L127" s="15"/>
      <c r="M127" s="15"/>
      <c r="N127" s="143"/>
      <c r="O127" s="15"/>
      <c r="P127" s="15"/>
      <c r="Q127" s="15"/>
      <c r="R127" s="82"/>
      <c r="S127" s="167">
        <f t="shared" si="9"/>
        <v>0</v>
      </c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 x14ac:dyDescent="0.25">
      <c r="A128" s="67">
        <f>'Données projet'!A147</f>
        <v>0</v>
      </c>
      <c r="B128" s="173">
        <f>'Données projet'!D147</f>
        <v>0</v>
      </c>
      <c r="C128" s="80"/>
      <c r="D128" s="172">
        <f t="shared" si="8"/>
        <v>0</v>
      </c>
      <c r="E128" s="80"/>
      <c r="F128" s="169"/>
      <c r="G128" s="155"/>
      <c r="H128" s="15"/>
      <c r="I128" s="15"/>
      <c r="J128" s="15"/>
      <c r="K128" s="15"/>
      <c r="L128" s="15"/>
      <c r="M128" s="15"/>
      <c r="N128" s="143"/>
      <c r="O128" s="15"/>
      <c r="P128" s="15"/>
      <c r="Q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 x14ac:dyDescent="0.25">
      <c r="A129" s="67">
        <f>'Données projet'!A148</f>
        <v>0</v>
      </c>
      <c r="B129" s="173">
        <f>'Données projet'!D148</f>
        <v>0</v>
      </c>
      <c r="C129" s="80"/>
      <c r="D129" s="172">
        <f t="shared" si="8"/>
        <v>0</v>
      </c>
      <c r="E129" s="80"/>
      <c r="F129" s="169"/>
      <c r="G129" s="155"/>
      <c r="H129" s="15"/>
      <c r="I129" s="15"/>
      <c r="J129" s="15"/>
      <c r="K129" s="15"/>
      <c r="L129" s="15"/>
      <c r="M129" s="15"/>
      <c r="N129" s="143"/>
      <c r="O129" s="15"/>
      <c r="P129" s="15"/>
      <c r="Q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 x14ac:dyDescent="0.25">
      <c r="A130" s="67">
        <f>'Données projet'!A149</f>
        <v>0</v>
      </c>
      <c r="B130" s="173">
        <f>'Données projet'!D149</f>
        <v>0</v>
      </c>
      <c r="C130" s="80"/>
      <c r="D130" s="172">
        <f t="shared" si="8"/>
        <v>0</v>
      </c>
      <c r="E130" s="80"/>
      <c r="F130" s="169"/>
      <c r="G130" s="155"/>
      <c r="H130" s="15"/>
      <c r="I130" s="15"/>
      <c r="J130" s="15"/>
      <c r="K130" s="15"/>
      <c r="L130" s="15"/>
      <c r="M130" s="15"/>
      <c r="N130" s="143"/>
      <c r="O130" s="15"/>
      <c r="P130" s="15"/>
      <c r="Q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 x14ac:dyDescent="0.25">
      <c r="A131" s="67">
        <f>'Données projet'!A150</f>
        <v>0</v>
      </c>
      <c r="B131" s="173">
        <f>'Données projet'!D150</f>
        <v>0</v>
      </c>
      <c r="C131" s="80"/>
      <c r="D131" s="172">
        <f t="shared" si="8"/>
        <v>0</v>
      </c>
      <c r="E131" s="80"/>
      <c r="F131" s="169"/>
      <c r="G131" s="155"/>
      <c r="H131" s="15"/>
      <c r="I131" s="15"/>
      <c r="J131" s="15"/>
      <c r="K131" s="15"/>
      <c r="L131" s="15"/>
      <c r="M131" s="15"/>
      <c r="N131" s="143"/>
      <c r="O131" s="15"/>
      <c r="P131" s="15"/>
      <c r="Q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 x14ac:dyDescent="0.25">
      <c r="A132" s="67">
        <f>'Données projet'!A151</f>
        <v>0</v>
      </c>
      <c r="B132" s="173">
        <f>'Données projet'!D151</f>
        <v>0</v>
      </c>
      <c r="C132" s="80"/>
      <c r="D132" s="172">
        <f t="shared" si="8"/>
        <v>0</v>
      </c>
      <c r="E132" s="80"/>
      <c r="F132" s="169"/>
      <c r="G132" s="155"/>
      <c r="H132" s="15"/>
      <c r="I132" s="15"/>
      <c r="J132" s="15"/>
      <c r="K132" s="15"/>
      <c r="L132" s="15"/>
      <c r="M132" s="15"/>
      <c r="N132" s="143"/>
      <c r="O132" s="15"/>
      <c r="P132" s="15"/>
      <c r="Q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x14ac:dyDescent="0.25">
      <c r="A133" s="67">
        <f>'Données projet'!A152</f>
        <v>0</v>
      </c>
      <c r="B133" s="173">
        <f>'Données projet'!D152</f>
        <v>0</v>
      </c>
      <c r="C133" s="80"/>
      <c r="D133" s="172">
        <f t="shared" si="8"/>
        <v>0</v>
      </c>
      <c r="E133" s="80"/>
      <c r="F133" s="169"/>
      <c r="G133" s="155"/>
      <c r="H133" s="15"/>
      <c r="I133" s="15"/>
      <c r="J133" s="15"/>
      <c r="K133" s="15"/>
      <c r="L133" s="15"/>
      <c r="M133" s="15"/>
      <c r="N133" s="143"/>
      <c r="O133" s="15"/>
      <c r="P133" s="15"/>
      <c r="Q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 x14ac:dyDescent="0.25">
      <c r="A134" s="67">
        <f>'Données projet'!A153</f>
        <v>0</v>
      </c>
      <c r="B134" s="173">
        <f>'Données projet'!D153</f>
        <v>0</v>
      </c>
      <c r="C134" s="80"/>
      <c r="D134" s="172">
        <f t="shared" si="8"/>
        <v>0</v>
      </c>
      <c r="E134" s="80"/>
      <c r="F134" s="169"/>
      <c r="G134" s="155"/>
      <c r="H134" s="15"/>
      <c r="I134" s="15"/>
      <c r="J134" s="15"/>
      <c r="K134" s="15"/>
      <c r="L134" s="15"/>
      <c r="M134" s="15"/>
      <c r="N134" s="143"/>
      <c r="O134" s="15"/>
      <c r="P134" s="15"/>
      <c r="Q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 x14ac:dyDescent="0.25">
      <c r="A135" s="67">
        <f>'Données projet'!A154</f>
        <v>0</v>
      </c>
      <c r="B135" s="173">
        <f>'Données projet'!D154</f>
        <v>0</v>
      </c>
      <c r="C135" s="80"/>
      <c r="D135" s="172">
        <f t="shared" si="8"/>
        <v>0</v>
      </c>
      <c r="E135" s="80"/>
      <c r="F135" s="169"/>
      <c r="G135" s="155"/>
      <c r="H135" s="15"/>
      <c r="I135" s="15"/>
      <c r="J135" s="15"/>
      <c r="K135" s="15"/>
      <c r="L135" s="15"/>
      <c r="M135" s="15"/>
      <c r="N135" s="143"/>
      <c r="O135" s="15"/>
      <c r="P135" s="15"/>
      <c r="Q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 x14ac:dyDescent="0.25">
      <c r="A136" s="67">
        <f>'Données projet'!A155</f>
        <v>0</v>
      </c>
      <c r="B136" s="173">
        <f>'Données projet'!D155</f>
        <v>0</v>
      </c>
      <c r="C136" s="80"/>
      <c r="D136" s="172">
        <f t="shared" si="8"/>
        <v>0</v>
      </c>
      <c r="E136" s="80"/>
      <c r="F136" s="169"/>
      <c r="G136" s="155"/>
      <c r="H136" s="15"/>
      <c r="I136" s="15"/>
      <c r="J136" s="15"/>
      <c r="K136" s="15"/>
      <c r="L136" s="15"/>
      <c r="M136" s="15"/>
      <c r="N136" s="143"/>
      <c r="O136" s="15"/>
      <c r="P136" s="15"/>
      <c r="Q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 x14ac:dyDescent="0.25">
      <c r="A137" s="67">
        <f>'Données projet'!A156</f>
        <v>0</v>
      </c>
      <c r="B137" s="173">
        <f>'Données projet'!D156</f>
        <v>0</v>
      </c>
      <c r="C137" s="80"/>
      <c r="D137" s="172">
        <f t="shared" si="8"/>
        <v>0</v>
      </c>
      <c r="E137" s="80"/>
      <c r="F137" s="169"/>
      <c r="G137" s="155"/>
      <c r="H137" s="15"/>
      <c r="I137" s="15"/>
      <c r="J137" s="15"/>
      <c r="K137" s="15"/>
      <c r="L137" s="15"/>
      <c r="M137" s="15"/>
      <c r="N137" s="143"/>
      <c r="O137" s="15"/>
      <c r="P137" s="15"/>
      <c r="Q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 x14ac:dyDescent="0.25">
      <c r="A138" s="67">
        <f>'Données projet'!A157</f>
        <v>0</v>
      </c>
      <c r="B138" s="173">
        <f>'Données projet'!D157</f>
        <v>0</v>
      </c>
      <c r="C138" s="80"/>
      <c r="D138" s="172">
        <f t="shared" si="8"/>
        <v>0</v>
      </c>
      <c r="E138" s="80"/>
      <c r="F138" s="169"/>
      <c r="G138" s="155"/>
      <c r="H138" s="15"/>
      <c r="I138" s="15"/>
      <c r="J138" s="15"/>
      <c r="K138" s="15"/>
      <c r="L138" s="15"/>
      <c r="M138" s="15"/>
      <c r="N138" s="143"/>
      <c r="O138" s="15"/>
      <c r="P138" s="15"/>
      <c r="Q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 x14ac:dyDescent="0.25">
      <c r="A139" s="67">
        <f>'Données projet'!A158</f>
        <v>0</v>
      </c>
      <c r="B139" s="173">
        <f>'Données projet'!D158</f>
        <v>0</v>
      </c>
      <c r="C139" s="80"/>
      <c r="D139" s="172">
        <f t="shared" si="8"/>
        <v>0</v>
      </c>
      <c r="E139" s="80"/>
      <c r="F139" s="169"/>
      <c r="G139" s="155"/>
      <c r="H139" s="15"/>
      <c r="I139" s="15"/>
      <c r="J139" s="15"/>
      <c r="K139" s="15"/>
      <c r="L139" s="15"/>
      <c r="M139" s="15"/>
      <c r="N139" s="143"/>
      <c r="O139" s="15"/>
      <c r="P139" s="15"/>
      <c r="Q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x14ac:dyDescent="0.25">
      <c r="A140" s="67">
        <f>'Données projet'!A159</f>
        <v>0</v>
      </c>
      <c r="B140" s="173">
        <f>'Données projet'!D159</f>
        <v>0</v>
      </c>
      <c r="C140" s="80"/>
      <c r="D140" s="172">
        <f t="shared" si="8"/>
        <v>0</v>
      </c>
      <c r="E140" s="80"/>
      <c r="F140" s="169"/>
      <c r="G140" s="155"/>
      <c r="H140" s="15"/>
      <c r="I140" s="15"/>
      <c r="J140" s="15"/>
      <c r="K140" s="15"/>
      <c r="L140" s="15"/>
      <c r="M140" s="15"/>
      <c r="N140" s="143"/>
      <c r="O140" s="15"/>
      <c r="P140" s="15"/>
      <c r="Q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 x14ac:dyDescent="0.25">
      <c r="A141" s="15"/>
      <c r="B141" s="15"/>
      <c r="C141" s="15"/>
      <c r="D141" s="15"/>
      <c r="E141" s="15"/>
      <c r="F141" s="141"/>
      <c r="G141" s="111"/>
      <c r="H141" s="15"/>
      <c r="I141" s="15"/>
      <c r="J141" s="15"/>
      <c r="K141" s="15"/>
      <c r="L141" s="15"/>
      <c r="M141" s="15"/>
      <c r="N141" s="143"/>
      <c r="O141" s="15"/>
      <c r="P141" s="15"/>
      <c r="Q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 x14ac:dyDescent="0.25">
      <c r="A142" s="15"/>
      <c r="B142" s="15"/>
      <c r="C142" s="15"/>
      <c r="D142" s="15"/>
      <c r="E142" s="15"/>
      <c r="F142" s="141"/>
      <c r="G142" s="111"/>
      <c r="H142" s="15"/>
      <c r="I142" s="15"/>
      <c r="J142" s="15"/>
      <c r="K142" s="15"/>
      <c r="L142" s="15"/>
      <c r="M142" s="15"/>
      <c r="N142" s="143"/>
      <c r="O142" s="15"/>
      <c r="P142" s="15"/>
      <c r="Q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 x14ac:dyDescent="0.25">
      <c r="A143" s="71" t="s">
        <v>170</v>
      </c>
      <c r="B143" s="145" t="str">
        <f>IF('Données projet'!B14="","",'Données projet'!B14)</f>
        <v/>
      </c>
      <c r="C143" s="15"/>
      <c r="D143" s="15"/>
      <c r="E143" s="15"/>
      <c r="F143" s="141"/>
      <c r="G143" s="111"/>
      <c r="H143" s="15"/>
      <c r="I143" s="15"/>
      <c r="J143" s="15"/>
      <c r="K143" s="15"/>
      <c r="L143" s="15"/>
      <c r="M143" s="15"/>
      <c r="N143" s="143"/>
      <c r="O143" s="15"/>
      <c r="P143" s="15"/>
      <c r="Q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 x14ac:dyDescent="0.25">
      <c r="A144" s="15"/>
      <c r="B144" s="15"/>
      <c r="C144" s="15"/>
      <c r="D144" s="15"/>
      <c r="E144" s="15"/>
      <c r="F144" s="141"/>
      <c r="G144" s="111"/>
      <c r="H144" s="15"/>
      <c r="I144" s="15"/>
      <c r="J144" s="15"/>
      <c r="K144" s="15"/>
      <c r="L144" s="15"/>
      <c r="M144" s="15"/>
      <c r="N144" s="143"/>
      <c r="O144" s="15"/>
      <c r="P144" s="15"/>
      <c r="Q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 x14ac:dyDescent="0.25">
      <c r="A145" s="91" t="s">
        <v>180</v>
      </c>
      <c r="B145" s="73" t="s">
        <v>262</v>
      </c>
      <c r="C145" s="73" t="s">
        <v>261</v>
      </c>
      <c r="D145" s="91" t="s">
        <v>258</v>
      </c>
      <c r="E145" s="91" t="s">
        <v>300</v>
      </c>
      <c r="F145" s="170"/>
      <c r="G145" s="152"/>
      <c r="H145" s="15"/>
      <c r="I145" s="15"/>
      <c r="J145" s="15"/>
      <c r="K145" s="15"/>
      <c r="L145" s="15"/>
      <c r="M145" s="15"/>
      <c r="N145" s="143"/>
      <c r="O145" s="15"/>
      <c r="P145" s="15"/>
      <c r="Q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 x14ac:dyDescent="0.25">
      <c r="A146" s="67">
        <f>'Données projet'!A166</f>
        <v>0</v>
      </c>
      <c r="B146" s="131">
        <f>'Données projet'!D166</f>
        <v>0</v>
      </c>
      <c r="C146" s="80"/>
      <c r="D146" s="172">
        <f>B146*C146</f>
        <v>0</v>
      </c>
      <c r="E146" s="80"/>
      <c r="F146" s="171"/>
      <c r="G146" s="159"/>
      <c r="H146" s="15"/>
      <c r="I146" s="15"/>
      <c r="J146" s="15"/>
      <c r="K146" s="15"/>
      <c r="L146" s="15"/>
      <c r="M146" s="15"/>
      <c r="N146" s="143"/>
      <c r="O146" s="15"/>
      <c r="P146" s="15"/>
      <c r="Q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 x14ac:dyDescent="0.25">
      <c r="A147" s="67">
        <f>'Données projet'!A167</f>
        <v>0</v>
      </c>
      <c r="B147" s="131">
        <f>'Données projet'!D167</f>
        <v>0</v>
      </c>
      <c r="C147" s="80"/>
      <c r="D147" s="172">
        <f t="shared" ref="D147:D165" si="10">B147*C147</f>
        <v>0</v>
      </c>
      <c r="E147" s="80"/>
      <c r="F147" s="171"/>
      <c r="G147" s="159"/>
      <c r="H147" s="15"/>
      <c r="I147" s="15"/>
      <c r="J147" s="15"/>
      <c r="K147" s="15"/>
      <c r="L147" s="15"/>
      <c r="M147" s="15"/>
      <c r="N147" s="143"/>
      <c r="O147" s="15"/>
      <c r="P147" s="15"/>
      <c r="Q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 x14ac:dyDescent="0.25">
      <c r="A148" s="67">
        <f>'Données projet'!A168</f>
        <v>0</v>
      </c>
      <c r="B148" s="131">
        <f>'Données projet'!D168</f>
        <v>0</v>
      </c>
      <c r="C148" s="80"/>
      <c r="D148" s="172">
        <f t="shared" si="10"/>
        <v>0</v>
      </c>
      <c r="E148" s="80"/>
      <c r="F148" s="171"/>
      <c r="G148" s="159"/>
      <c r="H148" s="15"/>
      <c r="I148" s="15"/>
      <c r="J148" s="15"/>
      <c r="K148" s="15"/>
      <c r="L148" s="15"/>
      <c r="M148" s="15"/>
      <c r="N148" s="143"/>
      <c r="O148" s="15"/>
      <c r="P148" s="15"/>
      <c r="Q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 x14ac:dyDescent="0.25">
      <c r="A149" s="67">
        <f>'Données projet'!A169</f>
        <v>0</v>
      </c>
      <c r="B149" s="131">
        <f>'Données projet'!D169</f>
        <v>0</v>
      </c>
      <c r="C149" s="80"/>
      <c r="D149" s="172">
        <f t="shared" si="10"/>
        <v>0</v>
      </c>
      <c r="E149" s="80"/>
      <c r="F149" s="171"/>
      <c r="G149" s="159"/>
      <c r="H149" s="15"/>
      <c r="I149" s="15"/>
      <c r="J149" s="15"/>
      <c r="K149" s="15"/>
      <c r="L149" s="15"/>
      <c r="M149" s="15"/>
      <c r="N149" s="143"/>
      <c r="O149" s="15"/>
      <c r="P149" s="15"/>
      <c r="Q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 x14ac:dyDescent="0.25">
      <c r="A150" s="67">
        <f>'Données projet'!A170</f>
        <v>0</v>
      </c>
      <c r="B150" s="131">
        <f>'Données projet'!D170</f>
        <v>0</v>
      </c>
      <c r="C150" s="80"/>
      <c r="D150" s="172">
        <f t="shared" si="10"/>
        <v>0</v>
      </c>
      <c r="E150" s="80"/>
      <c r="F150" s="171"/>
      <c r="G150" s="159"/>
      <c r="H150" s="15"/>
      <c r="I150" s="15"/>
      <c r="J150" s="15"/>
      <c r="K150" s="15"/>
      <c r="L150" s="15"/>
      <c r="M150" s="15"/>
      <c r="N150" s="143"/>
      <c r="O150" s="15"/>
      <c r="P150" s="15"/>
      <c r="Q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x14ac:dyDescent="0.25">
      <c r="A151" s="67">
        <f>'Données projet'!A171</f>
        <v>0</v>
      </c>
      <c r="B151" s="131">
        <f>'Données projet'!D171</f>
        <v>0</v>
      </c>
      <c r="C151" s="80"/>
      <c r="D151" s="172">
        <f t="shared" si="10"/>
        <v>0</v>
      </c>
      <c r="E151" s="80"/>
      <c r="F151" s="171"/>
      <c r="G151" s="159"/>
      <c r="H151" s="15"/>
      <c r="I151" s="15"/>
      <c r="J151" s="15"/>
      <c r="K151" s="15"/>
      <c r="L151" s="15"/>
      <c r="M151" s="15"/>
      <c r="N151" s="143"/>
      <c r="O151" s="15"/>
      <c r="P151" s="15"/>
      <c r="Q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 x14ac:dyDescent="0.25">
      <c r="A152" s="67">
        <f>'Données projet'!A172</f>
        <v>0</v>
      </c>
      <c r="B152" s="131">
        <f>'Données projet'!D172</f>
        <v>0</v>
      </c>
      <c r="C152" s="80"/>
      <c r="D152" s="172">
        <f t="shared" si="10"/>
        <v>0</v>
      </c>
      <c r="E152" s="80"/>
      <c r="F152" s="171"/>
      <c r="G152" s="159"/>
      <c r="H152" s="15"/>
      <c r="I152" s="15"/>
      <c r="J152" s="15"/>
      <c r="K152" s="15"/>
      <c r="L152" s="15"/>
      <c r="M152" s="15"/>
      <c r="N152" s="143"/>
      <c r="O152" s="15"/>
      <c r="P152" s="15"/>
      <c r="Q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 x14ac:dyDescent="0.25">
      <c r="A153" s="67">
        <f>'Données projet'!A173</f>
        <v>0</v>
      </c>
      <c r="B153" s="131">
        <f>'Données projet'!D173</f>
        <v>0</v>
      </c>
      <c r="C153" s="80"/>
      <c r="D153" s="172">
        <f t="shared" si="10"/>
        <v>0</v>
      </c>
      <c r="E153" s="80"/>
      <c r="F153" s="171"/>
      <c r="G153" s="159"/>
      <c r="H153" s="15"/>
      <c r="I153" s="15"/>
      <c r="J153" s="15"/>
      <c r="K153" s="15"/>
      <c r="L153" s="15"/>
      <c r="M153" s="15"/>
      <c r="N153" s="143"/>
      <c r="O153" s="15"/>
      <c r="P153" s="15"/>
      <c r="Q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 x14ac:dyDescent="0.25">
      <c r="A154" s="67">
        <f>'Données projet'!A174</f>
        <v>0</v>
      </c>
      <c r="B154" s="131">
        <f>'Données projet'!D174</f>
        <v>0</v>
      </c>
      <c r="C154" s="80"/>
      <c r="D154" s="172">
        <f t="shared" si="10"/>
        <v>0</v>
      </c>
      <c r="E154" s="80"/>
      <c r="F154" s="171"/>
      <c r="G154" s="159"/>
      <c r="H154" s="15"/>
      <c r="I154" s="15"/>
      <c r="J154" s="15"/>
      <c r="K154" s="15"/>
      <c r="L154" s="15"/>
      <c r="M154" s="15"/>
      <c r="N154" s="143"/>
      <c r="O154" s="15"/>
      <c r="P154" s="15"/>
      <c r="Q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 x14ac:dyDescent="0.25">
      <c r="A155" s="67">
        <f>'Données projet'!A175</f>
        <v>0</v>
      </c>
      <c r="B155" s="131">
        <f>'Données projet'!D175</f>
        <v>0</v>
      </c>
      <c r="C155" s="80"/>
      <c r="D155" s="172">
        <f t="shared" si="10"/>
        <v>0</v>
      </c>
      <c r="E155" s="80"/>
      <c r="F155" s="171"/>
      <c r="G155" s="159"/>
      <c r="H155" s="15"/>
      <c r="I155" s="15"/>
      <c r="J155" s="15"/>
      <c r="K155" s="15"/>
      <c r="L155" s="15"/>
      <c r="M155" s="15"/>
      <c r="N155" s="143"/>
      <c r="O155" s="15"/>
      <c r="P155" s="15"/>
      <c r="Q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 x14ac:dyDescent="0.25">
      <c r="A156" s="67">
        <f>'Données projet'!A176</f>
        <v>0</v>
      </c>
      <c r="B156" s="131">
        <f>'Données projet'!D176</f>
        <v>0</v>
      </c>
      <c r="C156" s="80"/>
      <c r="D156" s="172">
        <f t="shared" si="10"/>
        <v>0</v>
      </c>
      <c r="E156" s="80"/>
      <c r="F156" s="171"/>
      <c r="G156" s="159"/>
      <c r="H156" s="15"/>
      <c r="I156" s="15"/>
      <c r="J156" s="15"/>
      <c r="K156" s="15"/>
      <c r="L156" s="15"/>
      <c r="M156" s="15"/>
      <c r="N156" s="143"/>
      <c r="O156" s="15"/>
      <c r="P156" s="15"/>
      <c r="Q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 x14ac:dyDescent="0.25">
      <c r="A157" s="67">
        <f>'Données projet'!A177</f>
        <v>0</v>
      </c>
      <c r="B157" s="131">
        <f>'Données projet'!D177</f>
        <v>0</v>
      </c>
      <c r="C157" s="80"/>
      <c r="D157" s="172">
        <f t="shared" si="10"/>
        <v>0</v>
      </c>
      <c r="E157" s="80"/>
      <c r="F157" s="171"/>
      <c r="G157" s="159"/>
      <c r="H157" s="15"/>
      <c r="I157" s="15"/>
      <c r="J157" s="15"/>
      <c r="K157" s="15"/>
      <c r="L157" s="15"/>
      <c r="M157" s="15"/>
      <c r="N157" s="143"/>
      <c r="O157" s="15"/>
      <c r="P157" s="15"/>
      <c r="Q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x14ac:dyDescent="0.25">
      <c r="A158" s="67">
        <f>'Données projet'!A178</f>
        <v>0</v>
      </c>
      <c r="B158" s="131">
        <f>'Données projet'!D178</f>
        <v>0</v>
      </c>
      <c r="C158" s="80"/>
      <c r="D158" s="172">
        <f t="shared" si="10"/>
        <v>0</v>
      </c>
      <c r="E158" s="80"/>
      <c r="F158" s="171"/>
      <c r="G158" s="159"/>
      <c r="H158" s="15"/>
      <c r="I158" s="15"/>
      <c r="J158" s="15"/>
      <c r="K158" s="15"/>
      <c r="L158" s="15"/>
      <c r="M158" s="15"/>
      <c r="N158" s="143"/>
      <c r="O158" s="15"/>
      <c r="P158" s="15"/>
      <c r="Q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 x14ac:dyDescent="0.25">
      <c r="A159" s="67">
        <f>'Données projet'!A179</f>
        <v>0</v>
      </c>
      <c r="B159" s="131">
        <f>'Données projet'!D179</f>
        <v>0</v>
      </c>
      <c r="C159" s="80"/>
      <c r="D159" s="172">
        <f t="shared" si="10"/>
        <v>0</v>
      </c>
      <c r="E159" s="80"/>
      <c r="F159" s="171"/>
      <c r="G159" s="159"/>
      <c r="H159" s="15"/>
      <c r="I159" s="15"/>
      <c r="J159" s="15"/>
      <c r="K159" s="15"/>
      <c r="L159" s="15"/>
      <c r="M159" s="15"/>
      <c r="N159" s="143"/>
      <c r="O159" s="15"/>
      <c r="P159" s="15"/>
      <c r="Q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x14ac:dyDescent="0.25">
      <c r="A160" s="67">
        <f>'Données projet'!A180</f>
        <v>0</v>
      </c>
      <c r="B160" s="131">
        <f>'Données projet'!D180</f>
        <v>0</v>
      </c>
      <c r="C160" s="80"/>
      <c r="D160" s="172">
        <f t="shared" si="10"/>
        <v>0</v>
      </c>
      <c r="E160" s="80"/>
      <c r="F160" s="171"/>
      <c r="G160" s="159"/>
      <c r="H160" s="15"/>
      <c r="I160" s="15"/>
      <c r="J160" s="15"/>
      <c r="K160" s="15"/>
      <c r="L160" s="15"/>
      <c r="M160" s="15"/>
      <c r="N160" s="143"/>
      <c r="O160" s="15"/>
      <c r="P160" s="15"/>
      <c r="Q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x14ac:dyDescent="0.25">
      <c r="A161" s="67">
        <f>'Données projet'!A181</f>
        <v>0</v>
      </c>
      <c r="B161" s="131">
        <f>'Données projet'!D181</f>
        <v>0</v>
      </c>
      <c r="C161" s="80"/>
      <c r="D161" s="172">
        <f t="shared" si="10"/>
        <v>0</v>
      </c>
      <c r="E161" s="80"/>
      <c r="F161" s="171"/>
      <c r="G161" s="159"/>
      <c r="H161" s="15"/>
      <c r="I161" s="15"/>
      <c r="J161" s="15"/>
      <c r="K161" s="15"/>
      <c r="L161" s="15"/>
      <c r="M161" s="15"/>
      <c r="N161" s="143"/>
      <c r="O161" s="15"/>
      <c r="P161" s="15"/>
      <c r="Q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x14ac:dyDescent="0.25">
      <c r="A162" s="67">
        <f>'Données projet'!A182</f>
        <v>0</v>
      </c>
      <c r="B162" s="131">
        <f>'Données projet'!D182</f>
        <v>0</v>
      </c>
      <c r="C162" s="80"/>
      <c r="D162" s="172">
        <f t="shared" si="10"/>
        <v>0</v>
      </c>
      <c r="E162" s="80"/>
      <c r="F162" s="171"/>
      <c r="G162" s="159"/>
      <c r="H162" s="15"/>
      <c r="I162" s="15"/>
      <c r="J162" s="15"/>
      <c r="K162" s="15"/>
      <c r="L162" s="15"/>
      <c r="M162" s="15"/>
      <c r="N162" s="143"/>
      <c r="O162" s="15"/>
      <c r="P162" s="15"/>
      <c r="Q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 x14ac:dyDescent="0.25">
      <c r="A163" s="67">
        <f>'Données projet'!A183</f>
        <v>0</v>
      </c>
      <c r="B163" s="131">
        <f>'Données projet'!D183</f>
        <v>0</v>
      </c>
      <c r="C163" s="80"/>
      <c r="D163" s="172">
        <f t="shared" si="10"/>
        <v>0</v>
      </c>
      <c r="E163" s="80"/>
      <c r="F163" s="171"/>
      <c r="G163" s="159"/>
      <c r="H163" s="15"/>
      <c r="I163" s="15"/>
      <c r="J163" s="15"/>
      <c r="K163" s="15"/>
      <c r="L163" s="15"/>
      <c r="M163" s="15"/>
      <c r="N163" s="143"/>
      <c r="O163" s="15"/>
      <c r="P163" s="15"/>
      <c r="Q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 x14ac:dyDescent="0.25">
      <c r="A164" s="67">
        <f>'Données projet'!A184</f>
        <v>0</v>
      </c>
      <c r="B164" s="131">
        <f>'Données projet'!D184</f>
        <v>0</v>
      </c>
      <c r="C164" s="80"/>
      <c r="D164" s="172">
        <f t="shared" si="10"/>
        <v>0</v>
      </c>
      <c r="E164" s="80"/>
      <c r="F164" s="171"/>
      <c r="G164" s="159"/>
      <c r="H164" s="15"/>
      <c r="I164" s="15"/>
      <c r="J164" s="15"/>
      <c r="K164" s="15"/>
      <c r="L164" s="15"/>
      <c r="M164" s="15"/>
      <c r="N164" s="143"/>
      <c r="O164" s="15"/>
      <c r="P164" s="15"/>
      <c r="Q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 x14ac:dyDescent="0.25">
      <c r="A165" s="67">
        <f>'Données projet'!A185</f>
        <v>0</v>
      </c>
      <c r="B165" s="131">
        <f>'Données projet'!D185</f>
        <v>0</v>
      </c>
      <c r="C165" s="80"/>
      <c r="D165" s="172">
        <f t="shared" si="10"/>
        <v>0</v>
      </c>
      <c r="E165" s="80"/>
      <c r="F165" s="171"/>
      <c r="G165" s="159"/>
      <c r="H165" s="15"/>
      <c r="I165" s="15"/>
      <c r="J165" s="15"/>
      <c r="K165" s="15"/>
      <c r="L165" s="15"/>
      <c r="M165" s="15"/>
      <c r="N165" s="143"/>
      <c r="O165" s="15"/>
      <c r="P165" s="15"/>
      <c r="Q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 x14ac:dyDescent="0.25">
      <c r="A166" s="15"/>
      <c r="B166" s="15"/>
      <c r="C166" s="15"/>
      <c r="D166" s="15"/>
      <c r="E166" s="15"/>
      <c r="F166" s="141"/>
      <c r="G166" s="111"/>
      <c r="H166" s="15"/>
      <c r="I166" s="15"/>
      <c r="J166" s="15"/>
      <c r="K166" s="15"/>
      <c r="L166" s="15"/>
      <c r="M166" s="15"/>
      <c r="N166" s="143"/>
      <c r="O166" s="15"/>
      <c r="P166" s="15"/>
      <c r="Q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 x14ac:dyDescent="0.25">
      <c r="A167" s="15"/>
      <c r="B167" s="15"/>
      <c r="C167" s="15"/>
      <c r="D167" s="15"/>
      <c r="E167" s="15"/>
      <c r="F167" s="141"/>
      <c r="G167" s="111"/>
      <c r="H167" s="15"/>
      <c r="I167" s="15"/>
      <c r="J167" s="15"/>
      <c r="K167" s="15"/>
      <c r="L167" s="15"/>
      <c r="M167" s="15"/>
      <c r="N167" s="143"/>
      <c r="O167" s="15"/>
      <c r="P167" s="15"/>
      <c r="Q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 x14ac:dyDescent="0.25">
      <c r="A168" s="71" t="s">
        <v>171</v>
      </c>
      <c r="B168" s="145" t="str">
        <f>IF('Données projet'!$B$15="","",'Données projet'!$B$15)</f>
        <v/>
      </c>
      <c r="C168" s="15"/>
      <c r="D168" s="15"/>
      <c r="E168" s="15"/>
      <c r="F168" s="141"/>
      <c r="G168" s="111"/>
      <c r="H168" s="15"/>
      <c r="I168" s="15"/>
      <c r="J168" s="15"/>
      <c r="K168" s="15"/>
      <c r="L168" s="15"/>
      <c r="M168" s="15"/>
      <c r="N168" s="143"/>
      <c r="O168" s="15"/>
      <c r="P168" s="15"/>
      <c r="Q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x14ac:dyDescent="0.25">
      <c r="A169" s="71"/>
      <c r="B169" s="15"/>
      <c r="C169" s="15"/>
      <c r="D169" s="15"/>
      <c r="E169" s="15"/>
      <c r="F169" s="141"/>
      <c r="G169" s="111"/>
      <c r="H169" s="15"/>
      <c r="I169" s="15"/>
      <c r="J169" s="15"/>
      <c r="K169" s="15"/>
      <c r="L169" s="15"/>
      <c r="M169" s="15"/>
      <c r="N169" s="143"/>
      <c r="O169" s="15"/>
      <c r="P169" s="15"/>
      <c r="Q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 x14ac:dyDescent="0.25">
      <c r="A170" s="91" t="s">
        <v>180</v>
      </c>
      <c r="B170" s="73" t="s">
        <v>262</v>
      </c>
      <c r="C170" s="73" t="s">
        <v>261</v>
      </c>
      <c r="D170" s="91" t="s">
        <v>258</v>
      </c>
      <c r="E170" s="91" t="s">
        <v>300</v>
      </c>
      <c r="F170" s="170"/>
      <c r="G170" s="152"/>
      <c r="H170" s="15"/>
      <c r="I170" s="15"/>
      <c r="J170" s="15"/>
      <c r="K170" s="15"/>
      <c r="L170" s="15"/>
      <c r="M170" s="15"/>
      <c r="N170" s="143"/>
      <c r="O170" s="15"/>
      <c r="P170" s="15"/>
      <c r="Q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 x14ac:dyDescent="0.25">
      <c r="A171" s="67">
        <f>'Données projet'!A192</f>
        <v>0</v>
      </c>
      <c r="B171" s="131">
        <f>'Données projet'!D192</f>
        <v>0</v>
      </c>
      <c r="C171" s="80"/>
      <c r="D171" s="172">
        <f>B171*C171</f>
        <v>0</v>
      </c>
      <c r="E171" s="80"/>
      <c r="F171" s="171"/>
      <c r="G171" s="159"/>
      <c r="H171" s="15"/>
      <c r="I171" s="15"/>
      <c r="J171" s="15"/>
      <c r="K171" s="15"/>
      <c r="L171" s="15"/>
      <c r="M171" s="15"/>
      <c r="N171" s="143"/>
      <c r="O171" s="15"/>
      <c r="P171" s="15"/>
      <c r="Q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 x14ac:dyDescent="0.25">
      <c r="A172" s="67">
        <f>'Données projet'!A193</f>
        <v>0</v>
      </c>
      <c r="B172" s="131">
        <f>'Données projet'!D193</f>
        <v>0</v>
      </c>
      <c r="C172" s="80"/>
      <c r="D172" s="172">
        <f t="shared" ref="D172:D190" si="11">B172*C172</f>
        <v>0</v>
      </c>
      <c r="E172" s="80"/>
      <c r="F172" s="171"/>
      <c r="G172" s="159"/>
      <c r="H172" s="15"/>
      <c r="I172" s="15"/>
      <c r="J172" s="15"/>
      <c r="K172" s="15"/>
      <c r="L172" s="15"/>
      <c r="M172" s="15"/>
      <c r="N172" s="143"/>
      <c r="O172" s="15"/>
      <c r="P172" s="15"/>
      <c r="Q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 x14ac:dyDescent="0.25">
      <c r="A173" s="67">
        <f>'Données projet'!A194</f>
        <v>0</v>
      </c>
      <c r="B173" s="131">
        <f>'Données projet'!D194</f>
        <v>0</v>
      </c>
      <c r="C173" s="80"/>
      <c r="D173" s="172">
        <f t="shared" si="11"/>
        <v>0</v>
      </c>
      <c r="E173" s="80"/>
      <c r="F173" s="171"/>
      <c r="G173" s="159"/>
      <c r="H173" s="15"/>
      <c r="I173" s="15"/>
      <c r="J173" s="15"/>
      <c r="K173" s="15"/>
      <c r="L173" s="15"/>
      <c r="M173" s="15"/>
      <c r="N173" s="143"/>
      <c r="O173" s="15"/>
      <c r="P173" s="15"/>
      <c r="Q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 x14ac:dyDescent="0.25">
      <c r="A174" s="67">
        <f>'Données projet'!A195</f>
        <v>0</v>
      </c>
      <c r="B174" s="131">
        <f>'Données projet'!D195</f>
        <v>0</v>
      </c>
      <c r="C174" s="80"/>
      <c r="D174" s="172">
        <f t="shared" si="11"/>
        <v>0</v>
      </c>
      <c r="E174" s="80"/>
      <c r="F174" s="171"/>
      <c r="G174" s="159"/>
      <c r="H174" s="15"/>
      <c r="I174" s="15"/>
      <c r="J174" s="15"/>
      <c r="K174" s="15"/>
      <c r="L174" s="15"/>
      <c r="M174" s="15"/>
      <c r="N174" s="143"/>
      <c r="O174" s="15"/>
      <c r="P174" s="15"/>
      <c r="Q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x14ac:dyDescent="0.25">
      <c r="A175" s="67">
        <f>'Données projet'!A196</f>
        <v>0</v>
      </c>
      <c r="B175" s="131">
        <f>'Données projet'!D196</f>
        <v>0</v>
      </c>
      <c r="C175" s="80"/>
      <c r="D175" s="172">
        <f t="shared" si="11"/>
        <v>0</v>
      </c>
      <c r="E175" s="80"/>
      <c r="F175" s="171"/>
      <c r="G175" s="159"/>
      <c r="H175" s="15"/>
      <c r="I175" s="15"/>
      <c r="J175" s="15"/>
      <c r="K175" s="15"/>
      <c r="L175" s="15"/>
      <c r="M175" s="15"/>
      <c r="N175" s="143"/>
      <c r="O175" s="15"/>
      <c r="P175" s="15"/>
      <c r="Q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 x14ac:dyDescent="0.25">
      <c r="A176" s="67">
        <f>'Données projet'!A197</f>
        <v>0</v>
      </c>
      <c r="B176" s="131">
        <f>'Données projet'!D197</f>
        <v>0</v>
      </c>
      <c r="C176" s="80"/>
      <c r="D176" s="172">
        <f t="shared" si="11"/>
        <v>0</v>
      </c>
      <c r="E176" s="80"/>
      <c r="F176" s="171"/>
      <c r="G176" s="159"/>
      <c r="H176" s="15"/>
      <c r="I176" s="15"/>
      <c r="J176" s="15"/>
      <c r="K176" s="15"/>
      <c r="L176" s="15"/>
      <c r="M176" s="15"/>
      <c r="N176" s="143"/>
      <c r="O176" s="15"/>
      <c r="P176" s="15"/>
      <c r="Q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 x14ac:dyDescent="0.25">
      <c r="A177" s="67">
        <f>'Données projet'!A198</f>
        <v>0</v>
      </c>
      <c r="B177" s="131">
        <f>'Données projet'!D198</f>
        <v>0</v>
      </c>
      <c r="C177" s="80"/>
      <c r="D177" s="172">
        <f t="shared" si="11"/>
        <v>0</v>
      </c>
      <c r="E177" s="80"/>
      <c r="F177" s="171"/>
      <c r="G177" s="159"/>
      <c r="H177" s="15"/>
      <c r="I177" s="15"/>
      <c r="J177" s="15"/>
      <c r="K177" s="15"/>
      <c r="L177" s="15"/>
      <c r="M177" s="15"/>
      <c r="N177" s="143"/>
      <c r="O177" s="15"/>
      <c r="P177" s="15"/>
      <c r="Q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 x14ac:dyDescent="0.25">
      <c r="A178" s="67">
        <f>'Données projet'!A199</f>
        <v>0</v>
      </c>
      <c r="B178" s="131">
        <f>'Données projet'!D199</f>
        <v>0</v>
      </c>
      <c r="C178" s="80"/>
      <c r="D178" s="172">
        <f t="shared" si="11"/>
        <v>0</v>
      </c>
      <c r="E178" s="80"/>
      <c r="F178" s="171"/>
      <c r="G178" s="159"/>
      <c r="H178" s="15"/>
      <c r="I178" s="15"/>
      <c r="J178" s="15"/>
      <c r="K178" s="15"/>
      <c r="L178" s="15"/>
      <c r="M178" s="15"/>
      <c r="N178" s="143"/>
      <c r="O178" s="15"/>
      <c r="P178" s="15"/>
      <c r="Q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 x14ac:dyDescent="0.25">
      <c r="A179" s="67">
        <f>'Données projet'!A200</f>
        <v>0</v>
      </c>
      <c r="B179" s="131">
        <f>'Données projet'!D200</f>
        <v>0</v>
      </c>
      <c r="C179" s="80"/>
      <c r="D179" s="172">
        <f t="shared" si="11"/>
        <v>0</v>
      </c>
      <c r="E179" s="80"/>
      <c r="F179" s="171"/>
      <c r="G179" s="159"/>
      <c r="H179" s="15"/>
      <c r="I179" s="15"/>
      <c r="J179" s="15"/>
      <c r="K179" s="15"/>
      <c r="L179" s="15"/>
      <c r="M179" s="15"/>
      <c r="N179" s="143"/>
      <c r="O179" s="15"/>
      <c r="P179" s="15"/>
      <c r="Q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 x14ac:dyDescent="0.25">
      <c r="A180" s="67">
        <f>'Données projet'!A201</f>
        <v>0</v>
      </c>
      <c r="B180" s="131">
        <f>'Données projet'!D201</f>
        <v>0</v>
      </c>
      <c r="C180" s="80"/>
      <c r="D180" s="172">
        <f t="shared" si="11"/>
        <v>0</v>
      </c>
      <c r="E180" s="80"/>
      <c r="F180" s="171"/>
      <c r="G180" s="159"/>
      <c r="H180" s="15"/>
      <c r="I180" s="15"/>
      <c r="J180" s="15"/>
      <c r="K180" s="15"/>
      <c r="L180" s="15"/>
      <c r="M180" s="15"/>
      <c r="N180" s="143"/>
      <c r="O180" s="15"/>
      <c r="P180" s="15"/>
      <c r="Q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 x14ac:dyDescent="0.25">
      <c r="A181" s="67">
        <f>'Données projet'!A202</f>
        <v>0</v>
      </c>
      <c r="B181" s="131">
        <f>'Données projet'!D202</f>
        <v>0</v>
      </c>
      <c r="C181" s="80"/>
      <c r="D181" s="172">
        <f t="shared" si="11"/>
        <v>0</v>
      </c>
      <c r="E181" s="80"/>
      <c r="F181" s="171"/>
      <c r="G181" s="159"/>
      <c r="H181" s="15"/>
      <c r="I181" s="15"/>
      <c r="J181" s="15"/>
      <c r="K181" s="15"/>
      <c r="L181" s="15"/>
      <c r="M181" s="15"/>
      <c r="N181" s="143"/>
      <c r="O181" s="15"/>
      <c r="P181" s="15"/>
      <c r="Q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 x14ac:dyDescent="0.25">
      <c r="A182" s="67">
        <f>'Données projet'!A203</f>
        <v>0</v>
      </c>
      <c r="B182" s="131">
        <f>'Données projet'!D203</f>
        <v>0</v>
      </c>
      <c r="C182" s="80"/>
      <c r="D182" s="172">
        <f t="shared" si="11"/>
        <v>0</v>
      </c>
      <c r="E182" s="80"/>
      <c r="F182" s="171"/>
      <c r="G182" s="159"/>
      <c r="H182" s="15"/>
      <c r="I182" s="15"/>
      <c r="J182" s="15"/>
      <c r="K182" s="15"/>
      <c r="L182" s="15"/>
      <c r="M182" s="15"/>
      <c r="N182" s="143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 x14ac:dyDescent="0.25">
      <c r="A183" s="67">
        <f>'Données projet'!A204</f>
        <v>0</v>
      </c>
      <c r="B183" s="131">
        <f>'Données projet'!D204</f>
        <v>0</v>
      </c>
      <c r="C183" s="80"/>
      <c r="D183" s="172">
        <f t="shared" si="11"/>
        <v>0</v>
      </c>
      <c r="E183" s="80"/>
      <c r="F183" s="171"/>
      <c r="G183" s="159"/>
      <c r="H183" s="15"/>
      <c r="I183" s="15"/>
      <c r="J183" s="15"/>
      <c r="K183" s="15"/>
      <c r="L183" s="15"/>
      <c r="M183" s="15"/>
      <c r="N183" s="143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 x14ac:dyDescent="0.25">
      <c r="A184" s="67">
        <f>'Données projet'!A205</f>
        <v>0</v>
      </c>
      <c r="B184" s="131">
        <f>'Données projet'!D205</f>
        <v>0</v>
      </c>
      <c r="C184" s="80"/>
      <c r="D184" s="172">
        <f t="shared" si="11"/>
        <v>0</v>
      </c>
      <c r="E184" s="80"/>
      <c r="F184" s="171"/>
      <c r="G184" s="159"/>
      <c r="H184" s="15"/>
      <c r="I184" s="15"/>
      <c r="J184" s="15"/>
      <c r="K184" s="15"/>
      <c r="L184" s="15"/>
      <c r="M184" s="15"/>
      <c r="N184" s="143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 x14ac:dyDescent="0.25">
      <c r="A185" s="67">
        <f>'Données projet'!A206</f>
        <v>0</v>
      </c>
      <c r="B185" s="131">
        <f>'Données projet'!D206</f>
        <v>0</v>
      </c>
      <c r="C185" s="80"/>
      <c r="D185" s="172">
        <f t="shared" si="11"/>
        <v>0</v>
      </c>
      <c r="E185" s="80"/>
      <c r="F185" s="171"/>
      <c r="G185" s="159"/>
      <c r="H185" s="15"/>
      <c r="I185" s="15"/>
      <c r="J185" s="15"/>
      <c r="K185" s="15"/>
      <c r="L185" s="15"/>
      <c r="M185" s="15"/>
      <c r="N185" s="143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 x14ac:dyDescent="0.25">
      <c r="A186" s="67">
        <f>'Données projet'!A207</f>
        <v>0</v>
      </c>
      <c r="B186" s="131">
        <f>'Données projet'!D207</f>
        <v>0</v>
      </c>
      <c r="C186" s="80"/>
      <c r="D186" s="172">
        <f t="shared" si="11"/>
        <v>0</v>
      </c>
      <c r="E186" s="80"/>
      <c r="F186" s="171"/>
      <c r="G186" s="159"/>
      <c r="H186" s="15"/>
      <c r="I186" s="15"/>
      <c r="J186" s="15"/>
      <c r="K186" s="15"/>
      <c r="L186" s="15"/>
      <c r="M186" s="15"/>
      <c r="N186" s="143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 x14ac:dyDescent="0.25">
      <c r="A187" s="67">
        <f>'Données projet'!A208</f>
        <v>0</v>
      </c>
      <c r="B187" s="131">
        <f>'Données projet'!D208</f>
        <v>0</v>
      </c>
      <c r="C187" s="80"/>
      <c r="D187" s="172">
        <f t="shared" si="11"/>
        <v>0</v>
      </c>
      <c r="E187" s="80"/>
      <c r="F187" s="171"/>
      <c r="G187" s="159"/>
      <c r="H187" s="15"/>
      <c r="I187" s="15"/>
      <c r="J187" s="15"/>
      <c r="K187" s="15"/>
      <c r="L187" s="15"/>
      <c r="M187" s="15"/>
      <c r="N187" s="143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 x14ac:dyDescent="0.25">
      <c r="A188" s="67">
        <f>'Données projet'!A209</f>
        <v>0</v>
      </c>
      <c r="B188" s="131">
        <f>'Données projet'!D209</f>
        <v>0</v>
      </c>
      <c r="C188" s="80"/>
      <c r="D188" s="172">
        <f t="shared" si="11"/>
        <v>0</v>
      </c>
      <c r="E188" s="80"/>
      <c r="F188" s="171"/>
      <c r="G188" s="159"/>
      <c r="H188" s="15"/>
      <c r="I188" s="15"/>
      <c r="J188" s="15"/>
      <c r="K188" s="15"/>
      <c r="L188" s="15"/>
      <c r="M188" s="15"/>
      <c r="N188" s="143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 x14ac:dyDescent="0.25">
      <c r="A189" s="67">
        <f>'Données projet'!A210</f>
        <v>0</v>
      </c>
      <c r="B189" s="131">
        <f>'Données projet'!D210</f>
        <v>0</v>
      </c>
      <c r="C189" s="80"/>
      <c r="D189" s="172">
        <f t="shared" si="11"/>
        <v>0</v>
      </c>
      <c r="E189" s="80"/>
      <c r="F189" s="171"/>
      <c r="G189" s="159"/>
      <c r="H189" s="15"/>
      <c r="I189" s="15"/>
      <c r="J189" s="15"/>
      <c r="K189" s="15"/>
      <c r="L189" s="15"/>
      <c r="M189" s="15"/>
      <c r="N189" s="143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 x14ac:dyDescent="0.25">
      <c r="A190" s="67">
        <f>'Données projet'!A211</f>
        <v>0</v>
      </c>
      <c r="B190" s="131">
        <f>'Données projet'!D211</f>
        <v>0</v>
      </c>
      <c r="C190" s="80"/>
      <c r="D190" s="172">
        <f t="shared" si="11"/>
        <v>0</v>
      </c>
      <c r="E190" s="80"/>
      <c r="F190" s="171"/>
      <c r="G190" s="159"/>
      <c r="H190" s="15"/>
      <c r="I190" s="15"/>
      <c r="J190" s="15"/>
      <c r="K190" s="15"/>
      <c r="L190" s="15"/>
      <c r="M190" s="15"/>
      <c r="N190" s="143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 x14ac:dyDescent="0.25">
      <c r="A191" s="15"/>
      <c r="B191" s="15"/>
      <c r="C191" s="15"/>
      <c r="D191" s="15"/>
      <c r="E191" s="15"/>
      <c r="F191" s="141"/>
      <c r="G191" s="111"/>
      <c r="H191" s="15"/>
      <c r="I191" s="15"/>
      <c r="J191" s="15"/>
      <c r="K191" s="15"/>
      <c r="L191" s="15"/>
      <c r="M191" s="15"/>
      <c r="N191" s="143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 x14ac:dyDescent="0.25">
      <c r="A192" s="15"/>
      <c r="B192" s="15"/>
      <c r="C192" s="15"/>
      <c r="D192" s="15"/>
      <c r="E192" s="15"/>
      <c r="F192" s="141"/>
      <c r="G192" s="111"/>
      <c r="H192" s="15"/>
      <c r="I192" s="15"/>
      <c r="J192" s="15"/>
      <c r="K192" s="15"/>
      <c r="L192" s="15"/>
      <c r="M192" s="15"/>
      <c r="N192" s="143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 x14ac:dyDescent="0.25">
      <c r="A193" s="71" t="s">
        <v>172</v>
      </c>
      <c r="B193" s="145" t="str">
        <f>IF('Données projet'!$B$16="","",'Données projet'!$B$16)</f>
        <v/>
      </c>
      <c r="C193" s="15"/>
      <c r="D193" s="15"/>
      <c r="E193" s="15"/>
      <c r="F193" s="141"/>
      <c r="G193" s="111"/>
      <c r="H193" s="15"/>
      <c r="I193" s="15"/>
      <c r="J193" s="15"/>
      <c r="K193" s="15"/>
      <c r="L193" s="15"/>
      <c r="M193" s="15"/>
      <c r="N193" s="143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 x14ac:dyDescent="0.25">
      <c r="A194" s="71"/>
      <c r="B194" s="15"/>
      <c r="C194" s="15"/>
      <c r="D194" s="15"/>
      <c r="E194" s="15"/>
      <c r="F194" s="141"/>
      <c r="G194" s="111"/>
      <c r="H194" s="15"/>
      <c r="I194" s="15"/>
      <c r="J194" s="15"/>
      <c r="K194" s="15"/>
      <c r="L194" s="15"/>
      <c r="M194" s="15"/>
      <c r="N194" s="143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 x14ac:dyDescent="0.25">
      <c r="A195" s="91" t="s">
        <v>180</v>
      </c>
      <c r="B195" s="73" t="s">
        <v>262</v>
      </c>
      <c r="C195" s="73" t="s">
        <v>261</v>
      </c>
      <c r="D195" s="91" t="s">
        <v>258</v>
      </c>
      <c r="E195" s="91" t="s">
        <v>300</v>
      </c>
      <c r="F195" s="170"/>
      <c r="G195" s="152"/>
      <c r="H195" s="15"/>
      <c r="I195" s="15"/>
      <c r="J195" s="15"/>
      <c r="K195" s="15"/>
      <c r="L195" s="15"/>
      <c r="M195" s="15"/>
      <c r="N195" s="143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 x14ac:dyDescent="0.25">
      <c r="A196" s="67">
        <f>'Données projet'!A218</f>
        <v>0</v>
      </c>
      <c r="B196" s="131">
        <f>'Données projet'!D218</f>
        <v>0</v>
      </c>
      <c r="C196" s="80"/>
      <c r="D196" s="172">
        <f>B196*C196</f>
        <v>0</v>
      </c>
      <c r="E196" s="80"/>
      <c r="F196" s="171"/>
      <c r="G196" s="159"/>
      <c r="H196" s="15"/>
      <c r="I196" s="15"/>
      <c r="J196" s="15"/>
      <c r="K196" s="15"/>
      <c r="L196" s="15"/>
      <c r="M196" s="15"/>
      <c r="N196" s="143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 x14ac:dyDescent="0.25">
      <c r="A197" s="67">
        <f>'Données projet'!A219</f>
        <v>0</v>
      </c>
      <c r="B197" s="131">
        <f>'Données projet'!D219</f>
        <v>0</v>
      </c>
      <c r="C197" s="80"/>
      <c r="D197" s="172">
        <f t="shared" ref="D197:D215" si="12">B197*C197</f>
        <v>0</v>
      </c>
      <c r="E197" s="80"/>
      <c r="F197" s="171"/>
      <c r="G197" s="159"/>
      <c r="H197" s="15"/>
      <c r="I197" s="15"/>
      <c r="J197" s="15"/>
      <c r="K197" s="15"/>
      <c r="L197" s="15"/>
      <c r="M197" s="15"/>
      <c r="N197" s="143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 x14ac:dyDescent="0.25">
      <c r="A198" s="67">
        <f>'Données projet'!A220</f>
        <v>0</v>
      </c>
      <c r="B198" s="131">
        <f>'Données projet'!D220</f>
        <v>0</v>
      </c>
      <c r="C198" s="80"/>
      <c r="D198" s="172">
        <f t="shared" si="12"/>
        <v>0</v>
      </c>
      <c r="E198" s="80"/>
      <c r="F198" s="171"/>
      <c r="G198" s="159"/>
      <c r="H198" s="15"/>
      <c r="I198" s="15"/>
      <c r="J198" s="15"/>
      <c r="K198" s="15"/>
      <c r="L198" s="15"/>
      <c r="M198" s="15"/>
      <c r="N198" s="143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 x14ac:dyDescent="0.25">
      <c r="A199" s="67">
        <f>'Données projet'!A221</f>
        <v>0</v>
      </c>
      <c r="B199" s="131">
        <f>'Données projet'!D221</f>
        <v>0</v>
      </c>
      <c r="C199" s="80"/>
      <c r="D199" s="172">
        <f t="shared" si="12"/>
        <v>0</v>
      </c>
      <c r="E199" s="80"/>
      <c r="F199" s="171"/>
      <c r="G199" s="159"/>
      <c r="H199" s="15"/>
      <c r="I199" s="15"/>
      <c r="J199" s="15"/>
      <c r="K199" s="15"/>
      <c r="L199" s="15"/>
      <c r="M199" s="15"/>
      <c r="N199" s="143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 x14ac:dyDescent="0.25">
      <c r="A200" s="67">
        <f>'Données projet'!A222</f>
        <v>0</v>
      </c>
      <c r="B200" s="131">
        <f>'Données projet'!D222</f>
        <v>0</v>
      </c>
      <c r="C200" s="80"/>
      <c r="D200" s="172">
        <f t="shared" si="12"/>
        <v>0</v>
      </c>
      <c r="E200" s="80"/>
      <c r="F200" s="171"/>
      <c r="G200" s="159"/>
      <c r="H200" s="15"/>
      <c r="I200" s="15"/>
      <c r="J200" s="15"/>
      <c r="K200" s="15"/>
      <c r="L200" s="15"/>
      <c r="M200" s="15"/>
      <c r="N200" s="143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 x14ac:dyDescent="0.25">
      <c r="A201" s="67">
        <f>'Données projet'!A223</f>
        <v>0</v>
      </c>
      <c r="B201" s="131">
        <f>'Données projet'!D223</f>
        <v>0</v>
      </c>
      <c r="C201" s="80"/>
      <c r="D201" s="172">
        <f t="shared" si="12"/>
        <v>0</v>
      </c>
      <c r="E201" s="80"/>
      <c r="F201" s="171"/>
      <c r="G201" s="159"/>
      <c r="H201" s="15"/>
      <c r="I201" s="15"/>
      <c r="J201" s="15"/>
      <c r="K201" s="15"/>
      <c r="L201" s="15"/>
      <c r="M201" s="15"/>
      <c r="N201" s="143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 x14ac:dyDescent="0.25">
      <c r="A202" s="67">
        <f>'Données projet'!A224</f>
        <v>0</v>
      </c>
      <c r="B202" s="131">
        <f>'Données projet'!D224</f>
        <v>0</v>
      </c>
      <c r="C202" s="80"/>
      <c r="D202" s="172">
        <f t="shared" si="12"/>
        <v>0</v>
      </c>
      <c r="E202" s="80"/>
      <c r="F202" s="171"/>
      <c r="G202" s="159"/>
      <c r="H202" s="15"/>
      <c r="I202" s="15"/>
      <c r="J202" s="15"/>
      <c r="K202" s="15"/>
      <c r="L202" s="15"/>
      <c r="M202" s="15"/>
      <c r="N202" s="143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 x14ac:dyDescent="0.25">
      <c r="A203" s="67">
        <f>'Données projet'!A225</f>
        <v>0</v>
      </c>
      <c r="B203" s="131">
        <f>'Données projet'!D225</f>
        <v>0</v>
      </c>
      <c r="C203" s="80"/>
      <c r="D203" s="172">
        <f t="shared" si="12"/>
        <v>0</v>
      </c>
      <c r="E203" s="80"/>
      <c r="F203" s="171"/>
      <c r="G203" s="159"/>
      <c r="H203" s="15"/>
      <c r="I203" s="15"/>
      <c r="J203" s="15"/>
      <c r="K203" s="15"/>
      <c r="L203" s="15"/>
      <c r="M203" s="15"/>
      <c r="N203" s="143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 x14ac:dyDescent="0.25">
      <c r="A204" s="67">
        <f>'Données projet'!A226</f>
        <v>0</v>
      </c>
      <c r="B204" s="131">
        <f>'Données projet'!D226</f>
        <v>0</v>
      </c>
      <c r="C204" s="80"/>
      <c r="D204" s="172">
        <f t="shared" si="12"/>
        <v>0</v>
      </c>
      <c r="E204" s="80"/>
      <c r="F204" s="171"/>
      <c r="G204" s="159"/>
      <c r="H204" s="15"/>
      <c r="I204" s="15"/>
      <c r="J204" s="15"/>
      <c r="K204" s="15"/>
      <c r="L204" s="15"/>
      <c r="M204" s="15"/>
      <c r="N204" s="143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 x14ac:dyDescent="0.25">
      <c r="A205" s="67">
        <f>'Données projet'!A227</f>
        <v>0</v>
      </c>
      <c r="B205" s="131">
        <f>'Données projet'!D227</f>
        <v>0</v>
      </c>
      <c r="C205" s="80"/>
      <c r="D205" s="172">
        <f t="shared" si="12"/>
        <v>0</v>
      </c>
      <c r="E205" s="80"/>
      <c r="F205" s="171"/>
      <c r="G205" s="159"/>
      <c r="H205" s="15"/>
      <c r="I205" s="15"/>
      <c r="J205" s="15"/>
      <c r="K205" s="15"/>
      <c r="L205" s="15"/>
      <c r="M205" s="15"/>
      <c r="N205" s="143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 x14ac:dyDescent="0.25">
      <c r="A206" s="67">
        <f>'Données projet'!A228</f>
        <v>0</v>
      </c>
      <c r="B206" s="131">
        <f>'Données projet'!D228</f>
        <v>0</v>
      </c>
      <c r="C206" s="80"/>
      <c r="D206" s="172">
        <f t="shared" si="12"/>
        <v>0</v>
      </c>
      <c r="E206" s="80"/>
      <c r="F206" s="171"/>
      <c r="G206" s="159"/>
      <c r="H206" s="15"/>
      <c r="I206" s="15"/>
      <c r="J206" s="15"/>
      <c r="K206" s="15"/>
      <c r="L206" s="15"/>
      <c r="M206" s="15"/>
      <c r="N206" s="143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 x14ac:dyDescent="0.25">
      <c r="A207" s="67">
        <f>'Données projet'!A229</f>
        <v>0</v>
      </c>
      <c r="B207" s="131">
        <f>'Données projet'!D229</f>
        <v>0</v>
      </c>
      <c r="C207" s="80"/>
      <c r="D207" s="172">
        <f t="shared" si="12"/>
        <v>0</v>
      </c>
      <c r="E207" s="80"/>
      <c r="F207" s="171"/>
      <c r="G207" s="159"/>
      <c r="H207" s="15"/>
      <c r="I207" s="15"/>
      <c r="J207" s="15"/>
      <c r="K207" s="15"/>
      <c r="L207" s="15"/>
      <c r="M207" s="15"/>
      <c r="N207" s="143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 x14ac:dyDescent="0.25">
      <c r="A208" s="67">
        <f>'Données projet'!A230</f>
        <v>0</v>
      </c>
      <c r="B208" s="131">
        <f>'Données projet'!D230</f>
        <v>0</v>
      </c>
      <c r="C208" s="80"/>
      <c r="D208" s="172">
        <f t="shared" si="12"/>
        <v>0</v>
      </c>
      <c r="E208" s="80"/>
      <c r="F208" s="171"/>
      <c r="G208" s="159"/>
      <c r="H208" s="15"/>
      <c r="I208" s="15"/>
      <c r="J208" s="15"/>
      <c r="K208" s="15"/>
      <c r="L208" s="15"/>
      <c r="M208" s="15"/>
      <c r="N208" s="143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 x14ac:dyDescent="0.25">
      <c r="A209" s="67">
        <f>'Données projet'!A231</f>
        <v>0</v>
      </c>
      <c r="B209" s="131">
        <f>'Données projet'!D231</f>
        <v>0</v>
      </c>
      <c r="C209" s="80"/>
      <c r="D209" s="172">
        <f t="shared" si="12"/>
        <v>0</v>
      </c>
      <c r="E209" s="80"/>
      <c r="F209" s="171"/>
      <c r="G209" s="159"/>
      <c r="H209" s="15"/>
      <c r="I209" s="15"/>
      <c r="J209" s="15"/>
      <c r="K209" s="15"/>
      <c r="L209" s="15"/>
      <c r="M209" s="15"/>
      <c r="N209" s="143"/>
      <c r="O209" s="15"/>
      <c r="P209" s="15"/>
      <c r="Q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 x14ac:dyDescent="0.25">
      <c r="A210" s="67">
        <f>'Données projet'!A232</f>
        <v>0</v>
      </c>
      <c r="B210" s="131">
        <f>'Données projet'!D232</f>
        <v>0</v>
      </c>
      <c r="C210" s="80"/>
      <c r="D210" s="172">
        <f t="shared" si="12"/>
        <v>0</v>
      </c>
      <c r="E210" s="80"/>
      <c r="F210" s="171"/>
      <c r="G210" s="159"/>
      <c r="H210" s="15"/>
      <c r="I210" s="15"/>
      <c r="J210" s="15"/>
      <c r="K210" s="15"/>
      <c r="L210" s="15"/>
      <c r="M210" s="15"/>
      <c r="N210" s="143"/>
      <c r="O210" s="15"/>
      <c r="P210" s="15"/>
      <c r="Q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 x14ac:dyDescent="0.25">
      <c r="A211" s="67">
        <f>'Données projet'!A233</f>
        <v>0</v>
      </c>
      <c r="B211" s="131">
        <f>'Données projet'!D233</f>
        <v>0</v>
      </c>
      <c r="C211" s="80"/>
      <c r="D211" s="172">
        <f t="shared" si="12"/>
        <v>0</v>
      </c>
      <c r="E211" s="80"/>
      <c r="F211" s="171"/>
      <c r="G211" s="159"/>
      <c r="H211" s="15"/>
      <c r="I211" s="15"/>
      <c r="J211" s="15"/>
      <c r="K211" s="15"/>
      <c r="L211" s="15"/>
      <c r="M211" s="15"/>
      <c r="N211" s="143"/>
      <c r="O211" s="15"/>
      <c r="P211" s="15"/>
      <c r="Q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 x14ac:dyDescent="0.25">
      <c r="A212" s="67">
        <f>'Données projet'!A234</f>
        <v>0</v>
      </c>
      <c r="B212" s="131">
        <f>'Données projet'!D234</f>
        <v>0</v>
      </c>
      <c r="C212" s="80"/>
      <c r="D212" s="172">
        <f t="shared" si="12"/>
        <v>0</v>
      </c>
      <c r="E212" s="80"/>
      <c r="F212" s="171"/>
      <c r="G212" s="159"/>
      <c r="H212" s="15"/>
      <c r="I212" s="15"/>
      <c r="J212" s="15"/>
      <c r="K212" s="15"/>
      <c r="L212" s="15"/>
      <c r="M212" s="15"/>
      <c r="N212" s="143"/>
      <c r="O212" s="15"/>
      <c r="P212" s="15"/>
      <c r="Q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 x14ac:dyDescent="0.25">
      <c r="A213" s="67">
        <f>'Données projet'!A235</f>
        <v>0</v>
      </c>
      <c r="B213" s="131">
        <f>'Données projet'!D235</f>
        <v>0</v>
      </c>
      <c r="C213" s="80"/>
      <c r="D213" s="172">
        <f t="shared" si="12"/>
        <v>0</v>
      </c>
      <c r="E213" s="80"/>
      <c r="F213" s="171"/>
      <c r="G213" s="159"/>
      <c r="H213" s="15"/>
      <c r="I213" s="15"/>
      <c r="J213" s="15"/>
      <c r="K213" s="15"/>
      <c r="L213" s="15"/>
      <c r="M213" s="15"/>
      <c r="N213" s="143"/>
      <c r="O213" s="15"/>
      <c r="P213" s="15"/>
      <c r="Q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 x14ac:dyDescent="0.25">
      <c r="A214" s="67">
        <f>'Données projet'!A236</f>
        <v>0</v>
      </c>
      <c r="B214" s="131">
        <f>'Données projet'!D236</f>
        <v>0</v>
      </c>
      <c r="C214" s="80"/>
      <c r="D214" s="172">
        <f t="shared" si="12"/>
        <v>0</v>
      </c>
      <c r="E214" s="80"/>
      <c r="F214" s="171"/>
      <c r="G214" s="159"/>
      <c r="H214" s="15"/>
      <c r="I214" s="15"/>
      <c r="J214" s="15"/>
      <c r="K214" s="15"/>
      <c r="L214" s="15"/>
      <c r="M214" s="15"/>
      <c r="N214" s="143"/>
      <c r="O214" s="15"/>
      <c r="P214" s="15"/>
      <c r="Q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 x14ac:dyDescent="0.25">
      <c r="A215" s="67">
        <f>'Données projet'!A237</f>
        <v>0</v>
      </c>
      <c r="B215" s="131">
        <f>'Données projet'!D237</f>
        <v>0</v>
      </c>
      <c r="C215" s="80"/>
      <c r="D215" s="172">
        <f t="shared" si="12"/>
        <v>0</v>
      </c>
      <c r="E215" s="80"/>
      <c r="F215" s="171"/>
      <c r="G215" s="159"/>
      <c r="H215" s="15"/>
      <c r="I215" s="15"/>
      <c r="J215" s="15"/>
      <c r="K215" s="15"/>
      <c r="L215" s="15"/>
      <c r="M215" s="15"/>
      <c r="N215" s="143"/>
      <c r="O215" s="15"/>
      <c r="P215" s="15"/>
      <c r="Q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 x14ac:dyDescent="0.25">
      <c r="A216" s="15"/>
      <c r="B216" s="15"/>
      <c r="C216" s="15"/>
      <c r="D216" s="15"/>
      <c r="E216" s="15"/>
      <c r="F216" s="141"/>
      <c r="G216" s="111"/>
      <c r="H216" s="15"/>
      <c r="I216" s="15"/>
      <c r="J216" s="15"/>
      <c r="K216" s="15"/>
      <c r="L216" s="15"/>
      <c r="M216" s="15"/>
      <c r="N216" s="143"/>
      <c r="O216" s="15"/>
      <c r="P216" s="15"/>
      <c r="Q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 x14ac:dyDescent="0.25">
      <c r="A217" s="15"/>
      <c r="B217" s="15"/>
      <c r="C217" s="15"/>
      <c r="D217" s="15"/>
      <c r="E217" s="15"/>
      <c r="F217" s="141"/>
      <c r="G217" s="111"/>
      <c r="H217" s="15"/>
      <c r="I217" s="15"/>
      <c r="J217" s="15"/>
      <c r="K217" s="15"/>
      <c r="L217" s="15"/>
      <c r="M217" s="15"/>
      <c r="N217" s="143"/>
      <c r="O217" s="15"/>
      <c r="P217" s="15"/>
      <c r="Q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 x14ac:dyDescent="0.25">
      <c r="A218" s="71" t="s">
        <v>173</v>
      </c>
      <c r="B218" s="145" t="str">
        <f>IF('Données projet'!$B$17="","",'Données projet'!$B$17)</f>
        <v/>
      </c>
      <c r="C218" s="15"/>
      <c r="D218" s="15"/>
      <c r="E218" s="15"/>
      <c r="F218" s="141"/>
      <c r="G218" s="111"/>
      <c r="H218" s="15"/>
      <c r="I218" s="15"/>
      <c r="J218" s="15"/>
      <c r="K218" s="15"/>
      <c r="L218" s="15"/>
      <c r="M218" s="15"/>
      <c r="N218" s="143"/>
      <c r="O218" s="15"/>
      <c r="P218" s="15"/>
      <c r="Q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 x14ac:dyDescent="0.25">
      <c r="A219" s="71"/>
      <c r="B219" s="15"/>
      <c r="C219" s="15"/>
      <c r="D219" s="15"/>
      <c r="E219" s="15"/>
      <c r="F219" s="141"/>
      <c r="G219" s="111"/>
      <c r="H219" s="15"/>
      <c r="I219" s="15"/>
      <c r="J219" s="15"/>
      <c r="K219" s="15"/>
      <c r="L219" s="15"/>
      <c r="M219" s="15"/>
      <c r="N219" s="143"/>
      <c r="O219" s="15"/>
      <c r="P219" s="15"/>
      <c r="Q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 x14ac:dyDescent="0.25">
      <c r="A220" s="91" t="s">
        <v>180</v>
      </c>
      <c r="B220" s="73" t="s">
        <v>262</v>
      </c>
      <c r="C220" s="73" t="s">
        <v>261</v>
      </c>
      <c r="D220" s="91" t="s">
        <v>258</v>
      </c>
      <c r="E220" s="91" t="s">
        <v>300</v>
      </c>
      <c r="F220" s="170"/>
      <c r="G220" s="152"/>
      <c r="H220" s="15"/>
      <c r="I220" s="15"/>
      <c r="J220" s="15"/>
      <c r="K220" s="15"/>
      <c r="L220" s="15"/>
      <c r="M220" s="15"/>
      <c r="N220" s="143"/>
      <c r="O220" s="15"/>
      <c r="P220" s="15"/>
      <c r="Q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 x14ac:dyDescent="0.25">
      <c r="A221" s="67">
        <f>'Données projet'!A244</f>
        <v>0</v>
      </c>
      <c r="B221" s="131">
        <f>'Données projet'!D244</f>
        <v>0</v>
      </c>
      <c r="C221" s="80"/>
      <c r="D221" s="172">
        <f>B221*C221</f>
        <v>0</v>
      </c>
      <c r="E221" s="80"/>
      <c r="F221" s="171"/>
      <c r="G221" s="159"/>
      <c r="H221" s="15"/>
      <c r="I221" s="15"/>
      <c r="J221" s="15"/>
      <c r="K221" s="15"/>
      <c r="L221" s="15"/>
      <c r="M221" s="15"/>
      <c r="N221" s="143"/>
      <c r="O221" s="15"/>
      <c r="P221" s="15"/>
      <c r="Q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 x14ac:dyDescent="0.25">
      <c r="A222" s="67">
        <f>'Données projet'!A245</f>
        <v>0</v>
      </c>
      <c r="B222" s="131">
        <f>'Données projet'!D245</f>
        <v>0</v>
      </c>
      <c r="C222" s="80"/>
      <c r="D222" s="172">
        <f t="shared" ref="D222:D240" si="13">B222*C222</f>
        <v>0</v>
      </c>
      <c r="E222" s="80"/>
      <c r="F222" s="171"/>
      <c r="G222" s="159"/>
      <c r="H222" s="15"/>
      <c r="I222" s="15"/>
      <c r="J222" s="15"/>
      <c r="K222" s="15"/>
      <c r="L222" s="15"/>
      <c r="M222" s="15"/>
      <c r="N222" s="143"/>
      <c r="O222" s="15"/>
      <c r="P222" s="15"/>
      <c r="Q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 x14ac:dyDescent="0.25">
      <c r="A223" s="67">
        <f>'Données projet'!A246</f>
        <v>0</v>
      </c>
      <c r="B223" s="131">
        <f>'Données projet'!D246</f>
        <v>0</v>
      </c>
      <c r="C223" s="80"/>
      <c r="D223" s="172">
        <f t="shared" si="13"/>
        <v>0</v>
      </c>
      <c r="E223" s="80"/>
      <c r="F223" s="171"/>
      <c r="G223" s="159"/>
      <c r="H223" s="15"/>
      <c r="I223" s="15"/>
      <c r="J223" s="15"/>
      <c r="K223" s="15"/>
      <c r="L223" s="15"/>
      <c r="M223" s="15"/>
      <c r="N223" s="143"/>
      <c r="O223" s="15"/>
      <c r="P223" s="15"/>
      <c r="Q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 x14ac:dyDescent="0.25">
      <c r="A224" s="67">
        <f>'Données projet'!A247</f>
        <v>0</v>
      </c>
      <c r="B224" s="131">
        <f>'Données projet'!D247</f>
        <v>0</v>
      </c>
      <c r="C224" s="80"/>
      <c r="D224" s="172">
        <f t="shared" si="13"/>
        <v>0</v>
      </c>
      <c r="E224" s="80"/>
      <c r="F224" s="171"/>
      <c r="G224" s="159"/>
      <c r="H224" s="15"/>
      <c r="I224" s="15"/>
      <c r="J224" s="15"/>
      <c r="K224" s="15"/>
      <c r="L224" s="15"/>
      <c r="M224" s="15"/>
      <c r="N224" s="143"/>
      <c r="O224" s="15"/>
      <c r="P224" s="15"/>
      <c r="Q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 x14ac:dyDescent="0.25">
      <c r="A225" s="67">
        <f>'Données projet'!A248</f>
        <v>0</v>
      </c>
      <c r="B225" s="131">
        <f>'Données projet'!D248</f>
        <v>0</v>
      </c>
      <c r="C225" s="80"/>
      <c r="D225" s="172">
        <f t="shared" si="13"/>
        <v>0</v>
      </c>
      <c r="E225" s="80"/>
      <c r="F225" s="171"/>
      <c r="G225" s="159"/>
      <c r="H225" s="15"/>
      <c r="I225" s="15"/>
      <c r="J225" s="15"/>
      <c r="K225" s="15"/>
      <c r="L225" s="15"/>
      <c r="M225" s="15"/>
      <c r="N225" s="143"/>
      <c r="O225" s="15"/>
      <c r="P225" s="15"/>
      <c r="Q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 x14ac:dyDescent="0.25">
      <c r="A226" s="67">
        <f>'Données projet'!A249</f>
        <v>0</v>
      </c>
      <c r="B226" s="131">
        <f>'Données projet'!D249</f>
        <v>0</v>
      </c>
      <c r="C226" s="80"/>
      <c r="D226" s="172">
        <f t="shared" si="13"/>
        <v>0</v>
      </c>
      <c r="E226" s="80"/>
      <c r="F226" s="171"/>
      <c r="G226" s="159"/>
      <c r="H226" s="15"/>
      <c r="I226" s="15"/>
      <c r="J226" s="15"/>
      <c r="K226" s="15"/>
      <c r="L226" s="15"/>
      <c r="M226" s="15"/>
      <c r="N226" s="143"/>
      <c r="O226" s="15"/>
      <c r="P226" s="15"/>
      <c r="Q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 x14ac:dyDescent="0.25">
      <c r="A227" s="67">
        <f>'Données projet'!A250</f>
        <v>0</v>
      </c>
      <c r="B227" s="131">
        <f>'Données projet'!D250</f>
        <v>0</v>
      </c>
      <c r="C227" s="80"/>
      <c r="D227" s="172">
        <f t="shared" si="13"/>
        <v>0</v>
      </c>
      <c r="E227" s="80"/>
      <c r="F227" s="171"/>
      <c r="G227" s="159"/>
      <c r="H227" s="15"/>
      <c r="I227" s="15"/>
      <c r="J227" s="15"/>
      <c r="K227" s="15"/>
      <c r="L227" s="15"/>
      <c r="M227" s="15"/>
      <c r="N227" s="143"/>
      <c r="O227" s="15"/>
      <c r="P227" s="15"/>
      <c r="Q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 x14ac:dyDescent="0.25">
      <c r="A228" s="67">
        <f>'Données projet'!A251</f>
        <v>0</v>
      </c>
      <c r="B228" s="131">
        <f>'Données projet'!D251</f>
        <v>0</v>
      </c>
      <c r="C228" s="80"/>
      <c r="D228" s="172">
        <f t="shared" si="13"/>
        <v>0</v>
      </c>
      <c r="E228" s="80"/>
      <c r="F228" s="171"/>
      <c r="G228" s="159"/>
      <c r="H228" s="15"/>
      <c r="I228" s="15"/>
      <c r="J228" s="15"/>
      <c r="K228" s="15"/>
      <c r="L228" s="15"/>
      <c r="M228" s="15"/>
      <c r="N228" s="143"/>
      <c r="O228" s="15"/>
      <c r="P228" s="15"/>
      <c r="Q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 x14ac:dyDescent="0.25">
      <c r="A229" s="67">
        <f>'Données projet'!A252</f>
        <v>0</v>
      </c>
      <c r="B229" s="131">
        <f>'Données projet'!D252</f>
        <v>0</v>
      </c>
      <c r="C229" s="80"/>
      <c r="D229" s="172">
        <f t="shared" si="13"/>
        <v>0</v>
      </c>
      <c r="E229" s="80"/>
      <c r="F229" s="171"/>
      <c r="G229" s="159"/>
      <c r="H229" s="15"/>
      <c r="I229" s="15"/>
      <c r="J229" s="15"/>
      <c r="K229" s="15"/>
      <c r="L229" s="15"/>
      <c r="M229" s="15"/>
      <c r="N229" s="143"/>
      <c r="O229" s="15"/>
      <c r="P229" s="15"/>
      <c r="Q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 x14ac:dyDescent="0.25">
      <c r="A230" s="67">
        <f>'Données projet'!A253</f>
        <v>0</v>
      </c>
      <c r="B230" s="131">
        <f>'Données projet'!D253</f>
        <v>0</v>
      </c>
      <c r="C230" s="80"/>
      <c r="D230" s="172">
        <f t="shared" si="13"/>
        <v>0</v>
      </c>
      <c r="E230" s="80"/>
      <c r="F230" s="171"/>
      <c r="G230" s="159"/>
      <c r="H230" s="15"/>
      <c r="I230" s="15"/>
      <c r="J230" s="15"/>
      <c r="K230" s="15"/>
      <c r="L230" s="15"/>
      <c r="M230" s="15"/>
      <c r="N230" s="143"/>
      <c r="O230" s="15"/>
      <c r="P230" s="15"/>
      <c r="Q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 x14ac:dyDescent="0.25">
      <c r="A231" s="67">
        <f>'Données projet'!A254</f>
        <v>0</v>
      </c>
      <c r="B231" s="131">
        <f>'Données projet'!D254</f>
        <v>0</v>
      </c>
      <c r="C231" s="80"/>
      <c r="D231" s="172">
        <f t="shared" si="13"/>
        <v>0</v>
      </c>
      <c r="E231" s="80"/>
      <c r="F231" s="171"/>
      <c r="G231" s="159"/>
      <c r="H231" s="15"/>
      <c r="I231" s="15"/>
      <c r="J231" s="15"/>
      <c r="K231" s="15"/>
      <c r="L231" s="15"/>
      <c r="M231" s="15"/>
      <c r="N231" s="143"/>
      <c r="O231" s="15"/>
      <c r="P231" s="15"/>
      <c r="Q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 x14ac:dyDescent="0.25">
      <c r="A232" s="67">
        <f>'Données projet'!A255</f>
        <v>0</v>
      </c>
      <c r="B232" s="131">
        <f>'Données projet'!D255</f>
        <v>0</v>
      </c>
      <c r="C232" s="80"/>
      <c r="D232" s="172">
        <f t="shared" si="13"/>
        <v>0</v>
      </c>
      <c r="E232" s="80"/>
      <c r="F232" s="171"/>
      <c r="G232" s="159"/>
      <c r="H232" s="15"/>
      <c r="I232" s="15"/>
      <c r="J232" s="15"/>
      <c r="K232" s="15"/>
      <c r="L232" s="15"/>
      <c r="M232" s="15"/>
      <c r="N232" s="143"/>
      <c r="O232" s="15"/>
      <c r="P232" s="15"/>
      <c r="Q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 x14ac:dyDescent="0.25">
      <c r="A233" s="67">
        <f>'Données projet'!A256</f>
        <v>0</v>
      </c>
      <c r="B233" s="131">
        <f>'Données projet'!D256</f>
        <v>0</v>
      </c>
      <c r="C233" s="80"/>
      <c r="D233" s="172">
        <f t="shared" si="13"/>
        <v>0</v>
      </c>
      <c r="E233" s="80"/>
      <c r="F233" s="171"/>
      <c r="G233" s="159"/>
      <c r="H233" s="15"/>
      <c r="I233" s="15"/>
      <c r="J233" s="15"/>
      <c r="K233" s="15"/>
      <c r="L233" s="15"/>
      <c r="M233" s="15"/>
      <c r="N233" s="143"/>
      <c r="O233" s="15"/>
      <c r="P233" s="15"/>
      <c r="Q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 x14ac:dyDescent="0.25">
      <c r="A234" s="67">
        <f>'Données projet'!A257</f>
        <v>0</v>
      </c>
      <c r="B234" s="131">
        <f>'Données projet'!D257</f>
        <v>0</v>
      </c>
      <c r="C234" s="80"/>
      <c r="D234" s="172">
        <f t="shared" si="13"/>
        <v>0</v>
      </c>
      <c r="E234" s="80"/>
      <c r="F234" s="171"/>
      <c r="G234" s="159"/>
      <c r="H234" s="15"/>
      <c r="I234" s="15"/>
      <c r="J234" s="15"/>
      <c r="K234" s="15"/>
      <c r="L234" s="15"/>
      <c r="M234" s="15"/>
      <c r="N234" s="143"/>
      <c r="O234" s="15"/>
      <c r="P234" s="15"/>
      <c r="Q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x14ac:dyDescent="0.25">
      <c r="A235" s="67">
        <f>'Données projet'!A258</f>
        <v>0</v>
      </c>
      <c r="B235" s="131">
        <f>'Données projet'!D258</f>
        <v>0</v>
      </c>
      <c r="C235" s="80"/>
      <c r="D235" s="172">
        <f t="shared" si="13"/>
        <v>0</v>
      </c>
      <c r="E235" s="80"/>
      <c r="F235" s="171"/>
      <c r="G235" s="159"/>
      <c r="H235" s="15"/>
      <c r="I235" s="15"/>
      <c r="J235" s="15"/>
      <c r="K235" s="15"/>
      <c r="L235" s="15"/>
      <c r="M235" s="15"/>
      <c r="N235" s="143"/>
      <c r="O235" s="15"/>
      <c r="P235" s="15"/>
      <c r="Q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x14ac:dyDescent="0.25">
      <c r="A236" s="67">
        <f>'Données projet'!A259</f>
        <v>0</v>
      </c>
      <c r="B236" s="131">
        <f>'Données projet'!D259</f>
        <v>0</v>
      </c>
      <c r="C236" s="80"/>
      <c r="D236" s="172">
        <f t="shared" si="13"/>
        <v>0</v>
      </c>
      <c r="E236" s="80"/>
      <c r="F236" s="171"/>
      <c r="G236" s="159"/>
      <c r="H236" s="15"/>
      <c r="I236" s="15"/>
      <c r="J236" s="15"/>
      <c r="K236" s="15"/>
      <c r="L236" s="15"/>
      <c r="M236" s="15"/>
      <c r="N236" s="143"/>
      <c r="O236" s="15"/>
      <c r="P236" s="15"/>
      <c r="Q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x14ac:dyDescent="0.25">
      <c r="A237" s="67">
        <f>'Données projet'!A260</f>
        <v>0</v>
      </c>
      <c r="B237" s="131">
        <f>'Données projet'!D260</f>
        <v>0</v>
      </c>
      <c r="C237" s="80"/>
      <c r="D237" s="172">
        <f t="shared" si="13"/>
        <v>0</v>
      </c>
      <c r="E237" s="80"/>
      <c r="F237" s="171"/>
      <c r="G237" s="159"/>
      <c r="H237" s="15"/>
      <c r="I237" s="15"/>
      <c r="J237" s="15"/>
      <c r="K237" s="15"/>
      <c r="L237" s="15"/>
      <c r="M237" s="15"/>
      <c r="N237" s="143"/>
      <c r="O237" s="15"/>
      <c r="P237" s="15"/>
      <c r="Q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x14ac:dyDescent="0.25">
      <c r="A238" s="67">
        <f>'Données projet'!A261</f>
        <v>0</v>
      </c>
      <c r="B238" s="131">
        <f>'Données projet'!D261</f>
        <v>0</v>
      </c>
      <c r="C238" s="80"/>
      <c r="D238" s="172">
        <f t="shared" si="13"/>
        <v>0</v>
      </c>
      <c r="E238" s="80"/>
      <c r="F238" s="171"/>
      <c r="G238" s="159"/>
      <c r="H238" s="15"/>
      <c r="I238" s="15"/>
      <c r="J238" s="15"/>
      <c r="K238" s="15"/>
      <c r="L238" s="15"/>
      <c r="M238" s="15"/>
      <c r="N238" s="143"/>
      <c r="O238" s="15"/>
      <c r="P238" s="15"/>
      <c r="Q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x14ac:dyDescent="0.25">
      <c r="A239" s="67">
        <f>'Données projet'!A262</f>
        <v>0</v>
      </c>
      <c r="B239" s="131">
        <f>'Données projet'!D262</f>
        <v>0</v>
      </c>
      <c r="C239" s="80"/>
      <c r="D239" s="172">
        <f t="shared" si="13"/>
        <v>0</v>
      </c>
      <c r="E239" s="80"/>
      <c r="F239" s="171"/>
      <c r="G239" s="159"/>
      <c r="H239" s="15"/>
      <c r="I239" s="15"/>
      <c r="J239" s="15"/>
      <c r="K239" s="15"/>
      <c r="L239" s="15"/>
      <c r="M239" s="15"/>
      <c r="N239" s="143"/>
      <c r="O239" s="15"/>
      <c r="P239" s="15"/>
      <c r="Q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x14ac:dyDescent="0.25">
      <c r="A240" s="67">
        <f>'Données projet'!A263</f>
        <v>0</v>
      </c>
      <c r="B240" s="131">
        <f>'Données projet'!D263</f>
        <v>0</v>
      </c>
      <c r="C240" s="80"/>
      <c r="D240" s="172">
        <f t="shared" si="13"/>
        <v>0</v>
      </c>
      <c r="E240" s="80"/>
      <c r="F240" s="171"/>
      <c r="G240" s="159"/>
      <c r="H240" s="15"/>
      <c r="I240" s="15"/>
      <c r="J240" s="15"/>
      <c r="K240" s="15"/>
      <c r="L240" s="15"/>
      <c r="M240" s="15"/>
      <c r="N240" s="143"/>
      <c r="O240" s="15"/>
      <c r="P240" s="15"/>
      <c r="Q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 x14ac:dyDescent="0.25">
      <c r="A241" s="15"/>
      <c r="B241" s="15"/>
      <c r="C241" s="15"/>
      <c r="D241" s="15"/>
      <c r="E241" s="15"/>
      <c r="F241" s="141"/>
      <c r="G241" s="111"/>
      <c r="H241" s="15"/>
      <c r="I241" s="15"/>
      <c r="J241" s="15"/>
      <c r="K241" s="15"/>
      <c r="L241" s="15"/>
      <c r="M241" s="15"/>
      <c r="N241" s="143"/>
      <c r="O241" s="15"/>
      <c r="P241" s="15"/>
      <c r="Q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 x14ac:dyDescent="0.25">
      <c r="A242" s="15"/>
      <c r="B242" s="15"/>
      <c r="C242" s="15"/>
      <c r="D242" s="15"/>
      <c r="E242" s="15"/>
      <c r="F242" s="141"/>
      <c r="G242" s="111"/>
      <c r="H242" s="15"/>
      <c r="I242" s="15"/>
      <c r="J242" s="15"/>
      <c r="K242" s="15"/>
      <c r="L242" s="15"/>
      <c r="M242" s="15"/>
      <c r="N242" s="143"/>
      <c r="O242" s="15"/>
      <c r="P242" s="15"/>
      <c r="Q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 x14ac:dyDescent="0.25">
      <c r="A243" s="71" t="s">
        <v>174</v>
      </c>
      <c r="B243" s="145" t="str">
        <f>IF('Données projet'!$B$18="","",'Données projet'!$B$18)</f>
        <v/>
      </c>
      <c r="C243" s="15"/>
      <c r="D243" s="15"/>
      <c r="E243" s="15"/>
      <c r="F243" s="141"/>
      <c r="G243" s="111"/>
      <c r="H243" s="15"/>
      <c r="I243" s="15"/>
      <c r="J243" s="15"/>
      <c r="K243" s="15"/>
      <c r="L243" s="15"/>
      <c r="M243" s="15"/>
      <c r="N243" s="143"/>
      <c r="O243" s="15"/>
      <c r="P243" s="15"/>
      <c r="Q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 x14ac:dyDescent="0.25">
      <c r="A244" s="71"/>
      <c r="B244" s="15"/>
      <c r="C244" s="15"/>
      <c r="D244" s="15"/>
      <c r="E244" s="15"/>
      <c r="F244" s="141"/>
      <c r="G244" s="111"/>
      <c r="H244" s="15"/>
      <c r="I244" s="15"/>
      <c r="J244" s="15"/>
      <c r="K244" s="15"/>
      <c r="L244" s="15"/>
      <c r="M244" s="15"/>
      <c r="N244" s="143"/>
      <c r="O244" s="15"/>
      <c r="P244" s="15"/>
      <c r="Q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 x14ac:dyDescent="0.25">
      <c r="A245" s="91" t="s">
        <v>180</v>
      </c>
      <c r="B245" s="73" t="s">
        <v>262</v>
      </c>
      <c r="C245" s="73" t="s">
        <v>261</v>
      </c>
      <c r="D245" s="91" t="s">
        <v>258</v>
      </c>
      <c r="E245" s="91" t="s">
        <v>300</v>
      </c>
      <c r="F245" s="170"/>
      <c r="G245" s="152"/>
      <c r="H245" s="15"/>
      <c r="I245" s="15"/>
      <c r="J245" s="15"/>
      <c r="K245" s="15"/>
      <c r="L245" s="15"/>
      <c r="M245" s="15"/>
      <c r="N245" s="143"/>
      <c r="O245" s="15"/>
      <c r="P245" s="15"/>
      <c r="Q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 x14ac:dyDescent="0.25">
      <c r="A246" s="67">
        <f>'Données projet'!A270</f>
        <v>0</v>
      </c>
      <c r="B246" s="131">
        <f>'Données projet'!D270</f>
        <v>0</v>
      </c>
      <c r="C246" s="80"/>
      <c r="D246" s="172">
        <f>B246*C246</f>
        <v>0</v>
      </c>
      <c r="E246" s="80"/>
      <c r="F246" s="169"/>
      <c r="G246" s="155"/>
      <c r="H246" s="15"/>
      <c r="I246" s="15"/>
      <c r="J246" s="15"/>
      <c r="K246" s="15"/>
      <c r="L246" s="15"/>
      <c r="M246" s="15"/>
      <c r="N246" s="143"/>
      <c r="O246" s="15"/>
      <c r="P246" s="15"/>
      <c r="Q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 x14ac:dyDescent="0.25">
      <c r="A247" s="67">
        <f>'Données projet'!A271</f>
        <v>0</v>
      </c>
      <c r="B247" s="131">
        <f>'Données projet'!D271</f>
        <v>0</v>
      </c>
      <c r="C247" s="80"/>
      <c r="D247" s="172">
        <f t="shared" ref="D247:D265" si="14">B247*C247</f>
        <v>0</v>
      </c>
      <c r="E247" s="80"/>
      <c r="F247" s="169"/>
      <c r="G247" s="155"/>
      <c r="H247" s="15"/>
      <c r="I247" s="15"/>
      <c r="J247" s="15"/>
      <c r="K247" s="15"/>
      <c r="L247" s="15"/>
      <c r="M247" s="15"/>
      <c r="N247" s="143"/>
      <c r="O247" s="15"/>
      <c r="P247" s="15"/>
      <c r="Q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 x14ac:dyDescent="0.25">
      <c r="A248" s="67">
        <f>'Données projet'!A272</f>
        <v>0</v>
      </c>
      <c r="B248" s="131">
        <f>'Données projet'!D272</f>
        <v>0</v>
      </c>
      <c r="C248" s="80"/>
      <c r="D248" s="172">
        <f t="shared" si="14"/>
        <v>0</v>
      </c>
      <c r="E248" s="80"/>
      <c r="F248" s="169"/>
      <c r="G248" s="155"/>
      <c r="H248" s="15"/>
      <c r="I248" s="15"/>
      <c r="J248" s="15"/>
      <c r="K248" s="15"/>
      <c r="L248" s="15"/>
      <c r="M248" s="15"/>
      <c r="N248" s="143"/>
      <c r="O248" s="15"/>
      <c r="P248" s="15"/>
      <c r="Q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 x14ac:dyDescent="0.25">
      <c r="A249" s="67">
        <f>'Données projet'!A273</f>
        <v>0</v>
      </c>
      <c r="B249" s="131">
        <f>'Données projet'!D273</f>
        <v>0</v>
      </c>
      <c r="C249" s="80"/>
      <c r="D249" s="172">
        <f t="shared" si="14"/>
        <v>0</v>
      </c>
      <c r="E249" s="80"/>
      <c r="F249" s="169"/>
      <c r="G249" s="155"/>
      <c r="H249" s="15"/>
      <c r="I249" s="15"/>
      <c r="J249" s="15"/>
      <c r="K249" s="15"/>
      <c r="L249" s="15"/>
      <c r="M249" s="15"/>
      <c r="N249" s="143"/>
      <c r="O249" s="15"/>
      <c r="P249" s="15"/>
      <c r="Q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 x14ac:dyDescent="0.25">
      <c r="A250" s="67">
        <f>'Données projet'!A274</f>
        <v>0</v>
      </c>
      <c r="B250" s="131">
        <f>'Données projet'!D274</f>
        <v>0</v>
      </c>
      <c r="C250" s="80"/>
      <c r="D250" s="172">
        <f t="shared" si="14"/>
        <v>0</v>
      </c>
      <c r="E250" s="80"/>
      <c r="F250" s="169"/>
      <c r="G250" s="155"/>
      <c r="H250" s="15"/>
      <c r="I250" s="15"/>
      <c r="J250" s="15"/>
      <c r="K250" s="15"/>
      <c r="L250" s="15"/>
      <c r="M250" s="15"/>
      <c r="N250" s="143"/>
      <c r="O250" s="15"/>
      <c r="P250" s="15"/>
      <c r="Q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 x14ac:dyDescent="0.25">
      <c r="A251" s="67">
        <f>'Données projet'!A275</f>
        <v>0</v>
      </c>
      <c r="B251" s="131">
        <f>'Données projet'!D275</f>
        <v>0</v>
      </c>
      <c r="C251" s="80"/>
      <c r="D251" s="172">
        <f t="shared" si="14"/>
        <v>0</v>
      </c>
      <c r="E251" s="80"/>
      <c r="F251" s="169"/>
      <c r="G251" s="155"/>
      <c r="H251" s="15"/>
      <c r="I251" s="15"/>
      <c r="J251" s="15"/>
      <c r="K251" s="15"/>
      <c r="L251" s="15"/>
      <c r="M251" s="15"/>
      <c r="N251" s="143"/>
      <c r="O251" s="15"/>
      <c r="P251" s="15"/>
      <c r="Q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 x14ac:dyDescent="0.25">
      <c r="A252" s="67">
        <f>'Données projet'!A276</f>
        <v>0</v>
      </c>
      <c r="B252" s="131">
        <f>'Données projet'!D276</f>
        <v>0</v>
      </c>
      <c r="C252" s="80"/>
      <c r="D252" s="172">
        <f t="shared" si="14"/>
        <v>0</v>
      </c>
      <c r="E252" s="80"/>
      <c r="F252" s="169"/>
      <c r="G252" s="155"/>
      <c r="H252" s="15"/>
      <c r="I252" s="15"/>
      <c r="J252" s="15"/>
      <c r="K252" s="15"/>
      <c r="L252" s="15"/>
      <c r="M252" s="15"/>
      <c r="N252" s="143"/>
      <c r="O252" s="15"/>
      <c r="P252" s="15"/>
      <c r="Q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 x14ac:dyDescent="0.25">
      <c r="A253" s="67">
        <f>'Données projet'!A277</f>
        <v>0</v>
      </c>
      <c r="B253" s="131">
        <f>'Données projet'!D277</f>
        <v>0</v>
      </c>
      <c r="C253" s="80"/>
      <c r="D253" s="172">
        <f t="shared" si="14"/>
        <v>0</v>
      </c>
      <c r="E253" s="80"/>
      <c r="F253" s="169"/>
      <c r="G253" s="155"/>
      <c r="H253" s="15"/>
      <c r="I253" s="15"/>
      <c r="J253" s="15"/>
      <c r="K253" s="15"/>
      <c r="L253" s="15"/>
      <c r="M253" s="15"/>
      <c r="N253" s="143"/>
      <c r="O253" s="15"/>
      <c r="P253" s="15"/>
      <c r="Q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 x14ac:dyDescent="0.25">
      <c r="A254" s="67">
        <f>'Données projet'!A278</f>
        <v>0</v>
      </c>
      <c r="B254" s="131">
        <f>'Données projet'!D278</f>
        <v>0</v>
      </c>
      <c r="C254" s="80"/>
      <c r="D254" s="172">
        <f t="shared" si="14"/>
        <v>0</v>
      </c>
      <c r="E254" s="80"/>
      <c r="F254" s="169"/>
      <c r="G254" s="155"/>
      <c r="H254" s="15"/>
      <c r="I254" s="15"/>
      <c r="J254" s="15"/>
      <c r="K254" s="15"/>
      <c r="L254" s="15"/>
      <c r="M254" s="15"/>
      <c r="N254" s="143"/>
      <c r="O254" s="15"/>
      <c r="P254" s="15"/>
      <c r="Q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 x14ac:dyDescent="0.25">
      <c r="A255" s="67">
        <f>'Données projet'!A279</f>
        <v>0</v>
      </c>
      <c r="B255" s="131">
        <f>'Données projet'!D279</f>
        <v>0</v>
      </c>
      <c r="C255" s="80"/>
      <c r="D255" s="172">
        <f t="shared" si="14"/>
        <v>0</v>
      </c>
      <c r="E255" s="80"/>
      <c r="F255" s="169"/>
      <c r="G255" s="155"/>
      <c r="H255" s="15"/>
      <c r="I255" s="15"/>
      <c r="J255" s="15"/>
      <c r="K255" s="15"/>
      <c r="L255" s="15"/>
      <c r="M255" s="15"/>
      <c r="N255" s="143"/>
      <c r="O255" s="15"/>
      <c r="P255" s="15"/>
      <c r="Q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 x14ac:dyDescent="0.25">
      <c r="A256" s="67">
        <f>'Données projet'!A280</f>
        <v>0</v>
      </c>
      <c r="B256" s="131">
        <f>'Données projet'!D280</f>
        <v>0</v>
      </c>
      <c r="C256" s="80"/>
      <c r="D256" s="172">
        <f t="shared" si="14"/>
        <v>0</v>
      </c>
      <c r="E256" s="80"/>
      <c r="F256" s="169"/>
      <c r="G256" s="155"/>
      <c r="H256" s="15"/>
      <c r="I256" s="15"/>
      <c r="J256" s="15"/>
      <c r="K256" s="15"/>
      <c r="L256" s="15"/>
      <c r="M256" s="15"/>
      <c r="N256" s="143"/>
      <c r="O256" s="15"/>
      <c r="P256" s="15"/>
      <c r="Q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 x14ac:dyDescent="0.25">
      <c r="A257" s="67">
        <f>'Données projet'!A281</f>
        <v>0</v>
      </c>
      <c r="B257" s="131">
        <f>'Données projet'!D281</f>
        <v>0</v>
      </c>
      <c r="C257" s="80"/>
      <c r="D257" s="172">
        <f t="shared" si="14"/>
        <v>0</v>
      </c>
      <c r="E257" s="80"/>
      <c r="F257" s="169"/>
      <c r="G257" s="155"/>
      <c r="H257" s="15"/>
      <c r="I257" s="15"/>
      <c r="J257" s="15"/>
      <c r="K257" s="15"/>
      <c r="L257" s="15"/>
      <c r="M257" s="15"/>
      <c r="N257" s="143"/>
      <c r="O257" s="15"/>
      <c r="P257" s="15"/>
      <c r="Q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 x14ac:dyDescent="0.25">
      <c r="A258" s="67">
        <f>'Données projet'!A282</f>
        <v>0</v>
      </c>
      <c r="B258" s="131">
        <f>'Données projet'!D282</f>
        <v>0</v>
      </c>
      <c r="C258" s="80"/>
      <c r="D258" s="172">
        <f t="shared" si="14"/>
        <v>0</v>
      </c>
      <c r="E258" s="80"/>
      <c r="F258" s="169"/>
      <c r="G258" s="155"/>
      <c r="H258" s="15"/>
      <c r="I258" s="15"/>
      <c r="J258" s="15"/>
      <c r="K258" s="15"/>
      <c r="L258" s="15"/>
      <c r="M258" s="15"/>
      <c r="N258" s="143"/>
      <c r="O258" s="15"/>
      <c r="P258" s="15"/>
      <c r="Q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 x14ac:dyDescent="0.25">
      <c r="A259" s="67">
        <f>'Données projet'!A283</f>
        <v>0</v>
      </c>
      <c r="B259" s="131">
        <f>'Données projet'!D283</f>
        <v>0</v>
      </c>
      <c r="C259" s="80"/>
      <c r="D259" s="172">
        <f t="shared" si="14"/>
        <v>0</v>
      </c>
      <c r="E259" s="80"/>
      <c r="F259" s="169"/>
      <c r="G259" s="155"/>
      <c r="H259" s="15"/>
      <c r="I259" s="15"/>
      <c r="J259" s="15"/>
      <c r="K259" s="15"/>
      <c r="L259" s="15"/>
      <c r="M259" s="15"/>
      <c r="N259" s="143"/>
      <c r="O259" s="15"/>
      <c r="P259" s="15"/>
      <c r="Q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 x14ac:dyDescent="0.25">
      <c r="A260" s="67">
        <f>'Données projet'!A284</f>
        <v>0</v>
      </c>
      <c r="B260" s="131">
        <f>'Données projet'!D284</f>
        <v>0</v>
      </c>
      <c r="C260" s="80"/>
      <c r="D260" s="172">
        <f t="shared" si="14"/>
        <v>0</v>
      </c>
      <c r="E260" s="80"/>
      <c r="F260" s="169"/>
      <c r="G260" s="155"/>
      <c r="H260" s="15"/>
      <c r="I260" s="15"/>
      <c r="J260" s="15"/>
      <c r="K260" s="15"/>
      <c r="L260" s="15"/>
      <c r="M260" s="15"/>
      <c r="N260" s="143"/>
      <c r="O260" s="15"/>
      <c r="P260" s="15"/>
      <c r="Q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 x14ac:dyDescent="0.25">
      <c r="A261" s="67">
        <f>'Données projet'!A285</f>
        <v>0</v>
      </c>
      <c r="B261" s="131">
        <f>'Données projet'!D285</f>
        <v>0</v>
      </c>
      <c r="C261" s="80"/>
      <c r="D261" s="172">
        <f t="shared" si="14"/>
        <v>0</v>
      </c>
      <c r="E261" s="80"/>
      <c r="F261" s="169"/>
      <c r="G261" s="155"/>
      <c r="H261" s="15"/>
      <c r="I261" s="15"/>
      <c r="J261" s="15"/>
      <c r="K261" s="15"/>
      <c r="L261" s="15"/>
      <c r="M261" s="15"/>
      <c r="N261" s="143"/>
      <c r="O261" s="15"/>
      <c r="P261" s="15"/>
      <c r="Q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 x14ac:dyDescent="0.25">
      <c r="A262" s="67">
        <f>'Données projet'!A286</f>
        <v>0</v>
      </c>
      <c r="B262" s="131">
        <f>'Données projet'!D286</f>
        <v>0</v>
      </c>
      <c r="C262" s="80"/>
      <c r="D262" s="172">
        <f t="shared" si="14"/>
        <v>0</v>
      </c>
      <c r="E262" s="80"/>
      <c r="F262" s="169"/>
      <c r="G262" s="155"/>
      <c r="H262" s="15"/>
      <c r="I262" s="15"/>
      <c r="J262" s="15"/>
      <c r="K262" s="15"/>
      <c r="L262" s="15"/>
      <c r="M262" s="15"/>
      <c r="N262" s="143"/>
      <c r="O262" s="15"/>
      <c r="P262" s="15"/>
      <c r="Q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 x14ac:dyDescent="0.25">
      <c r="A263" s="67">
        <f>'Données projet'!A287</f>
        <v>0</v>
      </c>
      <c r="B263" s="131">
        <f>'Données projet'!D287</f>
        <v>0</v>
      </c>
      <c r="C263" s="80"/>
      <c r="D263" s="172">
        <f t="shared" si="14"/>
        <v>0</v>
      </c>
      <c r="E263" s="80"/>
      <c r="F263" s="169"/>
      <c r="G263" s="155"/>
      <c r="H263" s="15"/>
      <c r="I263" s="15"/>
      <c r="J263" s="15"/>
      <c r="K263" s="15"/>
      <c r="L263" s="15"/>
      <c r="M263" s="15"/>
      <c r="N263" s="143"/>
      <c r="O263" s="15"/>
      <c r="P263" s="15"/>
      <c r="Q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x14ac:dyDescent="0.25">
      <c r="A264" s="67">
        <f>'Données projet'!A288</f>
        <v>0</v>
      </c>
      <c r="B264" s="131">
        <f>'Données projet'!D288</f>
        <v>0</v>
      </c>
      <c r="C264" s="80"/>
      <c r="D264" s="172">
        <f t="shared" si="14"/>
        <v>0</v>
      </c>
      <c r="E264" s="80"/>
      <c r="F264" s="169"/>
      <c r="G264" s="155"/>
      <c r="H264" s="15"/>
      <c r="I264" s="15"/>
      <c r="J264" s="15"/>
      <c r="K264" s="15"/>
      <c r="L264" s="15"/>
      <c r="M264" s="15"/>
      <c r="N264" s="143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x14ac:dyDescent="0.25">
      <c r="A265" s="67">
        <f>'Données projet'!A289</f>
        <v>0</v>
      </c>
      <c r="B265" s="131">
        <f>'Données projet'!D289</f>
        <v>0</v>
      </c>
      <c r="C265" s="3"/>
      <c r="D265" s="172">
        <f t="shared" si="14"/>
        <v>0</v>
      </c>
      <c r="E265" s="80"/>
      <c r="F265" s="169"/>
      <c r="G265" s="155"/>
      <c r="H265" s="15"/>
      <c r="I265" s="15"/>
      <c r="J265" s="15"/>
      <c r="K265" s="15"/>
      <c r="L265" s="15"/>
      <c r="M265" s="15"/>
      <c r="N265" s="143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x14ac:dyDescent="0.25">
      <c r="A266" s="15"/>
      <c r="B266" s="15"/>
      <c r="C266" s="15"/>
      <c r="D266" s="15"/>
      <c r="E266" s="15"/>
      <c r="F266" s="113"/>
      <c r="G266" s="11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x14ac:dyDescent="0.25">
      <c r="A267" s="15"/>
      <c r="B267" s="15"/>
      <c r="C267" s="15"/>
      <c r="D267" s="15"/>
      <c r="E267" s="15"/>
      <c r="F267" s="113"/>
      <c r="G267" s="11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x14ac:dyDescent="0.25">
      <c r="A268" s="15"/>
      <c r="B268" s="15"/>
      <c r="C268" s="15"/>
      <c r="D268" s="15"/>
      <c r="E268" s="15"/>
      <c r="F268" s="113"/>
      <c r="G268" s="113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33" x14ac:dyDescent="0.25">
      <c r="A269" s="15"/>
      <c r="B269" s="15"/>
      <c r="C269" s="15"/>
      <c r="D269" s="15"/>
      <c r="E269" s="15"/>
      <c r="F269" s="113"/>
      <c r="G269" s="113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33" x14ac:dyDescent="0.25">
      <c r="A270" s="15"/>
      <c r="B270" s="15"/>
      <c r="C270" s="15"/>
      <c r="D270" s="15"/>
      <c r="E270" s="15"/>
      <c r="F270" s="113"/>
      <c r="G270" s="113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33" x14ac:dyDescent="0.25">
      <c r="A271" s="15"/>
      <c r="B271" s="15"/>
      <c r="C271" s="15"/>
      <c r="D271" s="15"/>
      <c r="E271" s="15"/>
      <c r="F271" s="113"/>
      <c r="G271" s="113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33" x14ac:dyDescent="0.25">
      <c r="A272" s="15"/>
      <c r="B272" s="15"/>
      <c r="C272" s="15"/>
      <c r="D272" s="15"/>
      <c r="E272" s="15"/>
      <c r="F272" s="113"/>
      <c r="G272" s="113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25">
      <c r="A273" s="15"/>
      <c r="B273" s="15"/>
      <c r="C273" s="15"/>
      <c r="D273" s="15"/>
      <c r="E273" s="15"/>
      <c r="F273" s="113"/>
      <c r="G273" s="113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25">
      <c r="A274" s="15"/>
      <c r="B274" s="15"/>
      <c r="C274" s="15"/>
      <c r="D274" s="15"/>
      <c r="E274" s="15"/>
      <c r="F274" s="113"/>
      <c r="G274" s="113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25">
      <c r="A275" s="15"/>
      <c r="B275" s="15"/>
      <c r="C275" s="15"/>
      <c r="D275" s="15"/>
      <c r="E275" s="15"/>
      <c r="F275" s="113"/>
      <c r="G275" s="113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25">
      <c r="A276" s="15"/>
      <c r="B276" s="15"/>
      <c r="C276" s="15"/>
      <c r="D276" s="15"/>
      <c r="E276" s="15"/>
      <c r="F276" s="113"/>
      <c r="G276" s="113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25">
      <c r="A277" s="15"/>
      <c r="B277" s="15"/>
      <c r="C277" s="15"/>
      <c r="D277" s="15"/>
      <c r="E277" s="15"/>
      <c r="F277" s="113"/>
      <c r="G277" s="113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25">
      <c r="A278" s="15"/>
      <c r="B278" s="15"/>
      <c r="C278" s="15"/>
      <c r="D278" s="15"/>
      <c r="E278" s="15"/>
      <c r="F278" s="113"/>
      <c r="G278" s="113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25">
      <c r="A279" s="15"/>
      <c r="B279" s="15"/>
      <c r="C279" s="15"/>
      <c r="D279" s="15"/>
      <c r="E279" s="15"/>
      <c r="F279" s="113"/>
      <c r="G279" s="113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25">
      <c r="A280" s="15"/>
      <c r="B280" s="15"/>
      <c r="C280" s="15"/>
      <c r="D280" s="15"/>
      <c r="E280" s="15"/>
      <c r="F280" s="113"/>
      <c r="G280" s="113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25">
      <c r="A281" s="15"/>
      <c r="B281" s="15"/>
      <c r="C281" s="15"/>
      <c r="D281" s="15"/>
      <c r="E281" s="15"/>
      <c r="F281" s="113"/>
      <c r="G281" s="113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25">
      <c r="A282" s="15"/>
      <c r="B282" s="15"/>
      <c r="C282" s="15"/>
      <c r="D282" s="15"/>
      <c r="E282" s="15"/>
      <c r="F282" s="113"/>
      <c r="G282" s="113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25">
      <c r="A283" s="15"/>
      <c r="B283" s="15"/>
      <c r="C283" s="15"/>
      <c r="D283" s="15"/>
      <c r="E283" s="15"/>
      <c r="F283" s="113"/>
      <c r="G283" s="113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25">
      <c r="A284" s="15"/>
      <c r="B284" s="15"/>
      <c r="C284" s="15"/>
      <c r="D284" s="15"/>
      <c r="E284" s="15"/>
      <c r="F284" s="113"/>
      <c r="G284" s="113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25">
      <c r="A285" s="15"/>
      <c r="B285" s="15"/>
      <c r="C285" s="15"/>
      <c r="D285" s="15"/>
      <c r="E285" s="15"/>
      <c r="F285" s="113"/>
      <c r="G285" s="113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25">
      <c r="A286" s="15"/>
      <c r="B286" s="15"/>
      <c r="C286" s="15"/>
      <c r="D286" s="15"/>
      <c r="E286" s="15"/>
      <c r="F286" s="113"/>
      <c r="G286" s="113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25">
      <c r="A287" s="15"/>
      <c r="B287" s="15"/>
      <c r="C287" s="15"/>
      <c r="D287" s="15"/>
      <c r="E287" s="15"/>
      <c r="F287" s="113"/>
      <c r="G287" s="113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25">
      <c r="A288" s="15"/>
      <c r="B288" s="15"/>
      <c r="C288" s="15"/>
      <c r="D288" s="15"/>
      <c r="E288" s="15"/>
      <c r="F288" s="113"/>
      <c r="G288" s="113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25">
      <c r="A289" s="15"/>
      <c r="B289" s="15"/>
      <c r="C289" s="15"/>
      <c r="D289" s="15"/>
      <c r="E289" s="15"/>
      <c r="F289" s="113"/>
      <c r="G289" s="113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25">
      <c r="A290" s="15"/>
      <c r="B290" s="15"/>
      <c r="C290" s="15"/>
      <c r="D290" s="15"/>
      <c r="E290" s="15"/>
      <c r="F290" s="113"/>
      <c r="G290" s="113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25">
      <c r="A291" s="15"/>
      <c r="B291" s="15"/>
      <c r="C291" s="15"/>
      <c r="D291" s="15"/>
      <c r="E291" s="15"/>
      <c r="F291" s="113"/>
      <c r="G291" s="113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25">
      <c r="A292" s="15"/>
      <c r="B292" s="15"/>
      <c r="C292" s="15"/>
      <c r="D292" s="15"/>
      <c r="E292" s="15"/>
      <c r="F292" s="113"/>
      <c r="G292" s="113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25">
      <c r="A293" s="15"/>
      <c r="B293" s="15"/>
      <c r="C293" s="15"/>
      <c r="D293" s="15"/>
      <c r="E293" s="15"/>
      <c r="F293" s="113"/>
      <c r="G293" s="113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25">
      <c r="A294" s="15"/>
      <c r="B294" s="15"/>
      <c r="C294" s="15"/>
      <c r="D294" s="15"/>
      <c r="E294" s="15"/>
      <c r="F294" s="113"/>
      <c r="G294" s="113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25">
      <c r="A295" s="15"/>
      <c r="B295" s="15"/>
      <c r="C295" s="15"/>
      <c r="D295" s="15"/>
      <c r="E295" s="15"/>
      <c r="F295" s="113"/>
      <c r="G295" s="113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25">
      <c r="A296" s="15"/>
      <c r="B296" s="15"/>
      <c r="C296" s="15"/>
      <c r="D296" s="15"/>
      <c r="E296" s="15"/>
      <c r="F296" s="113"/>
      <c r="G296" s="113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25">
      <c r="A297" s="15"/>
      <c r="B297" s="15"/>
      <c r="C297" s="15"/>
      <c r="D297" s="15"/>
      <c r="E297" s="15"/>
      <c r="F297" s="113"/>
      <c r="G297" s="113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25">
      <c r="A298" s="15"/>
      <c r="B298" s="15"/>
      <c r="C298" s="15"/>
      <c r="D298" s="15"/>
      <c r="E298" s="15"/>
      <c r="F298" s="113"/>
      <c r="G298" s="113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25">
      <c r="A299" s="15"/>
      <c r="B299" s="15"/>
      <c r="C299" s="15"/>
      <c r="D299" s="15"/>
      <c r="E299" s="15"/>
      <c r="F299" s="113"/>
      <c r="G299" s="113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25">
      <c r="A300" s="15"/>
      <c r="B300" s="15"/>
      <c r="C300" s="15"/>
      <c r="D300" s="15"/>
      <c r="E300" s="15"/>
      <c r="F300" s="113"/>
      <c r="G300" s="113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25">
      <c r="A301" s="15"/>
      <c r="B301" s="15"/>
      <c r="C301" s="15"/>
      <c r="D301" s="15"/>
      <c r="E301" s="15"/>
      <c r="F301" s="113"/>
      <c r="G301" s="113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25">
      <c r="A302" s="15"/>
      <c r="B302" s="15"/>
      <c r="C302" s="15"/>
      <c r="D302" s="15"/>
      <c r="E302" s="15"/>
      <c r="F302" s="113"/>
      <c r="G302" s="113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25">
      <c r="A303" s="15"/>
      <c r="B303" s="15"/>
      <c r="C303" s="15"/>
      <c r="D303" s="15"/>
      <c r="E303" s="15"/>
      <c r="F303" s="113"/>
      <c r="G303" s="113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25">
      <c r="A304" s="15"/>
      <c r="B304" s="15"/>
      <c r="C304" s="15"/>
      <c r="D304" s="15"/>
      <c r="E304" s="15"/>
      <c r="F304" s="113"/>
      <c r="G304" s="113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25">
      <c r="A305" s="15"/>
      <c r="B305" s="15"/>
      <c r="C305" s="15"/>
      <c r="D305" s="15"/>
      <c r="E305" s="15"/>
      <c r="F305" s="113"/>
      <c r="G305" s="113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25">
      <c r="A306" s="15"/>
      <c r="B306" s="15"/>
      <c r="C306" s="15"/>
      <c r="D306" s="15"/>
      <c r="E306" s="15"/>
      <c r="F306" s="113"/>
      <c r="G306" s="113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25">
      <c r="A307" s="15"/>
      <c r="B307" s="15"/>
      <c r="C307" s="15"/>
      <c r="D307" s="15"/>
      <c r="E307" s="15"/>
      <c r="F307" s="113"/>
      <c r="G307" s="113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25">
      <c r="A308" s="15"/>
      <c r="B308" s="15"/>
      <c r="C308" s="15"/>
      <c r="D308" s="15"/>
      <c r="E308" s="15"/>
      <c r="F308" s="113"/>
      <c r="G308" s="113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25">
      <c r="A309" s="15"/>
      <c r="B309" s="15"/>
      <c r="C309" s="15"/>
      <c r="D309" s="15"/>
      <c r="E309" s="15"/>
      <c r="F309" s="113"/>
      <c r="G309" s="113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25">
      <c r="A310" s="15"/>
      <c r="B310" s="15"/>
      <c r="C310" s="15"/>
      <c r="D310" s="15"/>
      <c r="E310" s="15"/>
      <c r="F310" s="113"/>
      <c r="G310" s="113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25">
      <c r="A311" s="15"/>
      <c r="B311" s="15"/>
      <c r="C311" s="15"/>
      <c r="D311" s="15"/>
      <c r="E311" s="15"/>
      <c r="F311" s="113"/>
      <c r="G311" s="113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25">
      <c r="A312" s="15"/>
      <c r="B312" s="15"/>
      <c r="C312" s="15"/>
      <c r="D312" s="15"/>
      <c r="E312" s="15"/>
      <c r="F312" s="113"/>
      <c r="G312" s="113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25">
      <c r="A313" s="15"/>
      <c r="B313" s="15"/>
      <c r="C313" s="15"/>
      <c r="D313" s="15"/>
      <c r="E313" s="15"/>
      <c r="F313" s="113"/>
      <c r="G313" s="113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25">
      <c r="A314" s="15"/>
      <c r="B314" s="15"/>
      <c r="C314" s="15"/>
      <c r="D314" s="15"/>
      <c r="E314" s="15"/>
      <c r="F314" s="113"/>
      <c r="G314" s="113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25">
      <c r="A315" s="15"/>
      <c r="B315" s="15"/>
      <c r="C315" s="15"/>
      <c r="D315" s="15"/>
      <c r="E315" s="15"/>
      <c r="F315" s="113"/>
      <c r="G315" s="113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25">
      <c r="A316" s="15"/>
      <c r="B316" s="15"/>
      <c r="C316" s="15"/>
      <c r="D316" s="15"/>
      <c r="E316" s="15"/>
      <c r="F316" s="113"/>
      <c r="G316" s="113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25">
      <c r="A317" s="15"/>
      <c r="B317" s="15"/>
      <c r="C317" s="15"/>
      <c r="D317" s="15"/>
      <c r="E317" s="15"/>
      <c r="F317" s="113"/>
      <c r="G317" s="113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25">
      <c r="A318" s="15"/>
      <c r="B318" s="15"/>
      <c r="C318" s="15"/>
      <c r="D318" s="15"/>
      <c r="E318" s="15"/>
      <c r="F318" s="113"/>
      <c r="G318" s="113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25">
      <c r="A319" s="15"/>
      <c r="B319" s="15"/>
      <c r="C319" s="15"/>
      <c r="D319" s="15"/>
      <c r="E319" s="15"/>
      <c r="F319" s="113"/>
      <c r="G319" s="113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25">
      <c r="A320" s="15"/>
      <c r="B320" s="15"/>
      <c r="C320" s="15"/>
      <c r="D320" s="15"/>
      <c r="E320" s="15"/>
      <c r="F320" s="113"/>
      <c r="G320" s="113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25">
      <c r="A321" s="15"/>
      <c r="B321" s="15"/>
      <c r="C321" s="15"/>
      <c r="D321" s="15"/>
      <c r="E321" s="15"/>
      <c r="F321" s="113"/>
      <c r="G321" s="113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25">
      <c r="A322" s="15"/>
      <c r="B322" s="15"/>
      <c r="C322" s="15"/>
      <c r="D322" s="15"/>
      <c r="E322" s="15"/>
      <c r="F322" s="113"/>
      <c r="G322" s="113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25">
      <c r="A323" s="15"/>
      <c r="B323" s="15"/>
      <c r="C323" s="15"/>
      <c r="D323" s="15"/>
      <c r="E323" s="15"/>
      <c r="F323" s="113"/>
      <c r="G323" s="113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25">
      <c r="A324" s="15"/>
      <c r="B324" s="15"/>
      <c r="C324" s="15"/>
      <c r="D324" s="15"/>
      <c r="E324" s="15"/>
      <c r="F324" s="113"/>
      <c r="G324" s="113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25">
      <c r="A325" s="15"/>
      <c r="B325" s="15"/>
      <c r="C325" s="15"/>
      <c r="D325" s="15"/>
      <c r="E325" s="15"/>
      <c r="F325" s="113"/>
      <c r="G325" s="113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25">
      <c r="A326" s="15"/>
      <c r="B326" s="15"/>
      <c r="C326" s="15"/>
      <c r="D326" s="15"/>
      <c r="E326" s="15"/>
      <c r="F326" s="113"/>
      <c r="G326" s="113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25">
      <c r="A327" s="15"/>
      <c r="B327" s="15"/>
      <c r="C327" s="15"/>
      <c r="D327" s="15"/>
      <c r="E327" s="15"/>
      <c r="F327" s="113"/>
      <c r="G327" s="113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25">
      <c r="A328" s="15"/>
      <c r="B328" s="15"/>
      <c r="C328" s="15"/>
      <c r="D328" s="15"/>
      <c r="E328" s="15"/>
      <c r="F328" s="113"/>
      <c r="G328" s="113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25">
      <c r="A329" s="15"/>
      <c r="B329" s="15"/>
      <c r="C329" s="15"/>
      <c r="D329" s="15"/>
      <c r="E329" s="15"/>
      <c r="F329" s="113"/>
      <c r="G329" s="113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25">
      <c r="A330" s="15"/>
      <c r="B330" s="15"/>
      <c r="C330" s="15"/>
      <c r="D330" s="15"/>
      <c r="E330" s="15"/>
      <c r="F330" s="113"/>
      <c r="G330" s="113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25">
      <c r="A331" s="15"/>
      <c r="B331" s="15"/>
      <c r="C331" s="15"/>
      <c r="D331" s="15"/>
      <c r="E331" s="15"/>
      <c r="F331" s="113"/>
      <c r="G331" s="113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25">
      <c r="A332" s="15"/>
      <c r="B332" s="15"/>
      <c r="C332" s="15"/>
      <c r="D332" s="15"/>
      <c r="E332" s="15"/>
      <c r="F332" s="113"/>
      <c r="G332" s="113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25">
      <c r="A333" s="15"/>
      <c r="B333" s="15"/>
      <c r="C333" s="15"/>
      <c r="D333" s="15"/>
      <c r="E333" s="15"/>
      <c r="F333" s="113"/>
      <c r="G333" s="113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25">
      <c r="A334" s="15"/>
      <c r="B334" s="15"/>
      <c r="C334" s="15"/>
      <c r="D334" s="15"/>
      <c r="E334" s="15"/>
      <c r="F334" s="113"/>
      <c r="G334" s="113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25">
      <c r="A335" s="15"/>
      <c r="B335" s="15"/>
      <c r="C335" s="15"/>
      <c r="D335" s="15"/>
      <c r="E335" s="15"/>
      <c r="F335" s="113"/>
      <c r="G335" s="113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25">
      <c r="A336" s="15"/>
      <c r="B336" s="15"/>
      <c r="C336" s="15"/>
      <c r="D336" s="15"/>
      <c r="E336" s="15"/>
      <c r="F336" s="113"/>
      <c r="G336" s="113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7" x14ac:dyDescent="0.25">
      <c r="A337" s="15"/>
      <c r="B337" s="15"/>
      <c r="C337" s="15"/>
      <c r="D337" s="15"/>
      <c r="E337" s="15"/>
      <c r="F337" s="113"/>
      <c r="G337" s="113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7" x14ac:dyDescent="0.25">
      <c r="A338" s="15"/>
      <c r="B338" s="15"/>
      <c r="C338" s="15"/>
      <c r="D338" s="15"/>
      <c r="E338" s="15"/>
      <c r="F338" s="113"/>
      <c r="G338" s="113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7" x14ac:dyDescent="0.25">
      <c r="A339" s="15"/>
      <c r="B339" s="15"/>
      <c r="C339" s="15"/>
      <c r="D339" s="15"/>
      <c r="E339" s="15"/>
      <c r="F339" s="113"/>
      <c r="G339" s="113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1:17" x14ac:dyDescent="0.25">
      <c r="A340" s="15"/>
      <c r="B340" s="15"/>
      <c r="C340" s="15"/>
      <c r="D340" s="15"/>
      <c r="E340" s="15"/>
      <c r="F340" s="113"/>
      <c r="G340" s="113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1:17" x14ac:dyDescent="0.25">
      <c r="A341" s="15"/>
      <c r="B341" s="15"/>
      <c r="C341" s="15"/>
      <c r="D341" s="15"/>
      <c r="E341" s="15"/>
      <c r="F341" s="113"/>
      <c r="G341" s="113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1:17" x14ac:dyDescent="0.25">
      <c r="A342" s="15"/>
      <c r="B342" s="15"/>
      <c r="C342" s="15"/>
      <c r="D342" s="15"/>
      <c r="E342" s="15"/>
      <c r="F342" s="113"/>
      <c r="G342" s="113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1:17" x14ac:dyDescent="0.25">
      <c r="A343" s="15"/>
      <c r="B343" s="15"/>
      <c r="C343" s="15"/>
      <c r="D343" s="15"/>
      <c r="E343" s="15"/>
      <c r="F343" s="113"/>
      <c r="G343" s="113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x14ac:dyDescent="0.25">
      <c r="A344" s="15"/>
      <c r="B344" s="15"/>
      <c r="C344" s="15"/>
      <c r="D344" s="15"/>
      <c r="E344" s="15"/>
      <c r="F344" s="113"/>
      <c r="G344" s="113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x14ac:dyDescent="0.25">
      <c r="A345" s="15"/>
      <c r="B345" s="15"/>
      <c r="C345" s="15"/>
      <c r="D345" s="15"/>
      <c r="E345" s="15"/>
      <c r="F345" s="113"/>
      <c r="G345" s="113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1:17" x14ac:dyDescent="0.25">
      <c r="A346" s="15"/>
      <c r="B346" s="15"/>
      <c r="C346" s="15"/>
      <c r="D346" s="15"/>
      <c r="E346" s="15"/>
      <c r="F346" s="113"/>
      <c r="G346" s="113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1:17" x14ac:dyDescent="0.25">
      <c r="A347" s="15"/>
      <c r="B347" s="15"/>
      <c r="C347" s="15"/>
      <c r="D347" s="15"/>
      <c r="E347" s="15"/>
      <c r="F347" s="113"/>
      <c r="G347" s="113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1:17" x14ac:dyDescent="0.25">
      <c r="A348" s="15"/>
      <c r="B348" s="15"/>
      <c r="C348" s="15"/>
      <c r="D348" s="15"/>
      <c r="E348" s="15"/>
      <c r="F348" s="113"/>
      <c r="G348" s="113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1:17" x14ac:dyDescent="0.25">
      <c r="A349" s="15"/>
      <c r="B349" s="15"/>
      <c r="C349" s="15"/>
      <c r="D349" s="15"/>
      <c r="E349" s="15"/>
      <c r="F349" s="113"/>
      <c r="G349" s="113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1:17" x14ac:dyDescent="0.25">
      <c r="A350" s="15"/>
      <c r="B350" s="15"/>
      <c r="C350" s="15"/>
      <c r="D350" s="15"/>
      <c r="E350" s="15"/>
      <c r="F350" s="113"/>
      <c r="G350" s="113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1:17" x14ac:dyDescent="0.25">
      <c r="A351" s="15"/>
      <c r="B351" s="15"/>
      <c r="C351" s="15"/>
      <c r="D351" s="15"/>
      <c r="E351" s="15"/>
      <c r="F351" s="113"/>
      <c r="G351" s="113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1:17" x14ac:dyDescent="0.25">
      <c r="A352" s="15"/>
      <c r="B352" s="15"/>
      <c r="C352" s="15"/>
      <c r="D352" s="15"/>
      <c r="E352" s="15"/>
      <c r="F352" s="113"/>
      <c r="G352" s="113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1:17" x14ac:dyDescent="0.25">
      <c r="A353" s="15"/>
      <c r="B353" s="15"/>
      <c r="C353" s="15"/>
      <c r="D353" s="15"/>
      <c r="E353" s="15"/>
      <c r="F353" s="113"/>
      <c r="G353" s="113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1:17" x14ac:dyDescent="0.25">
      <c r="A354" s="15"/>
      <c r="B354" s="15"/>
      <c r="C354" s="15"/>
      <c r="D354" s="15"/>
      <c r="E354" s="15"/>
      <c r="F354" s="113"/>
      <c r="G354" s="113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1:17" x14ac:dyDescent="0.25">
      <c r="A355" s="15"/>
      <c r="B355" s="15"/>
      <c r="C355" s="15"/>
      <c r="D355" s="15"/>
      <c r="E355" s="15"/>
      <c r="F355" s="113"/>
      <c r="G355" s="113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x14ac:dyDescent="0.25">
      <c r="A356" s="15"/>
      <c r="B356" s="15"/>
      <c r="C356" s="15"/>
      <c r="D356" s="15"/>
      <c r="E356" s="15"/>
      <c r="F356" s="113"/>
      <c r="G356" s="113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x14ac:dyDescent="0.25">
      <c r="A357" s="15"/>
      <c r="B357" s="15"/>
      <c r="C357" s="15"/>
      <c r="D357" s="15"/>
      <c r="E357" s="15"/>
      <c r="F357" s="113"/>
      <c r="G357" s="113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1:17" x14ac:dyDescent="0.25">
      <c r="A358" s="15"/>
      <c r="B358" s="15"/>
      <c r="C358" s="15"/>
      <c r="D358" s="15"/>
      <c r="E358" s="15"/>
      <c r="F358" s="113"/>
      <c r="G358" s="113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1:17" x14ac:dyDescent="0.25">
      <c r="A359" s="15"/>
      <c r="B359" s="15"/>
      <c r="C359" s="15"/>
      <c r="D359" s="15"/>
      <c r="E359" s="15"/>
      <c r="F359" s="113"/>
      <c r="G359" s="113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1:17" x14ac:dyDescent="0.25">
      <c r="A360" s="15"/>
      <c r="B360" s="15"/>
      <c r="C360" s="15"/>
      <c r="D360" s="15"/>
      <c r="E360" s="15"/>
      <c r="F360" s="113"/>
      <c r="G360" s="113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1:17" x14ac:dyDescent="0.25">
      <c r="G361" s="113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x14ac:dyDescent="0.25">
      <c r="G362" s="113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1:17" x14ac:dyDescent="0.25">
      <c r="G363" s="113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x14ac:dyDescent="0.25">
      <c r="G364" s="113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1:17" x14ac:dyDescent="0.25">
      <c r="G365" s="113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x14ac:dyDescent="0.25">
      <c r="G366" s="113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1:17" x14ac:dyDescent="0.25">
      <c r="G367" s="113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x14ac:dyDescent="0.25">
      <c r="G368" s="113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7:17" x14ac:dyDescent="0.25">
      <c r="G369" s="113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7:17" x14ac:dyDescent="0.25">
      <c r="G370" s="113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7:17" x14ac:dyDescent="0.25">
      <c r="G371" s="113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7:17" x14ac:dyDescent="0.25">
      <c r="G372" s="113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7:17" x14ac:dyDescent="0.25">
      <c r="G373" s="113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7:17" x14ac:dyDescent="0.25">
      <c r="G374" s="113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7:17" x14ac:dyDescent="0.25">
      <c r="G375" s="113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7:17" x14ac:dyDescent="0.25">
      <c r="G376" s="113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7:17" x14ac:dyDescent="0.25">
      <c r="G377" s="113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7:17" x14ac:dyDescent="0.25">
      <c r="G378" s="113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7:17" x14ac:dyDescent="0.25">
      <c r="G379" s="113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7:17" x14ac:dyDescent="0.25">
      <c r="G380" s="113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7:17" x14ac:dyDescent="0.25">
      <c r="G381" s="113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7:17" x14ac:dyDescent="0.25">
      <c r="G382" s="113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7:17" x14ac:dyDescent="0.25">
      <c r="G383" s="113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7:17" x14ac:dyDescent="0.25">
      <c r="G384" s="113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7:17" x14ac:dyDescent="0.25">
      <c r="G385" s="113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7:17" x14ac:dyDescent="0.25">
      <c r="G386" s="113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7:17" x14ac:dyDescent="0.25">
      <c r="G387" s="113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7:17" x14ac:dyDescent="0.25">
      <c r="G388" s="113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7:17" x14ac:dyDescent="0.25">
      <c r="G389" s="113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7:17" x14ac:dyDescent="0.25">
      <c r="G390" s="113"/>
      <c r="H390" s="15"/>
      <c r="I390" s="15"/>
      <c r="J390" s="15"/>
      <c r="K390" s="15"/>
      <c r="L390" s="15"/>
      <c r="M390" s="15"/>
      <c r="O390" s="15"/>
      <c r="P390" s="15"/>
      <c r="Q390" s="15"/>
    </row>
    <row r="391" spans="7:17" x14ac:dyDescent="0.25">
      <c r="G391" s="113"/>
      <c r="H391" s="15"/>
      <c r="I391" s="15"/>
      <c r="J391" s="15"/>
      <c r="K391" s="15"/>
      <c r="L391" s="15"/>
      <c r="M391" s="15"/>
      <c r="O391" s="15"/>
      <c r="P391" s="15"/>
      <c r="Q391" s="15"/>
    </row>
    <row r="392" spans="7:17" x14ac:dyDescent="0.25">
      <c r="G392" s="113"/>
      <c r="H392" s="15"/>
      <c r="I392" s="15"/>
      <c r="J392" s="15"/>
      <c r="K392" s="15"/>
      <c r="L392" s="15"/>
      <c r="M392" s="15"/>
      <c r="O392" s="15"/>
      <c r="P392" s="15"/>
      <c r="Q392" s="15"/>
    </row>
    <row r="393" spans="7:17" x14ac:dyDescent="0.25">
      <c r="G393" s="113"/>
      <c r="H393" s="15"/>
      <c r="I393" s="15"/>
      <c r="J393" s="15"/>
      <c r="K393" s="15"/>
      <c r="L393" s="15"/>
      <c r="M393" s="15"/>
      <c r="O393" s="15"/>
      <c r="P393" s="15"/>
      <c r="Q393" s="15"/>
    </row>
    <row r="394" spans="7:17" x14ac:dyDescent="0.25">
      <c r="G394" s="113"/>
      <c r="H394" s="15"/>
      <c r="I394" s="15"/>
      <c r="J394" s="15"/>
      <c r="K394" s="15"/>
      <c r="L394" s="15"/>
      <c r="M394" s="15"/>
      <c r="O394" s="15"/>
      <c r="P394" s="15"/>
      <c r="Q394" s="15"/>
    </row>
    <row r="395" spans="7:17" x14ac:dyDescent="0.25">
      <c r="G395" s="113"/>
      <c r="H395" s="15"/>
      <c r="I395" s="15"/>
      <c r="J395" s="15"/>
      <c r="K395" s="15"/>
      <c r="L395" s="15"/>
      <c r="M395" s="15"/>
      <c r="O395" s="15"/>
      <c r="P395" s="15"/>
      <c r="Q395" s="15"/>
    </row>
    <row r="396" spans="7:17" x14ac:dyDescent="0.25">
      <c r="G396" s="113"/>
      <c r="H396" s="15"/>
      <c r="I396" s="15"/>
      <c r="J396" s="15"/>
      <c r="K396" s="15"/>
      <c r="L396" s="15"/>
      <c r="M396" s="15"/>
      <c r="O396" s="15"/>
      <c r="P396" s="15"/>
      <c r="Q396" s="15"/>
    </row>
    <row r="397" spans="7:17" x14ac:dyDescent="0.25">
      <c r="G397" s="113"/>
      <c r="H397" s="15"/>
      <c r="I397" s="15"/>
      <c r="J397" s="15"/>
      <c r="K397" s="15"/>
      <c r="L397" s="15"/>
      <c r="M397" s="15"/>
      <c r="O397" s="15"/>
      <c r="P397" s="15"/>
      <c r="Q397" s="15"/>
    </row>
    <row r="398" spans="7:17" x14ac:dyDescent="0.25">
      <c r="G398" s="113"/>
      <c r="H398" s="15"/>
      <c r="I398" s="15"/>
      <c r="J398" s="15"/>
      <c r="K398" s="15"/>
      <c r="L398" s="15"/>
      <c r="M398" s="15"/>
      <c r="O398" s="15"/>
      <c r="P398" s="15"/>
      <c r="Q398" s="15"/>
    </row>
    <row r="399" spans="7:17" x14ac:dyDescent="0.25">
      <c r="G399" s="113"/>
      <c r="H399" s="15"/>
      <c r="I399" s="15"/>
      <c r="J399" s="15"/>
      <c r="K399" s="15"/>
      <c r="L399" s="15"/>
      <c r="M399" s="15"/>
      <c r="O399" s="15"/>
      <c r="P399" s="15"/>
      <c r="Q399" s="15"/>
    </row>
    <row r="400" spans="7:17" x14ac:dyDescent="0.25">
      <c r="G400" s="113"/>
      <c r="H400" s="15"/>
      <c r="I400" s="15"/>
      <c r="J400" s="15"/>
      <c r="K400" s="15"/>
      <c r="L400" s="15"/>
      <c r="M400" s="15"/>
      <c r="O400" s="15"/>
      <c r="P400" s="15"/>
      <c r="Q400" s="15"/>
    </row>
    <row r="401" spans="7:17" x14ac:dyDescent="0.25">
      <c r="G401" s="113"/>
      <c r="H401" s="15"/>
      <c r="I401" s="15"/>
      <c r="J401" s="15"/>
      <c r="K401" s="15"/>
      <c r="L401" s="15"/>
      <c r="M401" s="15"/>
      <c r="O401" s="15"/>
      <c r="P401" s="15"/>
      <c r="Q401" s="15"/>
    </row>
    <row r="402" spans="7:17" x14ac:dyDescent="0.25">
      <c r="G402" s="113"/>
      <c r="H402" s="15"/>
      <c r="I402" s="15"/>
      <c r="J402" s="15"/>
      <c r="K402" s="15"/>
      <c r="L402" s="15"/>
      <c r="M402" s="15"/>
      <c r="O402" s="15"/>
      <c r="P402" s="15"/>
      <c r="Q402" s="15"/>
    </row>
    <row r="403" spans="7:17" x14ac:dyDescent="0.25">
      <c r="G403" s="113"/>
      <c r="H403" s="15"/>
      <c r="I403" s="15"/>
      <c r="J403" s="15"/>
      <c r="K403" s="15"/>
      <c r="L403" s="15"/>
      <c r="M403" s="15"/>
    </row>
    <row r="404" spans="7:17" x14ac:dyDescent="0.25">
      <c r="G404" s="113"/>
      <c r="H404" s="15"/>
      <c r="I404" s="15"/>
      <c r="J404" s="15"/>
      <c r="K404" s="15"/>
      <c r="L404" s="15"/>
      <c r="M404" s="15"/>
    </row>
    <row r="405" spans="7:17" x14ac:dyDescent="0.25">
      <c r="G405" s="113"/>
      <c r="H405" s="15"/>
      <c r="I405" s="15"/>
      <c r="J405" s="15"/>
      <c r="K405" s="15"/>
      <c r="L405" s="15"/>
      <c r="M405" s="15"/>
    </row>
    <row r="406" spans="7:17" x14ac:dyDescent="0.25">
      <c r="G406" s="113"/>
      <c r="H406" s="15"/>
      <c r="I406" s="15"/>
      <c r="J406" s="15"/>
      <c r="K406" s="15"/>
      <c r="L406" s="15"/>
      <c r="M406" s="15"/>
    </row>
    <row r="407" spans="7:17" x14ac:dyDescent="0.25">
      <c r="G407" s="113"/>
      <c r="H407" s="15"/>
      <c r="I407" s="15"/>
      <c r="J407" s="15"/>
      <c r="K407" s="15"/>
      <c r="L407" s="15"/>
      <c r="M407" s="15"/>
    </row>
    <row r="408" spans="7:17" x14ac:dyDescent="0.25">
      <c r="G408" s="113"/>
      <c r="H408" s="15"/>
      <c r="I408" s="15"/>
      <c r="J408" s="15"/>
      <c r="K408" s="15"/>
      <c r="L408" s="15"/>
      <c r="M408" s="15"/>
    </row>
    <row r="409" spans="7:17" x14ac:dyDescent="0.25">
      <c r="G409" s="113"/>
      <c r="H409" s="15"/>
      <c r="I409" s="15"/>
      <c r="J409" s="15"/>
      <c r="K409" s="15"/>
      <c r="L409" s="15"/>
      <c r="M409" s="15"/>
    </row>
    <row r="410" spans="7:17" x14ac:dyDescent="0.25">
      <c r="G410" s="113"/>
      <c r="H410" s="15"/>
      <c r="I410" s="15"/>
      <c r="J410" s="15"/>
      <c r="K410" s="15"/>
      <c r="L410" s="15"/>
      <c r="M410" s="15"/>
    </row>
    <row r="411" spans="7:17" x14ac:dyDescent="0.25">
      <c r="G411" s="113"/>
      <c r="H411" s="15"/>
      <c r="I411" s="15"/>
      <c r="J411" s="15"/>
      <c r="K411" s="15"/>
      <c r="L411" s="15"/>
      <c r="M411" s="15"/>
    </row>
    <row r="412" spans="7:17" x14ac:dyDescent="0.25">
      <c r="G412" s="113"/>
      <c r="H412" s="15"/>
      <c r="I412" s="15"/>
      <c r="J412" s="15"/>
      <c r="K412" s="15"/>
      <c r="L412" s="15"/>
      <c r="M412" s="15"/>
    </row>
    <row r="413" spans="7:17" x14ac:dyDescent="0.25">
      <c r="G413" s="113"/>
      <c r="H413" s="15"/>
      <c r="I413" s="15"/>
      <c r="J413" s="15"/>
      <c r="K413" s="15"/>
      <c r="L413" s="15"/>
      <c r="M413" s="15"/>
    </row>
    <row r="414" spans="7:17" x14ac:dyDescent="0.25">
      <c r="G414" s="113"/>
      <c r="H414" s="15"/>
      <c r="I414" s="15"/>
      <c r="J414" s="15"/>
      <c r="K414" s="15"/>
      <c r="L414" s="15"/>
      <c r="M414" s="15"/>
    </row>
    <row r="415" spans="7:17" x14ac:dyDescent="0.25">
      <c r="G415" s="113"/>
      <c r="H415" s="15"/>
      <c r="I415" s="15"/>
      <c r="J415" s="15"/>
      <c r="K415" s="15"/>
      <c r="L415" s="15"/>
      <c r="M415" s="15"/>
    </row>
    <row r="416" spans="7:17" x14ac:dyDescent="0.25">
      <c r="G416" s="113"/>
      <c r="H416" s="15"/>
      <c r="I416" s="15"/>
      <c r="J416" s="15"/>
      <c r="K416" s="15"/>
      <c r="L416" s="15"/>
      <c r="M416" s="15"/>
    </row>
    <row r="417" spans="7:13" x14ac:dyDescent="0.25">
      <c r="G417" s="113"/>
      <c r="H417" s="15"/>
      <c r="I417" s="15"/>
      <c r="J417" s="15"/>
      <c r="K417" s="15"/>
      <c r="L417" s="15"/>
      <c r="M417" s="15"/>
    </row>
    <row r="418" spans="7:13" x14ac:dyDescent="0.25">
      <c r="G418" s="113"/>
      <c r="H418" s="15"/>
      <c r="I418" s="15"/>
      <c r="J418" s="15"/>
      <c r="K418" s="15"/>
      <c r="L418" s="15"/>
      <c r="M418" s="15"/>
    </row>
    <row r="419" spans="7:13" x14ac:dyDescent="0.25">
      <c r="G419" s="113"/>
      <c r="H419" s="15"/>
      <c r="I419" s="15"/>
      <c r="J419" s="15"/>
      <c r="K419" s="15"/>
      <c r="L419" s="15"/>
      <c r="M419" s="15"/>
    </row>
    <row r="420" spans="7:13" x14ac:dyDescent="0.25">
      <c r="G420" s="113"/>
      <c r="H420" s="15"/>
      <c r="I420" s="15"/>
      <c r="J420" s="15"/>
      <c r="K420" s="15"/>
      <c r="L420" s="15"/>
      <c r="M420" s="15"/>
    </row>
    <row r="421" spans="7:13" x14ac:dyDescent="0.25">
      <c r="G421" s="113"/>
      <c r="H421" s="15"/>
      <c r="I421" s="15"/>
      <c r="J421" s="15"/>
      <c r="K421" s="15"/>
      <c r="L421" s="15"/>
      <c r="M421" s="15"/>
    </row>
    <row r="422" spans="7:13" x14ac:dyDescent="0.25">
      <c r="G422" s="113"/>
      <c r="H422" s="15"/>
      <c r="I422" s="15"/>
      <c r="J422" s="15"/>
      <c r="K422" s="15"/>
      <c r="L422" s="15"/>
      <c r="M422" s="15"/>
    </row>
    <row r="423" spans="7:13" x14ac:dyDescent="0.25">
      <c r="G423" s="113"/>
      <c r="H423" s="15"/>
      <c r="I423" s="15"/>
      <c r="J423" s="15"/>
      <c r="K423" s="15"/>
      <c r="L423" s="15"/>
      <c r="M423" s="15"/>
    </row>
    <row r="424" spans="7:13" x14ac:dyDescent="0.25">
      <c r="G424" s="113"/>
      <c r="H424" s="15"/>
      <c r="I424" s="15"/>
      <c r="J424" s="15"/>
      <c r="K424" s="15"/>
      <c r="L424" s="15"/>
      <c r="M424" s="15"/>
    </row>
    <row r="425" spans="7:13" x14ac:dyDescent="0.25">
      <c r="G425" s="113"/>
      <c r="H425" s="15"/>
      <c r="I425" s="15"/>
      <c r="J425" s="15"/>
      <c r="K425" s="15"/>
      <c r="L425" s="15"/>
      <c r="M425" s="15"/>
    </row>
    <row r="426" spans="7:13" x14ac:dyDescent="0.25">
      <c r="G426" s="113"/>
      <c r="H426" s="15"/>
      <c r="I426" s="15"/>
      <c r="J426" s="15"/>
      <c r="K426" s="15"/>
      <c r="L426" s="15"/>
      <c r="M426" s="15"/>
    </row>
    <row r="427" spans="7:13" x14ac:dyDescent="0.25">
      <c r="G427" s="113"/>
      <c r="H427" s="15"/>
      <c r="I427" s="15"/>
      <c r="J427" s="15"/>
      <c r="K427" s="15"/>
      <c r="L427" s="15"/>
      <c r="M427" s="15"/>
    </row>
    <row r="428" spans="7:13" x14ac:dyDescent="0.25">
      <c r="G428" s="113"/>
      <c r="H428" s="15"/>
      <c r="I428" s="15"/>
      <c r="J428" s="15"/>
      <c r="K428" s="15"/>
      <c r="L428" s="15"/>
      <c r="M428" s="15"/>
    </row>
    <row r="429" spans="7:13" x14ac:dyDescent="0.25">
      <c r="G429" s="113"/>
      <c r="H429" s="15"/>
      <c r="I429" s="15"/>
      <c r="J429" s="15"/>
      <c r="K429" s="15"/>
      <c r="L429" s="15"/>
      <c r="M429" s="15"/>
    </row>
    <row r="430" spans="7:13" x14ac:dyDescent="0.25">
      <c r="G430" s="113"/>
      <c r="H430" s="15"/>
      <c r="I430" s="15"/>
      <c r="J430" s="15"/>
      <c r="K430" s="15"/>
      <c r="L430" s="15"/>
      <c r="M430" s="15"/>
    </row>
    <row r="431" spans="7:13" x14ac:dyDescent="0.25">
      <c r="G431" s="113"/>
      <c r="H431" s="15"/>
      <c r="I431" s="15"/>
      <c r="J431" s="15"/>
      <c r="K431" s="15"/>
      <c r="L431" s="15"/>
      <c r="M431" s="15"/>
    </row>
    <row r="432" spans="7:13" x14ac:dyDescent="0.25">
      <c r="G432" s="113"/>
      <c r="H432" s="15"/>
      <c r="I432" s="15"/>
      <c r="J432" s="15"/>
      <c r="K432" s="15"/>
      <c r="L432" s="15"/>
      <c r="M432" s="15"/>
    </row>
    <row r="433" spans="7:13" x14ac:dyDescent="0.25">
      <c r="G433" s="113"/>
      <c r="H433" s="15"/>
      <c r="I433" s="15"/>
      <c r="J433" s="15"/>
      <c r="K433" s="15"/>
      <c r="L433" s="15"/>
      <c r="M433" s="15"/>
    </row>
    <row r="434" spans="7:13" x14ac:dyDescent="0.25">
      <c r="G434" s="113"/>
      <c r="H434" s="15"/>
      <c r="I434" s="15"/>
      <c r="J434" s="15"/>
      <c r="K434" s="15"/>
      <c r="L434" s="15"/>
      <c r="M434" s="15"/>
    </row>
    <row r="435" spans="7:13" x14ac:dyDescent="0.25">
      <c r="G435" s="113"/>
      <c r="H435" s="15"/>
      <c r="I435" s="15"/>
      <c r="J435" s="15"/>
      <c r="K435" s="15"/>
      <c r="L435" s="15"/>
      <c r="M435" s="15"/>
    </row>
    <row r="436" spans="7:13" x14ac:dyDescent="0.25">
      <c r="G436" s="113"/>
      <c r="H436" s="15"/>
      <c r="I436" s="15"/>
      <c r="J436" s="15"/>
      <c r="K436" s="15"/>
      <c r="L436" s="15"/>
      <c r="M436" s="15"/>
    </row>
    <row r="437" spans="7:13" x14ac:dyDescent="0.25">
      <c r="G437" s="113"/>
      <c r="H437" s="15"/>
      <c r="I437" s="15"/>
      <c r="J437" s="15"/>
      <c r="K437" s="15"/>
      <c r="L437" s="15"/>
      <c r="M437" s="15"/>
    </row>
    <row r="438" spans="7:13" x14ac:dyDescent="0.25">
      <c r="G438" s="113"/>
      <c r="H438" s="15"/>
      <c r="I438" s="15"/>
      <c r="J438" s="15"/>
      <c r="K438" s="15"/>
      <c r="L438" s="15"/>
      <c r="M438" s="15"/>
    </row>
    <row r="439" spans="7:13" x14ac:dyDescent="0.25">
      <c r="G439" s="113"/>
      <c r="H439" s="15"/>
      <c r="I439" s="15"/>
      <c r="J439" s="15"/>
      <c r="K439" s="15"/>
      <c r="L439" s="15"/>
      <c r="M439" s="15"/>
    </row>
    <row r="440" spans="7:13" x14ac:dyDescent="0.25">
      <c r="G440" s="113"/>
      <c r="H440" s="15"/>
      <c r="I440" s="15"/>
      <c r="J440" s="15"/>
      <c r="K440" s="15"/>
      <c r="L440" s="15"/>
      <c r="M440" s="15"/>
    </row>
    <row r="441" spans="7:13" x14ac:dyDescent="0.25">
      <c r="G441" s="113"/>
      <c r="H441" s="15"/>
      <c r="I441" s="15"/>
      <c r="J441" s="15"/>
      <c r="K441" s="15"/>
      <c r="L441" s="15"/>
      <c r="M441" s="15"/>
    </row>
    <row r="442" spans="7:13" x14ac:dyDescent="0.25">
      <c r="G442" s="113"/>
      <c r="H442" s="15"/>
      <c r="I442" s="15"/>
      <c r="J442" s="15"/>
      <c r="K442" s="15"/>
      <c r="L442" s="15"/>
      <c r="M442" s="15"/>
    </row>
    <row r="443" spans="7:13" x14ac:dyDescent="0.25">
      <c r="G443" s="113"/>
      <c r="H443" s="15"/>
      <c r="I443" s="15"/>
      <c r="J443" s="15"/>
      <c r="K443" s="15"/>
      <c r="L443" s="15"/>
      <c r="M443" s="15"/>
    </row>
    <row r="444" spans="7:13" x14ac:dyDescent="0.25">
      <c r="G444" s="113"/>
      <c r="H444" s="15"/>
      <c r="I444" s="15"/>
      <c r="J444" s="15"/>
      <c r="K444" s="15"/>
      <c r="L444" s="15"/>
      <c r="M444" s="15"/>
    </row>
    <row r="445" spans="7:13" x14ac:dyDescent="0.25">
      <c r="G445" s="113"/>
      <c r="H445" s="15"/>
      <c r="I445" s="15"/>
      <c r="J445" s="15"/>
      <c r="K445" s="15"/>
      <c r="L445" s="15"/>
      <c r="M445" s="15"/>
    </row>
    <row r="446" spans="7:13" x14ac:dyDescent="0.25">
      <c r="G446" s="113"/>
      <c r="H446" s="15"/>
      <c r="I446" s="15"/>
      <c r="J446" s="15"/>
      <c r="K446" s="15"/>
      <c r="L446" s="15"/>
      <c r="M446" s="15"/>
    </row>
    <row r="447" spans="7:13" x14ac:dyDescent="0.25">
      <c r="G447" s="113"/>
      <c r="H447" s="15"/>
      <c r="I447" s="15"/>
      <c r="J447" s="15"/>
      <c r="K447" s="15"/>
      <c r="L447" s="15"/>
      <c r="M447" s="15"/>
    </row>
    <row r="448" spans="7:13" x14ac:dyDescent="0.25">
      <c r="G448" s="113"/>
      <c r="H448" s="15"/>
      <c r="I448" s="15"/>
      <c r="J448" s="15"/>
      <c r="K448" s="15"/>
      <c r="L448" s="15"/>
      <c r="M448" s="15"/>
    </row>
    <row r="449" spans="7:13" x14ac:dyDescent="0.25">
      <c r="G449" s="113"/>
      <c r="H449" s="15"/>
      <c r="I449" s="15"/>
      <c r="J449" s="15"/>
      <c r="K449" s="15"/>
      <c r="L449" s="15"/>
      <c r="M449" s="15"/>
    </row>
    <row r="450" spans="7:13" x14ac:dyDescent="0.25">
      <c r="G450" s="113"/>
      <c r="H450" s="15"/>
      <c r="I450" s="15"/>
      <c r="J450" s="15"/>
      <c r="K450" s="15"/>
      <c r="L450" s="15"/>
      <c r="M450" s="15"/>
    </row>
    <row r="451" spans="7:13" x14ac:dyDescent="0.25">
      <c r="G451" s="113"/>
      <c r="H451" s="15"/>
      <c r="I451" s="15"/>
      <c r="J451" s="15"/>
      <c r="K451" s="15"/>
      <c r="L451" s="15"/>
      <c r="M451" s="15"/>
    </row>
    <row r="452" spans="7:13" x14ac:dyDescent="0.25">
      <c r="G452" s="113"/>
      <c r="H452" s="15"/>
      <c r="I452" s="15"/>
      <c r="J452" s="15"/>
      <c r="K452" s="15"/>
      <c r="L452" s="15"/>
      <c r="M452" s="15"/>
    </row>
    <row r="453" spans="7:13" x14ac:dyDescent="0.25">
      <c r="G453" s="113"/>
      <c r="H453" s="15"/>
      <c r="I453" s="15"/>
      <c r="J453" s="15"/>
      <c r="K453" s="15"/>
      <c r="L453" s="15"/>
      <c r="M453" s="15"/>
    </row>
    <row r="454" spans="7:13" x14ac:dyDescent="0.25">
      <c r="G454" s="113"/>
      <c r="H454" s="15"/>
      <c r="I454" s="15"/>
      <c r="J454" s="15"/>
      <c r="K454" s="15"/>
      <c r="L454" s="15"/>
      <c r="M454" s="15"/>
    </row>
    <row r="455" spans="7:13" x14ac:dyDescent="0.25">
      <c r="G455" s="113"/>
      <c r="H455" s="15"/>
      <c r="I455" s="15"/>
      <c r="J455" s="15"/>
      <c r="K455" s="15"/>
      <c r="L455" s="15"/>
      <c r="M455" s="15"/>
    </row>
    <row r="456" spans="7:13" x14ac:dyDescent="0.25">
      <c r="G456" s="113"/>
      <c r="H456" s="15"/>
      <c r="I456" s="15"/>
      <c r="J456" s="15"/>
      <c r="K456" s="15"/>
      <c r="L456" s="15"/>
      <c r="M456" s="15"/>
    </row>
    <row r="457" spans="7:13" x14ac:dyDescent="0.25">
      <c r="G457" s="113"/>
      <c r="H457" s="15"/>
      <c r="I457" s="15"/>
      <c r="J457" s="15"/>
      <c r="K457" s="15"/>
      <c r="L457" s="15"/>
      <c r="M457" s="15"/>
    </row>
    <row r="458" spans="7:13" x14ac:dyDescent="0.25">
      <c r="G458" s="113"/>
      <c r="H458" s="15"/>
      <c r="I458" s="15"/>
      <c r="J458" s="15"/>
      <c r="K458" s="15"/>
      <c r="L458" s="15"/>
      <c r="M458" s="15"/>
    </row>
    <row r="459" spans="7:13" x14ac:dyDescent="0.25">
      <c r="G459" s="113"/>
      <c r="H459" s="15"/>
      <c r="I459" s="15"/>
      <c r="J459" s="15"/>
      <c r="K459" s="15"/>
      <c r="L459" s="15"/>
      <c r="M459" s="15"/>
    </row>
    <row r="460" spans="7:13" x14ac:dyDescent="0.25">
      <c r="G460" s="113"/>
      <c r="H460" s="15"/>
      <c r="I460" s="15"/>
      <c r="J460" s="15"/>
      <c r="K460" s="15"/>
      <c r="L460" s="15"/>
      <c r="M460" s="15"/>
    </row>
    <row r="461" spans="7:13" x14ac:dyDescent="0.25">
      <c r="G461" s="113"/>
      <c r="H461" s="15"/>
      <c r="I461" s="15"/>
      <c r="J461" s="15"/>
      <c r="K461" s="15"/>
      <c r="L461" s="15"/>
      <c r="M461" s="15"/>
    </row>
    <row r="462" spans="7:13" x14ac:dyDescent="0.25">
      <c r="G462" s="113"/>
      <c r="H462" s="15"/>
      <c r="I462" s="15"/>
      <c r="J462" s="15"/>
      <c r="K462" s="15"/>
      <c r="L462" s="15"/>
      <c r="M462" s="15"/>
    </row>
    <row r="463" spans="7:13" x14ac:dyDescent="0.25">
      <c r="G463" s="113"/>
      <c r="H463" s="15"/>
      <c r="I463" s="15"/>
      <c r="J463" s="15"/>
      <c r="K463" s="15"/>
      <c r="L463" s="15"/>
      <c r="M463" s="15"/>
    </row>
    <row r="464" spans="7:13" x14ac:dyDescent="0.25">
      <c r="G464" s="113"/>
      <c r="H464" s="15"/>
      <c r="I464" s="15"/>
      <c r="J464" s="15"/>
      <c r="K464" s="15"/>
      <c r="L464" s="15"/>
      <c r="M464" s="15"/>
    </row>
    <row r="465" spans="7:13" x14ac:dyDescent="0.25">
      <c r="G465" s="113"/>
      <c r="H465" s="15"/>
      <c r="I465" s="15"/>
      <c r="J465" s="15"/>
      <c r="K465" s="15"/>
      <c r="L465" s="15"/>
      <c r="M465" s="15"/>
    </row>
    <row r="466" spans="7:13" x14ac:dyDescent="0.25">
      <c r="G466" s="113"/>
      <c r="H466" s="15"/>
      <c r="I466" s="15"/>
      <c r="J466" s="15"/>
      <c r="K466" s="15"/>
      <c r="L466" s="15"/>
      <c r="M466" s="15"/>
    </row>
    <row r="467" spans="7:13" x14ac:dyDescent="0.25">
      <c r="G467" s="113"/>
      <c r="H467" s="15"/>
      <c r="I467" s="15"/>
      <c r="J467" s="15"/>
      <c r="K467" s="15"/>
      <c r="L467" s="15"/>
      <c r="M467" s="15"/>
    </row>
    <row r="468" spans="7:13" x14ac:dyDescent="0.25">
      <c r="G468" s="113"/>
      <c r="H468" s="15"/>
      <c r="I468" s="15"/>
      <c r="J468" s="15"/>
      <c r="K468" s="15"/>
      <c r="L468" s="15"/>
      <c r="M468" s="15"/>
    </row>
    <row r="469" spans="7:13" x14ac:dyDescent="0.25">
      <c r="G469" s="113"/>
      <c r="H469" s="15"/>
      <c r="I469" s="15"/>
      <c r="J469" s="15"/>
      <c r="K469" s="15"/>
      <c r="L469" s="15"/>
      <c r="M469" s="15"/>
    </row>
    <row r="470" spans="7:13" x14ac:dyDescent="0.25">
      <c r="G470" s="113"/>
      <c r="H470" s="15"/>
      <c r="I470" s="15"/>
      <c r="J470" s="15"/>
      <c r="K470" s="15"/>
      <c r="L470" s="15"/>
      <c r="M470" s="15"/>
    </row>
    <row r="471" spans="7:13" x14ac:dyDescent="0.25">
      <c r="G471" s="113"/>
      <c r="H471" s="15"/>
      <c r="I471" s="15"/>
      <c r="J471" s="15"/>
      <c r="K471" s="15"/>
      <c r="L471" s="15"/>
      <c r="M471" s="15"/>
    </row>
    <row r="472" spans="7:13" x14ac:dyDescent="0.25">
      <c r="G472" s="113"/>
      <c r="H472" s="15"/>
      <c r="I472" s="15"/>
      <c r="J472" s="15"/>
      <c r="K472" s="15"/>
      <c r="L472" s="15"/>
      <c r="M472" s="15"/>
    </row>
    <row r="473" spans="7:13" x14ac:dyDescent="0.25">
      <c r="G473" s="113"/>
      <c r="H473" s="15"/>
      <c r="I473" s="15"/>
      <c r="J473" s="15"/>
      <c r="K473" s="15"/>
      <c r="L473" s="15"/>
      <c r="M473" s="15"/>
    </row>
    <row r="474" spans="7:13" x14ac:dyDescent="0.25">
      <c r="G474" s="113"/>
      <c r="H474" s="15"/>
      <c r="I474" s="15"/>
      <c r="J474" s="15"/>
      <c r="K474" s="15"/>
      <c r="L474" s="15"/>
      <c r="M474" s="15"/>
    </row>
    <row r="475" spans="7:13" x14ac:dyDescent="0.25">
      <c r="G475" s="113"/>
      <c r="H475" s="15"/>
      <c r="I475" s="15"/>
      <c r="J475" s="15"/>
      <c r="K475" s="15"/>
      <c r="L475" s="15"/>
      <c r="M475" s="15"/>
    </row>
    <row r="476" spans="7:13" x14ac:dyDescent="0.25">
      <c r="G476" s="113"/>
      <c r="H476" s="15"/>
      <c r="I476" s="15"/>
      <c r="J476" s="15"/>
      <c r="K476" s="15"/>
      <c r="L476" s="15"/>
      <c r="M476" s="15"/>
    </row>
    <row r="477" spans="7:13" x14ac:dyDescent="0.25">
      <c r="G477" s="113"/>
      <c r="H477" s="15"/>
      <c r="I477" s="15"/>
      <c r="J477" s="15"/>
      <c r="K477" s="15"/>
      <c r="L477" s="15"/>
      <c r="M477" s="15"/>
    </row>
    <row r="478" spans="7:13" x14ac:dyDescent="0.25">
      <c r="G478" s="113"/>
      <c r="H478" s="15"/>
      <c r="I478" s="15"/>
      <c r="J478" s="15"/>
      <c r="K478" s="15"/>
      <c r="L478" s="15"/>
      <c r="M478" s="15"/>
    </row>
    <row r="479" spans="7:13" x14ac:dyDescent="0.25">
      <c r="G479" s="113"/>
      <c r="H479" s="15"/>
      <c r="I479" s="15"/>
      <c r="J479" s="15"/>
      <c r="K479" s="15"/>
      <c r="L479" s="15"/>
      <c r="M479" s="15"/>
    </row>
    <row r="480" spans="7:13" x14ac:dyDescent="0.25">
      <c r="G480" s="113"/>
      <c r="H480" s="15"/>
      <c r="I480" s="15"/>
      <c r="J480" s="15"/>
      <c r="K480" s="15"/>
      <c r="L480" s="15"/>
      <c r="M480" s="15"/>
    </row>
    <row r="481" spans="7:13" x14ac:dyDescent="0.25">
      <c r="G481" s="113"/>
      <c r="H481" s="15"/>
      <c r="I481" s="15"/>
      <c r="J481" s="15"/>
      <c r="K481" s="15"/>
      <c r="L481" s="15"/>
      <c r="M481" s="15"/>
    </row>
    <row r="482" spans="7:13" x14ac:dyDescent="0.25">
      <c r="G482" s="113"/>
      <c r="H482" s="15"/>
      <c r="I482" s="15"/>
      <c r="J482" s="15"/>
      <c r="K482" s="15"/>
      <c r="L482" s="15"/>
      <c r="M482" s="15"/>
    </row>
    <row r="483" spans="7:13" x14ac:dyDescent="0.25">
      <c r="G483" s="113"/>
      <c r="H483" s="15"/>
      <c r="I483" s="15"/>
      <c r="J483" s="15"/>
      <c r="K483" s="15"/>
      <c r="L483" s="15"/>
      <c r="M483" s="15"/>
    </row>
    <row r="484" spans="7:13" x14ac:dyDescent="0.25">
      <c r="G484" s="113"/>
      <c r="H484" s="15"/>
      <c r="I484" s="15"/>
      <c r="J484" s="15"/>
      <c r="K484" s="15"/>
      <c r="L484" s="15"/>
      <c r="M484" s="15"/>
    </row>
    <row r="485" spans="7:13" x14ac:dyDescent="0.25">
      <c r="G485" s="113"/>
      <c r="H485" s="15"/>
      <c r="I485" s="15"/>
      <c r="J485" s="15"/>
      <c r="K485" s="15"/>
      <c r="L485" s="15"/>
      <c r="M485" s="15"/>
    </row>
    <row r="486" spans="7:13" x14ac:dyDescent="0.25">
      <c r="G486" s="113"/>
      <c r="H486" s="15"/>
      <c r="I486" s="15"/>
      <c r="J486" s="15"/>
      <c r="K486" s="15"/>
      <c r="L486" s="15"/>
      <c r="M486" s="15"/>
    </row>
    <row r="487" spans="7:13" x14ac:dyDescent="0.25">
      <c r="G487" s="113"/>
      <c r="H487" s="15"/>
      <c r="I487" s="15"/>
      <c r="J487" s="15"/>
      <c r="K487" s="15"/>
      <c r="L487" s="15"/>
      <c r="M487" s="15"/>
    </row>
    <row r="488" spans="7:13" x14ac:dyDescent="0.25">
      <c r="G488" s="113"/>
      <c r="H488" s="15"/>
      <c r="I488" s="15"/>
      <c r="J488" s="15"/>
      <c r="K488" s="15"/>
      <c r="L488" s="15"/>
      <c r="M488" s="15"/>
    </row>
    <row r="489" spans="7:13" x14ac:dyDescent="0.25">
      <c r="G489" s="113"/>
      <c r="H489" s="15"/>
      <c r="I489" s="15"/>
      <c r="J489" s="15"/>
      <c r="K489" s="15"/>
      <c r="L489" s="15"/>
      <c r="M489" s="15"/>
    </row>
    <row r="490" spans="7:13" x14ac:dyDescent="0.25">
      <c r="G490" s="113"/>
      <c r="H490" s="15"/>
      <c r="I490" s="15"/>
      <c r="J490" s="15"/>
      <c r="K490" s="15"/>
      <c r="L490" s="15"/>
      <c r="M490" s="15"/>
    </row>
    <row r="491" spans="7:13" x14ac:dyDescent="0.25">
      <c r="G491" s="113"/>
      <c r="H491" s="15"/>
      <c r="I491" s="15"/>
      <c r="J491" s="15"/>
      <c r="K491" s="15"/>
      <c r="L491" s="15"/>
      <c r="M491" s="15"/>
    </row>
    <row r="492" spans="7:13" x14ac:dyDescent="0.25">
      <c r="G492" s="113"/>
      <c r="H492" s="15"/>
      <c r="I492" s="15"/>
      <c r="J492" s="15"/>
      <c r="K492" s="15"/>
      <c r="L492" s="15"/>
      <c r="M492" s="15"/>
    </row>
    <row r="493" spans="7:13" x14ac:dyDescent="0.25">
      <c r="G493" s="113"/>
      <c r="H493" s="15"/>
      <c r="I493" s="15"/>
      <c r="J493" s="15"/>
      <c r="K493" s="15"/>
      <c r="L493" s="15"/>
      <c r="M493" s="15"/>
    </row>
    <row r="494" spans="7:13" x14ac:dyDescent="0.25">
      <c r="G494" s="113"/>
      <c r="H494" s="15"/>
      <c r="I494" s="15"/>
      <c r="J494" s="15"/>
      <c r="K494" s="15"/>
      <c r="L494" s="15"/>
      <c r="M494" s="15"/>
    </row>
    <row r="495" spans="7:13" x14ac:dyDescent="0.25">
      <c r="G495" s="113"/>
      <c r="H495" s="15"/>
      <c r="I495" s="15"/>
      <c r="J495" s="15"/>
      <c r="K495" s="15"/>
      <c r="L495" s="15"/>
      <c r="M495" s="15"/>
    </row>
    <row r="496" spans="7:13" x14ac:dyDescent="0.25">
      <c r="G496" s="113"/>
      <c r="H496" s="15"/>
      <c r="I496" s="15"/>
      <c r="J496" s="15"/>
      <c r="K496" s="15"/>
      <c r="L496" s="15"/>
      <c r="M496" s="15"/>
    </row>
    <row r="497" spans="7:13" x14ac:dyDescent="0.25">
      <c r="G497" s="113"/>
      <c r="H497" s="15"/>
      <c r="I497" s="15"/>
      <c r="J497" s="15"/>
      <c r="K497" s="15"/>
      <c r="L497" s="15"/>
      <c r="M497" s="15"/>
    </row>
    <row r="498" spans="7:13" x14ac:dyDescent="0.25">
      <c r="G498" s="113"/>
      <c r="H498" s="15"/>
      <c r="I498" s="15"/>
      <c r="J498" s="15"/>
      <c r="K498" s="15"/>
      <c r="L498" s="15"/>
      <c r="M498" s="15"/>
    </row>
    <row r="499" spans="7:13" x14ac:dyDescent="0.25">
      <c r="G499" s="113"/>
      <c r="H499" s="15"/>
      <c r="I499" s="15"/>
      <c r="J499" s="15"/>
      <c r="K499" s="15"/>
      <c r="L499" s="15"/>
      <c r="M499" s="15"/>
    </row>
    <row r="500" spans="7:13" x14ac:dyDescent="0.25">
      <c r="G500" s="113"/>
      <c r="H500" s="15"/>
      <c r="I500" s="15"/>
      <c r="J500" s="15"/>
      <c r="K500" s="15"/>
      <c r="L500" s="15"/>
      <c r="M500" s="15"/>
    </row>
    <row r="501" spans="7:13" x14ac:dyDescent="0.25">
      <c r="G501" s="113"/>
      <c r="H501" s="15"/>
      <c r="I501" s="15"/>
      <c r="J501" s="15"/>
      <c r="K501" s="15"/>
      <c r="L501" s="15"/>
      <c r="M501" s="15"/>
    </row>
    <row r="502" spans="7:13" x14ac:dyDescent="0.25">
      <c r="G502" s="113"/>
      <c r="H502" s="15"/>
      <c r="I502" s="15"/>
      <c r="J502" s="15"/>
      <c r="K502" s="15"/>
      <c r="L502" s="15"/>
      <c r="M502" s="15"/>
    </row>
    <row r="503" spans="7:13" x14ac:dyDescent="0.25">
      <c r="G503" s="113"/>
      <c r="H503" s="15"/>
      <c r="I503" s="15"/>
      <c r="J503" s="15"/>
      <c r="K503" s="15"/>
      <c r="L503" s="15"/>
      <c r="M503" s="15"/>
    </row>
    <row r="504" spans="7:13" x14ac:dyDescent="0.25">
      <c r="G504" s="113"/>
      <c r="H504" s="15"/>
      <c r="I504" s="15"/>
      <c r="J504" s="15"/>
      <c r="K504" s="15"/>
      <c r="L504" s="15"/>
      <c r="M504" s="15"/>
    </row>
    <row r="505" spans="7:13" x14ac:dyDescent="0.25">
      <c r="G505" s="113"/>
      <c r="H505" s="15"/>
      <c r="I505" s="15"/>
      <c r="J505" s="15"/>
      <c r="K505" s="15"/>
      <c r="L505" s="15"/>
      <c r="M505" s="15"/>
    </row>
    <row r="506" spans="7:13" x14ac:dyDescent="0.25">
      <c r="G506" s="113"/>
      <c r="H506" s="15"/>
      <c r="I506" s="15"/>
      <c r="J506" s="15"/>
      <c r="K506" s="15"/>
      <c r="L506" s="15"/>
      <c r="M506" s="15"/>
    </row>
    <row r="507" spans="7:13" x14ac:dyDescent="0.25">
      <c r="G507" s="113"/>
      <c r="H507" s="15"/>
      <c r="I507" s="15"/>
      <c r="J507" s="15"/>
      <c r="K507" s="15"/>
      <c r="L507" s="15"/>
      <c r="M507" s="15"/>
    </row>
    <row r="508" spans="7:13" x14ac:dyDescent="0.25">
      <c r="G508" s="113"/>
      <c r="H508" s="15"/>
      <c r="I508" s="15"/>
      <c r="J508" s="15"/>
      <c r="K508" s="15"/>
      <c r="L508" s="15"/>
      <c r="M508" s="15"/>
    </row>
    <row r="509" spans="7:13" x14ac:dyDescent="0.25">
      <c r="G509" s="113"/>
      <c r="H509" s="15"/>
      <c r="I509" s="15"/>
      <c r="J509" s="15"/>
      <c r="K509" s="15"/>
      <c r="L509" s="15"/>
      <c r="M509" s="15"/>
    </row>
    <row r="510" spans="7:13" x14ac:dyDescent="0.25">
      <c r="G510" s="113"/>
      <c r="H510" s="15"/>
      <c r="I510" s="15"/>
      <c r="J510" s="15"/>
      <c r="K510" s="15"/>
      <c r="L510" s="15"/>
      <c r="M510" s="15"/>
    </row>
    <row r="511" spans="7:13" x14ac:dyDescent="0.25">
      <c r="G511" s="113"/>
      <c r="H511" s="15"/>
      <c r="I511" s="15"/>
      <c r="J511" s="15"/>
      <c r="K511" s="15"/>
      <c r="L511" s="15"/>
      <c r="M511" s="15"/>
    </row>
    <row r="512" spans="7:13" x14ac:dyDescent="0.25">
      <c r="G512" s="113"/>
      <c r="H512" s="15"/>
      <c r="I512" s="15"/>
      <c r="J512" s="15"/>
      <c r="K512" s="15"/>
      <c r="L512" s="15"/>
      <c r="M512" s="15"/>
    </row>
    <row r="513" spans="7:13" x14ac:dyDescent="0.25">
      <c r="G513" s="113"/>
      <c r="H513" s="15"/>
      <c r="I513" s="15"/>
      <c r="J513" s="15"/>
      <c r="K513" s="15"/>
      <c r="L513" s="15"/>
      <c r="M513" s="15"/>
    </row>
    <row r="514" spans="7:13" x14ac:dyDescent="0.25">
      <c r="G514" s="113"/>
      <c r="H514" s="15"/>
      <c r="I514" s="15"/>
      <c r="J514" s="15"/>
      <c r="K514" s="15"/>
      <c r="L514" s="15"/>
      <c r="M514" s="15"/>
    </row>
    <row r="515" spans="7:13" x14ac:dyDescent="0.25">
      <c r="G515" s="113"/>
      <c r="H515" s="15"/>
      <c r="I515" s="15"/>
      <c r="J515" s="15"/>
      <c r="K515" s="15"/>
      <c r="L515" s="15"/>
      <c r="M515" s="15"/>
    </row>
    <row r="516" spans="7:13" x14ac:dyDescent="0.25">
      <c r="G516" s="113"/>
      <c r="H516" s="15"/>
      <c r="I516" s="15"/>
      <c r="J516" s="15"/>
      <c r="K516" s="15"/>
      <c r="L516" s="15"/>
      <c r="M516" s="15"/>
    </row>
    <row r="517" spans="7:13" x14ac:dyDescent="0.25">
      <c r="G517" s="113"/>
      <c r="H517" s="15"/>
      <c r="I517" s="15"/>
      <c r="J517" s="15"/>
      <c r="K517" s="15"/>
      <c r="L517" s="15"/>
      <c r="M517" s="15"/>
    </row>
    <row r="518" spans="7:13" x14ac:dyDescent="0.25">
      <c r="G518" s="113"/>
      <c r="H518" s="15"/>
      <c r="I518" s="15"/>
      <c r="J518" s="15"/>
      <c r="K518" s="15"/>
      <c r="L518" s="15"/>
      <c r="M518" s="15"/>
    </row>
    <row r="519" spans="7:13" x14ac:dyDescent="0.25">
      <c r="G519" s="113"/>
      <c r="H519" s="15"/>
      <c r="I519" s="15"/>
      <c r="J519" s="15"/>
      <c r="K519" s="15"/>
      <c r="L519" s="15"/>
      <c r="M519" s="15"/>
    </row>
    <row r="520" spans="7:13" x14ac:dyDescent="0.25">
      <c r="G520" s="113"/>
      <c r="H520" s="15"/>
      <c r="I520" s="15"/>
      <c r="J520" s="15"/>
      <c r="K520" s="15"/>
      <c r="L520" s="15"/>
      <c r="M520" s="15"/>
    </row>
    <row r="521" spans="7:13" x14ac:dyDescent="0.25">
      <c r="G521" s="113"/>
      <c r="H521" s="15"/>
      <c r="I521" s="15"/>
      <c r="J521" s="15"/>
      <c r="K521" s="15"/>
      <c r="L521" s="15"/>
      <c r="M521" s="15"/>
    </row>
    <row r="522" spans="7:13" x14ac:dyDescent="0.25">
      <c r="G522" s="113"/>
      <c r="H522" s="15"/>
      <c r="I522" s="15"/>
      <c r="J522" s="15"/>
      <c r="K522" s="15"/>
      <c r="L522" s="15"/>
      <c r="M522" s="15"/>
    </row>
    <row r="523" spans="7:13" x14ac:dyDescent="0.25">
      <c r="G523" s="113"/>
      <c r="H523" s="15"/>
      <c r="I523" s="15"/>
      <c r="J523" s="15"/>
      <c r="K523" s="15"/>
      <c r="L523" s="15"/>
      <c r="M523" s="15"/>
    </row>
    <row r="524" spans="7:13" x14ac:dyDescent="0.25">
      <c r="G524" s="113"/>
      <c r="H524" s="15"/>
      <c r="I524" s="15"/>
      <c r="J524" s="15"/>
      <c r="K524" s="15"/>
      <c r="L524" s="15"/>
      <c r="M524" s="15"/>
    </row>
    <row r="525" spans="7:13" x14ac:dyDescent="0.25">
      <c r="G525" s="113"/>
      <c r="H525" s="15"/>
      <c r="I525" s="15"/>
      <c r="J525" s="15"/>
      <c r="K525" s="15"/>
      <c r="L525" s="15"/>
      <c r="M525" s="15"/>
    </row>
    <row r="526" spans="7:13" x14ac:dyDescent="0.25">
      <c r="G526" s="113"/>
      <c r="H526" s="15"/>
      <c r="I526" s="15"/>
      <c r="J526" s="15"/>
      <c r="K526" s="15"/>
      <c r="L526" s="15"/>
      <c r="M526" s="15"/>
    </row>
    <row r="527" spans="7:13" x14ac:dyDescent="0.25">
      <c r="G527" s="113"/>
      <c r="H527" s="15"/>
      <c r="I527" s="15"/>
      <c r="J527" s="15"/>
      <c r="K527" s="15"/>
      <c r="L527" s="15"/>
      <c r="M527" s="15"/>
    </row>
    <row r="528" spans="7:13" x14ac:dyDescent="0.25">
      <c r="G528" s="113"/>
      <c r="H528" s="15"/>
      <c r="I528" s="15"/>
      <c r="J528" s="15"/>
      <c r="K528" s="15"/>
      <c r="L528" s="15"/>
      <c r="M528" s="15"/>
    </row>
    <row r="529" spans="7:13" x14ac:dyDescent="0.25">
      <c r="G529" s="113"/>
      <c r="H529" s="15"/>
      <c r="I529" s="15"/>
      <c r="J529" s="15"/>
      <c r="K529" s="15"/>
      <c r="L529" s="15"/>
      <c r="M529" s="15"/>
    </row>
    <row r="530" spans="7:13" x14ac:dyDescent="0.25">
      <c r="G530" s="113"/>
      <c r="H530" s="15"/>
      <c r="I530" s="15"/>
      <c r="J530" s="15"/>
      <c r="K530" s="15"/>
      <c r="L530" s="15"/>
      <c r="M530" s="15"/>
    </row>
    <row r="531" spans="7:13" x14ac:dyDescent="0.25">
      <c r="G531" s="113"/>
      <c r="H531" s="15"/>
      <c r="I531" s="15"/>
      <c r="J531" s="15"/>
      <c r="K531" s="15"/>
      <c r="L531" s="15"/>
      <c r="M531" s="15"/>
    </row>
    <row r="532" spans="7:13" x14ac:dyDescent="0.25">
      <c r="G532" s="113"/>
      <c r="H532" s="15"/>
      <c r="I532" s="15"/>
      <c r="J532" s="15"/>
      <c r="K532" s="15"/>
      <c r="L532" s="15"/>
      <c r="M532" s="15"/>
    </row>
    <row r="533" spans="7:13" x14ac:dyDescent="0.25">
      <c r="G533" s="113"/>
      <c r="H533" s="15"/>
      <c r="I533" s="15"/>
      <c r="J533" s="15"/>
      <c r="K533" s="15"/>
      <c r="L533" s="15"/>
      <c r="M533" s="15"/>
    </row>
    <row r="534" spans="7:13" x14ac:dyDescent="0.25">
      <c r="G534" s="113"/>
      <c r="H534" s="15"/>
      <c r="I534" s="15"/>
      <c r="J534" s="15"/>
      <c r="K534" s="15"/>
      <c r="L534" s="15"/>
      <c r="M534" s="15"/>
    </row>
    <row r="535" spans="7:13" x14ac:dyDescent="0.25">
      <c r="G535" s="113"/>
      <c r="H535" s="15"/>
      <c r="I535" s="15"/>
      <c r="J535" s="15"/>
      <c r="K535" s="15"/>
      <c r="L535" s="15"/>
      <c r="M535" s="15"/>
    </row>
    <row r="536" spans="7:13" x14ac:dyDescent="0.25">
      <c r="G536" s="113"/>
      <c r="H536" s="15"/>
      <c r="I536" s="15"/>
      <c r="J536" s="15"/>
      <c r="K536" s="15"/>
      <c r="L536" s="15"/>
      <c r="M536" s="15"/>
    </row>
    <row r="537" spans="7:13" x14ac:dyDescent="0.25">
      <c r="G537" s="113"/>
      <c r="H537" s="15"/>
      <c r="I537" s="15"/>
      <c r="J537" s="15"/>
      <c r="K537" s="15"/>
      <c r="L537" s="15"/>
      <c r="M537" s="15"/>
    </row>
    <row r="538" spans="7:13" x14ac:dyDescent="0.25">
      <c r="G538" s="113"/>
      <c r="H538" s="15"/>
      <c r="I538" s="15"/>
      <c r="J538" s="15"/>
      <c r="K538" s="15"/>
      <c r="L538" s="15"/>
      <c r="M538" s="15"/>
    </row>
    <row r="539" spans="7:13" x14ac:dyDescent="0.25">
      <c r="G539" s="113"/>
      <c r="H539" s="15"/>
      <c r="I539" s="15"/>
      <c r="J539" s="15"/>
      <c r="K539" s="15"/>
      <c r="L539" s="15"/>
      <c r="M539" s="15"/>
    </row>
    <row r="540" spans="7:13" x14ac:dyDescent="0.25">
      <c r="G540" s="113"/>
      <c r="H540" s="15"/>
      <c r="I540" s="15"/>
      <c r="J540" s="15"/>
      <c r="K540" s="15"/>
      <c r="L540" s="15"/>
      <c r="M540" s="15"/>
    </row>
    <row r="541" spans="7:13" x14ac:dyDescent="0.25">
      <c r="G541" s="113"/>
      <c r="H541" s="15"/>
      <c r="I541" s="15"/>
      <c r="J541" s="15"/>
      <c r="K541" s="15"/>
      <c r="L541" s="15"/>
      <c r="M541" s="15"/>
    </row>
    <row r="542" spans="7:13" x14ac:dyDescent="0.25">
      <c r="G542" s="113"/>
      <c r="H542" s="15"/>
      <c r="I542" s="15"/>
      <c r="J542" s="15"/>
      <c r="K542" s="15"/>
      <c r="L542" s="15"/>
      <c r="M542" s="15"/>
    </row>
    <row r="543" spans="7:13" x14ac:dyDescent="0.25">
      <c r="G543" s="113"/>
      <c r="H543" s="15"/>
      <c r="I543" s="15"/>
      <c r="J543" s="15"/>
      <c r="K543" s="15"/>
      <c r="L543" s="15"/>
      <c r="M543" s="15"/>
    </row>
    <row r="544" spans="7:13" x14ac:dyDescent="0.25">
      <c r="G544" s="113"/>
      <c r="H544" s="15"/>
      <c r="I544" s="15"/>
      <c r="J544" s="15"/>
      <c r="K544" s="15"/>
      <c r="L544" s="15"/>
      <c r="M544" s="15"/>
    </row>
    <row r="545" spans="7:13" x14ac:dyDescent="0.25">
      <c r="G545" s="113"/>
      <c r="H545" s="15"/>
      <c r="I545" s="15"/>
      <c r="J545" s="15"/>
      <c r="K545" s="15"/>
      <c r="L545" s="15"/>
      <c r="M545" s="15"/>
    </row>
    <row r="546" spans="7:13" x14ac:dyDescent="0.25">
      <c r="G546" s="113"/>
      <c r="H546" s="15"/>
      <c r="I546" s="15"/>
      <c r="J546" s="15"/>
      <c r="K546" s="15"/>
      <c r="L546" s="15"/>
      <c r="M546" s="15"/>
    </row>
    <row r="547" spans="7:13" x14ac:dyDescent="0.25">
      <c r="G547" s="113"/>
      <c r="H547" s="15"/>
      <c r="I547" s="15"/>
      <c r="J547" s="15"/>
      <c r="K547" s="15"/>
      <c r="L547" s="15"/>
      <c r="M547" s="15"/>
    </row>
    <row r="548" spans="7:13" x14ac:dyDescent="0.25">
      <c r="G548" s="113"/>
      <c r="H548" s="15"/>
      <c r="I548" s="15"/>
      <c r="J548" s="15"/>
      <c r="K548" s="15"/>
      <c r="L548" s="15"/>
      <c r="M548" s="15"/>
    </row>
    <row r="549" spans="7:13" x14ac:dyDescent="0.25">
      <c r="G549" s="113"/>
      <c r="H549" s="15"/>
      <c r="I549" s="15"/>
      <c r="J549" s="15"/>
      <c r="K549" s="15"/>
      <c r="L549" s="15"/>
      <c r="M549" s="15"/>
    </row>
    <row r="550" spans="7:13" x14ac:dyDescent="0.25">
      <c r="G550" s="113"/>
      <c r="H550" s="15"/>
      <c r="I550" s="15"/>
      <c r="J550" s="15"/>
      <c r="K550" s="15"/>
      <c r="L550" s="15"/>
      <c r="M550" s="15"/>
    </row>
    <row r="551" spans="7:13" x14ac:dyDescent="0.25">
      <c r="G551" s="113"/>
      <c r="H551" s="15"/>
      <c r="I551" s="15"/>
      <c r="J551" s="15"/>
      <c r="K551" s="15"/>
      <c r="L551" s="15"/>
      <c r="M551" s="15"/>
    </row>
    <row r="552" spans="7:13" x14ac:dyDescent="0.25">
      <c r="G552" s="113"/>
      <c r="H552" s="15"/>
      <c r="I552" s="15"/>
      <c r="J552" s="15"/>
      <c r="K552" s="15"/>
      <c r="L552" s="15"/>
      <c r="M552" s="15"/>
    </row>
    <row r="553" spans="7:13" x14ac:dyDescent="0.25">
      <c r="G553" s="113"/>
      <c r="H553" s="15"/>
      <c r="I553" s="15"/>
      <c r="J553" s="15"/>
      <c r="K553" s="15"/>
      <c r="L553" s="15"/>
      <c r="M553" s="15"/>
    </row>
    <row r="554" spans="7:13" x14ac:dyDescent="0.25">
      <c r="G554" s="113"/>
      <c r="H554" s="15"/>
      <c r="I554" s="15"/>
      <c r="J554" s="15"/>
      <c r="K554" s="15"/>
      <c r="L554" s="15"/>
      <c r="M554" s="15"/>
    </row>
    <row r="555" spans="7:13" x14ac:dyDescent="0.25">
      <c r="G555" s="113"/>
      <c r="H555" s="15"/>
      <c r="I555" s="15"/>
      <c r="J555" s="15"/>
      <c r="K555" s="15"/>
      <c r="L555" s="15"/>
      <c r="M555" s="15"/>
    </row>
    <row r="556" spans="7:13" x14ac:dyDescent="0.25">
      <c r="G556" s="113"/>
      <c r="H556" s="15"/>
      <c r="I556" s="15"/>
      <c r="J556" s="15"/>
      <c r="K556" s="15"/>
      <c r="L556" s="15"/>
      <c r="M556" s="15"/>
    </row>
    <row r="557" spans="7:13" x14ac:dyDescent="0.25">
      <c r="G557" s="113"/>
      <c r="H557" s="15"/>
      <c r="I557" s="15"/>
      <c r="J557" s="15"/>
      <c r="K557" s="15"/>
      <c r="L557" s="15"/>
      <c r="M557" s="15"/>
    </row>
    <row r="558" spans="7:13" x14ac:dyDescent="0.25">
      <c r="G558" s="113"/>
      <c r="H558" s="15"/>
      <c r="I558" s="15"/>
      <c r="J558" s="15"/>
      <c r="K558" s="15"/>
      <c r="L558" s="15"/>
      <c r="M558" s="15"/>
    </row>
    <row r="559" spans="7:13" x14ac:dyDescent="0.25">
      <c r="G559" s="113"/>
      <c r="H559" s="15"/>
      <c r="I559" s="15"/>
      <c r="J559" s="15"/>
      <c r="K559" s="15"/>
      <c r="L559" s="15"/>
      <c r="M559" s="15"/>
    </row>
    <row r="560" spans="7:13" x14ac:dyDescent="0.25">
      <c r="G560" s="113"/>
      <c r="H560" s="15"/>
      <c r="I560" s="15"/>
      <c r="J560" s="15"/>
      <c r="K560" s="15"/>
      <c r="L560" s="15"/>
      <c r="M560" s="15"/>
    </row>
    <row r="561" spans="7:13" x14ac:dyDescent="0.25">
      <c r="G561" s="113"/>
      <c r="H561" s="15"/>
      <c r="I561" s="15"/>
      <c r="J561" s="15"/>
      <c r="K561" s="15"/>
      <c r="L561" s="15"/>
      <c r="M561" s="15"/>
    </row>
    <row r="562" spans="7:13" x14ac:dyDescent="0.25">
      <c r="G562" s="113"/>
      <c r="H562" s="15"/>
      <c r="I562" s="15"/>
      <c r="J562" s="15"/>
      <c r="K562" s="15"/>
      <c r="L562" s="15"/>
      <c r="M562" s="15"/>
    </row>
    <row r="563" spans="7:13" x14ac:dyDescent="0.25">
      <c r="G563" s="113"/>
      <c r="H563" s="15"/>
      <c r="I563" s="15"/>
      <c r="J563" s="15"/>
      <c r="K563" s="15"/>
      <c r="L563" s="15"/>
      <c r="M563" s="15"/>
    </row>
    <row r="564" spans="7:13" x14ac:dyDescent="0.25">
      <c r="G564" s="113"/>
      <c r="H564" s="15"/>
      <c r="I564" s="15"/>
      <c r="J564" s="15"/>
      <c r="K564" s="15"/>
      <c r="L564" s="15"/>
      <c r="M564" s="15"/>
    </row>
    <row r="565" spans="7:13" x14ac:dyDescent="0.25">
      <c r="G565" s="113"/>
      <c r="H565" s="15"/>
      <c r="I565" s="15"/>
      <c r="J565" s="15"/>
      <c r="K565" s="15"/>
      <c r="L565" s="15"/>
      <c r="M565" s="15"/>
    </row>
    <row r="566" spans="7:13" x14ac:dyDescent="0.25">
      <c r="G566" s="113"/>
      <c r="H566" s="15"/>
      <c r="I566" s="15"/>
      <c r="J566" s="15"/>
      <c r="K566" s="15"/>
      <c r="L566" s="15"/>
      <c r="M566" s="15"/>
    </row>
    <row r="567" spans="7:13" x14ac:dyDescent="0.25">
      <c r="G567" s="113"/>
      <c r="H567" s="15"/>
      <c r="I567" s="15"/>
      <c r="J567" s="15"/>
      <c r="K567" s="15"/>
      <c r="L567" s="15"/>
      <c r="M567" s="15"/>
    </row>
    <row r="568" spans="7:13" x14ac:dyDescent="0.25">
      <c r="G568" s="113"/>
      <c r="H568" s="15"/>
      <c r="I568" s="15"/>
      <c r="J568" s="15"/>
      <c r="K568" s="15"/>
      <c r="L568" s="15"/>
      <c r="M568" s="15"/>
    </row>
    <row r="569" spans="7:13" x14ac:dyDescent="0.25">
      <c r="G569" s="113"/>
      <c r="H569" s="15"/>
      <c r="I569" s="15"/>
      <c r="J569" s="15"/>
      <c r="K569" s="15"/>
      <c r="L569" s="15"/>
      <c r="M569" s="15"/>
    </row>
    <row r="570" spans="7:13" x14ac:dyDescent="0.25">
      <c r="G570" s="113"/>
      <c r="H570" s="15"/>
      <c r="I570" s="15"/>
      <c r="J570" s="15"/>
      <c r="K570" s="15"/>
      <c r="L570" s="15"/>
      <c r="M570" s="15"/>
    </row>
    <row r="571" spans="7:13" x14ac:dyDescent="0.25">
      <c r="G571" s="113"/>
      <c r="H571" s="15"/>
      <c r="I571" s="15"/>
      <c r="J571" s="15"/>
      <c r="K571" s="15"/>
      <c r="L571" s="15"/>
      <c r="M571" s="15"/>
    </row>
    <row r="572" spans="7:13" x14ac:dyDescent="0.25">
      <c r="G572" s="113"/>
      <c r="H572" s="15"/>
      <c r="I572" s="15"/>
      <c r="J572" s="15"/>
      <c r="K572" s="15"/>
      <c r="L572" s="15"/>
      <c r="M572" s="15"/>
    </row>
    <row r="573" spans="7:13" x14ac:dyDescent="0.25">
      <c r="G573" s="113"/>
      <c r="H573" s="15"/>
      <c r="I573" s="15"/>
      <c r="J573" s="15"/>
      <c r="K573" s="15"/>
      <c r="L573" s="15"/>
      <c r="M573" s="15"/>
    </row>
    <row r="574" spans="7:13" x14ac:dyDescent="0.25">
      <c r="G574" s="113"/>
      <c r="H574" s="15"/>
      <c r="I574" s="15"/>
      <c r="J574" s="15"/>
      <c r="K574" s="15"/>
      <c r="L574" s="15"/>
      <c r="M574" s="15"/>
    </row>
    <row r="575" spans="7:13" x14ac:dyDescent="0.25">
      <c r="G575" s="113"/>
      <c r="H575" s="15"/>
      <c r="I575" s="15"/>
      <c r="J575" s="15"/>
      <c r="K575" s="15"/>
      <c r="L575" s="15"/>
      <c r="M575" s="15"/>
    </row>
    <row r="576" spans="7:13" x14ac:dyDescent="0.25">
      <c r="G576" s="113"/>
      <c r="H576" s="15"/>
      <c r="I576" s="15"/>
      <c r="J576" s="15"/>
      <c r="K576" s="15"/>
      <c r="L576" s="15"/>
      <c r="M576" s="15"/>
    </row>
    <row r="577" spans="7:13" x14ac:dyDescent="0.25">
      <c r="G577" s="113"/>
      <c r="H577" s="15"/>
      <c r="I577" s="15"/>
      <c r="J577" s="15"/>
      <c r="K577" s="15"/>
      <c r="L577" s="15"/>
      <c r="M577" s="15"/>
    </row>
    <row r="578" spans="7:13" x14ac:dyDescent="0.25">
      <c r="G578" s="113"/>
      <c r="H578" s="15"/>
      <c r="I578" s="15"/>
      <c r="J578" s="15"/>
      <c r="K578" s="15"/>
      <c r="L578" s="15"/>
      <c r="M578" s="15"/>
    </row>
    <row r="579" spans="7:13" x14ac:dyDescent="0.25">
      <c r="G579" s="113"/>
      <c r="H579" s="15"/>
      <c r="I579" s="15"/>
      <c r="J579" s="15"/>
      <c r="K579" s="15"/>
      <c r="L579" s="15"/>
      <c r="M579" s="15"/>
    </row>
    <row r="580" spans="7:13" x14ac:dyDescent="0.25">
      <c r="G580" s="113"/>
      <c r="H580" s="15"/>
      <c r="I580" s="15"/>
      <c r="J580" s="15"/>
      <c r="K580" s="15"/>
      <c r="L580" s="15"/>
      <c r="M580" s="15"/>
    </row>
    <row r="581" spans="7:13" x14ac:dyDescent="0.25">
      <c r="G581" s="113"/>
      <c r="H581" s="15"/>
      <c r="I581" s="15"/>
      <c r="J581" s="15"/>
      <c r="K581" s="15"/>
      <c r="L581" s="15"/>
      <c r="M581" s="15"/>
    </row>
    <row r="582" spans="7:13" x14ac:dyDescent="0.25">
      <c r="G582" s="113"/>
      <c r="H582" s="15"/>
      <c r="I582" s="15"/>
      <c r="J582" s="15"/>
      <c r="K582" s="15"/>
      <c r="L582" s="15"/>
      <c r="M582" s="15"/>
    </row>
    <row r="583" spans="7:13" x14ac:dyDescent="0.25">
      <c r="G583" s="113"/>
      <c r="H583" s="15"/>
      <c r="I583" s="15"/>
      <c r="J583" s="15"/>
      <c r="K583" s="15"/>
      <c r="L583" s="15"/>
      <c r="M583" s="15"/>
    </row>
    <row r="584" spans="7:13" x14ac:dyDescent="0.25">
      <c r="G584" s="113"/>
      <c r="H584" s="15"/>
      <c r="I584" s="15"/>
      <c r="J584" s="15"/>
      <c r="K584" s="15"/>
      <c r="L584" s="15"/>
      <c r="M584" s="15"/>
    </row>
    <row r="585" spans="7:13" x14ac:dyDescent="0.25">
      <c r="G585" s="113"/>
      <c r="H585" s="15"/>
      <c r="I585" s="15"/>
      <c r="J585" s="15"/>
      <c r="K585" s="15"/>
      <c r="L585" s="15"/>
      <c r="M585" s="15"/>
    </row>
    <row r="586" spans="7:13" x14ac:dyDescent="0.25">
      <c r="G586" s="113"/>
      <c r="H586" s="15"/>
      <c r="I586" s="15"/>
      <c r="J586" s="15"/>
      <c r="K586" s="15"/>
      <c r="L586" s="15"/>
      <c r="M586" s="15"/>
    </row>
    <row r="587" spans="7:13" x14ac:dyDescent="0.25">
      <c r="G587" s="113"/>
      <c r="H587" s="15"/>
      <c r="I587" s="15"/>
      <c r="J587" s="15"/>
      <c r="K587" s="15"/>
      <c r="L587" s="15"/>
      <c r="M587" s="15"/>
    </row>
    <row r="588" spans="7:13" x14ac:dyDescent="0.25">
      <c r="G588" s="113"/>
      <c r="H588" s="15"/>
      <c r="I588" s="15"/>
      <c r="J588" s="15"/>
      <c r="K588" s="15"/>
      <c r="L588" s="15"/>
      <c r="M588" s="15"/>
    </row>
    <row r="589" spans="7:13" x14ac:dyDescent="0.25">
      <c r="G589" s="113"/>
      <c r="H589" s="15"/>
      <c r="I589" s="15"/>
      <c r="J589" s="15"/>
      <c r="K589" s="15"/>
      <c r="L589" s="15"/>
      <c r="M589" s="15"/>
    </row>
    <row r="590" spans="7:13" x14ac:dyDescent="0.25">
      <c r="G590" s="113"/>
      <c r="H590" s="15"/>
      <c r="I590" s="15"/>
      <c r="J590" s="15"/>
      <c r="K590" s="15"/>
      <c r="L590" s="15"/>
      <c r="M590" s="15"/>
    </row>
    <row r="591" spans="7:13" x14ac:dyDescent="0.25">
      <c r="G591" s="113"/>
      <c r="H591" s="15"/>
      <c r="I591" s="15"/>
      <c r="J591" s="15"/>
      <c r="K591" s="15"/>
      <c r="L591" s="15"/>
      <c r="M591" s="15"/>
    </row>
    <row r="592" spans="7:13" x14ac:dyDescent="0.25">
      <c r="G592" s="113"/>
      <c r="H592" s="15"/>
      <c r="I592" s="15"/>
      <c r="J592" s="15"/>
      <c r="K592" s="15"/>
      <c r="L592" s="15"/>
      <c r="M592" s="15"/>
    </row>
    <row r="593" spans="7:13" x14ac:dyDescent="0.25">
      <c r="G593" s="113"/>
      <c r="H593" s="15"/>
      <c r="I593" s="15"/>
      <c r="J593" s="15"/>
      <c r="K593" s="15"/>
      <c r="L593" s="15"/>
      <c r="M593" s="15"/>
    </row>
    <row r="594" spans="7:13" x14ac:dyDescent="0.25">
      <c r="G594" s="113"/>
      <c r="H594" s="15"/>
      <c r="I594" s="15"/>
      <c r="J594" s="15"/>
      <c r="K594" s="15"/>
      <c r="L594" s="15"/>
      <c r="M594" s="15"/>
    </row>
    <row r="595" spans="7:13" x14ac:dyDescent="0.25">
      <c r="G595" s="113"/>
      <c r="H595" s="15"/>
      <c r="I595" s="15"/>
      <c r="J595" s="15"/>
      <c r="K595" s="15"/>
      <c r="L595" s="15"/>
      <c r="M595" s="15"/>
    </row>
    <row r="596" spans="7:13" x14ac:dyDescent="0.25">
      <c r="G596" s="113"/>
      <c r="H596" s="15"/>
      <c r="I596" s="15"/>
      <c r="J596" s="15"/>
      <c r="K596" s="15"/>
      <c r="L596" s="15"/>
      <c r="M596" s="15"/>
    </row>
    <row r="597" spans="7:13" x14ac:dyDescent="0.25">
      <c r="G597" s="113"/>
      <c r="H597" s="15"/>
      <c r="I597" s="15"/>
      <c r="J597" s="15"/>
      <c r="K597" s="15"/>
      <c r="L597" s="15"/>
      <c r="M597" s="15"/>
    </row>
    <row r="598" spans="7:13" x14ac:dyDescent="0.25">
      <c r="G598" s="113"/>
      <c r="H598" s="15"/>
      <c r="I598" s="15"/>
      <c r="J598" s="15"/>
      <c r="K598" s="15"/>
      <c r="L598" s="15"/>
      <c r="M598" s="15"/>
    </row>
    <row r="599" spans="7:13" x14ac:dyDescent="0.25">
      <c r="G599" s="113"/>
      <c r="H599" s="15"/>
      <c r="I599" s="15"/>
      <c r="J599" s="15"/>
      <c r="K599" s="15"/>
      <c r="L599" s="15"/>
      <c r="M599" s="15"/>
    </row>
    <row r="600" spans="7:13" x14ac:dyDescent="0.25">
      <c r="G600" s="113"/>
      <c r="H600" s="15"/>
      <c r="I600" s="15"/>
      <c r="J600" s="15"/>
      <c r="K600" s="15"/>
      <c r="L600" s="15"/>
      <c r="M600" s="15"/>
    </row>
    <row r="601" spans="7:13" x14ac:dyDescent="0.25">
      <c r="G601" s="113"/>
      <c r="H601" s="15"/>
      <c r="I601" s="15"/>
      <c r="J601" s="15"/>
      <c r="K601" s="15"/>
      <c r="L601" s="15"/>
      <c r="M601" s="15"/>
    </row>
    <row r="602" spans="7:13" x14ac:dyDescent="0.25">
      <c r="G602" s="113"/>
      <c r="H602" s="15"/>
      <c r="I602" s="15"/>
      <c r="J602" s="15"/>
      <c r="K602" s="15"/>
      <c r="L602" s="15"/>
      <c r="M602" s="15"/>
    </row>
    <row r="603" spans="7:13" x14ac:dyDescent="0.25">
      <c r="G603" s="113"/>
      <c r="H603" s="15"/>
      <c r="I603" s="15"/>
      <c r="J603" s="15"/>
      <c r="K603" s="15"/>
      <c r="L603" s="15"/>
      <c r="M603" s="15"/>
    </row>
    <row r="604" spans="7:13" x14ac:dyDescent="0.25">
      <c r="G604" s="113"/>
      <c r="H604" s="15"/>
      <c r="I604" s="15"/>
      <c r="J604" s="15"/>
      <c r="K604" s="15"/>
      <c r="L604" s="15"/>
      <c r="M604" s="15"/>
    </row>
    <row r="605" spans="7:13" x14ac:dyDescent="0.25">
      <c r="G605" s="113"/>
      <c r="H605" s="15"/>
      <c r="I605" s="15"/>
      <c r="J605" s="15"/>
      <c r="K605" s="15"/>
      <c r="L605" s="15"/>
      <c r="M605" s="15"/>
    </row>
    <row r="606" spans="7:13" x14ac:dyDescent="0.25">
      <c r="G606" s="113"/>
      <c r="H606" s="15"/>
      <c r="I606" s="15"/>
      <c r="J606" s="15"/>
      <c r="K606" s="15"/>
      <c r="L606" s="15"/>
      <c r="M606" s="15"/>
    </row>
    <row r="607" spans="7:13" x14ac:dyDescent="0.25">
      <c r="G607" s="113"/>
      <c r="H607" s="15"/>
      <c r="I607" s="15"/>
      <c r="J607" s="15"/>
      <c r="K607" s="15"/>
      <c r="L607" s="15"/>
      <c r="M607" s="15"/>
    </row>
    <row r="608" spans="7:13" x14ac:dyDescent="0.25">
      <c r="G608" s="113"/>
      <c r="H608" s="15"/>
      <c r="I608" s="15"/>
      <c r="J608" s="15"/>
      <c r="K608" s="15"/>
      <c r="L608" s="15"/>
      <c r="M608" s="15"/>
    </row>
    <row r="609" spans="7:13" x14ac:dyDescent="0.25">
      <c r="G609" s="113"/>
      <c r="H609" s="15"/>
      <c r="I609" s="15"/>
      <c r="J609" s="15"/>
      <c r="K609" s="15"/>
      <c r="L609" s="15"/>
      <c r="M609" s="15"/>
    </row>
    <row r="610" spans="7:13" x14ac:dyDescent="0.25">
      <c r="G610" s="113"/>
      <c r="H610" s="15"/>
      <c r="I610" s="15"/>
      <c r="J610" s="15"/>
      <c r="K610" s="15"/>
      <c r="L610" s="15"/>
      <c r="M610" s="15"/>
    </row>
    <row r="611" spans="7:13" x14ac:dyDescent="0.25">
      <c r="G611" s="113"/>
      <c r="H611" s="15"/>
      <c r="I611" s="15"/>
      <c r="J611" s="15"/>
      <c r="K611" s="15"/>
      <c r="L611" s="15"/>
      <c r="M611" s="15"/>
    </row>
    <row r="612" spans="7:13" x14ac:dyDescent="0.25">
      <c r="G612" s="113"/>
      <c r="H612" s="15"/>
      <c r="I612" s="15"/>
      <c r="J612" s="15"/>
      <c r="K612" s="15"/>
      <c r="L612" s="15"/>
      <c r="M612" s="15"/>
    </row>
    <row r="613" spans="7:13" x14ac:dyDescent="0.25">
      <c r="G613" s="113"/>
      <c r="H613" s="15"/>
      <c r="I613" s="15"/>
      <c r="J613" s="15"/>
      <c r="K613" s="15"/>
      <c r="L613" s="15"/>
      <c r="M613" s="15"/>
    </row>
    <row r="614" spans="7:13" x14ac:dyDescent="0.25">
      <c r="G614" s="113"/>
      <c r="H614" s="15"/>
      <c r="I614" s="15"/>
      <c r="J614" s="15"/>
      <c r="K614" s="15"/>
      <c r="L614" s="15"/>
      <c r="M614" s="15"/>
    </row>
    <row r="615" spans="7:13" x14ac:dyDescent="0.25">
      <c r="G615" s="113"/>
      <c r="H615" s="15"/>
      <c r="I615" s="15"/>
      <c r="J615" s="15"/>
      <c r="K615" s="15"/>
      <c r="L615" s="15"/>
      <c r="M615" s="15"/>
    </row>
    <row r="616" spans="7:13" x14ac:dyDescent="0.25">
      <c r="G616" s="113"/>
      <c r="H616" s="15"/>
      <c r="I616" s="15"/>
      <c r="J616" s="15"/>
      <c r="K616" s="15"/>
      <c r="L616" s="15"/>
      <c r="M616" s="15"/>
    </row>
    <row r="617" spans="7:13" x14ac:dyDescent="0.25">
      <c r="G617" s="113"/>
      <c r="H617" s="15"/>
      <c r="I617" s="15"/>
      <c r="J617" s="15"/>
      <c r="K617" s="15"/>
      <c r="L617" s="15"/>
      <c r="M617" s="15"/>
    </row>
    <row r="618" spans="7:13" x14ac:dyDescent="0.25">
      <c r="G618" s="113"/>
      <c r="H618" s="15"/>
      <c r="I618" s="15"/>
      <c r="J618" s="15"/>
      <c r="K618" s="15"/>
      <c r="L618" s="15"/>
      <c r="M618" s="15"/>
    </row>
    <row r="619" spans="7:13" x14ac:dyDescent="0.25">
      <c r="G619" s="113"/>
      <c r="H619" s="15"/>
      <c r="I619" s="15"/>
      <c r="J619" s="15"/>
      <c r="K619" s="15"/>
      <c r="L619" s="15"/>
      <c r="M619" s="15"/>
    </row>
    <row r="620" spans="7:13" x14ac:dyDescent="0.25">
      <c r="G620" s="113"/>
      <c r="H620" s="15"/>
      <c r="I620" s="15"/>
      <c r="J620" s="15"/>
      <c r="K620" s="15"/>
      <c r="L620" s="15"/>
      <c r="M620" s="15"/>
    </row>
    <row r="621" spans="7:13" x14ac:dyDescent="0.25">
      <c r="G621" s="113"/>
      <c r="H621" s="15"/>
      <c r="I621" s="15"/>
      <c r="J621" s="15"/>
      <c r="K621" s="15"/>
      <c r="L621" s="15"/>
      <c r="M621" s="15"/>
    </row>
    <row r="622" spans="7:13" x14ac:dyDescent="0.25">
      <c r="G622" s="113"/>
      <c r="H622" s="15"/>
      <c r="I622" s="15"/>
      <c r="J622" s="15"/>
      <c r="K622" s="15"/>
      <c r="L622" s="15"/>
      <c r="M622" s="15"/>
    </row>
    <row r="623" spans="7:13" x14ac:dyDescent="0.25">
      <c r="G623" s="113"/>
      <c r="H623" s="15"/>
      <c r="I623" s="15"/>
      <c r="J623" s="15"/>
      <c r="K623" s="15"/>
      <c r="L623" s="15"/>
      <c r="M623" s="15"/>
    </row>
    <row r="624" spans="7:13" x14ac:dyDescent="0.25">
      <c r="G624" s="113"/>
      <c r="H624" s="15"/>
      <c r="I624" s="15"/>
      <c r="J624" s="15"/>
      <c r="K624" s="15"/>
      <c r="L624" s="15"/>
      <c r="M624" s="15"/>
    </row>
    <row r="625" spans="7:13" x14ac:dyDescent="0.25">
      <c r="G625" s="113"/>
      <c r="H625" s="15"/>
      <c r="I625" s="15"/>
      <c r="J625" s="15"/>
      <c r="K625" s="15"/>
      <c r="L625" s="15"/>
      <c r="M625" s="15"/>
    </row>
    <row r="626" spans="7:13" x14ac:dyDescent="0.25">
      <c r="G626" s="113"/>
      <c r="H626" s="15"/>
      <c r="I626" s="15"/>
      <c r="J626" s="15"/>
      <c r="K626" s="15"/>
      <c r="L626" s="15"/>
      <c r="M626" s="15"/>
    </row>
    <row r="627" spans="7:13" x14ac:dyDescent="0.25">
      <c r="G627" s="113"/>
      <c r="H627" s="15"/>
      <c r="I627" s="15"/>
      <c r="J627" s="15"/>
      <c r="K627" s="15"/>
      <c r="L627" s="15"/>
      <c r="M627" s="15"/>
    </row>
    <row r="628" spans="7:13" x14ac:dyDescent="0.25">
      <c r="G628" s="113"/>
      <c r="H628" s="15"/>
      <c r="I628" s="15"/>
      <c r="J628" s="15"/>
      <c r="K628" s="15"/>
      <c r="L628" s="15"/>
      <c r="M628" s="15"/>
    </row>
    <row r="629" spans="7:13" x14ac:dyDescent="0.25">
      <c r="G629" s="113"/>
      <c r="H629" s="15"/>
      <c r="I629" s="15"/>
      <c r="J629" s="15"/>
      <c r="K629" s="15"/>
      <c r="L629" s="15"/>
      <c r="M629" s="15"/>
    </row>
    <row r="630" spans="7:13" x14ac:dyDescent="0.25">
      <c r="G630" s="113"/>
      <c r="H630" s="15"/>
      <c r="I630" s="15"/>
      <c r="J630" s="15"/>
      <c r="K630" s="15"/>
      <c r="L630" s="15"/>
      <c r="M630" s="15"/>
    </row>
    <row r="631" spans="7:13" x14ac:dyDescent="0.25">
      <c r="G631" s="113"/>
      <c r="H631" s="15"/>
      <c r="I631" s="15"/>
      <c r="J631" s="15"/>
      <c r="K631" s="15"/>
      <c r="L631" s="15"/>
      <c r="M631" s="15"/>
    </row>
    <row r="632" spans="7:13" x14ac:dyDescent="0.25">
      <c r="G632" s="113"/>
      <c r="H632" s="15"/>
      <c r="I632" s="15"/>
      <c r="J632" s="15"/>
      <c r="K632" s="15"/>
      <c r="L632" s="15"/>
      <c r="M632" s="15"/>
    </row>
    <row r="633" spans="7:13" x14ac:dyDescent="0.25">
      <c r="G633" s="113"/>
      <c r="H633" s="15"/>
      <c r="I633" s="15"/>
      <c r="J633" s="15"/>
      <c r="K633" s="15"/>
      <c r="L633" s="15"/>
      <c r="M633" s="15"/>
    </row>
    <row r="634" spans="7:13" x14ac:dyDescent="0.25">
      <c r="G634" s="113"/>
      <c r="H634" s="15"/>
      <c r="I634" s="15"/>
      <c r="J634" s="15"/>
      <c r="K634" s="15"/>
      <c r="L634" s="15"/>
      <c r="M634" s="15"/>
    </row>
    <row r="635" spans="7:13" x14ac:dyDescent="0.25">
      <c r="G635" s="113"/>
      <c r="H635" s="15"/>
      <c r="I635" s="15"/>
      <c r="J635" s="15"/>
      <c r="K635" s="15"/>
      <c r="L635" s="15"/>
      <c r="M635" s="15"/>
    </row>
    <row r="636" spans="7:13" x14ac:dyDescent="0.25">
      <c r="G636" s="113"/>
      <c r="H636" s="15"/>
      <c r="I636" s="15"/>
      <c r="J636" s="15"/>
      <c r="K636" s="15"/>
      <c r="L636" s="15"/>
      <c r="M636" s="15"/>
    </row>
    <row r="637" spans="7:13" x14ac:dyDescent="0.25">
      <c r="G637" s="113"/>
      <c r="H637" s="15"/>
      <c r="I637" s="15"/>
      <c r="J637" s="15"/>
      <c r="K637" s="15"/>
      <c r="L637" s="15"/>
      <c r="M637" s="15"/>
    </row>
    <row r="638" spans="7:13" x14ac:dyDescent="0.25">
      <c r="G638" s="113"/>
      <c r="H638" s="15"/>
      <c r="I638" s="15"/>
      <c r="J638" s="15"/>
      <c r="K638" s="15"/>
      <c r="L638" s="15"/>
      <c r="M638" s="15"/>
    </row>
    <row r="639" spans="7:13" x14ac:dyDescent="0.25">
      <c r="G639" s="113"/>
      <c r="H639" s="15"/>
      <c r="I639" s="15"/>
      <c r="J639" s="15"/>
      <c r="K639" s="15"/>
      <c r="L639" s="15"/>
      <c r="M639" s="15"/>
    </row>
    <row r="640" spans="7:13" x14ac:dyDescent="0.25">
      <c r="G640" s="113"/>
      <c r="H640" s="15"/>
      <c r="I640" s="15"/>
      <c r="J640" s="15"/>
      <c r="K640" s="15"/>
      <c r="L640" s="15"/>
      <c r="M640" s="15"/>
    </row>
    <row r="641" spans="7:13" x14ac:dyDescent="0.25">
      <c r="G641" s="113"/>
      <c r="H641" s="15"/>
      <c r="I641" s="15"/>
      <c r="J641" s="15"/>
      <c r="K641" s="15"/>
      <c r="L641" s="15"/>
      <c r="M641" s="15"/>
    </row>
    <row r="642" spans="7:13" x14ac:dyDescent="0.25">
      <c r="G642" s="113"/>
      <c r="H642" s="15"/>
      <c r="I642" s="15"/>
      <c r="J642" s="15"/>
      <c r="K642" s="15"/>
      <c r="L642" s="15"/>
      <c r="M642" s="15"/>
    </row>
    <row r="643" spans="7:13" x14ac:dyDescent="0.25">
      <c r="G643" s="113"/>
      <c r="H643" s="15"/>
      <c r="I643" s="15"/>
      <c r="J643" s="15"/>
      <c r="K643" s="15"/>
      <c r="L643" s="15"/>
      <c r="M643" s="15"/>
    </row>
    <row r="644" spans="7:13" x14ac:dyDescent="0.25">
      <c r="G644" s="113"/>
      <c r="H644" s="15"/>
      <c r="I644" s="15"/>
      <c r="J644" s="15"/>
      <c r="K644" s="15"/>
      <c r="L644" s="15"/>
      <c r="M644" s="15"/>
    </row>
    <row r="645" spans="7:13" x14ac:dyDescent="0.25">
      <c r="G645" s="113"/>
      <c r="H645" s="15"/>
      <c r="I645" s="15"/>
      <c r="J645" s="15"/>
      <c r="K645" s="15"/>
      <c r="L645" s="15"/>
      <c r="M645" s="15"/>
    </row>
    <row r="646" spans="7:13" x14ac:dyDescent="0.25">
      <c r="G646" s="113"/>
      <c r="H646" s="15"/>
      <c r="I646" s="15"/>
      <c r="J646" s="15"/>
      <c r="K646" s="15"/>
      <c r="L646" s="15"/>
      <c r="M646" s="15"/>
    </row>
    <row r="647" spans="7:13" x14ac:dyDescent="0.25">
      <c r="G647" s="113"/>
      <c r="H647" s="15"/>
      <c r="I647" s="15"/>
      <c r="J647" s="15"/>
      <c r="K647" s="15"/>
      <c r="L647" s="15"/>
      <c r="M647" s="15"/>
    </row>
    <row r="648" spans="7:13" x14ac:dyDescent="0.25">
      <c r="G648" s="113"/>
      <c r="H648" s="15"/>
      <c r="I648" s="15"/>
      <c r="J648" s="15"/>
      <c r="K648" s="15"/>
      <c r="L648" s="15"/>
      <c r="M648" s="15"/>
    </row>
    <row r="649" spans="7:13" x14ac:dyDescent="0.25">
      <c r="G649" s="113"/>
      <c r="H649" s="15"/>
      <c r="I649" s="15"/>
      <c r="J649" s="15"/>
      <c r="K649" s="15"/>
      <c r="L649" s="15"/>
      <c r="M649" s="15"/>
    </row>
    <row r="650" spans="7:13" x14ac:dyDescent="0.25">
      <c r="G650" s="113"/>
      <c r="H650" s="15"/>
      <c r="I650" s="15"/>
      <c r="J650" s="15"/>
      <c r="K650" s="15"/>
      <c r="L650" s="15"/>
      <c r="M650" s="15"/>
    </row>
    <row r="651" spans="7:13" x14ac:dyDescent="0.25">
      <c r="G651" s="113"/>
      <c r="H651" s="15"/>
      <c r="I651" s="15"/>
      <c r="J651" s="15"/>
      <c r="K651" s="15"/>
      <c r="L651" s="15"/>
      <c r="M651" s="15"/>
    </row>
    <row r="652" spans="7:13" x14ac:dyDescent="0.25">
      <c r="G652" s="113"/>
      <c r="H652" s="15"/>
      <c r="I652" s="15"/>
      <c r="J652" s="15"/>
      <c r="K652" s="15"/>
      <c r="L652" s="15"/>
      <c r="M652" s="15"/>
    </row>
    <row r="653" spans="7:13" x14ac:dyDescent="0.25">
      <c r="G653" s="113"/>
      <c r="H653" s="15"/>
      <c r="I653" s="15"/>
      <c r="J653" s="15"/>
      <c r="K653" s="15"/>
      <c r="L653" s="15"/>
      <c r="M653" s="15"/>
    </row>
    <row r="654" spans="7:13" x14ac:dyDescent="0.25">
      <c r="G654" s="113"/>
      <c r="H654" s="15"/>
      <c r="I654" s="15"/>
      <c r="J654" s="15"/>
      <c r="K654" s="15"/>
      <c r="L654" s="15"/>
      <c r="M654" s="15"/>
    </row>
    <row r="655" spans="7:13" x14ac:dyDescent="0.25">
      <c r="G655" s="113"/>
      <c r="H655" s="15"/>
      <c r="I655" s="15"/>
      <c r="J655" s="15"/>
      <c r="K655" s="15"/>
      <c r="L655" s="15"/>
      <c r="M655" s="15"/>
    </row>
    <row r="656" spans="7:13" x14ac:dyDescent="0.25">
      <c r="G656" s="113"/>
      <c r="H656" s="15"/>
      <c r="I656" s="15"/>
      <c r="J656" s="15"/>
      <c r="K656" s="15"/>
      <c r="L656" s="15"/>
      <c r="M656" s="15"/>
    </row>
    <row r="657" spans="7:13" x14ac:dyDescent="0.25">
      <c r="G657" s="113"/>
      <c r="H657" s="15"/>
      <c r="I657" s="15"/>
      <c r="J657" s="15"/>
      <c r="K657" s="15"/>
      <c r="L657" s="15"/>
      <c r="M657" s="15"/>
    </row>
    <row r="658" spans="7:13" x14ac:dyDescent="0.25">
      <c r="G658" s="113"/>
      <c r="H658" s="15"/>
      <c r="I658" s="15"/>
      <c r="J658" s="15"/>
      <c r="K658" s="15"/>
      <c r="L658" s="15"/>
      <c r="M658" s="15"/>
    </row>
    <row r="659" spans="7:13" x14ac:dyDescent="0.25">
      <c r="G659" s="113"/>
      <c r="H659" s="15"/>
      <c r="I659" s="15"/>
      <c r="J659" s="15"/>
      <c r="K659" s="15"/>
      <c r="L659" s="15"/>
      <c r="M659" s="15"/>
    </row>
    <row r="660" spans="7:13" x14ac:dyDescent="0.25">
      <c r="G660" s="113"/>
      <c r="H660" s="15"/>
      <c r="I660" s="15"/>
      <c r="J660" s="15"/>
      <c r="K660" s="15"/>
      <c r="L660" s="15"/>
      <c r="M660" s="15"/>
    </row>
    <row r="661" spans="7:13" x14ac:dyDescent="0.25">
      <c r="G661" s="113"/>
      <c r="H661" s="15"/>
      <c r="I661" s="15"/>
      <c r="J661" s="15"/>
      <c r="K661" s="15"/>
      <c r="L661" s="15"/>
      <c r="M661" s="15"/>
    </row>
    <row r="662" spans="7:13" x14ac:dyDescent="0.25">
      <c r="G662" s="113"/>
      <c r="H662" s="15"/>
      <c r="I662" s="15"/>
      <c r="J662" s="15"/>
      <c r="K662" s="15"/>
      <c r="L662" s="15"/>
      <c r="M662" s="15"/>
    </row>
    <row r="663" spans="7:13" x14ac:dyDescent="0.25">
      <c r="G663" s="113"/>
      <c r="H663" s="15"/>
      <c r="I663" s="15"/>
      <c r="J663" s="15"/>
      <c r="K663" s="15"/>
      <c r="L663" s="15"/>
      <c r="M663" s="15"/>
    </row>
    <row r="664" spans="7:13" x14ac:dyDescent="0.25">
      <c r="G664" s="113"/>
      <c r="H664" s="15"/>
      <c r="I664" s="15"/>
      <c r="J664" s="15"/>
      <c r="K664" s="15"/>
      <c r="L664" s="15"/>
      <c r="M664" s="15"/>
    </row>
    <row r="665" spans="7:13" x14ac:dyDescent="0.25">
      <c r="G665" s="113"/>
      <c r="H665" s="15"/>
      <c r="I665" s="15"/>
      <c r="J665" s="15"/>
      <c r="K665" s="15"/>
      <c r="L665" s="15"/>
      <c r="M665" s="15"/>
    </row>
    <row r="666" spans="7:13" x14ac:dyDescent="0.25">
      <c r="G666" s="113"/>
      <c r="H666" s="15"/>
      <c r="I666" s="15"/>
      <c r="J666" s="15"/>
      <c r="K666" s="15"/>
      <c r="L666" s="15"/>
      <c r="M666" s="15"/>
    </row>
    <row r="667" spans="7:13" x14ac:dyDescent="0.25">
      <c r="G667" s="113"/>
      <c r="H667" s="15"/>
      <c r="I667" s="15"/>
      <c r="J667" s="15"/>
      <c r="K667" s="15"/>
      <c r="L667" s="15"/>
      <c r="M667" s="15"/>
    </row>
    <row r="668" spans="7:13" x14ac:dyDescent="0.25">
      <c r="G668" s="113"/>
      <c r="H668" s="15"/>
      <c r="I668" s="15"/>
      <c r="J668" s="15"/>
      <c r="K668" s="15"/>
      <c r="L668" s="15"/>
      <c r="M668" s="15"/>
    </row>
    <row r="669" spans="7:13" x14ac:dyDescent="0.25">
      <c r="G669" s="113"/>
      <c r="H669" s="15"/>
      <c r="I669" s="15"/>
      <c r="J669" s="15"/>
      <c r="K669" s="15"/>
      <c r="L669" s="15"/>
      <c r="M669" s="15"/>
    </row>
    <row r="670" spans="7:13" x14ac:dyDescent="0.25">
      <c r="G670" s="113"/>
      <c r="H670" s="15"/>
      <c r="I670" s="15"/>
      <c r="J670" s="15"/>
      <c r="K670" s="15"/>
      <c r="L670" s="15"/>
      <c r="M670" s="15"/>
    </row>
    <row r="671" spans="7:13" x14ac:dyDescent="0.25">
      <c r="G671" s="113"/>
      <c r="H671" s="15"/>
      <c r="I671" s="15"/>
      <c r="J671" s="15"/>
      <c r="K671" s="15"/>
      <c r="L671" s="15"/>
      <c r="M671" s="15"/>
    </row>
    <row r="672" spans="7:13" x14ac:dyDescent="0.25">
      <c r="G672" s="113"/>
      <c r="H672" s="15"/>
      <c r="I672" s="15"/>
      <c r="J672" s="15"/>
      <c r="K672" s="15"/>
      <c r="L672" s="15"/>
      <c r="M672" s="15"/>
    </row>
    <row r="673" spans="7:13" x14ac:dyDescent="0.25">
      <c r="G673" s="113"/>
      <c r="H673" s="15"/>
      <c r="I673" s="15"/>
      <c r="J673" s="15"/>
      <c r="K673" s="15"/>
      <c r="L673" s="15"/>
      <c r="M673" s="15"/>
    </row>
    <row r="674" spans="7:13" x14ac:dyDescent="0.25">
      <c r="G674" s="113"/>
      <c r="H674" s="15"/>
      <c r="I674" s="15"/>
      <c r="J674" s="15"/>
      <c r="K674" s="15"/>
      <c r="L674" s="15"/>
      <c r="M674" s="15"/>
    </row>
    <row r="675" spans="7:13" x14ac:dyDescent="0.25">
      <c r="G675" s="113"/>
      <c r="H675" s="15"/>
      <c r="I675" s="15"/>
      <c r="J675" s="15"/>
      <c r="K675" s="15"/>
      <c r="L675" s="15"/>
      <c r="M675" s="15"/>
    </row>
    <row r="676" spans="7:13" x14ac:dyDescent="0.25">
      <c r="G676" s="113"/>
      <c r="H676" s="15"/>
      <c r="I676" s="15"/>
      <c r="J676" s="15"/>
      <c r="K676" s="15"/>
      <c r="L676" s="15"/>
      <c r="M676" s="15"/>
    </row>
    <row r="677" spans="7:13" x14ac:dyDescent="0.25">
      <c r="G677" s="113"/>
      <c r="H677" s="15"/>
      <c r="I677" s="15"/>
      <c r="J677" s="15"/>
      <c r="K677" s="15"/>
      <c r="L677" s="15"/>
      <c r="M677" s="15"/>
    </row>
    <row r="678" spans="7:13" x14ac:dyDescent="0.25">
      <c r="G678" s="113"/>
      <c r="H678" s="15"/>
      <c r="I678" s="15"/>
      <c r="J678" s="15"/>
      <c r="K678" s="15"/>
      <c r="L678" s="15"/>
      <c r="M678" s="15"/>
    </row>
    <row r="679" spans="7:13" x14ac:dyDescent="0.25">
      <c r="G679" s="113"/>
      <c r="H679" s="15"/>
      <c r="I679" s="15"/>
      <c r="J679" s="15"/>
      <c r="K679" s="15"/>
      <c r="L679" s="15"/>
      <c r="M679" s="15"/>
    </row>
    <row r="680" spans="7:13" x14ac:dyDescent="0.25">
      <c r="G680" s="113"/>
      <c r="H680" s="15"/>
      <c r="I680" s="15"/>
      <c r="J680" s="15"/>
      <c r="K680" s="15"/>
      <c r="L680" s="15"/>
      <c r="M680" s="15"/>
    </row>
    <row r="681" spans="7:13" x14ac:dyDescent="0.25">
      <c r="G681" s="113"/>
      <c r="H681" s="15"/>
      <c r="I681" s="15"/>
      <c r="J681" s="15"/>
      <c r="K681" s="15"/>
      <c r="L681" s="15"/>
      <c r="M681" s="15"/>
    </row>
    <row r="682" spans="7:13" x14ac:dyDescent="0.25">
      <c r="G682" s="113"/>
      <c r="H682" s="15"/>
      <c r="I682" s="15"/>
      <c r="J682" s="15"/>
      <c r="K682" s="15"/>
      <c r="L682" s="15"/>
      <c r="M682" s="15"/>
    </row>
    <row r="683" spans="7:13" x14ac:dyDescent="0.25">
      <c r="G683" s="113"/>
      <c r="H683" s="15"/>
      <c r="I683" s="15"/>
      <c r="J683" s="15"/>
      <c r="K683" s="15"/>
      <c r="L683" s="15"/>
      <c r="M683" s="15"/>
    </row>
    <row r="684" spans="7:13" x14ac:dyDescent="0.25">
      <c r="G684" s="113"/>
      <c r="H684" s="15"/>
      <c r="I684" s="15"/>
      <c r="J684" s="15"/>
      <c r="K684" s="15"/>
      <c r="L684" s="15"/>
      <c r="M684" s="15"/>
    </row>
    <row r="685" spans="7:13" x14ac:dyDescent="0.25">
      <c r="G685" s="113"/>
      <c r="H685" s="15"/>
      <c r="I685" s="15"/>
      <c r="J685" s="15"/>
      <c r="K685" s="15"/>
      <c r="L685" s="15"/>
      <c r="M685" s="15"/>
    </row>
    <row r="686" spans="7:13" x14ac:dyDescent="0.25">
      <c r="G686" s="113"/>
      <c r="H686" s="15"/>
      <c r="I686" s="15"/>
      <c r="J686" s="15"/>
      <c r="K686" s="15"/>
      <c r="L686" s="15"/>
      <c r="M686" s="15"/>
    </row>
    <row r="687" spans="7:13" x14ac:dyDescent="0.25">
      <c r="G687" s="113"/>
      <c r="H687" s="15"/>
      <c r="I687" s="15"/>
      <c r="J687" s="15"/>
      <c r="K687" s="15"/>
      <c r="L687" s="15"/>
      <c r="M687" s="15"/>
    </row>
    <row r="688" spans="7:13" x14ac:dyDescent="0.25">
      <c r="G688" s="113"/>
      <c r="H688" s="15"/>
      <c r="I688" s="15"/>
      <c r="J688" s="15"/>
      <c r="K688" s="15"/>
      <c r="L688" s="15"/>
      <c r="M688" s="15"/>
    </row>
    <row r="689" spans="7:13" x14ac:dyDescent="0.25">
      <c r="G689" s="113"/>
      <c r="H689" s="15"/>
      <c r="I689" s="15"/>
      <c r="J689" s="15"/>
      <c r="K689" s="15"/>
      <c r="L689" s="15"/>
      <c r="M689" s="15"/>
    </row>
    <row r="690" spans="7:13" x14ac:dyDescent="0.25">
      <c r="G690" s="113"/>
      <c r="H690" s="15"/>
      <c r="I690" s="15"/>
      <c r="J690" s="15"/>
      <c r="K690" s="15"/>
      <c r="L690" s="15"/>
      <c r="M690" s="15"/>
    </row>
    <row r="691" spans="7:13" x14ac:dyDescent="0.25">
      <c r="G691" s="113"/>
      <c r="H691" s="15"/>
      <c r="I691" s="15"/>
      <c r="J691" s="15"/>
      <c r="K691" s="15"/>
      <c r="L691" s="15"/>
      <c r="M691" s="15"/>
    </row>
    <row r="692" spans="7:13" x14ac:dyDescent="0.25">
      <c r="G692" s="113"/>
      <c r="H692" s="15"/>
      <c r="I692" s="15"/>
      <c r="J692" s="15"/>
      <c r="K692" s="15"/>
      <c r="L692" s="15"/>
      <c r="M692" s="15"/>
    </row>
    <row r="693" spans="7:13" x14ac:dyDescent="0.25">
      <c r="G693" s="113"/>
      <c r="H693" s="15"/>
      <c r="I693" s="15"/>
      <c r="J693" s="15"/>
      <c r="K693" s="15"/>
      <c r="L693" s="15"/>
      <c r="M693" s="15"/>
    </row>
    <row r="694" spans="7:13" x14ac:dyDescent="0.25">
      <c r="G694" s="113"/>
      <c r="H694" s="15"/>
      <c r="I694" s="15"/>
      <c r="J694" s="15"/>
      <c r="K694" s="15"/>
      <c r="L694" s="15"/>
      <c r="M694" s="15"/>
    </row>
    <row r="695" spans="7:13" x14ac:dyDescent="0.25">
      <c r="G695" s="113"/>
      <c r="H695" s="15"/>
      <c r="I695" s="15"/>
      <c r="J695" s="15"/>
      <c r="K695" s="15"/>
      <c r="L695" s="15"/>
      <c r="M695" s="15"/>
    </row>
    <row r="696" spans="7:13" x14ac:dyDescent="0.25">
      <c r="G696" s="113"/>
      <c r="H696" s="15"/>
      <c r="I696" s="15"/>
      <c r="J696" s="15"/>
      <c r="K696" s="15"/>
      <c r="L696" s="15"/>
      <c r="M696" s="15"/>
    </row>
    <row r="697" spans="7:13" x14ac:dyDescent="0.25">
      <c r="G697" s="113"/>
      <c r="H697" s="15"/>
      <c r="I697" s="15"/>
      <c r="J697" s="15"/>
      <c r="K697" s="15"/>
      <c r="L697" s="15"/>
      <c r="M697" s="15"/>
    </row>
    <row r="698" spans="7:13" x14ac:dyDescent="0.25">
      <c r="G698" s="113"/>
      <c r="H698" s="15"/>
      <c r="I698" s="15"/>
      <c r="J698" s="15"/>
      <c r="K698" s="15"/>
      <c r="L698" s="15"/>
      <c r="M698" s="15"/>
    </row>
  </sheetData>
  <sheetProtection algorithmName="SHA-512" hashValue="Pl5pxSl8WU6O0NKjmsE2BUkFIthkkfs0ePvf6YcWooPDiHPoj5HvatdqOkimKlPzO+bQdFGRZK3sWH6hfLdgaA==" saltValue="wsyc07RDTUxDYDPX8Hadrg==" spinCount="100000" sheet="1" objects="1" scenarios="1"/>
  <mergeCells count="19">
    <mergeCell ref="E41:F41"/>
    <mergeCell ref="J35:L35"/>
    <mergeCell ref="J32:L32"/>
    <mergeCell ref="J33:L33"/>
    <mergeCell ref="J34:L34"/>
    <mergeCell ref="I36:L36"/>
    <mergeCell ref="O19:P19"/>
    <mergeCell ref="O20:P20"/>
    <mergeCell ref="O29:Q29"/>
    <mergeCell ref="O23:S23"/>
    <mergeCell ref="O24:T25"/>
    <mergeCell ref="O22:Q22"/>
    <mergeCell ref="O18:P18"/>
    <mergeCell ref="B2:S2"/>
    <mergeCell ref="I4:L4"/>
    <mergeCell ref="B6:C6"/>
    <mergeCell ref="O6:R6"/>
    <mergeCell ref="O17:P17"/>
    <mergeCell ref="G17:M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2021-05-10T15:38:07Z</dcterms:modified>
</cp:coreProperties>
</file>