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Silab\CNPF C+for n°61 Bonnefond (Silab n°1)\"/>
    </mc:Choice>
  </mc:AlternateContent>
  <bookViews>
    <workbookView xWindow="0" yWindow="0" windowWidth="23040" windowHeight="8805" tabRatio="662" firstSheet="1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B43" i="1"/>
  <c r="B42" i="1"/>
  <c r="B41" i="1"/>
  <c r="B40" i="1"/>
  <c r="B39" i="1"/>
  <c r="B38" i="1"/>
  <c r="B37" i="1"/>
  <c r="B159" i="1"/>
  <c r="B158" i="1"/>
  <c r="B157" i="1"/>
  <c r="B156" i="1"/>
  <c r="B155" i="1"/>
  <c r="B154" i="1"/>
  <c r="D156" i="1"/>
  <c r="D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D159" i="1"/>
  <c r="D152" i="1"/>
  <c r="D150" i="1"/>
  <c r="D148" i="1"/>
  <c r="D146" i="1"/>
  <c r="D144" i="1"/>
  <c r="D142" i="1"/>
  <c r="D140" i="1"/>
  <c r="B140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R4" i="2"/>
  <c r="FQ4" i="2"/>
  <c r="BR4" i="2"/>
  <c r="EC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HG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HG28" i="2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H38" i="2"/>
  <c r="EW38" i="2"/>
  <c r="HG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HI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EW44" i="2"/>
  <c r="HH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G57" i="2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HH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HH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FQ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G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X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HG130" i="2"/>
  <c r="EW130" i="2"/>
  <c r="EX130" i="2"/>
  <c r="HH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B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HH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HH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HI146" i="2"/>
  <c r="FS146" i="2"/>
  <c r="HH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HH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HG155" i="2"/>
  <c r="EW155" i="2"/>
  <c r="HH155" i="2"/>
  <c r="ED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HH156" i="2" l="1"/>
  <c r="HI156" i="2"/>
  <c r="EX156" i="2"/>
  <c r="FS156" i="2"/>
  <c r="ED155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HH158" i="2"/>
  <c r="HG158" i="2"/>
  <c r="EW158" i="2"/>
  <c r="ED157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HI160" i="2"/>
  <c r="HG160" i="2"/>
  <c r="HH160" i="2"/>
  <c r="ED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D160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DI161" i="2"/>
  <c r="EW162" i="2"/>
  <c r="HG162" i="2"/>
  <c r="ED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H163" i="2"/>
  <c r="HG163" i="2"/>
  <c r="ED162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R164" i="2" l="1"/>
  <c r="FS164" i="2"/>
  <c r="HH164" i="2"/>
  <c r="ED163" i="2"/>
  <c r="DI163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R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G168" i="2"/>
  <c r="EV168" i="2"/>
  <c r="EB168" i="2"/>
  <c r="EC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W172" i="2"/>
  <c r="HG172" i="2"/>
  <c r="ED171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W175" i="2"/>
  <c r="ED174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FS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HH179" i="2"/>
  <c r="HG179" i="2"/>
  <c r="ED178" i="2"/>
  <c r="EB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ED179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HI185" i="2"/>
  <c r="EW185" i="2"/>
  <c r="EV185" i="2"/>
  <c r="ED184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HH186" i="2"/>
  <c r="FR186" i="2"/>
  <c r="HG186" i="2"/>
  <c r="ED185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W191" i="2"/>
  <c r="ED190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V192" i="2"/>
  <c r="HH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X193" i="2" l="1"/>
  <c r="ED192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HG194" i="2"/>
  <c r="ED193" i="2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HI195" i="2"/>
  <c r="ED194" i="2"/>
  <c r="EB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D197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HH201" i="2"/>
  <c r="ED200" i="2"/>
  <c r="DI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HG202" i="2"/>
  <c r="FR202" i="2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29" i="2" a="1"/>
  <c r="EI29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43" i="2" a="1"/>
  <c r="DN43" i="2" s="1"/>
  <c r="DN41" i="2" a="1"/>
  <c r="DN41" i="2" s="1"/>
  <c r="DN152" i="2" a="1"/>
  <c r="DN152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1" i="2" a="1"/>
  <c r="BC31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24" i="2" l="1" a="1"/>
  <c r="CS24" i="2" s="1"/>
  <c r="CS116" i="2" a="1"/>
  <c r="CS116" i="2" s="1"/>
  <c r="CS105" i="2" a="1"/>
  <c r="CS105" i="2" s="1"/>
  <c r="CS120" i="2" a="1"/>
  <c r="CS120" i="2" s="1"/>
  <c r="CS134" i="2" a="1"/>
  <c r="CS134" i="2" s="1"/>
  <c r="CS129" i="2" a="1"/>
  <c r="CS129" i="2" s="1"/>
  <c r="CS114" i="2" a="1"/>
  <c r="CS114" i="2" s="1"/>
  <c r="CS72" i="2" a="1"/>
  <c r="CS72" i="2" s="1"/>
  <c r="CS52" i="2" a="1"/>
  <c r="CS52" i="2" s="1"/>
  <c r="CS77" i="2" a="1"/>
  <c r="CS77" i="2" s="1"/>
  <c r="CS161" i="2" a="1"/>
  <c r="CS161" i="2" s="1"/>
  <c r="CS137" i="2" a="1"/>
  <c r="CS137" i="2" s="1"/>
  <c r="CS185" i="2" a="1"/>
  <c r="CS185" i="2" s="1"/>
  <c r="CS38" i="2" a="1"/>
  <c r="CS38" i="2" s="1"/>
  <c r="CS66" i="2" a="1"/>
  <c r="CS66" i="2" s="1"/>
  <c r="CS56" i="2" a="1"/>
  <c r="CS56" i="2" s="1"/>
  <c r="BX107" i="2" a="1"/>
  <c r="BX107" i="2" s="1"/>
  <c r="FY50" i="2" a="1"/>
  <c r="FY50" i="2" s="1"/>
  <c r="FY109" i="2" a="1"/>
  <c r="FY109" i="2" s="1"/>
  <c r="EI150" i="2" a="1"/>
  <c r="EI150" i="2" s="1"/>
  <c r="HG203" i="2"/>
  <c r="EI106" i="2" a="1"/>
  <c r="EI106" i="2" s="1"/>
  <c r="EI153" i="2" a="1"/>
  <c r="EI153" i="2" s="1"/>
  <c r="EI198" i="2" a="1"/>
  <c r="EI198" i="2" s="1"/>
  <c r="BC18" i="2" a="1"/>
  <c r="BC18" i="2" s="1"/>
  <c r="BC84" i="2" a="1"/>
  <c r="BC84" i="2" s="1"/>
  <c r="BC32" i="2" a="1"/>
  <c r="BC32" i="2" s="1"/>
  <c r="BC83" i="2" a="1"/>
  <c r="BC83" i="2" s="1"/>
  <c r="BC55" i="2" a="1"/>
  <c r="BC55" i="2" s="1"/>
  <c r="BC151" i="2" a="1"/>
  <c r="BC151" i="2" s="1"/>
  <c r="BC38" i="2" a="1"/>
  <c r="BC38" i="2" s="1"/>
  <c r="BC7" i="2" a="1"/>
  <c r="BC7" i="2" s="1"/>
  <c r="BC185" i="2" a="1"/>
  <c r="BC185" i="2" s="1"/>
  <c r="BC143" i="2" a="1"/>
  <c r="BC143" i="2" s="1"/>
  <c r="BC117" i="2" a="1"/>
  <c r="BC117" i="2" s="1"/>
  <c r="BC181" i="2" a="1"/>
  <c r="BC181" i="2" s="1"/>
  <c r="BC34" i="2" a="1"/>
  <c r="BC34" i="2" s="1"/>
  <c r="BC164" i="2" a="1"/>
  <c r="BC164" i="2" s="1"/>
  <c r="BC192" i="2" a="1"/>
  <c r="BC192" i="2" s="1"/>
  <c r="FR203" i="2"/>
  <c r="BC114" i="2" a="1"/>
  <c r="BC114" i="2" s="1"/>
  <c r="BC126" i="2" a="1"/>
  <c r="BC126" i="2" s="1"/>
  <c r="BC65" i="2" a="1"/>
  <c r="BC65" i="2" s="1"/>
  <c r="BC130" i="2" a="1"/>
  <c r="BC130" i="2" s="1"/>
  <c r="BC82" i="2" a="1"/>
  <c r="BC82" i="2" s="1"/>
  <c r="BC47" i="2" a="1"/>
  <c r="BC47" i="2" s="1"/>
  <c r="BC68" i="2" a="1"/>
  <c r="BC68" i="2" s="1"/>
  <c r="BC58" i="2" a="1"/>
  <c r="BC58" i="2" s="1"/>
  <c r="DN186" i="2" a="1"/>
  <c r="DN186" i="2" s="1"/>
  <c r="DN137" i="2" a="1"/>
  <c r="DN137" i="2" s="1"/>
  <c r="DN25" i="2" a="1"/>
  <c r="DN25" i="2" s="1"/>
  <c r="DN184" i="2" a="1"/>
  <c r="DN184" i="2" s="1"/>
  <c r="DN124" i="2" a="1"/>
  <c r="DN124" i="2" s="1"/>
  <c r="DN29" i="2" a="1"/>
  <c r="DN29" i="2" s="1"/>
  <c r="AH62" i="2" a="1"/>
  <c r="AH62" i="2" s="1"/>
  <c r="AH151" i="2" a="1"/>
  <c r="AH151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8" i="2" l="1"/>
  <c r="CY25" i="2"/>
  <c r="CY111" i="2"/>
  <c r="CY24" i="2"/>
  <c r="CY148" i="2"/>
  <c r="CY154" i="2"/>
  <c r="CY133" i="2"/>
  <c r="CY101" i="2"/>
  <c r="CY48" i="2"/>
  <c r="CY179" i="2"/>
  <c r="CY165" i="2"/>
  <c r="CY49" i="2"/>
  <c r="CY45" i="2"/>
  <c r="CY194" i="2"/>
  <c r="CY74" i="2"/>
  <c r="CY79" i="2"/>
  <c r="CY64" i="2"/>
  <c r="CY37" i="2"/>
  <c r="CY22" i="2"/>
  <c r="CY102" i="2"/>
  <c r="CY141" i="2"/>
  <c r="CY124" i="2"/>
  <c r="CY4" i="2"/>
  <c r="CY155" i="2"/>
  <c r="CY170" i="2"/>
  <c r="CY62" i="2"/>
  <c r="CY55" i="2"/>
  <c r="CY116" i="2"/>
  <c r="CY180" i="2"/>
  <c r="CY75" i="2"/>
  <c r="CY112" i="2"/>
  <c r="CY105" i="2"/>
  <c r="CY10" i="2"/>
  <c r="CY162" i="2"/>
  <c r="CY185" i="2"/>
  <c r="CY43" i="2"/>
  <c r="CY30" i="2"/>
  <c r="CY54" i="2"/>
  <c r="CY7" i="2"/>
  <c r="CY110" i="2"/>
  <c r="CY174" i="2"/>
  <c r="CY94" i="2"/>
  <c r="CY70" i="2"/>
  <c r="CY109" i="2"/>
  <c r="CY40" i="2"/>
  <c r="CY199" i="2"/>
  <c r="CY195" i="2"/>
  <c r="CY46" i="2"/>
  <c r="CY202" i="2"/>
  <c r="CY67" i="2"/>
  <c r="CY39" i="2"/>
  <c r="CY68" i="2"/>
  <c r="CY34" i="2"/>
  <c r="CY168" i="2"/>
  <c r="CY6" i="2"/>
  <c r="CY176" i="2"/>
  <c r="CY61" i="2"/>
  <c r="CY118" i="2"/>
  <c r="CY29" i="2"/>
  <c r="CY132" i="2"/>
  <c r="CY65" i="2"/>
  <c r="CY190" i="2"/>
  <c r="CY93" i="2"/>
  <c r="CY95" i="2"/>
  <c r="CY160" i="2"/>
  <c r="CY5" i="2"/>
  <c r="CY106" i="2"/>
  <c r="CY143" i="2"/>
  <c r="CY35" i="2"/>
  <c r="CY150" i="2"/>
  <c r="CY193" i="2"/>
  <c r="CY84" i="2"/>
  <c r="CY19" i="2"/>
  <c r="CY198" i="2"/>
  <c r="CY53" i="2"/>
  <c r="CY44" i="2"/>
  <c r="CY161" i="2"/>
  <c r="CY18" i="2"/>
  <c r="CY164" i="2"/>
  <c r="CY123" i="2"/>
  <c r="CY38" i="2"/>
  <c r="CY50" i="2"/>
  <c r="CY8" i="2"/>
  <c r="CY88" i="2"/>
  <c r="CY23" i="2"/>
  <c r="CY188" i="2"/>
  <c r="CY151" i="2"/>
  <c r="CY89" i="2"/>
  <c r="CY103" i="2"/>
  <c r="CY77" i="2"/>
  <c r="CY117" i="2"/>
  <c r="CY153" i="2"/>
  <c r="CY120" i="2"/>
  <c r="CY173" i="2"/>
  <c r="CY13" i="2"/>
  <c r="CY146" i="2"/>
  <c r="CY87" i="2"/>
  <c r="CY99" i="2"/>
  <c r="CY57" i="2"/>
  <c r="CY69" i="2"/>
  <c r="CY138" i="2"/>
  <c r="CY126" i="2"/>
  <c r="CY91" i="2"/>
  <c r="CY144" i="2"/>
  <c r="CY177" i="2"/>
  <c r="CY11" i="2"/>
  <c r="CY47" i="2"/>
  <c r="CY20" i="2"/>
  <c r="CY36" i="2"/>
  <c r="CY184" i="2"/>
  <c r="CY12" i="2"/>
  <c r="CY104" i="2"/>
  <c r="CY169" i="2"/>
  <c r="CY156" i="2"/>
  <c r="CY27" i="2"/>
  <c r="CY16" i="2"/>
  <c r="CY197" i="2"/>
  <c r="CY125" i="2"/>
  <c r="CY201" i="2"/>
  <c r="CY96" i="2"/>
  <c r="CY191" i="2"/>
  <c r="CY167" i="2"/>
  <c r="CY83" i="2"/>
  <c r="CY134" i="2"/>
  <c r="CY92" i="2"/>
  <c r="CY128" i="2"/>
  <c r="CY21" i="2"/>
  <c r="CY186" i="2"/>
  <c r="CY189" i="2"/>
  <c r="CY131" i="2"/>
  <c r="CY159" i="2"/>
  <c r="CY56" i="2"/>
  <c r="CY147" i="2"/>
  <c r="CY129" i="2"/>
  <c r="CY135" i="2"/>
  <c r="CY108" i="2"/>
  <c r="CY85" i="2"/>
  <c r="CY82" i="2"/>
  <c r="CY203" i="2"/>
  <c r="CY119" i="2"/>
  <c r="CY51" i="2"/>
  <c r="CY200" i="2"/>
  <c r="CY152" i="2"/>
  <c r="CY86" i="2"/>
  <c r="CY76" i="2"/>
  <c r="CY9" i="2"/>
  <c r="CY196" i="2"/>
  <c r="CY114" i="2"/>
  <c r="CY58" i="2"/>
  <c r="CY71" i="2"/>
  <c r="CY136" i="2"/>
  <c r="CY14" i="2"/>
  <c r="CY52" i="2"/>
  <c r="CY115" i="2"/>
  <c r="CY72" i="2"/>
  <c r="CY163" i="2"/>
  <c r="CY81" i="2"/>
  <c r="CY63" i="2"/>
  <c r="CY107" i="2"/>
  <c r="CY149" i="2"/>
  <c r="CY3" i="2"/>
  <c r="C10" i="4" s="1"/>
  <c r="E10" i="4" s="1"/>
  <c r="F10" i="4" s="1"/>
  <c r="G10" i="4" s="1"/>
  <c r="L10" i="4" s="1"/>
  <c r="CY122" i="2"/>
  <c r="CY41" i="2"/>
  <c r="CY80" i="2"/>
  <c r="CY187" i="2"/>
  <c r="CY98" i="2"/>
  <c r="CY182" i="2"/>
  <c r="CY192" i="2"/>
  <c r="CY97" i="2"/>
  <c r="CY60" i="2"/>
  <c r="CY42" i="2"/>
  <c r="CY26" i="2"/>
  <c r="CY157" i="2"/>
  <c r="CY100" i="2"/>
  <c r="CY90" i="2"/>
  <c r="CY166" i="2"/>
  <c r="CY59" i="2"/>
  <c r="CY158" i="2"/>
  <c r="CY127" i="2"/>
  <c r="CY139" i="2"/>
  <c r="CY171" i="2"/>
  <c r="CY140" i="2"/>
  <c r="CY15" i="2"/>
  <c r="CY175" i="2"/>
  <c r="CY181" i="2"/>
  <c r="CY183" i="2"/>
  <c r="CY78" i="2"/>
  <c r="CY31" i="2"/>
  <c r="CY17" i="2"/>
  <c r="CY142" i="2"/>
  <c r="CY121" i="2"/>
  <c r="CY178" i="2"/>
  <c r="CY145" i="2"/>
  <c r="CY66" i="2"/>
  <c r="CY172" i="2"/>
  <c r="CY130" i="2"/>
  <c r="CY33" i="2"/>
  <c r="CY113" i="2"/>
  <c r="CY73" i="2"/>
  <c r="CY137" i="2"/>
  <c r="CY32" i="2"/>
  <c r="CD135" i="2"/>
  <c r="CD60" i="2"/>
  <c r="CD116" i="2"/>
  <c r="CD97" i="2"/>
  <c r="CD158" i="2"/>
  <c r="CD81" i="2"/>
  <c r="CD121" i="2"/>
  <c r="CD27" i="2"/>
  <c r="CD156" i="2"/>
  <c r="CD31" i="2"/>
  <c r="CD198" i="2"/>
  <c r="CD131" i="2"/>
  <c r="CD151" i="2"/>
  <c r="CD28" i="2"/>
  <c r="CD89" i="2"/>
  <c r="CD145" i="2"/>
  <c r="CD160" i="2"/>
  <c r="CD73" i="2"/>
  <c r="CD6" i="2"/>
  <c r="CD182" i="2"/>
  <c r="CD23" i="2"/>
  <c r="CD26" i="2"/>
  <c r="CD133" i="2"/>
  <c r="CD109" i="2"/>
  <c r="CD100" i="2"/>
  <c r="CD149" i="2"/>
  <c r="CD183" i="2"/>
  <c r="CD48" i="2"/>
  <c r="CD164" i="2"/>
  <c r="CD96" i="2"/>
  <c r="CD161" i="2"/>
  <c r="CD14" i="2"/>
  <c r="CD74" i="2"/>
  <c r="CD128" i="2"/>
  <c r="CD176" i="2"/>
  <c r="CD190" i="2"/>
  <c r="CD33" i="2"/>
  <c r="CD130" i="2"/>
  <c r="CD77" i="2"/>
  <c r="CD114" i="2"/>
  <c r="CD57" i="2"/>
  <c r="CD203" i="2"/>
  <c r="CD93" i="2"/>
  <c r="CD195" i="2"/>
  <c r="CD194" i="2"/>
  <c r="CD99" i="2"/>
  <c r="CD12" i="2"/>
  <c r="CD70" i="2"/>
  <c r="CD187" i="2"/>
  <c r="CD94" i="2"/>
  <c r="CD159" i="2"/>
  <c r="CD7" i="2"/>
  <c r="CD188" i="2"/>
  <c r="CD141" i="2"/>
  <c r="CD30" i="2"/>
  <c r="CD136" i="2"/>
  <c r="CD64" i="2"/>
  <c r="CD17" i="2"/>
  <c r="CD86" i="2"/>
  <c r="CD150" i="2"/>
  <c r="CD5" i="2"/>
  <c r="CD152" i="2"/>
  <c r="CD199" i="2"/>
  <c r="CD11" i="2"/>
  <c r="CD10" i="2"/>
  <c r="CD148" i="2"/>
  <c r="CD120" i="2"/>
  <c r="CD51" i="2"/>
  <c r="CD196" i="2"/>
  <c r="CD192" i="2"/>
  <c r="CD37" i="2"/>
  <c r="CD175" i="2"/>
  <c r="CD80" i="2"/>
  <c r="CD146" i="2"/>
  <c r="CD98" i="2"/>
  <c r="CD50" i="2"/>
  <c r="CD112" i="2"/>
  <c r="CD9" i="2"/>
  <c r="CD76" i="2"/>
  <c r="CD142" i="2"/>
  <c r="CD95" i="2"/>
  <c r="CD104" i="2"/>
  <c r="CD103" i="2"/>
  <c r="CD62" i="2"/>
  <c r="CD36" i="2"/>
  <c r="CD40" i="2"/>
  <c r="CD82" i="2"/>
  <c r="CD78" i="2"/>
  <c r="CD87" i="2"/>
  <c r="CD201" i="2"/>
  <c r="CD32" i="2"/>
  <c r="CD108" i="2"/>
  <c r="CD38" i="2"/>
  <c r="CD157" i="2"/>
  <c r="CD83" i="2"/>
  <c r="CD91" i="2"/>
  <c r="CD110" i="2"/>
  <c r="CD173" i="2"/>
  <c r="CD72" i="2"/>
  <c r="CD42" i="2"/>
  <c r="CD49" i="2"/>
  <c r="CD55" i="2"/>
  <c r="CD138" i="2"/>
  <c r="CD174" i="2"/>
  <c r="CD101" i="2"/>
  <c r="CD119" i="2"/>
  <c r="CD185" i="2"/>
  <c r="CD181" i="2"/>
  <c r="CD129" i="2"/>
  <c r="CD4" i="2"/>
  <c r="CD15" i="2"/>
  <c r="CD118" i="2"/>
  <c r="CD166" i="2"/>
  <c r="CD92" i="2"/>
  <c r="CD107" i="2"/>
  <c r="CD45" i="2"/>
  <c r="CD43" i="2"/>
  <c r="CD147" i="2"/>
  <c r="CD66" i="2"/>
  <c r="CD134" i="2"/>
  <c r="CD71" i="2"/>
  <c r="CD165" i="2"/>
  <c r="CD105" i="2"/>
  <c r="CD169" i="2"/>
  <c r="CD154" i="2"/>
  <c r="CD163" i="2"/>
  <c r="CD171" i="2"/>
  <c r="CD117" i="2"/>
  <c r="CD39" i="2"/>
  <c r="CD19" i="2"/>
  <c r="CD41" i="2"/>
  <c r="CD122" i="2"/>
  <c r="CD106" i="2"/>
  <c r="CD75" i="2"/>
  <c r="CD24" i="2"/>
  <c r="CD191" i="2"/>
  <c r="CD202" i="2"/>
  <c r="CD178" i="2"/>
  <c r="CD153" i="2"/>
  <c r="CD132" i="2"/>
  <c r="CD25" i="2"/>
  <c r="CD111" i="2"/>
  <c r="CD177" i="2"/>
  <c r="CD90" i="2"/>
  <c r="CD115" i="2"/>
  <c r="CD63" i="2"/>
  <c r="CD167" i="2"/>
  <c r="CD102" i="2"/>
  <c r="CD88" i="2"/>
  <c r="CD170" i="2"/>
  <c r="CD58" i="2"/>
  <c r="CD52" i="2"/>
  <c r="CD200" i="2"/>
  <c r="CD113" i="2"/>
  <c r="CD67" i="2"/>
  <c r="CD69" i="2"/>
  <c r="CD29" i="2"/>
  <c r="CD21" i="2"/>
  <c r="CD179" i="2"/>
  <c r="CD186" i="2"/>
  <c r="CD47" i="2"/>
  <c r="CD16" i="2"/>
  <c r="CD68" i="2"/>
  <c r="CD193" i="2"/>
  <c r="CD54" i="2"/>
  <c r="CD124" i="2"/>
  <c r="CD162" i="2"/>
  <c r="CD125" i="2"/>
  <c r="CD84" i="2"/>
  <c r="CD197" i="2"/>
  <c r="CD34" i="2"/>
  <c r="CD13" i="2"/>
  <c r="CD8" i="2"/>
  <c r="CD144" i="2"/>
  <c r="CD137" i="2"/>
  <c r="CD3" i="2"/>
  <c r="C9" i="4" s="1"/>
  <c r="E9" i="4" s="1"/>
  <c r="F9" i="4" s="1"/>
  <c r="G9" i="4" s="1"/>
  <c r="L9" i="4" s="1"/>
  <c r="CD35" i="2"/>
  <c r="CD168" i="2"/>
  <c r="CD79" i="2"/>
  <c r="CD180" i="2"/>
  <c r="CD20" i="2"/>
  <c r="CD85" i="2"/>
  <c r="CD22" i="2"/>
  <c r="CD44" i="2"/>
  <c r="CD123" i="2"/>
  <c r="CD172" i="2"/>
  <c r="CD61" i="2"/>
  <c r="CD59" i="2"/>
  <c r="CD155" i="2"/>
  <c r="CD143" i="2"/>
  <c r="CD46" i="2"/>
  <c r="CD189" i="2"/>
  <c r="CD139" i="2"/>
  <c r="CD18" i="2"/>
  <c r="CD126" i="2"/>
  <c r="CD184" i="2"/>
  <c r="CD127" i="2"/>
  <c r="CD140" i="2"/>
  <c r="CD65" i="2"/>
  <c r="CD53" i="2"/>
  <c r="CD56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BI103" i="2" l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I32" i="2" s="1"/>
  <c r="BE109" i="2"/>
  <c r="BS107" i="2"/>
  <c r="BI31" i="2" l="1"/>
  <c r="BI175" i="2"/>
  <c r="BI152" i="2"/>
  <c r="BI189" i="2"/>
  <c r="BI174" i="2"/>
  <c r="BI86" i="2"/>
  <c r="BI87" i="2"/>
  <c r="BI184" i="2"/>
  <c r="BI55" i="2"/>
  <c r="BI173" i="2"/>
  <c r="BI112" i="2"/>
  <c r="BI83" i="2"/>
  <c r="BI179" i="2"/>
  <c r="BI62" i="2"/>
  <c r="BI28" i="2"/>
  <c r="BI139" i="2"/>
  <c r="BI96" i="2"/>
  <c r="BI41" i="2"/>
  <c r="BI46" i="2"/>
  <c r="BI121" i="2"/>
  <c r="BI163" i="2"/>
  <c r="BI59" i="2"/>
  <c r="BI93" i="2"/>
  <c r="BI183" i="2"/>
  <c r="BI3" i="2"/>
  <c r="C8" i="4" s="1"/>
  <c r="E8" i="4" s="1"/>
  <c r="F8" i="4" s="1"/>
  <c r="G8" i="4" s="1"/>
  <c r="L8" i="4" s="1"/>
  <c r="BI42" i="2"/>
  <c r="BI44" i="2"/>
  <c r="BI104" i="2"/>
  <c r="BI128" i="2"/>
  <c r="BI10" i="2"/>
  <c r="BI61" i="2"/>
  <c r="BI49" i="2"/>
  <c r="BI13" i="2"/>
  <c r="BI17" i="2"/>
  <c r="BI76" i="2"/>
  <c r="BI11" i="2"/>
  <c r="BI190" i="2"/>
  <c r="BI108" i="2"/>
  <c r="BI54" i="2"/>
  <c r="BI45" i="2"/>
  <c r="BI38" i="2"/>
  <c r="BI67" i="2"/>
  <c r="BI196" i="2"/>
  <c r="BI15" i="2"/>
  <c r="BI158" i="2"/>
  <c r="BI200" i="2"/>
  <c r="BI20" i="2"/>
  <c r="BI75" i="2"/>
  <c r="BI5" i="2"/>
  <c r="BI180" i="2"/>
  <c r="BI136" i="2"/>
  <c r="BI34" i="2"/>
  <c r="BI203" i="2"/>
  <c r="BI198" i="2"/>
  <c r="BI167" i="2"/>
  <c r="BI39" i="2"/>
  <c r="BI162" i="2"/>
  <c r="BI80" i="2"/>
  <c r="BI165" i="2"/>
  <c r="BI129" i="2"/>
  <c r="BI8" i="2"/>
  <c r="BI115" i="2"/>
  <c r="BI155" i="2"/>
  <c r="BI106" i="2"/>
  <c r="BI79" i="2"/>
  <c r="BI172" i="2"/>
  <c r="BI145" i="2"/>
  <c r="BI4" i="2"/>
  <c r="BI116" i="2"/>
  <c r="BI33" i="2"/>
  <c r="BI36" i="2"/>
  <c r="BI98" i="2"/>
  <c r="BI146" i="2"/>
  <c r="BI18" i="2"/>
  <c r="BI51" i="2"/>
  <c r="BI194" i="2"/>
  <c r="BI48" i="2"/>
  <c r="BI131" i="2"/>
  <c r="BI147" i="2"/>
  <c r="BI142" i="2"/>
  <c r="BI164" i="2"/>
  <c r="BI156" i="2"/>
  <c r="BI78" i="2"/>
  <c r="BI127" i="2"/>
  <c r="BI53" i="2"/>
  <c r="BI118" i="2"/>
  <c r="BI81" i="2"/>
  <c r="BI9" i="2"/>
  <c r="BI52" i="2"/>
  <c r="BI177" i="2"/>
  <c r="BI92" i="2"/>
  <c r="BI70" i="2"/>
  <c r="BI199" i="2"/>
  <c r="BI110" i="2"/>
  <c r="BI47" i="2"/>
  <c r="BI90" i="2"/>
  <c r="BI95" i="2"/>
  <c r="BI154" i="2"/>
  <c r="BI181" i="2"/>
  <c r="BI123" i="2"/>
  <c r="BI72" i="2"/>
  <c r="BI187" i="2"/>
  <c r="BI105" i="2"/>
  <c r="BI201" i="2"/>
  <c r="BI113" i="2"/>
  <c r="BI195" i="2"/>
  <c r="BI125" i="2"/>
  <c r="BI7" i="2"/>
  <c r="BI16" i="2"/>
  <c r="BI111" i="2"/>
  <c r="BI85" i="2"/>
  <c r="BI148" i="2"/>
  <c r="BI138" i="2"/>
  <c r="BI6" i="2"/>
  <c r="BI137" i="2"/>
  <c r="BI151" i="2"/>
  <c r="BI178" i="2"/>
  <c r="BI161" i="2"/>
  <c r="BI50" i="2"/>
  <c r="BI149" i="2"/>
  <c r="BI64" i="2"/>
  <c r="BI124" i="2"/>
  <c r="BI100" i="2"/>
  <c r="BI60" i="2"/>
  <c r="BI24" i="2"/>
  <c r="BI109" i="2"/>
  <c r="BI188" i="2"/>
  <c r="BI133" i="2"/>
  <c r="BI134" i="2"/>
  <c r="BI57" i="2"/>
  <c r="BI97" i="2"/>
  <c r="BI114" i="2"/>
  <c r="BI69" i="2"/>
  <c r="BI102" i="2"/>
  <c r="BI29" i="2"/>
  <c r="BI140" i="2"/>
  <c r="BI191" i="2"/>
  <c r="BI166" i="2"/>
  <c r="BI30" i="2"/>
  <c r="BI132" i="2"/>
  <c r="BI65" i="2"/>
  <c r="BI37" i="2"/>
  <c r="BI94" i="2"/>
  <c r="BI22" i="2"/>
  <c r="BI192" i="2"/>
  <c r="BI68" i="2"/>
  <c r="BI12" i="2"/>
  <c r="BI107" i="2"/>
  <c r="BI73" i="2"/>
  <c r="BI99" i="2"/>
  <c r="BI135" i="2"/>
  <c r="BI120" i="2"/>
  <c r="BI202" i="2"/>
  <c r="BI14" i="2"/>
  <c r="BI119" i="2"/>
  <c r="BI182" i="2"/>
  <c r="BI141" i="2"/>
  <c r="BI88" i="2"/>
  <c r="BI63" i="2"/>
  <c r="BI159" i="2"/>
  <c r="BI150" i="2"/>
  <c r="BI160" i="2"/>
  <c r="BI122" i="2"/>
  <c r="BI171" i="2"/>
  <c r="BI66" i="2"/>
  <c r="BI84" i="2"/>
  <c r="BI157" i="2"/>
  <c r="BI77" i="2"/>
  <c r="BI126" i="2"/>
  <c r="BI21" i="2"/>
  <c r="BI82" i="2"/>
  <c r="BI130" i="2"/>
  <c r="BI35" i="2"/>
  <c r="BI117" i="2"/>
  <c r="BI26" i="2"/>
  <c r="BI56" i="2"/>
  <c r="BI185" i="2"/>
  <c r="BI170" i="2"/>
  <c r="BI43" i="2"/>
  <c r="BI193" i="2"/>
  <c r="BI176" i="2"/>
  <c r="BI197" i="2"/>
  <c r="BI74" i="2"/>
  <c r="BI71" i="2"/>
  <c r="BI144" i="2"/>
  <c r="BI143" i="2"/>
  <c r="BI19" i="2"/>
  <c r="BI168" i="2"/>
  <c r="BI89" i="2"/>
  <c r="BI27" i="2"/>
  <c r="BI186" i="2"/>
  <c r="BI101" i="2"/>
  <c r="BI25" i="2"/>
  <c r="BI40" i="2"/>
  <c r="BI58" i="2"/>
  <c r="BI169" i="2"/>
  <c r="BI153" i="2"/>
  <c r="BI91" i="2"/>
  <c r="BI23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<sst xmlns="http://schemas.openxmlformats.org/spreadsheetml/2006/main" count="1174" uniqueCount="324">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</sst>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188.53710283199996</c:v>
                </c:pt>
                <c:pt idx="32">
                  <c:v>201.47111266072736</c:v>
                </c:pt>
                <c:pt idx="33">
                  <c:v>214.38589248354253</c:v>
                </c:pt>
                <c:pt idx="34">
                  <c:v>227.28276448985946</c:v>
                </c:pt>
                <c:pt idx="35">
                  <c:v>240.16288844163589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369472"/>
        <c:axId val="1427376000"/>
      </c:scatterChart>
      <c:valAx>
        <c:axId val="1427369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7376000"/>
        <c:crosses val="autoZero"/>
        <c:crossBetween val="midCat"/>
      </c:valAx>
      <c:valAx>
        <c:axId val="142737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7369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18928"/>
        <c:axId val="1610921648"/>
      </c:scatterChart>
      <c:valAx>
        <c:axId val="1610918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10921648"/>
        <c:crosses val="autoZero"/>
        <c:crossBetween val="midCat"/>
      </c:valAx>
      <c:valAx>
        <c:axId val="161092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1091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97.716900465048397</c:v>
                </c:pt>
                <c:pt idx="22">
                  <c:v>109.24128540474889</c:v>
                </c:pt>
                <c:pt idx="23">
                  <c:v>120.73576442072574</c:v>
                </c:pt>
                <c:pt idx="24">
                  <c:v>132.20358993292459</c:v>
                </c:pt>
                <c:pt idx="25">
                  <c:v>143.64740257451564</c:v>
                </c:pt>
                <c:pt idx="26">
                  <c:v>141.28157446234309</c:v>
                </c:pt>
                <c:pt idx="27">
                  <c:v>154.67586795026531</c:v>
                </c:pt>
                <c:pt idx="28">
                  <c:v>168.04258893965877</c:v>
                </c:pt>
                <c:pt idx="29">
                  <c:v>181.3842411359644</c:v>
                </c:pt>
                <c:pt idx="30">
                  <c:v>194.70292931794015</c:v>
                </c:pt>
                <c:pt idx="31">
                  <c:v>211.51703386842772</c:v>
                </c:pt>
                <c:pt idx="32">
                  <c:v>228.30032906802214</c:v>
                </c:pt>
                <c:pt idx="33">
                  <c:v>245.05539887630425</c:v>
                </c:pt>
                <c:pt idx="34">
                  <c:v>261.78444483261882</c:v>
                </c:pt>
                <c:pt idx="35">
                  <c:v>278.48936400091253</c:v>
                </c:pt>
                <c:pt idx="36">
                  <c:v>211.90768212600278</c:v>
                </c:pt>
                <c:pt idx="37">
                  <c:v>227.13034496492563</c:v>
                </c:pt>
                <c:pt idx="38">
                  <c:v>242.32965686946343</c:v>
                </c:pt>
                <c:pt idx="39">
                  <c:v>257.50728890742869</c:v>
                </c:pt>
                <c:pt idx="40">
                  <c:v>272.66469897663575</c:v>
                </c:pt>
                <c:pt idx="41">
                  <c:v>288.96691630985214</c:v>
                </c:pt>
                <c:pt idx="42">
                  <c:v>305.24857979967942</c:v>
                </c:pt>
                <c:pt idx="43">
                  <c:v>321.51093999187793</c:v>
                </c:pt>
                <c:pt idx="44">
                  <c:v>337.75511058999291</c:v>
                </c:pt>
                <c:pt idx="45">
                  <c:v>353.98208942867717</c:v>
                </c:pt>
                <c:pt idx="46">
                  <c:v>288.57901240448899</c:v>
                </c:pt>
                <c:pt idx="47">
                  <c:v>304.47370954373417</c:v>
                </c:pt>
                <c:pt idx="48">
                  <c:v>320.34995854628926</c:v>
                </c:pt>
                <c:pt idx="49">
                  <c:v>336.20880231759605</c:v>
                </c:pt>
                <c:pt idx="50">
                  <c:v>352.05117734371055</c:v>
                </c:pt>
                <c:pt idx="51">
                  <c:v>367.49209034996011</c:v>
                </c:pt>
                <c:pt idx="52">
                  <c:v>382.91884575514405</c:v>
                </c:pt>
                <c:pt idx="53">
                  <c:v>398.33209414857424</c:v>
                </c:pt>
                <c:pt idx="54">
                  <c:v>413.73243167051163</c:v>
                </c:pt>
                <c:pt idx="55">
                  <c:v>429.12040646848044</c:v>
                </c:pt>
                <c:pt idx="56">
                  <c:v>362.86133414806528</c:v>
                </c:pt>
                <c:pt idx="57">
                  <c:v>377.52104986809314</c:v>
                </c:pt>
                <c:pt idx="58">
                  <c:v>392.16837634017276</c:v>
                </c:pt>
                <c:pt idx="59">
                  <c:v>406.80384141548672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449.10711821530066</c:v>
                </c:pt>
                <c:pt idx="63">
                  <c:v>462.93287033289977</c:v>
                </c:pt>
                <c:pt idx="64">
                  <c:v>476.74981634160099</c:v>
                </c:pt>
                <c:pt idx="65">
                  <c:v>490.55824735832402</c:v>
                </c:pt>
                <c:pt idx="66">
                  <c:v>422.96666682108571</c:v>
                </c:pt>
                <c:pt idx="67">
                  <c:v>436.0410979438584</c:v>
                </c:pt>
                <c:pt idx="68">
                  <c:v>449.10711821530066</c:v>
                </c:pt>
                <c:pt idx="69">
                  <c:v>462.16500679362093</c:v>
                </c:pt>
                <c:pt idx="70">
                  <c:v>475.21502577729029</c:v>
                </c:pt>
                <c:pt idx="71">
                  <c:v>487.10692264565631</c:v>
                </c:pt>
                <c:pt idx="72">
                  <c:v>498.99265901764232</c:v>
                </c:pt>
                <c:pt idx="73">
                  <c:v>510.87240230317911</c:v>
                </c:pt>
                <c:pt idx="74">
                  <c:v>522.74631149207391</c:v>
                </c:pt>
                <c:pt idx="75">
                  <c:v>534.61453776319513</c:v>
                </c:pt>
                <c:pt idx="76">
                  <c:v>465.42823942861122</c:v>
                </c:pt>
                <c:pt idx="77">
                  <c:v>476.74981634160059</c:v>
                </c:pt>
                <c:pt idx="78">
                  <c:v>488.06567585482804</c:v>
                </c:pt>
                <c:pt idx="79">
                  <c:v>499.37596921206136</c:v>
                </c:pt>
                <c:pt idx="80">
                  <c:v>510.68084024737612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544.56425726149598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496.6926667120552</c:v>
                </c:pt>
                <c:pt idx="87">
                  <c:v>506.65768536589206</c:v>
                </c:pt>
                <c:pt idx="88">
                  <c:v>516.61856122298411</c:v>
                </c:pt>
                <c:pt idx="89">
                  <c:v>526.57538542767406</c:v>
                </c:pt>
                <c:pt idx="90">
                  <c:v>536.52824539615074</c:v>
                </c:pt>
                <c:pt idx="91">
                  <c:v>546.47722503675288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576.30167262327757</c:v>
                </c:pt>
                <c:pt idx="95">
                  <c:v>586.23590668718759</c:v>
                </c:pt>
                <c:pt idx="96">
                  <c:v>514.89485591885284</c:v>
                </c:pt>
                <c:pt idx="97">
                  <c:v>523.89509553418202</c:v>
                </c:pt>
                <c:pt idx="98">
                  <c:v>532.89207772163513</c:v>
                </c:pt>
                <c:pt idx="99">
                  <c:v>541.88586523948254</c:v>
                </c:pt>
                <c:pt idx="100">
                  <c:v>550.87651859261803</c:v>
                </c:pt>
                <c:pt idx="101">
                  <c:v>559.86409614971467</c:v>
                </c:pt>
                <c:pt idx="102">
                  <c:v>568.84865425246664</c:v>
                </c:pt>
                <c:pt idx="103">
                  <c:v>577.8302473175728</c:v>
                </c:pt>
                <c:pt idx="104">
                  <c:v>586.80892793204623</c:v>
                </c:pt>
                <c:pt idx="105">
                  <c:v>595.78474694239219</c:v>
                </c:pt>
                <c:pt idx="106">
                  <c:v>525.0438264932726</c:v>
                </c:pt>
                <c:pt idx="107">
                  <c:v>532.70068604986341</c:v>
                </c:pt>
                <c:pt idx="108">
                  <c:v>540.35523076412676</c:v>
                </c:pt>
                <c:pt idx="109">
                  <c:v>548.00749806060389</c:v>
                </c:pt>
                <c:pt idx="110">
                  <c:v>555.6575242331586</c:v>
                </c:pt>
                <c:pt idx="111">
                  <c:v>563.30534449456934</c:v>
                </c:pt>
                <c:pt idx="112">
                  <c:v>570.95099302329243</c:v>
                </c:pt>
                <c:pt idx="113">
                  <c:v>578.59450300758681</c:v>
                </c:pt>
                <c:pt idx="114">
                  <c:v>586.23590668718737</c:v>
                </c:pt>
                <c:pt idx="115">
                  <c:v>593.87523539269171</c:v>
                </c:pt>
                <c:pt idx="116">
                  <c:v>529.63822214325489</c:v>
                </c:pt>
                <c:pt idx="117">
                  <c:v>536.14551536775116</c:v>
                </c:pt>
                <c:pt idx="118">
                  <c:v>542.65114840915476</c:v>
                </c:pt>
                <c:pt idx="119">
                  <c:v>549.15514398563948</c:v>
                </c:pt>
                <c:pt idx="120">
                  <c:v>555.65752423315814</c:v>
                </c:pt>
                <c:pt idx="121">
                  <c:v>562.1583107271523</c:v>
                </c:pt>
                <c:pt idx="122">
                  <c:v>568.65752450320269</c:v>
                </c:pt>
                <c:pt idx="123">
                  <c:v>575.15518607669094</c:v>
                </c:pt>
                <c:pt idx="124">
                  <c:v>581.6513154615219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536.52824539614994</c:v>
                </c:pt>
                <c:pt idx="128">
                  <c:v>542.26850965950257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565.21695891367926</c:v>
                </c:pt>
                <c:pt idx="133">
                  <c:v>570.95099302329197</c:v>
                </c:pt>
                <c:pt idx="134">
                  <c:v>576.68382422111029</c:v>
                </c:pt>
                <c:pt idx="135">
                  <c:v>582.41546615644984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541.8858652394822</c:v>
                </c:pt>
                <c:pt idx="139">
                  <c:v>546.85980171226049</c:v>
                </c:pt>
                <c:pt idx="140">
                  <c:v>551.83278906179612</c:v>
                </c:pt>
                <c:pt idx="141">
                  <c:v>556.80483705249947</c:v>
                </c:pt>
                <c:pt idx="142">
                  <c:v>561.77595526008167</c:v>
                </c:pt>
                <c:pt idx="143">
                  <c:v>566.74615307687657</c:v>
                </c:pt>
                <c:pt idx="144">
                  <c:v>571.71543971696451</c:v>
                </c:pt>
                <c:pt idx="145">
                  <c:v>576.68382422111074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597.69413118158718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367296"/>
        <c:axId val="1427370016"/>
      </c:scatterChart>
      <c:valAx>
        <c:axId val="1427367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7370016"/>
        <c:crosses val="autoZero"/>
        <c:crossBetween val="midCat"/>
      </c:valAx>
      <c:valAx>
        <c:axId val="142737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7367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1.9827560852839572</c:v>
                </c:pt>
                <c:pt idx="2">
                  <c:v>2.7052069860826133</c:v>
                </c:pt>
                <c:pt idx="3">
                  <c:v>3.6920162773095071</c:v>
                </c:pt>
                <c:pt idx="4">
                  <c:v>5.0403041205350787</c:v>
                </c:pt>
                <c:pt idx="5">
                  <c:v>6.8830033901483878</c:v>
                </c:pt>
                <c:pt idx="6">
                  <c:v>9.4021108302101535</c:v>
                </c:pt>
                <c:pt idx="7">
                  <c:v>12.846856752363109</c:v>
                </c:pt>
                <c:pt idx="8">
                  <c:v>17.558624172968884</c:v>
                </c:pt>
                <c:pt idx="9">
                  <c:v>24.005131602797874</c:v>
                </c:pt>
                <c:pt idx="10">
                  <c:v>32.827332638474509</c:v>
                </c:pt>
                <c:pt idx="11">
                  <c:v>44.90377588781903</c:v>
                </c:pt>
                <c:pt idx="12">
                  <c:v>61.438942408300704</c:v>
                </c:pt>
                <c:pt idx="13">
                  <c:v>84.084516096981702</c:v>
                </c:pt>
                <c:pt idx="14">
                  <c:v>115.10589486213424</c:v>
                </c:pt>
                <c:pt idx="15">
                  <c:v>157.6108602922057</c:v>
                </c:pt>
                <c:pt idx="16">
                  <c:v>184.6315322983456</c:v>
                </c:pt>
                <c:pt idx="17">
                  <c:v>211.55969167078467</c:v>
                </c:pt>
                <c:pt idx="18">
                  <c:v>238.4087783888026</c:v>
                </c:pt>
                <c:pt idx="19">
                  <c:v>265.18895034604157</c:v>
                </c:pt>
                <c:pt idx="20">
                  <c:v>291.90814323410513</c:v>
                </c:pt>
                <c:pt idx="21">
                  <c:v>319.02706011478784</c:v>
                </c:pt>
                <c:pt idx="22">
                  <c:v>346.09495302712025</c:v>
                </c:pt>
                <c:pt idx="23">
                  <c:v>373.11637005261861</c:v>
                </c:pt>
                <c:pt idx="24">
                  <c:v>400.09514695704712</c:v>
                </c:pt>
                <c:pt idx="25">
                  <c:v>427.03456026046416</c:v>
                </c:pt>
                <c:pt idx="26">
                  <c:v>427.72360436815069</c:v>
                </c:pt>
                <c:pt idx="27">
                  <c:v>452.86958772267349</c:v>
                </c:pt>
                <c:pt idx="28">
                  <c:v>477.98573145887525</c:v>
                </c:pt>
                <c:pt idx="29">
                  <c:v>503.07382235317067</c:v>
                </c:pt>
                <c:pt idx="30">
                  <c:v>528.13545460199714</c:v>
                </c:pt>
                <c:pt idx="31">
                  <c:v>554.02273749370386</c:v>
                </c:pt>
                <c:pt idx="32">
                  <c:v>579.88468574175943</c:v>
                </c:pt>
                <c:pt idx="33">
                  <c:v>605.72258674209695</c:v>
                </c:pt>
                <c:pt idx="34">
                  <c:v>631.53760923584082</c:v>
                </c:pt>
                <c:pt idx="35">
                  <c:v>657.33081874477784</c:v>
                </c:pt>
                <c:pt idx="36">
                  <c:v>553.55014166571311</c:v>
                </c:pt>
                <c:pt idx="37">
                  <c:v>578.70430812836139</c:v>
                </c:pt>
                <c:pt idx="38">
                  <c:v>603.83567441696971</c:v>
                </c:pt>
                <c:pt idx="39">
                  <c:v>628.94532178086763</c:v>
                </c:pt>
                <c:pt idx="40">
                  <c:v>654.03423820032276</c:v>
                </c:pt>
                <c:pt idx="41">
                  <c:v>675.9501576281807</c:v>
                </c:pt>
                <c:pt idx="42">
                  <c:v>697.85148796580063</c:v>
                </c:pt>
                <c:pt idx="43">
                  <c:v>719.73875099119334</c:v>
                </c:pt>
                <c:pt idx="44">
                  <c:v>741.6124341983201</c:v>
                </c:pt>
                <c:pt idx="45">
                  <c:v>763.47299401473276</c:v>
                </c:pt>
                <c:pt idx="46">
                  <c:v>626.28210535303231</c:v>
                </c:pt>
                <c:pt idx="47">
                  <c:v>647.06319509102798</c:v>
                </c:pt>
                <c:pt idx="48">
                  <c:v>667.83052153186748</c:v>
                </c:pt>
                <c:pt idx="49">
                  <c:v>688.58457246672788</c:v>
                </c:pt>
                <c:pt idx="50">
                  <c:v>709.32580391694955</c:v>
                </c:pt>
                <c:pt idx="51">
                  <c:v>730.66551344728362</c:v>
                </c:pt>
                <c:pt idx="52">
                  <c:v>751.99252631585216</c:v>
                </c:pt>
                <c:pt idx="53">
                  <c:v>773.30725286881864</c:v>
                </c:pt>
                <c:pt idx="54">
                  <c:v>794.61007901528308</c:v>
                </c:pt>
                <c:pt idx="55">
                  <c:v>815.90136831178233</c:v>
                </c:pt>
                <c:pt idx="56">
                  <c:v>671.26690362483566</c:v>
                </c:pt>
                <c:pt idx="57">
                  <c:v>691.43077368687921</c:v>
                </c:pt>
                <c:pt idx="58">
                  <c:v>711.58259770200414</c:v>
                </c:pt>
                <c:pt idx="59">
                  <c:v>731.7227644737668</c:v>
                </c:pt>
                <c:pt idx="60">
                  <c:v>751.85163968136192</c:v>
                </c:pt>
                <c:pt idx="61">
                  <c:v>698.86269869307444</c:v>
                </c:pt>
                <c:pt idx="62">
                  <c:v>718.02306066290168</c:v>
                </c:pt>
                <c:pt idx="63">
                  <c:v>737.17298807402983</c:v>
                </c:pt>
                <c:pt idx="64">
                  <c:v>756.31278987556016</c:v>
                </c:pt>
                <c:pt idx="65">
                  <c:v>775.44275812170724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372192"/>
        <c:axId val="1427373280"/>
      </c:scatterChart>
      <c:valAx>
        <c:axId val="1427372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7373280"/>
        <c:crosses val="autoZero"/>
        <c:crossBetween val="midCat"/>
      </c:valAx>
      <c:valAx>
        <c:axId val="142737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7372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164.16133458057877</c:v>
                </c:pt>
                <c:pt idx="22">
                  <c:v>185.89832199063002</c:v>
                </c:pt>
                <c:pt idx="23">
                  <c:v>207.57593832389918</c:v>
                </c:pt>
                <c:pt idx="24">
                  <c:v>229.20125772816399</c:v>
                </c:pt>
                <c:pt idx="25">
                  <c:v>250.77990843042718</c:v>
                </c:pt>
                <c:pt idx="26">
                  <c:v>175.21027396812136</c:v>
                </c:pt>
                <c:pt idx="27">
                  <c:v>195.8838145879254</c:v>
                </c:pt>
                <c:pt idx="28">
                  <c:v>216.50666233809886</c:v>
                </c:pt>
                <c:pt idx="29">
                  <c:v>237.08432568129521</c:v>
                </c:pt>
                <c:pt idx="30">
                  <c:v>257.62127772428215</c:v>
                </c:pt>
                <c:pt idx="31">
                  <c:v>275.73136161299811</c:v>
                </c:pt>
                <c:pt idx="32">
                  <c:v>293.81473838056439</c:v>
                </c:pt>
                <c:pt idx="33">
                  <c:v>311.87328271105707</c:v>
                </c:pt>
                <c:pt idx="34">
                  <c:v>329.90863445331973</c:v>
                </c:pt>
                <c:pt idx="35">
                  <c:v>347.92223953697516</c:v>
                </c:pt>
                <c:pt idx="36">
                  <c:v>268.90061493982</c:v>
                </c:pt>
                <c:pt idx="37">
                  <c:v>285.28804634815089</c:v>
                </c:pt>
                <c:pt idx="38">
                  <c:v>301.65441391376027</c:v>
                </c:pt>
                <c:pt idx="39">
                  <c:v>318.00102122537891</c:v>
                </c:pt>
                <c:pt idx="40">
                  <c:v>334.32902690172887</c:v>
                </c:pt>
                <c:pt idx="41">
                  <c:v>348.26191838646179</c:v>
                </c:pt>
                <c:pt idx="42">
                  <c:v>362.18258071633892</c:v>
                </c:pt>
                <c:pt idx="43">
                  <c:v>376.09155014049134</c:v>
                </c:pt>
                <c:pt idx="44">
                  <c:v>389.98932000577884</c:v>
                </c:pt>
                <c:pt idx="45">
                  <c:v>403.87634562786849</c:v>
                </c:pt>
                <c:pt idx="46">
                  <c:v>330.92884034916176</c:v>
                </c:pt>
                <c:pt idx="47">
                  <c:v>342.82617852900427</c:v>
                </c:pt>
                <c:pt idx="48">
                  <c:v>354.71444390147059</c:v>
                </c:pt>
                <c:pt idx="49">
                  <c:v>366.59398347144833</c:v>
                </c:pt>
                <c:pt idx="50">
                  <c:v>378.46511991321842</c:v>
                </c:pt>
                <c:pt idx="51">
                  <c:v>389.311632836613</c:v>
                </c:pt>
                <c:pt idx="52">
                  <c:v>400.15158842600766</c:v>
                </c:pt>
                <c:pt idx="53">
                  <c:v>410.98518940455659</c:v>
                </c:pt>
                <c:pt idx="54">
                  <c:v>421.81262693312578</c:v>
                </c:pt>
                <c:pt idx="55">
                  <c:v>432.63408155595857</c:v>
                </c:pt>
                <c:pt idx="56">
                  <c:v>390.32815400232886</c:v>
                </c:pt>
                <c:pt idx="57">
                  <c:v>398.79694553728058</c:v>
                </c:pt>
                <c:pt idx="58">
                  <c:v>407.26184368889852</c:v>
                </c:pt>
                <c:pt idx="59">
                  <c:v>415.72294083711444</c:v>
                </c:pt>
                <c:pt idx="60">
                  <c:v>424.18032529272597</c:v>
                </c:pt>
                <c:pt idx="61">
                  <c:v>431.61981966331064</c:v>
                </c:pt>
                <c:pt idx="62">
                  <c:v>439.05655970073695</c:v>
                </c:pt>
                <c:pt idx="63">
                  <c:v>446.49059866524129</c:v>
                </c:pt>
                <c:pt idx="64">
                  <c:v>453.92198789781901</c:v>
                </c:pt>
                <c:pt idx="65">
                  <c:v>461.35077692036231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460.33791158124308</c:v>
                </c:pt>
                <c:pt idx="72">
                  <c:v>466.0768562264268</c:v>
                </c:pt>
                <c:pt idx="73">
                  <c:v>471.81429448695877</c:v>
                </c:pt>
                <c:pt idx="74">
                  <c:v>477.5502472780363</c:v>
                </c:pt>
                <c:pt idx="75">
                  <c:v>483.28473497109445</c:v>
                </c:pt>
                <c:pt idx="76">
                  <c:v>456.2859732316906</c:v>
                </c:pt>
                <c:pt idx="77">
                  <c:v>461.35077692036225</c:v>
                </c:pt>
                <c:pt idx="78">
                  <c:v>466.41439408694333</c:v>
                </c:pt>
                <c:pt idx="79">
                  <c:v>471.47683944067586</c:v>
                </c:pt>
                <c:pt idx="80">
                  <c:v>476.53812734890533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377088"/>
        <c:axId val="1395082192"/>
      </c:scatterChart>
      <c:valAx>
        <c:axId val="1427377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5082192"/>
        <c:crosses val="autoZero"/>
        <c:crossBetween val="midCat"/>
      </c:valAx>
      <c:valAx>
        <c:axId val="139508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27377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2.2007158170150634</c:v>
                </c:pt>
                <c:pt idx="2">
                  <c:v>2.7962519094118723</c:v>
                </c:pt>
                <c:pt idx="3">
                  <c:v>3.5535861505858075</c:v>
                </c:pt>
                <c:pt idx="4">
                  <c:v>4.5168406960899965</c:v>
                </c:pt>
                <c:pt idx="5">
                  <c:v>5.7422116394973726</c:v>
                </c:pt>
                <c:pt idx="6">
                  <c:v>7.3012836732651438</c:v>
                </c:pt>
                <c:pt idx="7">
                  <c:v>9.2852574241869252</c:v>
                </c:pt>
                <c:pt idx="8">
                  <c:v>11.810341445786392</c:v>
                </c:pt>
                <c:pt idx="9">
                  <c:v>15.024630592214445</c:v>
                </c:pt>
                <c:pt idx="10">
                  <c:v>19.116881586433095</c:v>
                </c:pt>
                <c:pt idx="11">
                  <c:v>24.327710406972969</c:v>
                </c:pt>
                <c:pt idx="12">
                  <c:v>30.963881526939787</c:v>
                </c:pt>
                <c:pt idx="13">
                  <c:v>39.416544835762807</c:v>
                </c:pt>
                <c:pt idx="14">
                  <c:v>50.184513497177107</c:v>
                </c:pt>
                <c:pt idx="15">
                  <c:v>63.903979417585994</c:v>
                </c:pt>
                <c:pt idx="16">
                  <c:v>61.608797653878987</c:v>
                </c:pt>
                <c:pt idx="17">
                  <c:v>72.683112087801149</c:v>
                </c:pt>
                <c:pt idx="18">
                  <c:v>83.714198782786369</c:v>
                </c:pt>
                <c:pt idx="19">
                  <c:v>94.708574006173308</c:v>
                </c:pt>
                <c:pt idx="20">
                  <c:v>105.67110975696312</c:v>
                </c:pt>
                <c:pt idx="21">
                  <c:v>117.17045199334488</c:v>
                </c:pt>
                <c:pt idx="22">
                  <c:v>128.64222496432137</c:v>
                </c:pt>
                <c:pt idx="23">
                  <c:v>140.08923675215749</c:v>
                </c:pt>
                <c:pt idx="24">
                  <c:v>151.51379801079153</c:v>
                </c:pt>
                <c:pt idx="25">
                  <c:v>162.91784180635719</c:v>
                </c:pt>
                <c:pt idx="26">
                  <c:v>133.89951586726025</c:v>
                </c:pt>
                <c:pt idx="27">
                  <c:v>145.14865683159067</c:v>
                </c:pt>
                <c:pt idx="28">
                  <c:v>156.3769455749574</c:v>
                </c:pt>
                <c:pt idx="29">
                  <c:v>167.58609180073498</c:v>
                </c:pt>
                <c:pt idx="30">
                  <c:v>178.77755746583179</c:v>
                </c:pt>
                <c:pt idx="31">
                  <c:v>189.20809090709827</c:v>
                </c:pt>
                <c:pt idx="32">
                  <c:v>199.62522507053666</c:v>
                </c:pt>
                <c:pt idx="33">
                  <c:v>210.02975834863889</c:v>
                </c:pt>
                <c:pt idx="34">
                  <c:v>220.42240348483696</c:v>
                </c:pt>
                <c:pt idx="35">
                  <c:v>230.80380045507431</c:v>
                </c:pt>
                <c:pt idx="36">
                  <c:v>195.34832747549947</c:v>
                </c:pt>
                <c:pt idx="37">
                  <c:v>205.38638702588551</c:v>
                </c:pt>
                <c:pt idx="38">
                  <c:v>215.41310599520918</c:v>
                </c:pt>
                <c:pt idx="39">
                  <c:v>225.42908712953158</c:v>
                </c:pt>
                <c:pt idx="40">
                  <c:v>235.4348751848737</c:v>
                </c:pt>
                <c:pt idx="41">
                  <c:v>244.50579602361998</c:v>
                </c:pt>
                <c:pt idx="42">
                  <c:v>253.56907009189914</c:v>
                </c:pt>
                <c:pt idx="43">
                  <c:v>262.62500950142402</c:v>
                </c:pt>
                <c:pt idx="44">
                  <c:v>271.67390306099725</c:v>
                </c:pt>
                <c:pt idx="45">
                  <c:v>280.71601875158382</c:v>
                </c:pt>
                <c:pt idx="46">
                  <c:v>243.95065658009185</c:v>
                </c:pt>
                <c:pt idx="47">
                  <c:v>252.45968154773985</c:v>
                </c:pt>
                <c:pt idx="48">
                  <c:v>260.96221015972293</c:v>
                </c:pt>
                <c:pt idx="49">
                  <c:v>269.45848413939967</c:v>
                </c:pt>
                <c:pt idx="50">
                  <c:v>277.94872870657525</c:v>
                </c:pt>
                <c:pt idx="51">
                  <c:v>286.06438440827776</c:v>
                </c:pt>
                <c:pt idx="52">
                  <c:v>294.17488861011532</c:v>
                </c:pt>
                <c:pt idx="53">
                  <c:v>302.28040350881963</c:v>
                </c:pt>
                <c:pt idx="54">
                  <c:v>310.38108188437286</c:v>
                </c:pt>
                <c:pt idx="55">
                  <c:v>318.47706788363627</c:v>
                </c:pt>
                <c:pt idx="56">
                  <c:v>282.7449756396457</c:v>
                </c:pt>
                <c:pt idx="57">
                  <c:v>290.30459825765917</c:v>
                </c:pt>
                <c:pt idx="58">
                  <c:v>297.85982268054408</c:v>
                </c:pt>
                <c:pt idx="59">
                  <c:v>305.41077632123785</c:v>
                </c:pt>
                <c:pt idx="60">
                  <c:v>312.95757977167301</c:v>
                </c:pt>
                <c:pt idx="61">
                  <c:v>319.76464216080774</c:v>
                </c:pt>
                <c:pt idx="62">
                  <c:v>326.56849772007598</c:v>
                </c:pt>
                <c:pt idx="63">
                  <c:v>333.36922275846945</c:v>
                </c:pt>
                <c:pt idx="64">
                  <c:v>340.16689021425316</c:v>
                </c:pt>
                <c:pt idx="65">
                  <c:v>346.96156986974069</c:v>
                </c:pt>
                <c:pt idx="66">
                  <c:v>314.06164885604733</c:v>
                </c:pt>
                <c:pt idx="67">
                  <c:v>320.68426777479954</c:v>
                </c:pt>
                <c:pt idx="68">
                  <c:v>327.30386083487946</c:v>
                </c:pt>
                <c:pt idx="69">
                  <c:v>333.9204979335957</c:v>
                </c:pt>
                <c:pt idx="70">
                  <c:v>340.53424596920644</c:v>
                </c:pt>
                <c:pt idx="71">
                  <c:v>346.59436515417241</c:v>
                </c:pt>
                <c:pt idx="72">
                  <c:v>352.65215800851342</c:v>
                </c:pt>
                <c:pt idx="73">
                  <c:v>358.7076701751036</c:v>
                </c:pt>
                <c:pt idx="74">
                  <c:v>364.76094562839216</c:v>
                </c:pt>
                <c:pt idx="75">
                  <c:v>370.81202676268725</c:v>
                </c:pt>
                <c:pt idx="76">
                  <c:v>342.0035819124044</c:v>
                </c:pt>
                <c:pt idx="77">
                  <c:v>348.06313285395299</c:v>
                </c:pt>
                <c:pt idx="78">
                  <c:v>354.12036868801255</c:v>
                </c:pt>
                <c:pt idx="79">
                  <c:v>360.17533464453709</c:v>
                </c:pt>
                <c:pt idx="80">
                  <c:v>366.22807430704444</c:v>
                </c:pt>
                <c:pt idx="81">
                  <c:v>371.72866839180887</c:v>
                </c:pt>
                <c:pt idx="82">
                  <c:v>377.22748782234959</c:v>
                </c:pt>
                <c:pt idx="83">
                  <c:v>382.72456214571093</c:v>
                </c:pt>
                <c:pt idx="84">
                  <c:v>388.21991999001642</c:v>
                </c:pt>
                <c:pt idx="85">
                  <c:v>393.71358910594313</c:v>
                </c:pt>
                <c:pt idx="86">
                  <c:v>364.94434375313602</c:v>
                </c:pt>
                <c:pt idx="87">
                  <c:v>370.07867787425289</c:v>
                </c:pt>
                <c:pt idx="88">
                  <c:v>375.2114582000915</c:v>
                </c:pt>
                <c:pt idx="89">
                  <c:v>380.34270900980033</c:v>
                </c:pt>
                <c:pt idx="90">
                  <c:v>385.4724538732321</c:v>
                </c:pt>
                <c:pt idx="91">
                  <c:v>390.60071568104081</c:v>
                </c:pt>
                <c:pt idx="92">
                  <c:v>395.72751667311633</c:v>
                </c:pt>
                <c:pt idx="93">
                  <c:v>400.85287846546549</c:v>
                </c:pt>
                <c:pt idx="94">
                  <c:v>405.97682207564702</c:v>
                </c:pt>
                <c:pt idx="95">
                  <c:v>411.09936794685399</c:v>
                </c:pt>
                <c:pt idx="96">
                  <c:v>383.82377013249379</c:v>
                </c:pt>
                <c:pt idx="97">
                  <c:v>388.58621683386582</c:v>
                </c:pt>
                <c:pt idx="98">
                  <c:v>393.34739649249155</c:v>
                </c:pt>
                <c:pt idx="99">
                  <c:v>398.107326626516</c:v>
                </c:pt>
                <c:pt idx="100">
                  <c:v>402.86602430053154</c:v>
                </c:pt>
                <c:pt idx="101">
                  <c:v>407.25758879520464</c:v>
                </c:pt>
                <c:pt idx="102">
                  <c:v>411.64813007939955</c:v>
                </c:pt>
                <c:pt idx="103">
                  <c:v>416.03766061861705</c:v>
                </c:pt>
                <c:pt idx="104">
                  <c:v>420.42619259356724</c:v>
                </c:pt>
                <c:pt idx="105">
                  <c:v>424.81373790964727</c:v>
                </c:pt>
                <c:pt idx="106">
                  <c:v>429.20030820600772</c:v>
                </c:pt>
                <c:pt idx="107">
                  <c:v>433.58591486422876</c:v>
                </c:pt>
                <c:pt idx="108">
                  <c:v>437.97056901662677</c:v>
                </c:pt>
                <c:pt idx="109">
                  <c:v>442.3542815542101</c:v>
                </c:pt>
                <c:pt idx="110">
                  <c:v>446.7370631343037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5074576"/>
        <c:axId val="1395075120"/>
      </c:scatterChart>
      <c:valAx>
        <c:axId val="1395074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5075120"/>
        <c:crosses val="autoZero"/>
        <c:crossBetween val="midCat"/>
      </c:valAx>
      <c:valAx>
        <c:axId val="139507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5074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5075664"/>
        <c:axId val="1395077296"/>
      </c:scatterChart>
      <c:valAx>
        <c:axId val="1395075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5077296"/>
        <c:crosses val="autoZero"/>
        <c:crossBetween val="midCat"/>
      </c:valAx>
      <c:valAx>
        <c:axId val="139507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5075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4618528"/>
        <c:axId val="1194621792"/>
      </c:scatterChart>
      <c:valAx>
        <c:axId val="1194618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4621792"/>
        <c:crosses val="autoZero"/>
        <c:crossBetween val="midCat"/>
      </c:valAx>
      <c:valAx>
        <c:axId val="119462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94618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14576"/>
        <c:axId val="1610910224"/>
      </c:scatterChart>
      <c:valAx>
        <c:axId val="1610914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10910224"/>
        <c:crosses val="autoZero"/>
        <c:crossBetween val="midCat"/>
      </c:valAx>
      <c:valAx>
        <c:axId val="161091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10914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08592"/>
        <c:axId val="1610909680"/>
      </c:scatterChart>
      <c:valAx>
        <c:axId val="1610908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10909680"/>
        <c:crosses val="autoZero"/>
        <c:crossBetween val="midCat"/>
      </c:valAx>
      <c:valAx>
        <c:axId val="161090968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10908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7" zoomScale="90" zoomScaleNormal="90" workbookViewId="0">
      <selection activeCell="D36" sqref="D3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</v>
      </c>
      <c r="D5" s="306" t="s">
        <v>229</v>
      </c>
      <c r="E5" s="307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7"/>
      <c r="B6" s="97"/>
      <c r="C6" s="98"/>
      <c r="D6" s="92"/>
      <c r="E6" s="92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6.25" x14ac:dyDescent="0.25">
      <c r="A7" s="303" t="s">
        <v>226</v>
      </c>
      <c r="B7" s="303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0.45</v>
      </c>
      <c r="D9" s="36">
        <f t="shared" ref="D9:D18" si="0">C9*$C$5</f>
        <v>0.9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</v>
      </c>
      <c r="D10" s="36">
        <f t="shared" si="0"/>
        <v>0.2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0.05</v>
      </c>
      <c r="D11" s="36">
        <f t="shared" si="0"/>
        <v>0.1</v>
      </c>
      <c r="E11" s="37">
        <v>65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23</v>
      </c>
      <c r="C12" s="35">
        <v>0.2</v>
      </c>
      <c r="D12" s="36">
        <f t="shared" si="0"/>
        <v>0.4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50</v>
      </c>
      <c r="C13" s="35">
        <v>0.1</v>
      </c>
      <c r="D13" s="36">
        <f t="shared" si="0"/>
        <v>0.2</v>
      </c>
      <c r="E13" s="37">
        <v>110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9"/>
      <c r="B19" s="39" t="s">
        <v>175</v>
      </c>
      <c r="C19" s="40">
        <f>SUM(C9:C18)</f>
        <v>0.9</v>
      </c>
      <c r="D19" s="41">
        <f>SUM(D9:D18)</f>
        <v>1.8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25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25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27</v>
      </c>
      <c r="B36" s="63">
        <v>118</v>
      </c>
      <c r="C36" s="63">
        <v>1</v>
      </c>
      <c r="D36" s="63">
        <v>15</v>
      </c>
      <c r="E36" s="54"/>
      <c r="F36" s="54"/>
      <c r="G36" s="54">
        <v>0.5</v>
      </c>
      <c r="H36" s="54">
        <v>0.5</v>
      </c>
      <c r="I36" s="52">
        <f>IFERROR(B36/A36,"")</f>
        <v>4.3703703703703702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f>119+13</f>
        <v>132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9.6666666666666661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f>146+13+23</f>
        <v>182</v>
      </c>
      <c r="C38" s="63">
        <v>2</v>
      </c>
      <c r="D38" s="63">
        <v>36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f>174+34</f>
        <v>208</v>
      </c>
      <c r="C39" s="63">
        <v>3</v>
      </c>
      <c r="D39" s="63">
        <v>34</v>
      </c>
      <c r="E39" s="54"/>
      <c r="F39" s="54"/>
      <c r="G39" s="54"/>
      <c r="H39" s="54"/>
      <c r="I39" s="52">
        <f t="shared" si="1"/>
        <v>12.4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f>236+79</f>
        <v>315</v>
      </c>
      <c r="C40" s="63">
        <v>4</v>
      </c>
      <c r="D40" s="63">
        <v>79</v>
      </c>
      <c r="E40" s="54"/>
      <c r="F40" s="54"/>
      <c r="G40" s="54"/>
      <c r="H40" s="54"/>
      <c r="I40" s="52">
        <f t="shared" si="1"/>
        <v>14.1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60</v>
      </c>
      <c r="B41" s="63">
        <f>305+88</f>
        <v>393</v>
      </c>
      <c r="C41" s="63">
        <v>5</v>
      </c>
      <c r="D41" s="63">
        <v>88</v>
      </c>
      <c r="E41" s="54"/>
      <c r="F41" s="54"/>
      <c r="G41" s="54"/>
      <c r="H41" s="54"/>
      <c r="I41" s="56">
        <f t="shared" si="1"/>
        <v>15.7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70</v>
      </c>
      <c r="B42" s="63">
        <f>370+78</f>
        <v>448</v>
      </c>
      <c r="C42" s="63">
        <v>6</v>
      </c>
      <c r="D42" s="63">
        <v>78</v>
      </c>
      <c r="E42" s="54"/>
      <c r="F42" s="54"/>
      <c r="G42" s="54"/>
      <c r="H42" s="54"/>
      <c r="I42" s="56">
        <f t="shared" si="1"/>
        <v>14.3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2">
        <v>80</v>
      </c>
      <c r="B43" s="63">
        <f>415+45</f>
        <v>460</v>
      </c>
      <c r="C43" s="63">
        <v>7</v>
      </c>
      <c r="D43" s="63">
        <f>B43</f>
        <v>460</v>
      </c>
      <c r="E43" s="54"/>
      <c r="F43" s="54"/>
      <c r="G43" s="54"/>
      <c r="H43" s="54"/>
      <c r="I43" s="52">
        <f t="shared" si="1"/>
        <v>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2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42</v>
      </c>
      <c r="C62" s="53"/>
      <c r="D62" s="6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71</v>
      </c>
      <c r="C63" s="53">
        <v>1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97</v>
      </c>
      <c r="C64" s="53"/>
      <c r="D64" s="63"/>
      <c r="E64" s="54"/>
      <c r="F64" s="54"/>
      <c r="G64" s="54"/>
      <c r="H64" s="54"/>
      <c r="I64" s="52">
        <f>IF(A64&lt;&gt;0,(B64-(B63-D63))/(A64-A63),"")</f>
        <v>6.8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140</v>
      </c>
      <c r="C65" s="53">
        <v>2</v>
      </c>
      <c r="D65" s="63">
        <v>42</v>
      </c>
      <c r="E65" s="54"/>
      <c r="F65" s="54"/>
      <c r="G65" s="54"/>
      <c r="H65" s="54"/>
      <c r="I65" s="52">
        <f>IF(A65&lt;&gt;0,(B65-(B64-D64))/(A65-A64),"")</f>
        <v>8.6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137</v>
      </c>
      <c r="C66" s="53"/>
      <c r="D66" s="63"/>
      <c r="E66" s="54"/>
      <c r="F66" s="54"/>
      <c r="G66" s="54"/>
      <c r="H66" s="54"/>
      <c r="I66" s="52">
        <f t="shared" ref="I66:I81" si="2">IF(A66&lt;&gt;0,(B66-(B65-D65))/(A66-A65),"")</f>
        <v>7.8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179</v>
      </c>
      <c r="C67" s="53">
        <v>3</v>
      </c>
      <c r="D67" s="63"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178</v>
      </c>
      <c r="C68" s="53"/>
      <c r="D68" s="63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3">
        <v>218</v>
      </c>
      <c r="C69" s="53">
        <v>4</v>
      </c>
      <c r="D69" s="63"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63">
        <v>214</v>
      </c>
      <c r="C70" s="53"/>
      <c r="D70" s="6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63">
        <v>250</v>
      </c>
      <c r="C71" s="53">
        <v>5</v>
      </c>
      <c r="D71" s="6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63">
        <v>242</v>
      </c>
      <c r="C72" s="53"/>
      <c r="D72" s="6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63">
        <v>273</v>
      </c>
      <c r="C73" s="53">
        <v>6</v>
      </c>
      <c r="D73" s="6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63">
        <v>290</v>
      </c>
      <c r="C74" s="53">
        <v>7</v>
      </c>
      <c r="D74" s="63">
        <v>42</v>
      </c>
      <c r="E74" s="57"/>
      <c r="F74" s="57"/>
      <c r="G74" s="57"/>
      <c r="H74" s="57"/>
      <c r="I74" s="52">
        <f t="shared" si="2"/>
        <v>5.9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95</v>
      </c>
      <c r="B75" s="63">
        <v>300</v>
      </c>
      <c r="C75" s="53">
        <v>8</v>
      </c>
      <c r="D75" s="63">
        <v>42</v>
      </c>
      <c r="E75" s="57"/>
      <c r="F75" s="57"/>
      <c r="G75" s="57"/>
      <c r="H75" s="57"/>
      <c r="I75" s="52">
        <f t="shared" si="2"/>
        <v>5.2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8">
        <v>105</v>
      </c>
      <c r="B76" s="59">
        <v>305</v>
      </c>
      <c r="C76" s="53">
        <v>9</v>
      </c>
      <c r="D76" s="53">
        <v>41</v>
      </c>
      <c r="E76" s="57"/>
      <c r="F76" s="57"/>
      <c r="G76" s="57"/>
      <c r="H76" s="57"/>
      <c r="I76" s="52">
        <f t="shared" si="2"/>
        <v>4.7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8">
        <v>115</v>
      </c>
      <c r="B77" s="59">
        <v>304</v>
      </c>
      <c r="C77" s="53">
        <v>10</v>
      </c>
      <c r="D77" s="53">
        <v>37</v>
      </c>
      <c r="E77" s="57"/>
      <c r="F77" s="57"/>
      <c r="G77" s="57"/>
      <c r="H77" s="57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8">
        <v>125</v>
      </c>
      <c r="B78" s="59">
        <v>301</v>
      </c>
      <c r="C78" s="53">
        <v>11</v>
      </c>
      <c r="D78" s="53">
        <v>33</v>
      </c>
      <c r="E78" s="57"/>
      <c r="F78" s="57"/>
      <c r="G78" s="57"/>
      <c r="H78" s="57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8">
        <v>135</v>
      </c>
      <c r="B79" s="59">
        <v>298</v>
      </c>
      <c r="C79" s="53">
        <v>12</v>
      </c>
      <c r="D79" s="53">
        <v>29</v>
      </c>
      <c r="E79" s="57"/>
      <c r="F79" s="57"/>
      <c r="G79" s="57"/>
      <c r="H79" s="57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8">
        <v>145</v>
      </c>
      <c r="B80" s="59">
        <v>295</v>
      </c>
      <c r="C80" s="53"/>
      <c r="D80" s="53"/>
      <c r="E80" s="57"/>
      <c r="F80" s="57"/>
      <c r="G80" s="57"/>
      <c r="H80" s="57"/>
      <c r="I80" s="52">
        <f t="shared" si="2"/>
        <v>2.6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8">
        <v>150</v>
      </c>
      <c r="B81" s="59">
        <v>306</v>
      </c>
      <c r="C81" s="53">
        <v>13</v>
      </c>
      <c r="D81" s="61">
        <v>306</v>
      </c>
      <c r="E81" s="57"/>
      <c r="F81" s="57"/>
      <c r="G81" s="57"/>
      <c r="H81" s="57"/>
      <c r="I81" s="52">
        <f t="shared" si="2"/>
        <v>2.2000000000000002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126.4</v>
      </c>
      <c r="C88" s="53"/>
      <c r="D88" s="63"/>
      <c r="E88" s="54"/>
      <c r="F88" s="54"/>
      <c r="G88" s="54"/>
      <c r="H88" s="54"/>
      <c r="I88" s="56">
        <f>IFERROR(B88/A88,"")</f>
        <v>8.4266666666666676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237.8</v>
      </c>
      <c r="C89" s="53"/>
      <c r="D89" s="63"/>
      <c r="E89" s="54"/>
      <c r="F89" s="54"/>
      <c r="G89" s="54"/>
      <c r="H89" s="54"/>
      <c r="I89" s="56">
        <f t="shared" ref="I89:I97" si="3">IF(A89&lt;&gt;0,(B89-(B88-D88))/(A89-A88),"")</f>
        <v>22.28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351.1</v>
      </c>
      <c r="C90" s="53">
        <v>1</v>
      </c>
      <c r="D90" s="63">
        <v>20.6</v>
      </c>
      <c r="E90" s="54"/>
      <c r="F90" s="54"/>
      <c r="G90" s="54">
        <v>0.5</v>
      </c>
      <c r="H90" s="54">
        <v>0.5</v>
      </c>
      <c r="I90" s="56">
        <f t="shared" si="3"/>
        <v>22.660000000000004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436.4</v>
      </c>
      <c r="C91" s="53"/>
      <c r="D91" s="63"/>
      <c r="E91" s="54"/>
      <c r="F91" s="54"/>
      <c r="G91" s="54"/>
      <c r="H91" s="54"/>
      <c r="I91" s="56">
        <f t="shared" si="3"/>
        <v>21.179999999999996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545.9</v>
      </c>
      <c r="C92" s="53">
        <v>2</v>
      </c>
      <c r="D92" s="63">
        <v>109.3</v>
      </c>
      <c r="E92" s="54"/>
      <c r="F92" s="54"/>
      <c r="G92" s="54"/>
      <c r="H92" s="54"/>
      <c r="I92" s="56">
        <f t="shared" si="3"/>
        <v>21.9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543.1</v>
      </c>
      <c r="C93" s="53"/>
      <c r="D93" s="63"/>
      <c r="E93" s="54"/>
      <c r="F93" s="54"/>
      <c r="G93" s="54"/>
      <c r="H93" s="54"/>
      <c r="I93" s="56">
        <f t="shared" si="3"/>
        <v>21.300000000000011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636.20000000000005</v>
      </c>
      <c r="C94" s="53">
        <v>3</v>
      </c>
      <c r="D94" s="63">
        <v>134.30000000000001</v>
      </c>
      <c r="E94" s="54"/>
      <c r="F94" s="54"/>
      <c r="G94" s="54"/>
      <c r="H94" s="54"/>
      <c r="I94" s="56">
        <f t="shared" si="3"/>
        <v>18.620000000000005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63">
        <v>590.1</v>
      </c>
      <c r="C95" s="53"/>
      <c r="D95" s="63"/>
      <c r="E95" s="54"/>
      <c r="F95" s="54"/>
      <c r="G95" s="54"/>
      <c r="H95" s="54"/>
      <c r="I95" s="56">
        <f t="shared" si="3"/>
        <v>17.639999999999997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55</v>
      </c>
      <c r="B96" s="63">
        <v>680.9</v>
      </c>
      <c r="C96" s="53">
        <v>4</v>
      </c>
      <c r="D96" s="63">
        <v>140.30000000000001</v>
      </c>
      <c r="E96" s="54"/>
      <c r="F96" s="54"/>
      <c r="G96" s="54"/>
      <c r="H96" s="54"/>
      <c r="I96" s="56">
        <f t="shared" si="3"/>
        <v>18.159999999999989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60</v>
      </c>
      <c r="B97" s="63">
        <v>626.29999999999995</v>
      </c>
      <c r="C97" s="53">
        <v>5</v>
      </c>
      <c r="D97" s="63">
        <v>61.4</v>
      </c>
      <c r="E97" s="54"/>
      <c r="F97" s="54"/>
      <c r="G97" s="54"/>
      <c r="H97" s="54"/>
      <c r="I97" s="56">
        <f t="shared" si="3"/>
        <v>17.140000000000008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65</v>
      </c>
      <c r="B98" s="63">
        <v>646.4</v>
      </c>
      <c r="C98" s="53">
        <v>6</v>
      </c>
      <c r="D98" s="63">
        <v>646.4</v>
      </c>
      <c r="E98" s="54"/>
      <c r="F98" s="54"/>
      <c r="G98" s="54"/>
      <c r="H98" s="54"/>
      <c r="I98" s="56">
        <f t="shared" ref="I98:I107" si="4">IF(A98&lt;&gt;0,(B98-(B97-D97))/(A98-A97),"")</f>
        <v>16.3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/>
      <c r="B99" s="63"/>
      <c r="C99" s="53"/>
      <c r="D99" s="63"/>
      <c r="E99" s="54"/>
      <c r="F99" s="54"/>
      <c r="G99" s="54"/>
      <c r="H99" s="54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sycomore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37</v>
      </c>
      <c r="C114" s="63">
        <v>1</v>
      </c>
      <c r="D114" s="63">
        <v>15</v>
      </c>
      <c r="E114" s="54"/>
      <c r="F114" s="54"/>
      <c r="G114" s="54"/>
      <c r="H114" s="54">
        <v>1</v>
      </c>
      <c r="I114" s="56">
        <f>IFERROR(B114/A114,"")</f>
        <v>2.4666666666666668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80</v>
      </c>
      <c r="C115" s="63"/>
      <c r="D115" s="63"/>
      <c r="E115" s="54"/>
      <c r="F115" s="54"/>
      <c r="G115" s="54"/>
      <c r="H115" s="54"/>
      <c r="I115" s="56">
        <f t="shared" ref="I115:I129" si="5">IF(A115&lt;&gt;0,(B115-(B114-D114))/(A115-A114),"")</f>
        <v>11.6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143</v>
      </c>
      <c r="C116" s="63">
        <v>2</v>
      </c>
      <c r="D116" s="63">
        <v>56</v>
      </c>
      <c r="E116" s="54"/>
      <c r="F116" s="54"/>
      <c r="G116" s="54"/>
      <c r="H116" s="54">
        <v>1</v>
      </c>
      <c r="I116" s="56">
        <f t="shared" si="5"/>
        <v>12.6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147</v>
      </c>
      <c r="C117" s="63"/>
      <c r="D117" s="63"/>
      <c r="E117" s="54"/>
      <c r="F117" s="54"/>
      <c r="G117" s="54"/>
      <c r="H117" s="54"/>
      <c r="I117" s="56">
        <f t="shared" si="5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200</v>
      </c>
      <c r="C118" s="63">
        <v>3</v>
      </c>
      <c r="D118" s="63">
        <v>56</v>
      </c>
      <c r="E118" s="54"/>
      <c r="F118" s="54"/>
      <c r="G118" s="54"/>
      <c r="H118" s="54"/>
      <c r="I118" s="56">
        <f t="shared" si="5"/>
        <v>10.6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192</v>
      </c>
      <c r="C119" s="63"/>
      <c r="D119" s="63"/>
      <c r="E119" s="54"/>
      <c r="F119" s="54"/>
      <c r="G119" s="54"/>
      <c r="H119" s="54"/>
      <c r="I119" s="56">
        <f t="shared" si="5"/>
        <v>9.6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45</v>
      </c>
      <c r="B120" s="63">
        <v>233</v>
      </c>
      <c r="C120" s="63">
        <v>4</v>
      </c>
      <c r="D120" s="63">
        <v>50</v>
      </c>
      <c r="E120" s="54"/>
      <c r="F120" s="54"/>
      <c r="G120" s="54"/>
      <c r="H120" s="54"/>
      <c r="I120" s="56">
        <f t="shared" si="5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50</v>
      </c>
      <c r="B121" s="53">
        <v>218</v>
      </c>
      <c r="C121" s="53"/>
      <c r="D121" s="53"/>
      <c r="E121" s="54"/>
      <c r="F121" s="54"/>
      <c r="G121" s="54"/>
      <c r="H121" s="54"/>
      <c r="I121" s="56">
        <f t="shared" si="5"/>
        <v>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55</v>
      </c>
      <c r="B122" s="53">
        <v>250</v>
      </c>
      <c r="C122" s="53">
        <v>5</v>
      </c>
      <c r="D122" s="53">
        <v>30</v>
      </c>
      <c r="E122" s="54"/>
      <c r="F122" s="54"/>
      <c r="G122" s="54"/>
      <c r="H122" s="54"/>
      <c r="I122" s="56">
        <f t="shared" si="5"/>
        <v>6.4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60</v>
      </c>
      <c r="B123" s="53">
        <v>245</v>
      </c>
      <c r="C123" s="53"/>
      <c r="D123" s="53"/>
      <c r="E123" s="54"/>
      <c r="F123" s="54"/>
      <c r="G123" s="54"/>
      <c r="H123" s="54"/>
      <c r="I123" s="56">
        <f t="shared" si="5"/>
        <v>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65</v>
      </c>
      <c r="B124" s="53">
        <v>267</v>
      </c>
      <c r="C124" s="53">
        <v>6</v>
      </c>
      <c r="D124" s="53">
        <v>23</v>
      </c>
      <c r="E124" s="54"/>
      <c r="F124" s="54"/>
      <c r="G124" s="54"/>
      <c r="H124" s="54"/>
      <c r="I124" s="56">
        <f t="shared" si="5"/>
        <v>4.4000000000000004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70</v>
      </c>
      <c r="B125" s="53">
        <v>263</v>
      </c>
      <c r="C125" s="53"/>
      <c r="D125" s="53"/>
      <c r="E125" s="54"/>
      <c r="F125" s="54"/>
      <c r="G125" s="54"/>
      <c r="H125" s="54"/>
      <c r="I125" s="56">
        <f t="shared" si="5"/>
        <v>3.8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75</v>
      </c>
      <c r="B126" s="53">
        <v>280</v>
      </c>
      <c r="C126" s="53">
        <v>7</v>
      </c>
      <c r="D126" s="53">
        <v>19</v>
      </c>
      <c r="E126" s="54"/>
      <c r="F126" s="54"/>
      <c r="G126" s="54"/>
      <c r="H126" s="54"/>
      <c r="I126" s="56">
        <f t="shared" si="5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80</v>
      </c>
      <c r="B127" s="53">
        <v>276</v>
      </c>
      <c r="C127" s="53">
        <v>8</v>
      </c>
      <c r="D127" s="53">
        <v>276</v>
      </c>
      <c r="E127" s="54"/>
      <c r="F127" s="54"/>
      <c r="G127" s="54"/>
      <c r="H127" s="54"/>
      <c r="I127" s="56">
        <f t="shared" si="5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4"/>
      <c r="F128" s="54"/>
      <c r="G128" s="54"/>
      <c r="H128" s="54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4"/>
      <c r="F129" s="54"/>
      <c r="G129" s="54"/>
      <c r="H129" s="54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4"/>
      <c r="F130" s="54"/>
      <c r="G130" s="54"/>
      <c r="H130" s="54"/>
      <c r="I130" s="56" t="str">
        <f t="shared" ref="I130:I133" si="6">IF(A130&lt;&gt;0,(B130-(B129-D129))/(A130-A129),"")</f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4"/>
      <c r="F131" s="54"/>
      <c r="G131" s="54"/>
      <c r="H131" s="54"/>
      <c r="I131" s="56" t="str">
        <f t="shared" si="6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4"/>
      <c r="F132" s="54"/>
      <c r="G132" s="54"/>
      <c r="H132" s="54"/>
      <c r="I132" s="56" t="str">
        <f t="shared" si="6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4"/>
      <c r="F133" s="54"/>
      <c r="G133" s="54"/>
      <c r="H133" s="54"/>
      <c r="I133" s="56" t="str">
        <f t="shared" si="6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Tilleul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f>65/1.56</f>
        <v>41.666666666666664</v>
      </c>
      <c r="C140" s="53">
        <v>1</v>
      </c>
      <c r="D140" s="63">
        <f>14/1.56</f>
        <v>8.9743589743589745</v>
      </c>
      <c r="E140" s="54"/>
      <c r="F140" s="54"/>
      <c r="G140" s="54"/>
      <c r="H140" s="54">
        <v>1</v>
      </c>
      <c r="I140" s="60">
        <f>IFERROR(B140/A140,"")</f>
        <v>2.7777777777777777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109/1.56</f>
        <v>69.871794871794876</v>
      </c>
      <c r="C141" s="53"/>
      <c r="D141" s="63"/>
      <c r="E141" s="54"/>
      <c r="F141" s="54"/>
      <c r="G141" s="54"/>
      <c r="H141" s="54"/>
      <c r="I141" s="60">
        <f t="shared" ref="I141:I159" si="7">IF(A141&lt;&gt;0,(B141-(B140-D140))/(A141-A140),"")</f>
        <v>7.4358974358974361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(150+20)/1.56</f>
        <v>108.97435897435896</v>
      </c>
      <c r="C142" s="53">
        <v>2</v>
      </c>
      <c r="D142" s="63">
        <f>(20+23)/1.56</f>
        <v>27.564102564102562</v>
      </c>
      <c r="E142" s="54"/>
      <c r="F142" s="54"/>
      <c r="G142" s="54"/>
      <c r="H142" s="54">
        <v>1</v>
      </c>
      <c r="I142" s="60">
        <f t="shared" si="7"/>
        <v>7.8205128205128176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187/1.56</f>
        <v>119.87179487179486</v>
      </c>
      <c r="C143" s="53"/>
      <c r="D143" s="63"/>
      <c r="E143" s="54"/>
      <c r="F143" s="54"/>
      <c r="G143" s="54"/>
      <c r="H143" s="54"/>
      <c r="I143" s="60">
        <f t="shared" si="7"/>
        <v>7.6923076923076907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f>(219+24)/1.56</f>
        <v>155.76923076923077</v>
      </c>
      <c r="C144" s="53">
        <v>3</v>
      </c>
      <c r="D144" s="63">
        <f>(24+25)/1.56</f>
        <v>31.410256410256409</v>
      </c>
      <c r="E144" s="54"/>
      <c r="F144" s="54"/>
      <c r="G144" s="54"/>
      <c r="H144" s="54"/>
      <c r="I144" s="60">
        <f t="shared" si="7"/>
        <v>7.1794871794871824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248/1.56</f>
        <v>158.97435897435898</v>
      </c>
      <c r="C145" s="53"/>
      <c r="D145" s="63"/>
      <c r="E145" s="54"/>
      <c r="F145" s="54"/>
      <c r="G145" s="54"/>
      <c r="H145" s="54"/>
      <c r="I145" s="60">
        <f t="shared" si="7"/>
        <v>6.9230769230769225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(272+25)/1.56</f>
        <v>190.38461538461539</v>
      </c>
      <c r="C146" s="53">
        <v>4</v>
      </c>
      <c r="D146" s="63">
        <f>(25+24)/1.56</f>
        <v>31.410256410256409</v>
      </c>
      <c r="E146" s="54"/>
      <c r="F146" s="54"/>
      <c r="G146" s="54"/>
      <c r="H146" s="54"/>
      <c r="I146" s="60">
        <f t="shared" si="7"/>
        <v>6.2820512820512819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f>294/1.56</f>
        <v>188.46153846153845</v>
      </c>
      <c r="C147" s="53"/>
      <c r="D147" s="63"/>
      <c r="E147" s="54"/>
      <c r="F147" s="54"/>
      <c r="G147" s="54"/>
      <c r="H147" s="54"/>
      <c r="I147" s="60">
        <f>IF(A147&lt;&gt;0,(B147-(B146-D146))/(A147-A146),"")</f>
        <v>5.8974358974358951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f>(314+24)/1.56</f>
        <v>216.66666666666666</v>
      </c>
      <c r="C148" s="53">
        <v>5</v>
      </c>
      <c r="D148" s="63">
        <f>(24+23)/1.56</f>
        <v>30.128205128205128</v>
      </c>
      <c r="E148" s="54"/>
      <c r="F148" s="54"/>
      <c r="G148" s="54"/>
      <c r="H148" s="54"/>
      <c r="I148" s="60">
        <f t="shared" si="7"/>
        <v>5.6410256410256405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f>332/1.56</f>
        <v>212.82051282051282</v>
      </c>
      <c r="C149" s="53"/>
      <c r="D149" s="63"/>
      <c r="E149" s="54"/>
      <c r="F149" s="54"/>
      <c r="G149" s="54"/>
      <c r="H149" s="54"/>
      <c r="I149" s="60">
        <f t="shared" si="7"/>
        <v>5.2564102564102599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f>(347+22)/1.56</f>
        <v>236.53846153846152</v>
      </c>
      <c r="C150" s="53">
        <v>6</v>
      </c>
      <c r="D150" s="63">
        <f>(22+21)/1.56</f>
        <v>27.564102564102562</v>
      </c>
      <c r="E150" s="54"/>
      <c r="F150" s="54"/>
      <c r="G150" s="54"/>
      <c r="H150" s="54"/>
      <c r="I150" s="60">
        <f t="shared" si="7"/>
        <v>4.7435897435897401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f>362/1.56</f>
        <v>232.05128205128204</v>
      </c>
      <c r="C151" s="53"/>
      <c r="D151" s="63"/>
      <c r="E151" s="54"/>
      <c r="F151" s="54"/>
      <c r="G151" s="54"/>
      <c r="H151" s="54"/>
      <c r="I151" s="60">
        <f t="shared" si="7"/>
        <v>4.6153846153846185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f>(375+20)/1.56</f>
        <v>253.2051282051282</v>
      </c>
      <c r="C152" s="53">
        <v>7</v>
      </c>
      <c r="D152" s="63">
        <f>(20+18)/1.56</f>
        <v>24.358974358974358</v>
      </c>
      <c r="E152" s="57"/>
      <c r="F152" s="57"/>
      <c r="G152" s="57"/>
      <c r="H152" s="57"/>
      <c r="I152" s="60">
        <f t="shared" si="7"/>
        <v>4.2307692307692317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f>390/1.56</f>
        <v>250</v>
      </c>
      <c r="C153" s="53"/>
      <c r="D153" s="63"/>
      <c r="E153" s="57"/>
      <c r="F153" s="57"/>
      <c r="G153" s="57"/>
      <c r="H153" s="57"/>
      <c r="I153" s="60">
        <f t="shared" si="7"/>
        <v>4.2307692307692317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85</v>
      </c>
      <c r="B154" s="59">
        <f>(401+19)/1.56</f>
        <v>269.23076923076923</v>
      </c>
      <c r="C154" s="53">
        <v>8</v>
      </c>
      <c r="D154" s="53">
        <f>(19+18)/1.56</f>
        <v>23.717948717948715</v>
      </c>
      <c r="E154" s="57"/>
      <c r="F154" s="57"/>
      <c r="G154" s="57"/>
      <c r="H154" s="57"/>
      <c r="I154" s="60">
        <f t="shared" si="7"/>
        <v>3.8461538461538454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90</v>
      </c>
      <c r="B155" s="59">
        <f>411/1.56</f>
        <v>263.46153846153845</v>
      </c>
      <c r="C155" s="53"/>
      <c r="D155" s="53"/>
      <c r="E155" s="57"/>
      <c r="F155" s="57"/>
      <c r="G155" s="57"/>
      <c r="H155" s="57"/>
      <c r="I155" s="60">
        <f t="shared" si="7"/>
        <v>3.5897435897435912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95</v>
      </c>
      <c r="B156" s="59">
        <f>(421+18)/1.56</f>
        <v>281.41025641025641</v>
      </c>
      <c r="C156" s="53">
        <v>9</v>
      </c>
      <c r="D156" s="53">
        <f>(18+17)/1.56</f>
        <v>22.435897435897434</v>
      </c>
      <c r="E156" s="57"/>
      <c r="F156" s="57"/>
      <c r="G156" s="57"/>
      <c r="H156" s="57"/>
      <c r="I156" s="60">
        <f t="shared" si="7"/>
        <v>3.5897435897435912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100</v>
      </c>
      <c r="B157" s="59">
        <f>430/1.56</f>
        <v>275.64102564102564</v>
      </c>
      <c r="C157" s="53"/>
      <c r="D157" s="53"/>
      <c r="E157" s="57"/>
      <c r="F157" s="57"/>
      <c r="G157" s="57"/>
      <c r="H157" s="57"/>
      <c r="I157" s="60">
        <f t="shared" si="7"/>
        <v>3.333333333333337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105</v>
      </c>
      <c r="B158" s="59">
        <f>(438+16)/1.56</f>
        <v>291.02564102564099</v>
      </c>
      <c r="C158" s="53"/>
      <c r="D158" s="53"/>
      <c r="E158" s="57"/>
      <c r="F158" s="57"/>
      <c r="G158" s="57"/>
      <c r="H158" s="57"/>
      <c r="I158" s="60">
        <f t="shared" si="7"/>
        <v>3.0769230769230718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110</v>
      </c>
      <c r="B159" s="59">
        <f>(446+16+16)/1.56</f>
        <v>306.41025641025641</v>
      </c>
      <c r="C159" s="53">
        <v>10</v>
      </c>
      <c r="D159" s="61">
        <f>B159</f>
        <v>306.41025641025641</v>
      </c>
      <c r="E159" s="57"/>
      <c r="F159" s="57"/>
      <c r="G159" s="57"/>
      <c r="H159" s="57"/>
      <c r="I159" s="60">
        <f t="shared" si="7"/>
        <v>3.0769230769230829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8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8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8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8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8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8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8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8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8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8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8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8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8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8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8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8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8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8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8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9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9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9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9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9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9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9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9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9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9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9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9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9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9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9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9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9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9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9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10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10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10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10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10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10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10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10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10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10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10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10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3"/>
      <c r="B231" s="63"/>
      <c r="C231" s="93"/>
      <c r="D231" s="63"/>
      <c r="E231" s="57"/>
      <c r="F231" s="57"/>
      <c r="G231" s="57"/>
      <c r="H231" s="57"/>
      <c r="I231" s="56" t="str">
        <f t="shared" si="10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0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0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0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0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0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0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1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1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1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1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1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1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1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1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1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1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3"/>
      <c r="B257" s="63"/>
      <c r="C257" s="93"/>
      <c r="D257" s="63"/>
      <c r="E257" s="57"/>
      <c r="F257" s="57"/>
      <c r="G257" s="57"/>
      <c r="H257" s="57"/>
      <c r="I257" s="56" t="str">
        <f t="shared" si="11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1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1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1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1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1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1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2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2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2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2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2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2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2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2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2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2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2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3"/>
      <c r="B283" s="63"/>
      <c r="C283" s="93"/>
      <c r="D283" s="63"/>
      <c r="E283" s="57"/>
      <c r="F283" s="57"/>
      <c r="G283" s="57"/>
      <c r="H283" s="57"/>
      <c r="I283" s="56" t="str">
        <f t="shared" si="12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2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2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2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2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2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2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F12" sqref="F1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25">
      <c r="A8" s="113">
        <v>1</v>
      </c>
      <c r="B8" s="64">
        <v>0</v>
      </c>
      <c r="C8" s="52" t="s">
        <v>177</v>
      </c>
      <c r="D8" s="25"/>
      <c r="E8" s="113">
        <v>4</v>
      </c>
      <c r="F8" s="64">
        <v>1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3">
        <v>2</v>
      </c>
      <c r="B9" s="64">
        <v>0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1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25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4">
        <f>SUM(B16:B18)</f>
        <v>0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activeCell="J25" sqref="J25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laricio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sessile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Douglas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Erable sycomore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Tilleul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217.20547328702645</v>
      </c>
      <c r="T3" s="62">
        <f>IF('Données projet'!E9&gt;30,$R$33-$H$33,LOOKUP('Données projet'!$E$9,$A$3:$A$203,R3:R203)-LOOKUP('Données projet'!$E$9,$A$3:$A$203,$H$3:$H$203))</f>
        <v>137.55906339137317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305.35633273533773</v>
      </c>
      <c r="AO3" s="62">
        <f>IF('Données projet'!E10&gt;30,$AM$33-$H$33,LOOKUP('Données projet'!$E$10,$A$3:$A$203,AM3:AM203)-LOOKUP('Données projet'!$E$10,$A$3:$A$203,$H$3:$H$203))</f>
        <v>156.67965022779896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415.52119746518764</v>
      </c>
      <c r="BJ3" s="62">
        <f>IF('Données projet'!E11&gt;30,$BH$33-$H$33,LOOKUP('Données projet'!$E$11,$A$3:$A$203,BH3:BH203)-LOOKUP('Données projet'!$E$11,$A$3:$A$203,$H$3:$H$203))</f>
        <v>490.11217551185604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232.53653575369032</v>
      </c>
      <c r="CE3" s="62">
        <f>IF('Données projet'!E12&gt;30,$CC$33-$H$33,LOOKUP('Données projet'!$E$12,$A$3:$A$203,CC3:CC203)-LOOKUP('Données projet'!$E$12,$A$3:$A$203,$H$3:$H$203))</f>
        <v>219.59799863414099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191.58722091189202</v>
      </c>
      <c r="CZ3" s="62">
        <f>IF('Données projet'!E13&gt;30,$CX$33-$H$33,LOOKUP('Données projet'!$E$13,$A$3:$A$203,CX3:CX203)-LOOKUP('Données projet'!$E$13,$A$3:$A$203,$H$3:$H$203))</f>
        <v>140.7542783756906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4.3703703703703702</v>
      </c>
      <c r="N4" s="14">
        <f>IF('Données projet'!$A$36&gt;35,N3+M4-V3,IF(A4&lt;'Données projet'!$A$36,$K$205^A4,IF(A4='Données projet'!$A$36,'Données projet'!$B$36,N3+M4-V3)))</f>
        <v>1.1932635389591795</v>
      </c>
      <c r="O4" s="14">
        <f>N4*VLOOKUP('Données projet'!$B$9,Paramètres!$A$1:$I$89,3,0)*VLOOKUP('Données projet'!$B$9,Paramètres!$A$1:$I$89,5,0)</f>
        <v>0.71357159629758937</v>
      </c>
      <c r="P4" s="14">
        <f>EXP(-1.0587+0.8836*LN(O4)+0.284)</f>
        <v>0.34201841351504586</v>
      </c>
      <c r="Q4" s="22">
        <f t="shared" ref="Q4:Q34" si="2">(O4+P4)*0.475*44/12</f>
        <v>1.8384859337570063</v>
      </c>
      <c r="R4" s="62">
        <f t="shared" si="0"/>
        <v>295.17181926709031</v>
      </c>
      <c r="S4" s="62">
        <f ca="1">AVERAGE(OFFSET($R$3,0,0,'Données projet'!$E$9+1,1))-AVERAGE(OFFSET($H$3,0,0,'Données projet'!$E$9+1,1))</f>
        <v>217.20547328702645</v>
      </c>
      <c r="T4" s="62">
        <f>$T$3</f>
        <v>137.55906339137317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296.09965856715894</v>
      </c>
      <c r="AN4" s="62">
        <f ca="1">AVERAGE(OFFSET($AM$3,0,0,'Données projet'!$E$10+1,1))-AVERAGE(OFFSET($H$3,0,0,'Données projet'!$E$10+1,1))</f>
        <v>305.35633273533773</v>
      </c>
      <c r="AO4" s="62">
        <f>$AO$3</f>
        <v>156.67965022779896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8.4266666666666676</v>
      </c>
      <c r="BD4" s="13">
        <f>IF('Données projet'!$A$88&gt;35,BD3+BC4-BL3,IF(A4&lt;'Données projet'!$A$88,$BA$205^A4,IF(A4='Données projet'!$A$88,'Données projet'!$B$88,BD3+BC4-BL3)))</f>
        <v>1.3807545136538468</v>
      </c>
      <c r="BE4" s="14">
        <f>BD4*VLOOKUP('Données projet'!$B$11,Paramètres!$A$1:$I$89,3,0)*VLOOKUP('Données projet'!$B$11,Paramètres!$A$1:$I$89,5,0)</f>
        <v>0.77184177313250046</v>
      </c>
      <c r="BF4" s="14">
        <f>EXP(-1.0587+0.8836*LN(BE4)+0.284)</f>
        <v>0.36658277344202034</v>
      </c>
      <c r="BG4" s="22">
        <f t="shared" ref="BG4:BG67" si="7">(BE4+BF4)*0.475*44/12</f>
        <v>1.9827560852839572</v>
      </c>
      <c r="BH4" s="62">
        <f t="shared" ref="BH4:BH67" si="8">BG4+(AY4+AZ4)*44/12</f>
        <v>295.31608941861725</v>
      </c>
      <c r="BI4" s="62">
        <f ca="1">AVERAGE(OFFSET($BH$3,0,0,'Données projet'!$E$11+1,1))-AVERAGE(OFFSET($H$3,0,0,'Données projet'!$E$11+1,1))</f>
        <v>415.52119746518764</v>
      </c>
      <c r="BJ4" s="62">
        <f>$BJ$3</f>
        <v>490.11217551185604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2.4666666666666668</v>
      </c>
      <c r="BY4" s="13">
        <f>IF('Données projet'!$A$114&gt;35,BY3+BX4-CG3,IF(A4&lt;'Données projet'!$A$114,$BV$205^A4,IF(A4='Données projet'!$A$114,'Données projet'!$B$114,BY3+BX4-CG3)))</f>
        <v>1.2721747796233518</v>
      </c>
      <c r="BZ4" s="14">
        <f>BY4*VLOOKUP('Données projet'!$B$12,Paramètres!$A$1:$I$89,3,0)*VLOOKUP('Données projet'!$B$12,Paramètres!$A$1:$I$89,5,0)</f>
        <v>1.0121422546683387</v>
      </c>
      <c r="CA4" s="14">
        <f>EXP(-1.0587+0.8836*LN(BZ4)+0.284)</f>
        <v>0.46578286063395047</v>
      </c>
      <c r="CB4" s="22">
        <f t="shared" ref="CB4:CB67" si="10">(BZ4+CA4)*0.475*44/12</f>
        <v>2.574052909151487</v>
      </c>
      <c r="CC4" s="62">
        <f t="shared" ref="CC4:CC67" si="11">CB4+(BT4+BU4)*44/12</f>
        <v>295.90738624248479</v>
      </c>
      <c r="CD4" s="62">
        <f ca="1">AVERAGE(OFFSET($CC$3,0,0,'Données projet'!$E$12+1,1))-AVERAGE(OFFSET($H$3,0,0,'Données projet'!$E$12+1,1))</f>
        <v>232.53653575369032</v>
      </c>
      <c r="CE4" s="62">
        <f>$CE$3</f>
        <v>219.59799863414099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2.7777777777777777</v>
      </c>
      <c r="CT4" s="13">
        <f>IF('Données projet'!$A$140&gt;35,CT3+CS4-DB3,IF(A4&lt;'Données projet'!$A$140,$CQ$205^A4,IF(A4='Données projet'!$A$140,'Données projet'!$B$140,CT3+CS4-DB3)))</f>
        <v>1.2822890014514785</v>
      </c>
      <c r="CU4" s="18">
        <f>CT4*VLOOKUP('Données projet'!$B$13,Paramètres!$A$1:$I$89,3,0)*VLOOKUP('Données projet'!$B$13,Paramètres!$A$1:$I$89,5,0)</f>
        <v>0.8601594621736518</v>
      </c>
      <c r="CV4" s="14">
        <f>EXP(-1.0587+0.8836*LN(CU4)+0.284)</f>
        <v>0.40340942797853763</v>
      </c>
      <c r="CW4" s="22">
        <f t="shared" ref="CW4:CW67" si="13">(CU4+CV4)*0.475*44/12</f>
        <v>2.2007158170150634</v>
      </c>
      <c r="CX4" s="62">
        <f t="shared" ref="CX4:CX67" si="14">CW4+(CO4+CP4)*44/12</f>
        <v>295.53404915034838</v>
      </c>
      <c r="CY4" s="62">
        <f ca="1">AVERAGE(OFFSET($CX$3,0,0,'Données projet'!$E$13+1,1))-AVERAGE(OFFSET($H$3,0,0,'Données projet'!$E$13+1,1))</f>
        <v>191.58722091189202</v>
      </c>
      <c r="CZ4" s="62">
        <f>$CZ$3</f>
        <v>140.7542783756906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4.3703703703703702</v>
      </c>
      <c r="N5" s="14">
        <f>IF('Données projet'!$A$36&gt;35,N4+M5-V4,IF(A5&lt;'Données projet'!$A$36,$K$205^A5,IF(A5='Données projet'!$A$36,'Données projet'!$B$36,N4+M5-V4)))</f>
        <v>1.4238778734093853</v>
      </c>
      <c r="O5" s="14">
        <f>N5*VLOOKUP('Données projet'!$B$9,Paramètres!$A$1:$I$89,3,0)*VLOOKUP('Données projet'!$B$9,Paramètres!$A$1:$I$89,5,0)</f>
        <v>0.85147896829881242</v>
      </c>
      <c r="P5" s="14">
        <f t="shared" ref="P5:P68" si="33">EXP(-1.0587+0.8836*LN(O5)+0.284)</f>
        <v>0.39981008543020569</v>
      </c>
      <c r="Q5" s="22">
        <f t="shared" si="2"/>
        <v>2.179328435244706</v>
      </c>
      <c r="R5" s="62">
        <f t="shared" si="0"/>
        <v>295.51266176857803</v>
      </c>
      <c r="S5" s="62">
        <f ca="1">AVERAGE(OFFSET($R$3,0,0,'Données projet'!$E$9+1,1))-AVERAGE(OFFSET($H$3,0,0,'Données projet'!$E$9+1,1))</f>
        <v>217.20547328702645</v>
      </c>
      <c r="T5" s="62">
        <f t="shared" ref="T5:T68" si="34">$T$3</f>
        <v>137.55906339137317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296.64562104315422</v>
      </c>
      <c r="AN5" s="62">
        <f ca="1">AVERAGE(OFFSET($AM$3,0,0,'Données projet'!$E$10+1,1))-AVERAGE(OFFSET($H$3,0,0,'Données projet'!$E$10+1,1))</f>
        <v>305.35633273533773</v>
      </c>
      <c r="AO5" s="62">
        <f t="shared" ref="AO5:AO68" si="36">$AO$3</f>
        <v>156.67965022779896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8.4266666666666676</v>
      </c>
      <c r="BD5" s="13">
        <f>IF('Données projet'!$A$88&gt;35,BD4+BC5-BL4,IF(A5&lt;'Données projet'!$A$88,$BA$205^A5,IF(A5='Données projet'!$A$88,'Données projet'!$B$88,BD4+BC5-BL4)))</f>
        <v>1.9064830269754711</v>
      </c>
      <c r="BE5" s="14">
        <f>BD5*VLOOKUP('Données projet'!$B$11,Paramètres!$A$1:$I$89,3,0)*VLOOKUP('Données projet'!$B$11,Paramètres!$A$1:$I$89,5,0)</f>
        <v>1.0657240120792884</v>
      </c>
      <c r="BF5" s="14">
        <f t="shared" ref="BF5:BF68" si="37">EXP(-1.0587+0.8836*LN(BE5)+0.284)</f>
        <v>0.48750487945139892</v>
      </c>
      <c r="BG5" s="22">
        <f t="shared" si="7"/>
        <v>2.7052069860826133</v>
      </c>
      <c r="BH5" s="62">
        <f t="shared" si="8"/>
        <v>296.03854031941592</v>
      </c>
      <c r="BI5" s="62">
        <f ca="1">AVERAGE(OFFSET($BH$3,0,0,'Données projet'!$E$11+1,1))-AVERAGE(OFFSET($H$3,0,0,'Données projet'!$E$11+1,1))</f>
        <v>415.52119746518764</v>
      </c>
      <c r="BJ5" s="62">
        <f t="shared" ref="BJ5:BJ68" si="38">$BJ$3</f>
        <v>490.11217551185604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2.4666666666666668</v>
      </c>
      <c r="BY5" s="13">
        <f>IF('Données projet'!$A$114&gt;35,BY4+BX5-CG4,IF(A5&lt;'Données projet'!$A$114,$BV$205^A5,IF(A5='Données projet'!$A$114,'Données projet'!$B$114,BY4+BX5-CG4)))</f>
        <v>1.6184286699097237</v>
      </c>
      <c r="BZ5" s="14">
        <f>BY5*VLOOKUP('Données projet'!$B$12,Paramètres!$A$1:$I$89,3,0)*VLOOKUP('Données projet'!$B$12,Paramètres!$A$1:$I$89,5,0)</f>
        <v>1.2876218497801761</v>
      </c>
      <c r="CA5" s="14">
        <f t="shared" ref="CA5:CA68" si="39">EXP(-1.0587+0.8836*LN(BZ5)+0.284)</f>
        <v>0.57618379541883336</v>
      </c>
      <c r="CB5" s="22">
        <f t="shared" si="10"/>
        <v>3.2461281653882743</v>
      </c>
      <c r="CC5" s="62">
        <f t="shared" si="11"/>
        <v>296.57946149872157</v>
      </c>
      <c r="CD5" s="62">
        <f ca="1">AVERAGE(OFFSET($CC$3,0,0,'Données projet'!$E$12+1,1))-AVERAGE(OFFSET($H$3,0,0,'Données projet'!$E$12+1,1))</f>
        <v>232.53653575369032</v>
      </c>
      <c r="CE5" s="62">
        <f t="shared" ref="CE5:CE68" si="40">$CE$3</f>
        <v>219.59799863414099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2.7777777777777777</v>
      </c>
      <c r="CT5" s="13">
        <f>IF('Données projet'!$A$140&gt;35,CT4+CS5-DB4,IF(A5&lt;'Données projet'!$A$140,$CQ$205^A5,IF(A5='Données projet'!$A$140,'Données projet'!$B$140,CT4+CS5-DB4)))</f>
        <v>1.6442650832434298</v>
      </c>
      <c r="CU5" s="18">
        <f>CT5*VLOOKUP('Données projet'!$B$13,Paramètres!$A$1:$I$89,3,0)*VLOOKUP('Données projet'!$B$13,Paramètres!$A$1:$I$89,5,0)</f>
        <v>1.1029730178396928</v>
      </c>
      <c r="CV5" s="14">
        <f t="shared" ref="CV5:CV68" si="41">EXP(-1.0587+0.8836*LN(CU5)+0.284)</f>
        <v>0.50253047081784186</v>
      </c>
      <c r="CW5" s="22">
        <f t="shared" si="13"/>
        <v>2.7962519094118723</v>
      </c>
      <c r="CX5" s="62">
        <f t="shared" si="14"/>
        <v>296.12958524274518</v>
      </c>
      <c r="CY5" s="62">
        <f ca="1">AVERAGE(OFFSET($CX$3,0,0,'Données projet'!$E$13+1,1))-AVERAGE(OFFSET($H$3,0,0,'Données projet'!$E$13+1,1))</f>
        <v>191.58722091189202</v>
      </c>
      <c r="CZ5" s="62">
        <f t="shared" ref="CZ5:CZ68" si="42">$CZ$3</f>
        <v>140.7542783756906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4.3703703703703702</v>
      </c>
      <c r="N6" s="14">
        <f>IF('Données projet'!$A$36&gt;35,N5+M6-V5,IF(A6&lt;'Données projet'!$A$36,$K$205^A6,IF(A6='Données projet'!$A$36,'Données projet'!$B$36,N5+M6-V5)))</f>
        <v>1.6990615502701536</v>
      </c>
      <c r="O6" s="14">
        <f>N6*VLOOKUP('Données projet'!$B$9,Paramètres!$A$1:$I$89,3,0)*VLOOKUP('Données projet'!$B$9,Paramètres!$A$1:$I$89,5,0)</f>
        <v>1.0160388070615518</v>
      </c>
      <c r="P6" s="14">
        <f t="shared" si="33"/>
        <v>0.46736695480483653</v>
      </c>
      <c r="Q6" s="22">
        <f t="shared" si="2"/>
        <v>2.5835983685839596</v>
      </c>
      <c r="R6" s="62">
        <f t="shared" si="0"/>
        <v>295.91693170191729</v>
      </c>
      <c r="S6" s="62">
        <f ca="1">AVERAGE(OFFSET($R$3,0,0,'Données projet'!$E$9+1,1))-AVERAGE(OFFSET($H$3,0,0,'Données projet'!$E$9+1,1))</f>
        <v>217.20547328702645</v>
      </c>
      <c r="T6" s="62">
        <f t="shared" si="34"/>
        <v>137.55906339137317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297.29973523978072</v>
      </c>
      <c r="AN6" s="62">
        <f ca="1">AVERAGE(OFFSET($AM$3,0,0,'Données projet'!$E$10+1,1))-AVERAGE(OFFSET($H$3,0,0,'Données projet'!$E$10+1,1))</f>
        <v>305.35633273533773</v>
      </c>
      <c r="AO6" s="62">
        <f t="shared" si="36"/>
        <v>156.67965022779896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8.4266666666666676</v>
      </c>
      <c r="BD6" s="13">
        <f>IF('Données projet'!$A$88&gt;35,BD5+BC6-BL5,IF(A6&lt;'Données projet'!$A$88,$BA$205^A6,IF(A6='Données projet'!$A$88,'Données projet'!$B$88,BD5+BC6-BL5)))</f>
        <v>2.6323850447008303</v>
      </c>
      <c r="BE6" s="14">
        <f>BD6*VLOOKUP('Données projet'!$B$11,Paramètres!$A$1:$I$89,3,0)*VLOOKUP('Données projet'!$B$11,Paramètres!$A$1:$I$89,5,0)</f>
        <v>1.4715032399877641</v>
      </c>
      <c r="BF6" s="14">
        <f t="shared" si="37"/>
        <v>0.64831471827606757</v>
      </c>
      <c r="BG6" s="22">
        <f t="shared" si="7"/>
        <v>3.6920162773095071</v>
      </c>
      <c r="BH6" s="62">
        <f t="shared" si="8"/>
        <v>297.02534961064282</v>
      </c>
      <c r="BI6" s="62">
        <f ca="1">AVERAGE(OFFSET($BH$3,0,0,'Données projet'!$E$11+1,1))-AVERAGE(OFFSET($H$3,0,0,'Données projet'!$E$11+1,1))</f>
        <v>415.52119746518764</v>
      </c>
      <c r="BJ6" s="62">
        <f t="shared" si="38"/>
        <v>490.11217551185604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2.4666666666666668</v>
      </c>
      <c r="BY6" s="13">
        <f>IF('Données projet'!$A$114&gt;35,BY5+BX6-CG5,IF(A6&lt;'Données projet'!$A$114,$BV$205^A6,IF(A6='Données projet'!$A$114,'Données projet'!$B$114,BY5+BX6-CG5)))</f>
        <v>2.0589241364785171</v>
      </c>
      <c r="BZ6" s="14">
        <f>BY6*VLOOKUP('Données projet'!$B$12,Paramètres!$A$1:$I$89,3,0)*VLOOKUP('Données projet'!$B$12,Paramètres!$A$1:$I$89,5,0)</f>
        <v>1.6380800429823084</v>
      </c>
      <c r="CA6" s="14">
        <f t="shared" si="39"/>
        <v>0.71275221602487127</v>
      </c>
      <c r="CB6" s="22">
        <f t="shared" si="10"/>
        <v>4.0943661844375043</v>
      </c>
      <c r="CC6" s="62">
        <f t="shared" si="11"/>
        <v>297.4276995177708</v>
      </c>
      <c r="CD6" s="62">
        <f ca="1">AVERAGE(OFFSET($CC$3,0,0,'Données projet'!$E$12+1,1))-AVERAGE(OFFSET($H$3,0,0,'Données projet'!$E$12+1,1))</f>
        <v>232.53653575369032</v>
      </c>
      <c r="CE6" s="62">
        <f t="shared" si="40"/>
        <v>219.59799863414099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2.7777777777777777</v>
      </c>
      <c r="CT6" s="13">
        <f>IF('Données projet'!$A$140&gt;35,CT5+CS6-DB5,IF(A6&lt;'Données projet'!$A$140,$CQ$205^A6,IF(A6='Données projet'!$A$140,'Données projet'!$B$140,CT5+CS6-DB5)))</f>
        <v>2.1084230317137496</v>
      </c>
      <c r="CU6" s="18">
        <f>CT6*VLOOKUP('Données projet'!$B$13,Paramètres!$A$1:$I$89,3,0)*VLOOKUP('Données projet'!$B$13,Paramètres!$A$1:$I$89,5,0)</f>
        <v>1.4143301696735833</v>
      </c>
      <c r="CV6" s="14">
        <f t="shared" si="41"/>
        <v>0.62600637611731103</v>
      </c>
      <c r="CW6" s="22">
        <f t="shared" si="13"/>
        <v>3.5535861505858075</v>
      </c>
      <c r="CX6" s="62">
        <f t="shared" si="14"/>
        <v>296.88691948391914</v>
      </c>
      <c r="CY6" s="62">
        <f ca="1">AVERAGE(OFFSET($CX$3,0,0,'Données projet'!$E$13+1,1))-AVERAGE(OFFSET($H$3,0,0,'Données projet'!$E$13+1,1))</f>
        <v>191.58722091189202</v>
      </c>
      <c r="CZ6" s="62">
        <f t="shared" si="42"/>
        <v>140.7542783756906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4.3703703703703702</v>
      </c>
      <c r="N7" s="14">
        <f>IF('Données projet'!$A$36&gt;35,N6+M7-V6,IF(A7&lt;'Données projet'!$A$36,$K$205^A7,IF(A7='Données projet'!$A$36,'Données projet'!$B$36,N6+M7-V6)))</f>
        <v>2.0274281983848335</v>
      </c>
      <c r="O7" s="14">
        <f>N7*VLOOKUP('Données projet'!$B$9,Paramètres!$A$1:$I$89,3,0)*VLOOKUP('Données projet'!$B$9,Paramètres!$A$1:$I$89,5,0)</f>
        <v>1.2124020626341305</v>
      </c>
      <c r="P7" s="14">
        <f t="shared" si="33"/>
        <v>0.54633907048269681</v>
      </c>
      <c r="Q7" s="22">
        <f t="shared" si="2"/>
        <v>3.0631408068451407</v>
      </c>
      <c r="R7" s="62">
        <f t="shared" si="0"/>
        <v>296.39647414017844</v>
      </c>
      <c r="S7" s="62">
        <f ca="1">AVERAGE(OFFSET($R$3,0,0,'Données projet'!$E$9+1,1))-AVERAGE(OFFSET($H$3,0,0,'Données projet'!$E$9+1,1))</f>
        <v>217.20547328702645</v>
      </c>
      <c r="T7" s="62">
        <f t="shared" si="34"/>
        <v>137.55906339137317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298.08350019263929</v>
      </c>
      <c r="AN7" s="62">
        <f ca="1">AVERAGE(OFFSET($AM$3,0,0,'Données projet'!$E$10+1,1))-AVERAGE(OFFSET($H$3,0,0,'Données projet'!$E$10+1,1))</f>
        <v>305.35633273533773</v>
      </c>
      <c r="AO7" s="62">
        <f t="shared" si="36"/>
        <v>156.67965022779896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8.4266666666666676</v>
      </c>
      <c r="BD7" s="13">
        <f>IF('Données projet'!$A$88&gt;35,BD6+BC7-BL6,IF(A7&lt;'Données projet'!$A$88,$BA$205^A7,IF(A7='Données projet'!$A$88,'Données projet'!$B$88,BD6+BC7-BL6)))</f>
        <v>3.6346775321455551</v>
      </c>
      <c r="BE7" s="14">
        <f>BD7*VLOOKUP('Données projet'!$B$11,Paramètres!$A$1:$I$89,3,0)*VLOOKUP('Données projet'!$B$11,Paramètres!$A$1:$I$89,5,0)</f>
        <v>2.0317847404693654</v>
      </c>
      <c r="BF7" s="14">
        <f t="shared" si="37"/>
        <v>0.86216977849814402</v>
      </c>
      <c r="BG7" s="22">
        <f t="shared" si="7"/>
        <v>5.0403041205350787</v>
      </c>
      <c r="BH7" s="62">
        <f t="shared" si="8"/>
        <v>298.37363745386841</v>
      </c>
      <c r="BI7" s="62">
        <f ca="1">AVERAGE(OFFSET($BH$3,0,0,'Données projet'!$E$11+1,1))-AVERAGE(OFFSET($H$3,0,0,'Données projet'!$E$11+1,1))</f>
        <v>415.52119746518764</v>
      </c>
      <c r="BJ7" s="62">
        <f t="shared" si="38"/>
        <v>490.11217551185604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2.4666666666666668</v>
      </c>
      <c r="BY7" s="13">
        <f>IF('Données projet'!$A$114&gt;35,BY6+BX7-CG6,IF(A7&lt;'Données projet'!$A$114,$BV$205^A7,IF(A7='Données projet'!$A$114,'Données projet'!$B$114,BY6+BX7-CG6)))</f>
        <v>2.6193113595857573</v>
      </c>
      <c r="BZ7" s="14">
        <f>BY7*VLOOKUP('Données projet'!$B$12,Paramètres!$A$1:$I$89,3,0)*VLOOKUP('Données projet'!$B$12,Paramètres!$A$1:$I$89,5,0)</f>
        <v>2.0839241176864287</v>
      </c>
      <c r="CA7" s="14">
        <f t="shared" si="39"/>
        <v>0.88169040068036508</v>
      </c>
      <c r="CB7" s="22">
        <f t="shared" si="10"/>
        <v>5.1651119528221656</v>
      </c>
      <c r="CC7" s="62">
        <f t="shared" si="11"/>
        <v>298.49844528615546</v>
      </c>
      <c r="CD7" s="62">
        <f ca="1">AVERAGE(OFFSET($CC$3,0,0,'Données projet'!$E$12+1,1))-AVERAGE(OFFSET($H$3,0,0,'Données projet'!$E$12+1,1))</f>
        <v>232.53653575369032</v>
      </c>
      <c r="CE7" s="62">
        <f t="shared" si="40"/>
        <v>219.59799863414099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2.7777777777777777</v>
      </c>
      <c r="CT7" s="13">
        <f>IF('Données projet'!$A$140&gt;35,CT6+CS7-DB6,IF(A7&lt;'Données projet'!$A$140,$CQ$205^A7,IF(A7='Données projet'!$A$140,'Données projet'!$B$140,CT6+CS7-DB6)))</f>
        <v>2.7036076639735231</v>
      </c>
      <c r="CU7" s="18">
        <f>CT7*VLOOKUP('Données projet'!$B$13,Paramètres!$A$1:$I$89,3,0)*VLOOKUP('Données projet'!$B$13,Paramètres!$A$1:$I$89,5,0)</f>
        <v>1.8135800209934394</v>
      </c>
      <c r="CV7" s="14">
        <f t="shared" si="41"/>
        <v>0.77982133561325717</v>
      </c>
      <c r="CW7" s="22">
        <f t="shared" si="13"/>
        <v>4.5168406960899965</v>
      </c>
      <c r="CX7" s="62">
        <f t="shared" si="14"/>
        <v>297.85017402942333</v>
      </c>
      <c r="CY7" s="62">
        <f ca="1">AVERAGE(OFFSET($CX$3,0,0,'Données projet'!$E$13+1,1))-AVERAGE(OFFSET($H$3,0,0,'Données projet'!$E$13+1,1))</f>
        <v>191.58722091189202</v>
      </c>
      <c r="CZ7" s="62">
        <f t="shared" si="42"/>
        <v>140.7542783756906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4.3703703703703702</v>
      </c>
      <c r="N8" s="14">
        <f>IF('Données projet'!$A$36&gt;35,N7+M8-V7,IF(A8&lt;'Données projet'!$A$36,$K$205^A8,IF(A8='Données projet'!$A$36,'Données projet'!$B$36,N7+M8-V7)))</f>
        <v>2.4192561469903198</v>
      </c>
      <c r="O8" s="14">
        <f>N8*VLOOKUP('Données projet'!$B$9,Paramètres!$A$1:$I$89,3,0)*VLOOKUP('Données projet'!$B$9,Paramètres!$A$1:$I$89,5,0)</f>
        <v>1.4467151759002115</v>
      </c>
      <c r="P8" s="14">
        <f t="shared" si="33"/>
        <v>0.63865529401953391</v>
      </c>
      <c r="Q8" s="22">
        <f t="shared" si="2"/>
        <v>3.6320202351102231</v>
      </c>
      <c r="R8" s="62">
        <f t="shared" si="0"/>
        <v>296.96535356844356</v>
      </c>
      <c r="S8" s="62">
        <f ca="1">AVERAGE(OFFSET($R$3,0,0,'Données projet'!$E$9+1,1))-AVERAGE(OFFSET($H$3,0,0,'Données projet'!$E$9+1,1))</f>
        <v>217.20547328702645</v>
      </c>
      <c r="T8" s="62">
        <f t="shared" si="34"/>
        <v>137.55906339137317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299.02270258510697</v>
      </c>
      <c r="AN8" s="62">
        <f ca="1">AVERAGE(OFFSET($AM$3,0,0,'Données projet'!$E$10+1,1))-AVERAGE(OFFSET($H$3,0,0,'Données projet'!$E$10+1,1))</f>
        <v>305.35633273533773</v>
      </c>
      <c r="AO8" s="62">
        <f t="shared" si="36"/>
        <v>156.67965022779896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8.4266666666666676</v>
      </c>
      <c r="BD8" s="13">
        <f>IF('Données projet'!$A$88&gt;35,BD7+BC8-BL7,IF(A8&lt;'Données projet'!$A$88,$BA$205^A8,IF(A8='Données projet'!$A$88,'Données projet'!$B$88,BD7+BC8-BL7)))</f>
        <v>5.0185974081862001</v>
      </c>
      <c r="BE8" s="14">
        <f>BD8*VLOOKUP('Données projet'!$B$11,Paramètres!$A$1:$I$89,3,0)*VLOOKUP('Données projet'!$B$11,Paramètres!$A$1:$I$89,5,0)</f>
        <v>2.8053959511760858</v>
      </c>
      <c r="BF8" s="14">
        <f t="shared" si="37"/>
        <v>1.1465677178086344</v>
      </c>
      <c r="BG8" s="22">
        <f t="shared" si="7"/>
        <v>6.8830033901483878</v>
      </c>
      <c r="BH8" s="62">
        <f t="shared" si="8"/>
        <v>300.21633672348167</v>
      </c>
      <c r="BI8" s="62">
        <f ca="1">AVERAGE(OFFSET($BH$3,0,0,'Données projet'!$E$11+1,1))-AVERAGE(OFFSET($H$3,0,0,'Données projet'!$E$11+1,1))</f>
        <v>415.52119746518764</v>
      </c>
      <c r="BJ8" s="62">
        <f t="shared" si="38"/>
        <v>490.11217551185604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2.4666666666666668</v>
      </c>
      <c r="BY8" s="13">
        <f>IF('Données projet'!$A$114&gt;35,BY7+BX8-CG7,IF(A8&lt;'Données projet'!$A$114,$BV$205^A8,IF(A8='Données projet'!$A$114,'Données projet'!$B$114,BY7+BX8-CG7)))</f>
        <v>3.332221851645953</v>
      </c>
      <c r="BZ8" s="14">
        <f>BY8*VLOOKUP('Données projet'!$B$12,Paramètres!$A$1:$I$89,3,0)*VLOOKUP('Données projet'!$B$12,Paramètres!$A$1:$I$89,5,0)</f>
        <v>2.6511157051695204</v>
      </c>
      <c r="CA8" s="14">
        <f t="shared" si="39"/>
        <v>1.0906707059957799</v>
      </c>
      <c r="CB8" s="22">
        <f t="shared" si="10"/>
        <v>6.5169446661128978</v>
      </c>
      <c r="CC8" s="62">
        <f t="shared" si="11"/>
        <v>299.85027799944623</v>
      </c>
      <c r="CD8" s="62">
        <f ca="1">AVERAGE(OFFSET($CC$3,0,0,'Données projet'!$E$12+1,1))-AVERAGE(OFFSET($H$3,0,0,'Données projet'!$E$12+1,1))</f>
        <v>232.53653575369032</v>
      </c>
      <c r="CE8" s="62">
        <f t="shared" si="40"/>
        <v>219.59799863414099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2.7777777777777777</v>
      </c>
      <c r="CT8" s="13">
        <f>IF('Données projet'!$A$140&gt;35,CT7+CS8-DB7,IF(A8&lt;'Données projet'!$A$140,$CQ$205^A8,IF(A8='Données projet'!$A$140,'Données projet'!$B$140,CT7+CS8-DB7)))</f>
        <v>3.4668063717531736</v>
      </c>
      <c r="CU8" s="18">
        <f>CT8*VLOOKUP('Données projet'!$B$13,Paramètres!$A$1:$I$89,3,0)*VLOOKUP('Données projet'!$B$13,Paramètres!$A$1:$I$89,5,0)</f>
        <v>2.3255337141720287</v>
      </c>
      <c r="CV8" s="14">
        <f t="shared" si="41"/>
        <v>0.97142990659201334</v>
      </c>
      <c r="CW8" s="22">
        <f t="shared" si="13"/>
        <v>5.7422116394973726</v>
      </c>
      <c r="CX8" s="62">
        <f t="shared" si="14"/>
        <v>299.0755449728307</v>
      </c>
      <c r="CY8" s="62">
        <f ca="1">AVERAGE(OFFSET($CX$3,0,0,'Données projet'!$E$13+1,1))-AVERAGE(OFFSET($H$3,0,0,'Données projet'!$E$13+1,1))</f>
        <v>191.58722091189202</v>
      </c>
      <c r="CZ8" s="62">
        <f t="shared" si="42"/>
        <v>140.7542783756906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4.3703703703703702</v>
      </c>
      <c r="N9" s="14">
        <f>IF('Données projet'!$A$36&gt;35,N8+M9-V8,IF(A9&lt;'Données projet'!$A$36,$K$205^A9,IF(A9='Données projet'!$A$36,'Données projet'!$B$36,N8+M9-V8)))</f>
        <v>2.8868101516064182</v>
      </c>
      <c r="O9" s="14">
        <f>N9*VLOOKUP('Données projet'!$B$9,Paramètres!$A$1:$I$89,3,0)*VLOOKUP('Données projet'!$B$9,Paramètres!$A$1:$I$89,5,0)</f>
        <v>1.7263124706606381</v>
      </c>
      <c r="P9" s="14">
        <f t="shared" si="33"/>
        <v>0.7465704113359678</v>
      </c>
      <c r="Q9" s="22">
        <f t="shared" si="2"/>
        <v>4.3069376861440878</v>
      </c>
      <c r="R9" s="62">
        <f t="shared" si="0"/>
        <v>297.64027101947738</v>
      </c>
      <c r="S9" s="62">
        <f ca="1">AVERAGE(OFFSET($R$3,0,0,'Données projet'!$E$9+1,1))-AVERAGE(OFFSET($H$3,0,0,'Données projet'!$E$9+1,1))</f>
        <v>217.20547328702645</v>
      </c>
      <c r="T9" s="62">
        <f t="shared" si="34"/>
        <v>137.55906339137317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300.14827444069743</v>
      </c>
      <c r="AN9" s="62">
        <f ca="1">AVERAGE(OFFSET($AM$3,0,0,'Données projet'!$E$10+1,1))-AVERAGE(OFFSET($H$3,0,0,'Données projet'!$E$10+1,1))</f>
        <v>305.35633273533773</v>
      </c>
      <c r="AO9" s="62">
        <f t="shared" si="36"/>
        <v>156.67965022779896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8.4266666666666676</v>
      </c>
      <c r="BD9" s="13">
        <f>IF('Données projet'!$A$88&gt;35,BD8+BC9-BL8,IF(A9&lt;'Données projet'!$A$88,$BA$205^A9,IF(A9='Données projet'!$A$88,'Données projet'!$B$88,BD8+BC9-BL8)))</f>
        <v>6.9294510235645932</v>
      </c>
      <c r="BE9" s="14">
        <f>BD9*VLOOKUP('Données projet'!$B$11,Paramètres!$A$1:$I$89,3,0)*VLOOKUP('Données projet'!$B$11,Paramètres!$A$1:$I$89,5,0)</f>
        <v>3.8735631221726079</v>
      </c>
      <c r="BF9" s="14">
        <f t="shared" si="37"/>
        <v>1.5247780243595381</v>
      </c>
      <c r="BG9" s="22">
        <f t="shared" si="7"/>
        <v>9.4021108302101535</v>
      </c>
      <c r="BH9" s="62">
        <f t="shared" si="8"/>
        <v>302.73544416354349</v>
      </c>
      <c r="BI9" s="62">
        <f ca="1">AVERAGE(OFFSET($BH$3,0,0,'Données projet'!$E$11+1,1))-AVERAGE(OFFSET($H$3,0,0,'Données projet'!$E$11+1,1))</f>
        <v>415.52119746518764</v>
      </c>
      <c r="BJ9" s="62">
        <f t="shared" si="38"/>
        <v>490.11217551185604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2.4666666666666668</v>
      </c>
      <c r="BY9" s="13">
        <f>IF('Données projet'!$A$114&gt;35,BY8+BX9-CG8,IF(A9&lt;'Données projet'!$A$114,$BV$205^A9,IF(A9='Données projet'!$A$114,'Données projet'!$B$114,BY8+BX9-CG8)))</f>
        <v>4.2391685997738069</v>
      </c>
      <c r="BZ9" s="14">
        <f>BY9*VLOOKUP('Données projet'!$B$12,Paramètres!$A$1:$I$89,3,0)*VLOOKUP('Données projet'!$B$12,Paramètres!$A$1:$I$89,5,0)</f>
        <v>3.3726825379800407</v>
      </c>
      <c r="CA9" s="14">
        <f t="shared" si="39"/>
        <v>1.3491840083541735</v>
      </c>
      <c r="CB9" s="22">
        <f t="shared" si="10"/>
        <v>8.2239175681987557</v>
      </c>
      <c r="CC9" s="62">
        <f t="shared" si="11"/>
        <v>301.55725090153209</v>
      </c>
      <c r="CD9" s="62">
        <f ca="1">AVERAGE(OFFSET($CC$3,0,0,'Données projet'!$E$12+1,1))-AVERAGE(OFFSET($H$3,0,0,'Données projet'!$E$12+1,1))</f>
        <v>232.53653575369032</v>
      </c>
      <c r="CE9" s="62">
        <f t="shared" si="40"/>
        <v>219.59799863414099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2.7777777777777777</v>
      </c>
      <c r="CT9" s="13">
        <f>IF('Données projet'!$A$140&gt;35,CT8+CS9-DB8,IF(A9&lt;'Données projet'!$A$140,$CQ$205^A9,IF(A9='Données projet'!$A$140,'Données projet'!$B$140,CT8+CS9-DB8)))</f>
        <v>4.4454476806610002</v>
      </c>
      <c r="CU9" s="18">
        <f>CT9*VLOOKUP('Données projet'!$B$13,Paramètres!$A$1:$I$89,3,0)*VLOOKUP('Données projet'!$B$13,Paramètres!$A$1:$I$89,5,0)</f>
        <v>2.982006304187399</v>
      </c>
      <c r="CV9" s="14">
        <f t="shared" si="41"/>
        <v>1.2101182929026357</v>
      </c>
      <c r="CW9" s="22">
        <f t="shared" si="13"/>
        <v>7.3012836732651438</v>
      </c>
      <c r="CX9" s="62">
        <f t="shared" si="14"/>
        <v>300.63461700659843</v>
      </c>
      <c r="CY9" s="62">
        <f ca="1">AVERAGE(OFFSET($CX$3,0,0,'Données projet'!$E$13+1,1))-AVERAGE(OFFSET($H$3,0,0,'Données projet'!$E$13+1,1))</f>
        <v>191.58722091189202</v>
      </c>
      <c r="CZ9" s="62">
        <f t="shared" si="42"/>
        <v>140.7542783756906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4.3703703703703702</v>
      </c>
      <c r="N10" s="14">
        <f>IF('Données projet'!$A$36&gt;35,N9+M10-V9,IF(A10&lt;'Données projet'!$A$36,$K$205^A10,IF(A10='Données projet'!$A$36,'Données projet'!$B$36,N9+M10-V9)))</f>
        <v>3.4447252978091596</v>
      </c>
      <c r="O10" s="14">
        <f>N10*VLOOKUP('Données projet'!$B$9,Paramètres!$A$1:$I$89,3,0)*VLOOKUP('Données projet'!$B$9,Paramètres!$A$1:$I$89,5,0)</f>
        <v>2.0599457280898776</v>
      </c>
      <c r="P10" s="14">
        <f t="shared" si="33"/>
        <v>0.87272020493939328</v>
      </c>
      <c r="Q10" s="22">
        <f t="shared" si="2"/>
        <v>5.1077265000259793</v>
      </c>
      <c r="R10" s="62">
        <f t="shared" si="0"/>
        <v>298.4410598333593</v>
      </c>
      <c r="S10" s="62">
        <f ca="1">AVERAGE(OFFSET($R$3,0,0,'Données projet'!$E$9+1,1))-AVERAGE(OFFSET($H$3,0,0,'Données projet'!$E$9+1,1))</f>
        <v>217.20547328702645</v>
      </c>
      <c r="T10" s="62">
        <f t="shared" si="34"/>
        <v>137.55906339137317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301.49732286519185</v>
      </c>
      <c r="AN10" s="62">
        <f ca="1">AVERAGE(OFFSET($AM$3,0,0,'Données projet'!$E$10+1,1))-AVERAGE(OFFSET($H$3,0,0,'Données projet'!$E$10+1,1))</f>
        <v>305.35633273533773</v>
      </c>
      <c r="AO10" s="62">
        <f t="shared" si="36"/>
        <v>156.67965022779896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8.4266666666666676</v>
      </c>
      <c r="BD10" s="13">
        <f>IF('Données projet'!$A$88&gt;35,BD9+BC10-BL9,IF(A10&lt;'Données projet'!$A$88,$BA$205^A10,IF(A10='Données projet'!$A$88,'Données projet'!$B$88,BD9+BC10-BL9)))</f>
        <v>9.5678707779300805</v>
      </c>
      <c r="BE10" s="14">
        <f>BD10*VLOOKUP('Données projet'!$B$11,Paramètres!$A$1:$I$89,3,0)*VLOOKUP('Données projet'!$B$11,Paramètres!$A$1:$I$89,5,0)</f>
        <v>5.3484397648629152</v>
      </c>
      <c r="BF10" s="14">
        <f t="shared" si="37"/>
        <v>2.0277459302737983</v>
      </c>
      <c r="BG10" s="22">
        <f t="shared" si="7"/>
        <v>12.846856752363109</v>
      </c>
      <c r="BH10" s="62">
        <f t="shared" si="8"/>
        <v>306.18019008569644</v>
      </c>
      <c r="BI10" s="62">
        <f ca="1">AVERAGE(OFFSET($BH$3,0,0,'Données projet'!$E$11+1,1))-AVERAGE(OFFSET($H$3,0,0,'Données projet'!$E$11+1,1))</f>
        <v>415.52119746518764</v>
      </c>
      <c r="BJ10" s="62">
        <f t="shared" si="38"/>
        <v>490.11217551185604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2.4666666666666668</v>
      </c>
      <c r="BY10" s="13">
        <f>IF('Données projet'!$A$114&gt;35,BY9+BX10-CG9,IF(A10&lt;'Données projet'!$A$114,$BV$205^A10,IF(A10='Données projet'!$A$114,'Données projet'!$B$114,BY9+BX10-CG9)))</f>
        <v>5.3929633792034757</v>
      </c>
      <c r="BZ10" s="14">
        <f>BY10*VLOOKUP('Données projet'!$B$12,Paramètres!$A$1:$I$89,3,0)*VLOOKUP('Données projet'!$B$12,Paramètres!$A$1:$I$89,5,0)</f>
        <v>4.2906416644942853</v>
      </c>
      <c r="CA10" s="14">
        <f t="shared" si="39"/>
        <v>1.6689707336887791</v>
      </c>
      <c r="CB10" s="22">
        <f t="shared" si="10"/>
        <v>10.379658260168837</v>
      </c>
      <c r="CC10" s="62">
        <f t="shared" si="11"/>
        <v>303.71299159350212</v>
      </c>
      <c r="CD10" s="62">
        <f ca="1">AVERAGE(OFFSET($CC$3,0,0,'Données projet'!$E$12+1,1))-AVERAGE(OFFSET($H$3,0,0,'Données projet'!$E$12+1,1))</f>
        <v>232.53653575369032</v>
      </c>
      <c r="CE10" s="62">
        <f t="shared" si="40"/>
        <v>219.59799863414099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2.7777777777777777</v>
      </c>
      <c r="CT10" s="13">
        <f>IF('Données projet'!$A$140&gt;35,CT9+CS10-DB9,IF(A10&lt;'Données projet'!$A$140,$CQ$205^A10,IF(A10='Données projet'!$A$140,'Données projet'!$B$140,CT9+CS10-DB9)))</f>
        <v>5.7003486674395836</v>
      </c>
      <c r="CU10" s="18">
        <f>CT10*VLOOKUP('Données projet'!$B$13,Paramètres!$A$1:$I$89,3,0)*VLOOKUP('Données projet'!$B$13,Paramètres!$A$1:$I$89,5,0)</f>
        <v>3.8237938861184726</v>
      </c>
      <c r="CV10" s="14">
        <f t="shared" si="41"/>
        <v>1.5074543957113413</v>
      </c>
      <c r="CW10" s="22">
        <f t="shared" si="13"/>
        <v>9.2852574241869252</v>
      </c>
      <c r="CX10" s="62">
        <f t="shared" si="14"/>
        <v>302.61859075752022</v>
      </c>
      <c r="CY10" s="62">
        <f ca="1">AVERAGE(OFFSET($CX$3,0,0,'Données projet'!$E$13+1,1))-AVERAGE(OFFSET($H$3,0,0,'Données projet'!$E$13+1,1))</f>
        <v>191.58722091189202</v>
      </c>
      <c r="CZ10" s="62">
        <f t="shared" si="42"/>
        <v>140.7542783756906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4.3703703703703702</v>
      </c>
      <c r="N11" s="14">
        <f>IF('Données projet'!$A$36&gt;35,N10+M11-V10,IF(A11&lt;'Données projet'!$A$36,$K$205^A11,IF(A11='Données projet'!$A$36,'Données projet'!$B$36,N10+M11-V10)))</f>
        <v>4.110465099605972</v>
      </c>
      <c r="O11" s="14">
        <f>N11*VLOOKUP('Données projet'!$B$9,Paramètres!$A$1:$I$89,3,0)*VLOOKUP('Données projet'!$B$9,Paramètres!$A$1:$I$89,5,0)</f>
        <v>2.4580581295643715</v>
      </c>
      <c r="P11" s="14">
        <f t="shared" si="33"/>
        <v>1.0201858318313493</v>
      </c>
      <c r="Q11" s="22">
        <f t="shared" si="2"/>
        <v>6.0579415660975471</v>
      </c>
      <c r="R11" s="62">
        <f t="shared" si="0"/>
        <v>299.39127489943087</v>
      </c>
      <c r="S11" s="62">
        <f ca="1">AVERAGE(OFFSET($R$3,0,0,'Données projet'!$E$9+1,1))-AVERAGE(OFFSET($H$3,0,0,'Données projet'!$E$9+1,1))</f>
        <v>217.20547328702645</v>
      </c>
      <c r="T11" s="62">
        <f t="shared" si="34"/>
        <v>137.55906339137317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303.11436643935451</v>
      </c>
      <c r="AN11" s="62">
        <f ca="1">AVERAGE(OFFSET($AM$3,0,0,'Données projet'!$E$10+1,1))-AVERAGE(OFFSET($H$3,0,0,'Données projet'!$E$10+1,1))</f>
        <v>305.35633273533773</v>
      </c>
      <c r="AO11" s="62">
        <f t="shared" si="36"/>
        <v>156.67965022779896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8.4266666666666676</v>
      </c>
      <c r="BD11" s="13">
        <f>IF('Données projet'!$A$88&gt;35,BD10+BC11-BL10,IF(A11&lt;'Données projet'!$A$88,$BA$205^A11,IF(A11='Données projet'!$A$88,'Données projet'!$B$88,BD10+BC11-BL10)))</f>
        <v>13.210880762683702</v>
      </c>
      <c r="BE11" s="14">
        <f>BD11*VLOOKUP('Données projet'!$B$11,Paramètres!$A$1:$I$89,3,0)*VLOOKUP('Données projet'!$B$11,Paramètres!$A$1:$I$89,5,0)</f>
        <v>7.3848823463401896</v>
      </c>
      <c r="BF11" s="14">
        <f t="shared" si="37"/>
        <v>2.6966243558429026</v>
      </c>
      <c r="BG11" s="22">
        <f t="shared" si="7"/>
        <v>17.558624172968884</v>
      </c>
      <c r="BH11" s="62">
        <f t="shared" si="8"/>
        <v>310.89195750630222</v>
      </c>
      <c r="BI11" s="62">
        <f ca="1">AVERAGE(OFFSET($BH$3,0,0,'Données projet'!$E$11+1,1))-AVERAGE(OFFSET($H$3,0,0,'Données projet'!$E$11+1,1))</f>
        <v>415.52119746518764</v>
      </c>
      <c r="BJ11" s="62">
        <f t="shared" si="38"/>
        <v>490.11217551185604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2.4666666666666668</v>
      </c>
      <c r="BY11" s="13">
        <f>IF('Données projet'!$A$114&gt;35,BY10+BX11-CG10,IF(A11&lt;'Données projet'!$A$114,$BV$205^A11,IF(A11='Données projet'!$A$114,'Données projet'!$B$114,BY10+BX11-CG10)))</f>
        <v>6.8607919984549888</v>
      </c>
      <c r="BZ11" s="14">
        <f>BY11*VLOOKUP('Données projet'!$B$12,Paramètres!$A$1:$I$89,3,0)*VLOOKUP('Données projet'!$B$12,Paramètres!$A$1:$I$89,5,0)</f>
        <v>5.4584461139707896</v>
      </c>
      <c r="CA11" s="14">
        <f t="shared" si="39"/>
        <v>2.0645540509389519</v>
      </c>
      <c r="CB11" s="22">
        <f t="shared" si="10"/>
        <v>13.102558620551131</v>
      </c>
      <c r="CC11" s="62">
        <f t="shared" si="11"/>
        <v>306.43589195388444</v>
      </c>
      <c r="CD11" s="62">
        <f ca="1">AVERAGE(OFFSET($CC$3,0,0,'Données projet'!$E$12+1,1))-AVERAGE(OFFSET($H$3,0,0,'Données projet'!$E$12+1,1))</f>
        <v>232.53653575369032</v>
      </c>
      <c r="CE11" s="62">
        <f t="shared" si="40"/>
        <v>219.59799863414099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2.7777777777777777</v>
      </c>
      <c r="CT11" s="13">
        <f>IF('Données projet'!$A$140&gt;35,CT10+CS11-DB10,IF(A11&lt;'Données projet'!$A$140,$CQ$205^A11,IF(A11='Données projet'!$A$140,'Données projet'!$B$140,CT10+CS11-DB10)))</f>
        <v>7.3094944006963711</v>
      </c>
      <c r="CU11" s="18">
        <f>CT11*VLOOKUP('Données projet'!$B$13,Paramètres!$A$1:$I$89,3,0)*VLOOKUP('Données projet'!$B$13,Paramètres!$A$1:$I$89,5,0)</f>
        <v>4.9032088439871258</v>
      </c>
      <c r="CV11" s="14">
        <f t="shared" si="41"/>
        <v>1.8778484454596058</v>
      </c>
      <c r="CW11" s="22">
        <f t="shared" si="13"/>
        <v>11.810341445786392</v>
      </c>
      <c r="CX11" s="62">
        <f t="shared" si="14"/>
        <v>305.14367477911969</v>
      </c>
      <c r="CY11" s="62">
        <f ca="1">AVERAGE(OFFSET($CX$3,0,0,'Données projet'!$E$13+1,1))-AVERAGE(OFFSET($H$3,0,0,'Données projet'!$E$13+1,1))</f>
        <v>191.58722091189202</v>
      </c>
      <c r="CZ11" s="62">
        <f t="shared" si="42"/>
        <v>140.7542783756906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4.3703703703703702</v>
      </c>
      <c r="N12" s="14">
        <f>IF('Données projet'!$A$36&gt;35,N11+M12-V11,IF(A12&lt;'Données projet'!$A$36,$K$205^A12,IF(A12='Données projet'!$A$36,'Données projet'!$B$36,N11+M12-V11)))</f>
        <v>4.9048681315240179</v>
      </c>
      <c r="O12" s="14">
        <f>N12*VLOOKUP('Données projet'!$B$9,Paramètres!$A$1:$I$89,3,0)*VLOOKUP('Données projet'!$B$9,Paramètres!$A$1:$I$89,5,0)</f>
        <v>2.9331111426513625</v>
      </c>
      <c r="P12" s="14">
        <f t="shared" si="33"/>
        <v>1.192569079504352</v>
      </c>
      <c r="Q12" s="22">
        <f t="shared" si="2"/>
        <v>7.1855597202545356</v>
      </c>
      <c r="R12" s="62">
        <f t="shared" si="0"/>
        <v>300.51889305358787</v>
      </c>
      <c r="S12" s="62">
        <f ca="1">AVERAGE(OFFSET($R$3,0,0,'Données projet'!$E$9+1,1))-AVERAGE(OFFSET($H$3,0,0,'Données projet'!$E$9+1,1))</f>
        <v>217.20547328702645</v>
      </c>
      <c r="T12" s="62">
        <f t="shared" si="34"/>
        <v>137.55906339137317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305.05281983783436</v>
      </c>
      <c r="AN12" s="62">
        <f ca="1">AVERAGE(OFFSET($AM$3,0,0,'Données projet'!$E$10+1,1))-AVERAGE(OFFSET($H$3,0,0,'Données projet'!$E$10+1,1))</f>
        <v>305.35633273533773</v>
      </c>
      <c r="AO12" s="62">
        <f t="shared" si="36"/>
        <v>156.67965022779896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8.4266666666666676</v>
      </c>
      <c r="BD12" s="13">
        <f>IF('Données projet'!$A$88&gt;35,BD11+BC12-BL11,IF(A12&lt;'Données projet'!$A$88,$BA$205^A12,IF(A12='Données projet'!$A$88,'Données projet'!$B$88,BD11+BC12-BL11)))</f>
        <v>18.240983242418295</v>
      </c>
      <c r="BE12" s="14">
        <f>BD12*VLOOKUP('Données projet'!$B$11,Paramètres!$A$1:$I$89,3,0)*VLOOKUP('Données projet'!$B$11,Paramètres!$A$1:$I$89,5,0)</f>
        <v>10.196709632511826</v>
      </c>
      <c r="BF12" s="14">
        <f t="shared" si="37"/>
        <v>3.5861410485204468</v>
      </c>
      <c r="BG12" s="22">
        <f t="shared" si="7"/>
        <v>24.005131602797874</v>
      </c>
      <c r="BH12" s="62">
        <f t="shared" si="8"/>
        <v>317.33846493613117</v>
      </c>
      <c r="BI12" s="62">
        <f ca="1">AVERAGE(OFFSET($BH$3,0,0,'Données projet'!$E$11+1,1))-AVERAGE(OFFSET($H$3,0,0,'Données projet'!$E$11+1,1))</f>
        <v>415.52119746518764</v>
      </c>
      <c r="BJ12" s="62">
        <f t="shared" si="38"/>
        <v>490.11217551185604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2.4666666666666668</v>
      </c>
      <c r="BY12" s="13">
        <f>IF('Données projet'!$A$114&gt;35,BY11+BX12-CG11,IF(A12&lt;'Données projet'!$A$114,$BV$205^A12,IF(A12='Données projet'!$A$114,'Données projet'!$B$114,BY11+BX12-CG11)))</f>
        <v>8.7281265486761299</v>
      </c>
      <c r="BZ12" s="14">
        <f>BY12*VLOOKUP('Données projet'!$B$12,Paramètres!$A$1:$I$89,3,0)*VLOOKUP('Données projet'!$B$12,Paramètres!$A$1:$I$89,5,0)</f>
        <v>6.9440974821267289</v>
      </c>
      <c r="CA12" s="14">
        <f t="shared" si="39"/>
        <v>2.5538994442566798</v>
      </c>
      <c r="CB12" s="22">
        <f t="shared" si="10"/>
        <v>16.542344646784436</v>
      </c>
      <c r="CC12" s="62">
        <f t="shared" si="11"/>
        <v>309.87567798011776</v>
      </c>
      <c r="CD12" s="62">
        <f ca="1">AVERAGE(OFFSET($CC$3,0,0,'Données projet'!$E$12+1,1))-AVERAGE(OFFSET($H$3,0,0,'Données projet'!$E$12+1,1))</f>
        <v>232.53653575369032</v>
      </c>
      <c r="CE12" s="62">
        <f t="shared" si="40"/>
        <v>219.59799863414099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2.7777777777777777</v>
      </c>
      <c r="CT12" s="13">
        <f>IF('Données projet'!$A$140&gt;35,CT11+CS12-DB11,IF(A12&lt;'Données projet'!$A$140,$CQ$205^A12,IF(A12='Données projet'!$A$140,'Données projet'!$B$140,CT11+CS12-DB11)))</f>
        <v>9.3728842761841236</v>
      </c>
      <c r="CU12" s="18">
        <f>CT12*VLOOKUP('Données projet'!$B$13,Paramètres!$A$1:$I$89,3,0)*VLOOKUP('Données projet'!$B$13,Paramètres!$A$1:$I$89,5,0)</f>
        <v>6.2873307724643102</v>
      </c>
      <c r="CV12" s="14">
        <f t="shared" si="41"/>
        <v>2.3392513857449408</v>
      </c>
      <c r="CW12" s="22">
        <f t="shared" si="13"/>
        <v>15.024630592214445</v>
      </c>
      <c r="CX12" s="62">
        <f t="shared" si="14"/>
        <v>308.35796392554778</v>
      </c>
      <c r="CY12" s="62">
        <f ca="1">AVERAGE(OFFSET($CX$3,0,0,'Données projet'!$E$13+1,1))-AVERAGE(OFFSET($H$3,0,0,'Données projet'!$E$13+1,1))</f>
        <v>191.58722091189202</v>
      </c>
      <c r="CZ12" s="62">
        <f t="shared" si="42"/>
        <v>140.7542783756906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4.3703703703703702</v>
      </c>
      <c r="N13" s="14">
        <f>IF('Données projet'!$A$36&gt;35,N12+M13-V12,IF(A13&lt;'Données projet'!$A$36,$K$205^A13,IF(A13='Données projet'!$A$36,'Données projet'!$B$36,N12+M13-V12)))</f>
        <v>5.8528003047504482</v>
      </c>
      <c r="O13" s="14">
        <f>N13*VLOOKUP('Données projet'!$B$9,Paramètres!$A$1:$I$89,3,0)*VLOOKUP('Données projet'!$B$9,Paramètres!$A$1:$I$89,5,0)</f>
        <v>3.499974582240768</v>
      </c>
      <c r="P13" s="14">
        <f t="shared" si="33"/>
        <v>1.3940803381250744</v>
      </c>
      <c r="Q13" s="22">
        <f t="shared" si="2"/>
        <v>8.5238123196371749</v>
      </c>
      <c r="R13" s="62">
        <f t="shared" si="0"/>
        <v>301.85714565297047</v>
      </c>
      <c r="S13" s="62">
        <f ca="1">AVERAGE(OFFSET($R$3,0,0,'Données projet'!$E$9+1,1))-AVERAGE(OFFSET($H$3,0,0,'Données projet'!$E$9+1,1))</f>
        <v>217.20547328702645</v>
      </c>
      <c r="T13" s="62">
        <f t="shared" si="34"/>
        <v>137.55906339137317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307.37677663358653</v>
      </c>
      <c r="AN13" s="62">
        <f ca="1">AVERAGE(OFFSET($AM$3,0,0,'Données projet'!$E$10+1,1))-AVERAGE(OFFSET($H$3,0,0,'Données projet'!$E$10+1,1))</f>
        <v>305.35633273533773</v>
      </c>
      <c r="AO13" s="62">
        <f t="shared" si="36"/>
        <v>156.67965022779896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8.4266666666666676</v>
      </c>
      <c r="BD13" s="13">
        <f>IF('Données projet'!$A$88&gt;35,BD12+BC13-BL12,IF(A13&lt;'Données projet'!$A$88,$BA$205^A13,IF(A13='Données projet'!$A$88,'Données projet'!$B$88,BD12+BC13-BL12)))</f>
        <v>25.186319945453246</v>
      </c>
      <c r="BE13" s="14">
        <f>BD13*VLOOKUP('Données projet'!$B$11,Paramètres!$A$1:$I$89,3,0)*VLOOKUP('Données projet'!$B$11,Paramètres!$A$1:$I$89,5,0)</f>
        <v>14.079152849508365</v>
      </c>
      <c r="BF13" s="14">
        <f t="shared" si="37"/>
        <v>4.7690764166014032</v>
      </c>
      <c r="BG13" s="22">
        <f t="shared" si="7"/>
        <v>32.827332638474509</v>
      </c>
      <c r="BH13" s="62">
        <f t="shared" si="8"/>
        <v>326.16066597180782</v>
      </c>
      <c r="BI13" s="62">
        <f ca="1">AVERAGE(OFFSET($BH$3,0,0,'Données projet'!$E$11+1,1))-AVERAGE(OFFSET($H$3,0,0,'Données projet'!$E$11+1,1))</f>
        <v>415.52119746518764</v>
      </c>
      <c r="BJ13" s="62">
        <f t="shared" si="38"/>
        <v>490.11217551185604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2.4666666666666668</v>
      </c>
      <c r="BY13" s="13">
        <f>IF('Données projet'!$A$114&gt;35,BY12+BX13-CG12,IF(A13&lt;'Données projet'!$A$114,$BV$205^A13,IF(A13='Données projet'!$A$114,'Données projet'!$B$114,BY12+BX13-CG12)))</f>
        <v>11.103702468586782</v>
      </c>
      <c r="BZ13" s="14">
        <f>BY13*VLOOKUP('Données projet'!$B$12,Paramètres!$A$1:$I$89,3,0)*VLOOKUP('Données projet'!$B$12,Paramètres!$A$1:$I$89,5,0)</f>
        <v>8.8341056840076444</v>
      </c>
      <c r="CA13" s="14">
        <f t="shared" si="39"/>
        <v>3.1592306185484516</v>
      </c>
      <c r="CB13" s="22">
        <f t="shared" si="10"/>
        <v>20.888394060285197</v>
      </c>
      <c r="CC13" s="62">
        <f t="shared" si="11"/>
        <v>314.22172739361849</v>
      </c>
      <c r="CD13" s="62">
        <f ca="1">AVERAGE(OFFSET($CC$3,0,0,'Données projet'!$E$12+1,1))-AVERAGE(OFFSET($H$3,0,0,'Données projet'!$E$12+1,1))</f>
        <v>232.53653575369032</v>
      </c>
      <c r="CE13" s="62">
        <f t="shared" si="40"/>
        <v>219.59799863414099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2.7777777777777777</v>
      </c>
      <c r="CT13" s="13">
        <f>IF('Données projet'!$A$140&gt;35,CT12+CS13-DB12,IF(A13&lt;'Données projet'!$A$140,$CQ$205^A13,IF(A13='Données projet'!$A$140,'Données projet'!$B$140,CT12+CS13-DB12)))</f>
        <v>12.018746419228403</v>
      </c>
      <c r="CU13" s="18">
        <f>CT13*VLOOKUP('Données projet'!$B$13,Paramètres!$A$1:$I$89,3,0)*VLOOKUP('Données projet'!$B$13,Paramètres!$A$1:$I$89,5,0)</f>
        <v>8.0621750980184128</v>
      </c>
      <c r="CV13" s="14">
        <f t="shared" si="41"/>
        <v>2.9140248559144633</v>
      </c>
      <c r="CW13" s="22">
        <f t="shared" si="13"/>
        <v>19.116881586433095</v>
      </c>
      <c r="CX13" s="62">
        <f t="shared" si="14"/>
        <v>312.45021491976638</v>
      </c>
      <c r="CY13" s="62">
        <f ca="1">AVERAGE(OFFSET($CX$3,0,0,'Données projet'!$E$13+1,1))-AVERAGE(OFFSET($H$3,0,0,'Données projet'!$E$13+1,1))</f>
        <v>191.58722091189202</v>
      </c>
      <c r="CZ13" s="62">
        <f t="shared" si="42"/>
        <v>140.7542783756906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4.3703703703703702</v>
      </c>
      <c r="N14" s="14">
        <f>IF('Données projet'!$A$36&gt;35,N13+M14-V13,IF(A14&lt;'Données projet'!$A$36,$K$205^A14,IF(A14='Données projet'!$A$36,'Données projet'!$B$36,N13+M14-V13)))</f>
        <v>6.9839332044678839</v>
      </c>
      <c r="O14" s="14">
        <f>N14*VLOOKUP('Données projet'!$B$9,Paramètres!$A$1:$I$89,3,0)*VLOOKUP('Données projet'!$B$9,Paramètres!$A$1:$I$89,5,0)</f>
        <v>4.1763920562717951</v>
      </c>
      <c r="P14" s="14">
        <f t="shared" si="33"/>
        <v>1.629641437588379</v>
      </c>
      <c r="Q14" s="22">
        <f t="shared" si="2"/>
        <v>10.112175001806468</v>
      </c>
      <c r="R14" s="62">
        <f t="shared" si="0"/>
        <v>303.44550833513978</v>
      </c>
      <c r="S14" s="62">
        <f ca="1">AVERAGE(OFFSET($R$3,0,0,'Données projet'!$E$9+1,1))-AVERAGE(OFFSET($H$3,0,0,'Données projet'!$E$9+1,1))</f>
        <v>217.20547328702645</v>
      </c>
      <c r="T14" s="62">
        <f t="shared" si="34"/>
        <v>137.55906339137317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310.1631503249921</v>
      </c>
      <c r="AN14" s="62">
        <f ca="1">AVERAGE(OFFSET($AM$3,0,0,'Données projet'!$E$10+1,1))-AVERAGE(OFFSET($H$3,0,0,'Données projet'!$E$10+1,1))</f>
        <v>305.35633273533773</v>
      </c>
      <c r="AO14" s="62">
        <f t="shared" si="36"/>
        <v>156.67965022779896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8.4266666666666676</v>
      </c>
      <c r="BD14" s="13">
        <f>IF('Données projet'!$A$88&gt;35,BD13+BC14-BL13,IF(A14&lt;'Données projet'!$A$88,$BA$205^A14,IF(A14='Données projet'!$A$88,'Données projet'!$B$88,BD13+BC14-BL13)))</f>
        <v>34.77612494701448</v>
      </c>
      <c r="BE14" s="14">
        <f>BD14*VLOOKUP('Données projet'!$B$11,Paramètres!$A$1:$I$89,3,0)*VLOOKUP('Données projet'!$B$11,Paramètres!$A$1:$I$89,5,0)</f>
        <v>19.439853845381094</v>
      </c>
      <c r="BF14" s="14">
        <f t="shared" si="37"/>
        <v>6.3422184347063872</v>
      </c>
      <c r="BG14" s="22">
        <f t="shared" si="7"/>
        <v>44.90377588781903</v>
      </c>
      <c r="BH14" s="62">
        <f t="shared" si="8"/>
        <v>338.23710922115237</v>
      </c>
      <c r="BI14" s="62">
        <f ca="1">AVERAGE(OFFSET($BH$3,0,0,'Données projet'!$E$11+1,1))-AVERAGE(OFFSET($H$3,0,0,'Données projet'!$E$11+1,1))</f>
        <v>415.52119746518764</v>
      </c>
      <c r="BJ14" s="62">
        <f t="shared" si="38"/>
        <v>490.11217551185604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2.4666666666666668</v>
      </c>
      <c r="BY14" s="13">
        <f>IF('Données projet'!$A$114&gt;35,BY13+BX14-CG13,IF(A14&lt;'Données projet'!$A$114,$BV$205^A14,IF(A14='Données projet'!$A$114,'Données projet'!$B$114,BY13+BX14-CG13)))</f>
        <v>14.125850240977657</v>
      </c>
      <c r="BZ14" s="14">
        <f>BY14*VLOOKUP('Données projet'!$B$12,Paramètres!$A$1:$I$89,3,0)*VLOOKUP('Données projet'!$B$12,Paramètres!$A$1:$I$89,5,0)</f>
        <v>11.238526451721825</v>
      </c>
      <c r="CA14" s="14">
        <f t="shared" si="39"/>
        <v>3.9080387928425129</v>
      </c>
      <c r="CB14" s="22">
        <f t="shared" si="10"/>
        <v>26.380267800949554</v>
      </c>
      <c r="CC14" s="62">
        <f t="shared" si="11"/>
        <v>319.71360113428284</v>
      </c>
      <c r="CD14" s="62">
        <f ca="1">AVERAGE(OFFSET($CC$3,0,0,'Données projet'!$E$12+1,1))-AVERAGE(OFFSET($H$3,0,0,'Données projet'!$E$12+1,1))</f>
        <v>232.53653575369032</v>
      </c>
      <c r="CE14" s="62">
        <f t="shared" si="40"/>
        <v>219.59799863414099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2.7777777777777777</v>
      </c>
      <c r="CT14" s="13">
        <f>IF('Données projet'!$A$140&gt;35,CT13+CS14-DB13,IF(A14&lt;'Données projet'!$A$140,$CQ$205^A14,IF(A14='Données projet'!$A$140,'Données projet'!$B$140,CT13+CS14-DB13)))</f>
        <v>15.41150634461092</v>
      </c>
      <c r="CU14" s="18">
        <f>CT14*VLOOKUP('Données projet'!$B$13,Paramètres!$A$1:$I$89,3,0)*VLOOKUP('Données projet'!$B$13,Paramètres!$A$1:$I$89,5,0)</f>
        <v>10.338038455965005</v>
      </c>
      <c r="CV14" s="14">
        <f t="shared" si="41"/>
        <v>3.6300249355984251</v>
      </c>
      <c r="CW14" s="22">
        <f t="shared" si="13"/>
        <v>24.327710406972969</v>
      </c>
      <c r="CX14" s="62">
        <f t="shared" si="14"/>
        <v>317.6610437403063</v>
      </c>
      <c r="CY14" s="62">
        <f ca="1">AVERAGE(OFFSET($CX$3,0,0,'Données projet'!$E$13+1,1))-AVERAGE(OFFSET($H$3,0,0,'Données projet'!$E$13+1,1))</f>
        <v>191.58722091189202</v>
      </c>
      <c r="CZ14" s="62">
        <f t="shared" si="42"/>
        <v>140.7542783756906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4.3703703703703702</v>
      </c>
      <c r="N15" s="14">
        <f>IF('Données projet'!$A$36&gt;35,N14+M15-V14,IF(A15&lt;'Données projet'!$A$36,$K$205^A15,IF(A15='Données projet'!$A$36,'Données projet'!$B$36,N14+M15-V14)))</f>
        <v>8.3336728514178713</v>
      </c>
      <c r="O15" s="14">
        <f>N15*VLOOKUP('Données projet'!$B$9,Paramètres!$A$1:$I$89,3,0)*VLOOKUP('Données projet'!$B$9,Paramètres!$A$1:$I$89,5,0)</f>
        <v>4.983536365147887</v>
      </c>
      <c r="P15" s="14">
        <f t="shared" si="33"/>
        <v>1.9050058611951031</v>
      </c>
      <c r="Q15" s="22">
        <f t="shared" si="2"/>
        <v>11.997544377547372</v>
      </c>
      <c r="R15" s="62">
        <f t="shared" si="0"/>
        <v>305.33087771088071</v>
      </c>
      <c r="S15" s="62">
        <f ca="1">AVERAGE(OFFSET($R$3,0,0,'Données projet'!$E$9+1,1))-AVERAGE(OFFSET($H$3,0,0,'Données projet'!$E$9+1,1))</f>
        <v>217.20547328702645</v>
      </c>
      <c r="T15" s="62">
        <f t="shared" si="34"/>
        <v>137.55906339137317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313.50424573777804</v>
      </c>
      <c r="AN15" s="62">
        <f ca="1">AVERAGE(OFFSET($AM$3,0,0,'Données projet'!$E$10+1,1))-AVERAGE(OFFSET($H$3,0,0,'Données projet'!$E$10+1,1))</f>
        <v>305.35633273533773</v>
      </c>
      <c r="AO15" s="62">
        <f t="shared" si="36"/>
        <v>156.67965022779896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8.4266666666666676</v>
      </c>
      <c r="BD15" s="13">
        <f>IF('Données projet'!$A$88&gt;35,BD14+BC15-BL14,IF(A15&lt;'Données projet'!$A$88,$BA$205^A15,IF(A15='Données projet'!$A$88,'Données projet'!$B$88,BD14+BC15-BL14)))</f>
        <v>48.017291487980387</v>
      </c>
      <c r="BE15" s="14">
        <f>BD15*VLOOKUP('Données projet'!$B$11,Paramètres!$A$1:$I$89,3,0)*VLOOKUP('Données projet'!$B$11,Paramètres!$A$1:$I$89,5,0)</f>
        <v>26.841665941781038</v>
      </c>
      <c r="BF15" s="14">
        <f t="shared" si="37"/>
        <v>8.4342818524586018</v>
      </c>
      <c r="BG15" s="22">
        <f t="shared" si="7"/>
        <v>61.438942408300704</v>
      </c>
      <c r="BH15" s="62">
        <f t="shared" si="8"/>
        <v>354.77227574163402</v>
      </c>
      <c r="BI15" s="62">
        <f ca="1">AVERAGE(OFFSET($BH$3,0,0,'Données projet'!$E$11+1,1))-AVERAGE(OFFSET($H$3,0,0,'Données projet'!$E$11+1,1))</f>
        <v>415.52119746518764</v>
      </c>
      <c r="BJ15" s="62">
        <f t="shared" si="38"/>
        <v>490.11217551185604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2.4666666666666668</v>
      </c>
      <c r="BY15" s="13">
        <f>IF('Données projet'!$A$114&gt;35,BY14+BX15-CG14,IF(A15&lt;'Données projet'!$A$114,$BV$205^A15,IF(A15='Données projet'!$A$114,'Données projet'!$B$114,BY14+BX15-CG14)))</f>
        <v>17.970550417308221</v>
      </c>
      <c r="BZ15" s="14">
        <f>BY15*VLOOKUP('Données projet'!$B$12,Paramètres!$A$1:$I$89,3,0)*VLOOKUP('Données projet'!$B$12,Paramètres!$A$1:$I$89,5,0)</f>
        <v>14.297369912010421</v>
      </c>
      <c r="CA15" s="14">
        <f t="shared" si="39"/>
        <v>4.8343312187127445</v>
      </c>
      <c r="CB15" s="22">
        <f t="shared" si="10"/>
        <v>33.321046136009507</v>
      </c>
      <c r="CC15" s="62">
        <f t="shared" si="11"/>
        <v>326.65437946934281</v>
      </c>
      <c r="CD15" s="62">
        <f ca="1">AVERAGE(OFFSET($CC$3,0,0,'Données projet'!$E$12+1,1))-AVERAGE(OFFSET($H$3,0,0,'Données projet'!$E$12+1,1))</f>
        <v>232.53653575369032</v>
      </c>
      <c r="CE15" s="62">
        <f t="shared" si="40"/>
        <v>219.59799863414099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2.7777777777777777</v>
      </c>
      <c r="CT15" s="13">
        <f>IF('Données projet'!$A$140&gt;35,CT14+CS15-DB14,IF(A15&lt;'Données projet'!$A$140,$CQ$205^A15,IF(A15='Données projet'!$A$140,'Données projet'!$B$140,CT14+CS15-DB14)))</f>
        <v>19.762005081494262</v>
      </c>
      <c r="CU15" s="18">
        <f>CT15*VLOOKUP('Données projet'!$B$13,Paramètres!$A$1:$I$89,3,0)*VLOOKUP('Données projet'!$B$13,Paramètres!$A$1:$I$89,5,0)</f>
        <v>13.256353008666352</v>
      </c>
      <c r="CV15" s="14">
        <f t="shared" si="41"/>
        <v>4.5219521742655813</v>
      </c>
      <c r="CW15" s="22">
        <f t="shared" si="13"/>
        <v>30.963881526939787</v>
      </c>
      <c r="CX15" s="62">
        <f t="shared" si="14"/>
        <v>324.29721486027313</v>
      </c>
      <c r="CY15" s="62">
        <f ca="1">AVERAGE(OFFSET($CX$3,0,0,'Données projet'!$E$13+1,1))-AVERAGE(OFFSET($H$3,0,0,'Données projet'!$E$13+1,1))</f>
        <v>191.58722091189202</v>
      </c>
      <c r="CZ15" s="62">
        <f t="shared" si="42"/>
        <v>140.7542783756906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4.3703703703703702</v>
      </c>
      <c r="N16" s="14">
        <f>IF('Données projet'!$A$36&gt;35,N15+M16-V15,IF(A16&lt;'Données projet'!$A$36,$K$205^A16,IF(A16='Données projet'!$A$36,'Données projet'!$B$36,N15+M16-V15)))</f>
        <v>9.944267959210924</v>
      </c>
      <c r="O16" s="14">
        <f>N16*VLOOKUP('Données projet'!$B$9,Paramètres!$A$1:$I$89,3,0)*VLOOKUP('Données projet'!$B$9,Paramètres!$A$1:$I$89,5,0)</f>
        <v>5.9466722396081328</v>
      </c>
      <c r="P16" s="14">
        <f t="shared" si="33"/>
        <v>2.2268992721234029</v>
      </c>
      <c r="Q16" s="22">
        <f t="shared" si="2"/>
        <v>14.235637049599092</v>
      </c>
      <c r="R16" s="62">
        <f t="shared" si="0"/>
        <v>307.56897038293243</v>
      </c>
      <c r="S16" s="62">
        <f ca="1">AVERAGE(OFFSET($R$3,0,0,'Données projet'!$E$9+1,1))-AVERAGE(OFFSET($H$3,0,0,'Données projet'!$E$9+1,1))</f>
        <v>217.20547328702645</v>
      </c>
      <c r="T16" s="62">
        <f t="shared" si="34"/>
        <v>137.55906339137317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317.51084751837828</v>
      </c>
      <c r="AN16" s="62">
        <f ca="1">AVERAGE(OFFSET($AM$3,0,0,'Données projet'!$E$10+1,1))-AVERAGE(OFFSET($H$3,0,0,'Données projet'!$E$10+1,1))</f>
        <v>305.35633273533773</v>
      </c>
      <c r="AO16" s="62">
        <f t="shared" si="36"/>
        <v>156.67965022779896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8.4266666666666676</v>
      </c>
      <c r="BD16" s="13">
        <f>IF('Données projet'!$A$88&gt;35,BD15+BC16-BL15,IF(A16&lt;'Données projet'!$A$88,$BA$205^A16,IF(A16='Données projet'!$A$88,'Données projet'!$B$88,BD15+BC16-BL15)))</f>
        <v>66.300091955461355</v>
      </c>
      <c r="BE16" s="14">
        <f>BD16*VLOOKUP('Données projet'!$B$11,Paramètres!$A$1:$I$89,3,0)*VLOOKUP('Données projet'!$B$11,Paramètres!$A$1:$I$89,5,0)</f>
        <v>37.061751403102896</v>
      </c>
      <c r="BF16" s="14">
        <f t="shared" si="37"/>
        <v>11.21643965736507</v>
      </c>
      <c r="BG16" s="22">
        <f t="shared" si="7"/>
        <v>84.084516096981702</v>
      </c>
      <c r="BH16" s="62">
        <f t="shared" si="8"/>
        <v>377.41784943031502</v>
      </c>
      <c r="BI16" s="62">
        <f ca="1">AVERAGE(OFFSET($BH$3,0,0,'Données projet'!$E$11+1,1))-AVERAGE(OFFSET($H$3,0,0,'Données projet'!$E$11+1,1))</f>
        <v>415.52119746518764</v>
      </c>
      <c r="BJ16" s="62">
        <f t="shared" si="38"/>
        <v>490.11217551185604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2.4666666666666668</v>
      </c>
      <c r="BY16" s="13">
        <f>IF('Données projet'!$A$114&gt;35,BY15+BX16-CG15,IF(A16&lt;'Données projet'!$A$114,$BV$205^A16,IF(A16='Données projet'!$A$114,'Données projet'!$B$114,BY15+BX16-CG15)))</f>
        <v>22.86168101684942</v>
      </c>
      <c r="BZ16" s="14">
        <f>BY16*VLOOKUP('Données projet'!$B$12,Paramètres!$A$1:$I$89,3,0)*VLOOKUP('Données projet'!$B$12,Paramètres!$A$1:$I$89,5,0)</f>
        <v>18.188753417005401</v>
      </c>
      <c r="CA16" s="14">
        <f t="shared" si="39"/>
        <v>5.9801756254374139</v>
      </c>
      <c r="CB16" s="22">
        <f t="shared" si="10"/>
        <v>42.094218082254564</v>
      </c>
      <c r="CC16" s="62">
        <f t="shared" si="11"/>
        <v>335.42755141558786</v>
      </c>
      <c r="CD16" s="62">
        <f ca="1">AVERAGE(OFFSET($CC$3,0,0,'Données projet'!$E$12+1,1))-AVERAGE(OFFSET($H$3,0,0,'Données projet'!$E$12+1,1))</f>
        <v>232.53653575369032</v>
      </c>
      <c r="CE16" s="62">
        <f t="shared" si="40"/>
        <v>219.59799863414099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2.7777777777777777</v>
      </c>
      <c r="CT16" s="13">
        <f>IF('Données projet'!$A$140&gt;35,CT15+CS16-DB15,IF(A16&lt;'Données projet'!$A$140,$CQ$205^A16,IF(A16='Données projet'!$A$140,'Données projet'!$B$140,CT15+CS16-DB15)))</f>
        <v>25.340601762628324</v>
      </c>
      <c r="CU16" s="18">
        <f>CT16*VLOOKUP('Données projet'!$B$13,Paramètres!$A$1:$I$89,3,0)*VLOOKUP('Données projet'!$B$13,Paramètres!$A$1:$I$89,5,0)</f>
        <v>16.998475662371082</v>
      </c>
      <c r="CV16" s="14">
        <f t="shared" si="41"/>
        <v>5.6330333342391405</v>
      </c>
      <c r="CW16" s="22">
        <f t="shared" si="13"/>
        <v>39.416544835762807</v>
      </c>
      <c r="CX16" s="62">
        <f t="shared" si="14"/>
        <v>332.74987816909612</v>
      </c>
      <c r="CY16" s="62">
        <f ca="1">AVERAGE(OFFSET($CX$3,0,0,'Données projet'!$E$13+1,1))-AVERAGE(OFFSET($H$3,0,0,'Données projet'!$E$13+1,1))</f>
        <v>191.58722091189202</v>
      </c>
      <c r="CZ16" s="62">
        <f t="shared" si="42"/>
        <v>140.7542783756906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4.3703703703703702</v>
      </c>
      <c r="N17" s="14">
        <f>IF('Données projet'!$A$36&gt;35,N16+M17-V16,IF(A17&lt;'Données projet'!$A$36,$K$205^A17,IF(A17='Données projet'!$A$36,'Données projet'!$B$36,N16+M17-V16)))</f>
        <v>11.866132377366407</v>
      </c>
      <c r="O17" s="14">
        <f>N17*VLOOKUP('Données projet'!$B$9,Paramètres!$A$1:$I$89,3,0)*VLOOKUP('Données projet'!$B$9,Paramètres!$A$1:$I$89,5,0)</f>
        <v>7.0959471616651122</v>
      </c>
      <c r="P17" s="14">
        <f t="shared" si="33"/>
        <v>2.6031837849951125</v>
      </c>
      <c r="Q17" s="22">
        <f t="shared" si="2"/>
        <v>16.892653065433223</v>
      </c>
      <c r="R17" s="62">
        <f t="shared" si="0"/>
        <v>310.22598639876651</v>
      </c>
      <c r="S17" s="62">
        <f ca="1">AVERAGE(OFFSET($R$3,0,0,'Données projet'!$E$9+1,1))-AVERAGE(OFFSET($H$3,0,0,'Données projet'!$E$9+1,1))</f>
        <v>217.20547328702645</v>
      </c>
      <c r="T17" s="62">
        <f t="shared" si="34"/>
        <v>137.55906339137317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322.31592994573543</v>
      </c>
      <c r="AN17" s="62">
        <f ca="1">AVERAGE(OFFSET($AM$3,0,0,'Données projet'!$E$10+1,1))-AVERAGE(OFFSET($H$3,0,0,'Données projet'!$E$10+1,1))</f>
        <v>305.35633273533773</v>
      </c>
      <c r="AO17" s="62">
        <f t="shared" si="36"/>
        <v>156.67965022779896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8.4266666666666676</v>
      </c>
      <c r="BD17" s="13">
        <f>IF('Données projet'!$A$88&gt;35,BD16+BC17-BL16,IF(A17&lt;'Données projet'!$A$88,$BA$205^A17,IF(A17='Données projet'!$A$88,'Données projet'!$B$88,BD16+BC17-BL16)))</f>
        <v>91.54415122316837</v>
      </c>
      <c r="BE17" s="14">
        <f>BD17*VLOOKUP('Données projet'!$B$11,Paramètres!$A$1:$I$89,3,0)*VLOOKUP('Données projet'!$B$11,Paramètres!$A$1:$I$89,5,0)</f>
        <v>51.173180533751122</v>
      </c>
      <c r="BF17" s="14">
        <f t="shared" si="37"/>
        <v>14.916328478000601</v>
      </c>
      <c r="BG17" s="22">
        <f t="shared" si="7"/>
        <v>115.10589486213424</v>
      </c>
      <c r="BH17" s="62">
        <f t="shared" si="8"/>
        <v>408.43922819546754</v>
      </c>
      <c r="BI17" s="62">
        <f ca="1">AVERAGE(OFFSET($BH$3,0,0,'Données projet'!$E$11+1,1))-AVERAGE(OFFSET($H$3,0,0,'Données projet'!$E$11+1,1))</f>
        <v>415.52119746518764</v>
      </c>
      <c r="BJ17" s="62">
        <f t="shared" si="38"/>
        <v>490.11217551185604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2.4666666666666668</v>
      </c>
      <c r="BY17" s="13">
        <f>IF('Données projet'!$A$114&gt;35,BY16+BX17-CG16,IF(A17&lt;'Données projet'!$A$114,$BV$205^A17,IF(A17='Données projet'!$A$114,'Données projet'!$B$114,BY16+BX17-CG16)))</f>
        <v>29.084054009429774</v>
      </c>
      <c r="BZ17" s="14">
        <f>BY17*VLOOKUP('Données projet'!$B$12,Paramètres!$A$1:$I$89,3,0)*VLOOKUP('Données projet'!$B$12,Paramètres!$A$1:$I$89,5,0)</f>
        <v>23.13927336990233</v>
      </c>
      <c r="CA17" s="14">
        <f t="shared" si="39"/>
        <v>7.3976107331343286</v>
      </c>
      <c r="CB17" s="22">
        <f t="shared" si="10"/>
        <v>53.185073146122171</v>
      </c>
      <c r="CC17" s="62">
        <f t="shared" si="11"/>
        <v>346.51840647945551</v>
      </c>
      <c r="CD17" s="62">
        <f ca="1">AVERAGE(OFFSET($CC$3,0,0,'Données projet'!$E$12+1,1))-AVERAGE(OFFSET($H$3,0,0,'Données projet'!$E$12+1,1))</f>
        <v>232.53653575369032</v>
      </c>
      <c r="CE17" s="62">
        <f t="shared" si="40"/>
        <v>219.59799863414099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2.7777777777777777</v>
      </c>
      <c r="CT17" s="13">
        <f>IF('Données projet'!$A$140&gt;35,CT16+CS17-DB16,IF(A17&lt;'Données projet'!$A$140,$CQ$205^A17,IF(A17='Données projet'!$A$140,'Données projet'!$B$140,CT16+CS17-DB16)))</f>
        <v>32.493974930380247</v>
      </c>
      <c r="CU17" s="18">
        <f>CT17*VLOOKUP('Données projet'!$B$13,Paramètres!$A$1:$I$89,3,0)*VLOOKUP('Données projet'!$B$13,Paramètres!$A$1:$I$89,5,0)</f>
        <v>21.796958383299071</v>
      </c>
      <c r="CV17" s="14">
        <f t="shared" si="41"/>
        <v>7.0171163519222377</v>
      </c>
      <c r="CW17" s="22">
        <f t="shared" si="13"/>
        <v>50.184513497177107</v>
      </c>
      <c r="CX17" s="62">
        <f t="shared" si="14"/>
        <v>343.51784683051039</v>
      </c>
      <c r="CY17" s="62">
        <f ca="1">AVERAGE(OFFSET($CX$3,0,0,'Données projet'!$E$13+1,1))-AVERAGE(OFFSET($H$3,0,0,'Données projet'!$E$13+1,1))</f>
        <v>191.58722091189202</v>
      </c>
      <c r="CZ17" s="62">
        <f t="shared" si="42"/>
        <v>140.7542783756906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4.3703703703703702</v>
      </c>
      <c r="N18" s="14">
        <f>IF('Données projet'!$A$36&gt;35,N17+M18-V17,IF(A18&lt;'Données projet'!$A$36,$K$205^A18,IF(A18='Données projet'!$A$36,'Données projet'!$B$36,N17+M18-V17)))</f>
        <v>14.159423114374338</v>
      </c>
      <c r="O18" s="14">
        <f>N18*VLOOKUP('Données projet'!$B$9,Paramètres!$A$1:$I$89,3,0)*VLOOKUP('Données projet'!$B$9,Paramètres!$A$1:$I$89,5,0)</f>
        <v>8.4673350223958543</v>
      </c>
      <c r="P18" s="14">
        <f t="shared" si="33"/>
        <v>3.0430499948027987</v>
      </c>
      <c r="Q18" s="22">
        <f t="shared" si="2"/>
        <v>20.047253904954317</v>
      </c>
      <c r="R18" s="62">
        <f t="shared" si="0"/>
        <v>313.3805872382876</v>
      </c>
      <c r="S18" s="62">
        <f ca="1">AVERAGE(OFFSET($R$3,0,0,'Données projet'!$E$9+1,1))-AVERAGE(OFFSET($H$3,0,0,'Données projet'!$E$9+1,1))</f>
        <v>217.20547328702645</v>
      </c>
      <c r="T18" s="62">
        <f t="shared" si="34"/>
        <v>137.55906339137317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328.07911334160997</v>
      </c>
      <c r="AN18" s="62">
        <f ca="1">AVERAGE(OFFSET($AM$3,0,0,'Données projet'!$E$10+1,1))-AVERAGE(OFFSET($H$3,0,0,'Données projet'!$E$10+1,1))</f>
        <v>305.35633273533773</v>
      </c>
      <c r="AO18" s="62">
        <f t="shared" si="36"/>
        <v>156.67965022779896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126.4</v>
      </c>
      <c r="BB18" s="13">
        <f>VLOOKUP(A18,'Données projet'!$A$87:$I$107,9,0)</f>
        <v>8.4266666666666676</v>
      </c>
      <c r="BC18" s="13">
        <f t="array" ref="BC18">INDEX(BB:BB,MIN(IF(ISNUMBER(BB18:BB214),ROW(BB18:BB214),"")))</f>
        <v>8.4266666666666676</v>
      </c>
      <c r="BD18" s="13">
        <f>IF('Données projet'!$A$88&gt;35,BD17+BC18-BL17,IF(A18&lt;'Données projet'!$A$88,$BA$205^A18,IF(A18='Données projet'!$A$88,'Données projet'!$B$88,BD17+BC18-BL17)))</f>
        <v>126.4</v>
      </c>
      <c r="BE18" s="14">
        <f>BD18*VLOOKUP('Données projet'!$B$11,Paramètres!$A$1:$I$89,3,0)*VLOOKUP('Données projet'!$B$11,Paramètres!$A$1:$I$89,5,0)</f>
        <v>70.657600000000002</v>
      </c>
      <c r="BF18" s="14">
        <f t="shared" si="37"/>
        <v>19.836673851984134</v>
      </c>
      <c r="BG18" s="22">
        <f t="shared" si="7"/>
        <v>157.6108602922057</v>
      </c>
      <c r="BH18" s="62">
        <f t="shared" si="8"/>
        <v>450.94419362553901</v>
      </c>
      <c r="BI18" s="62">
        <f ca="1">AVERAGE(OFFSET($BH$3,0,0,'Données projet'!$E$11+1,1))-AVERAGE(OFFSET($H$3,0,0,'Données projet'!$E$11+1,1))</f>
        <v>415.52119746518764</v>
      </c>
      <c r="BJ18" s="62">
        <f t="shared" si="38"/>
        <v>490.11217551185604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37</v>
      </c>
      <c r="BW18" s="13">
        <f>VLOOKUP(A18,'Données projet'!$A$113:$I$133,9,0)</f>
        <v>2.4666666666666668</v>
      </c>
      <c r="BX18" s="13">
        <f t="array" ref="BX18">INDEX(BW:BW,MIN(IF(ISNUMBER(BW18:BW214),ROW(BW18:BW214),"")))</f>
        <v>2.4666666666666668</v>
      </c>
      <c r="BY18" s="13">
        <f>IF('Données projet'!$A$114&gt;35,BY17+BX18-CG17,IF(A18&lt;'Données projet'!$A$114,$BV$205^A18,IF(A18='Données projet'!$A$114,'Données projet'!$B$114,BY17+BX18-CG17)))</f>
        <v>37</v>
      </c>
      <c r="BZ18" s="14">
        <f>BY18*VLOOKUP('Données projet'!$B$12,Paramètres!$A$1:$I$89,3,0)*VLOOKUP('Données projet'!$B$12,Paramètres!$A$1:$I$89,5,0)</f>
        <v>29.437200000000004</v>
      </c>
      <c r="CA18" s="14">
        <f t="shared" si="39"/>
        <v>9.1510096001539196</v>
      </c>
      <c r="CB18" s="22">
        <f t="shared" si="10"/>
        <v>67.207798386934755</v>
      </c>
      <c r="CC18" s="62">
        <f t="shared" si="11"/>
        <v>360.54113172026808</v>
      </c>
      <c r="CD18" s="62">
        <f ca="1">AVERAGE(OFFSET($CC$3,0,0,'Données projet'!$E$12+1,1))-AVERAGE(OFFSET($H$3,0,0,'Données projet'!$E$12+1,1))</f>
        <v>232.53653575369032</v>
      </c>
      <c r="CE18" s="62">
        <f t="shared" si="40"/>
        <v>219.59799863414099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15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41.666666666666664</v>
      </c>
      <c r="CR18" s="13">
        <f>VLOOKUP(A18,'Données projet'!$A$139:$I$159,9,0)</f>
        <v>2.7777777777777777</v>
      </c>
      <c r="CS18" s="13">
        <f t="array" ref="CS18">INDEX(CR:CR,MIN(IF(ISNUMBER(CR18:CR214),ROW(CR18:CR214),"")))</f>
        <v>2.7777777777777777</v>
      </c>
      <c r="CT18" s="13">
        <f>IF('Données projet'!$A$140&gt;35,CT17+CS18-DB17,IF(A18&lt;'Données projet'!$A$140,$CQ$205^A18,IF(A18='Données projet'!$A$140,'Données projet'!$B$140,CT17+CS18-DB17)))</f>
        <v>41.666666666666664</v>
      </c>
      <c r="CU18" s="18">
        <f>CT18*VLOOKUP('Données projet'!$B$13,Paramètres!$A$1:$I$89,3,0)*VLOOKUP('Données projet'!$B$13,Paramètres!$A$1:$I$89,5,0)</f>
        <v>27.949999999999996</v>
      </c>
      <c r="CV18" s="14">
        <f t="shared" si="41"/>
        <v>8.7412800483747386</v>
      </c>
      <c r="CW18" s="22">
        <f t="shared" si="13"/>
        <v>63.903979417585994</v>
      </c>
      <c r="CX18" s="62">
        <f t="shared" si="14"/>
        <v>357.23731275091933</v>
      </c>
      <c r="CY18" s="62">
        <f ca="1">AVERAGE(OFFSET($CX$3,0,0,'Données projet'!$E$13+1,1))-AVERAGE(OFFSET($H$3,0,0,'Données projet'!$E$13+1,1))</f>
        <v>191.58722091189202</v>
      </c>
      <c r="CZ18" s="62">
        <f t="shared" si="42"/>
        <v>140.7542783756906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8.9743589743589745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4.3703703703703702</v>
      </c>
      <c r="N19" s="14">
        <f>IF('Données projet'!$A$36&gt;35,N18+M19-V18,IF(A19&lt;'Données projet'!$A$36,$K$205^A19,IF(A19='Données projet'!$A$36,'Données projet'!$B$36,N18+M19-V18)))</f>
        <v>16.895923335078734</v>
      </c>
      <c r="O19" s="14">
        <f>N19*VLOOKUP('Données projet'!$B$9,Paramètres!$A$1:$I$89,3,0)*VLOOKUP('Données projet'!$B$9,Paramètres!$A$1:$I$89,5,0)</f>
        <v>10.103762154377083</v>
      </c>
      <c r="P19" s="14">
        <f t="shared" si="33"/>
        <v>3.5572414534253478</v>
      </c>
      <c r="Q19" s="22">
        <f t="shared" si="2"/>
        <v>23.79291461692257</v>
      </c>
      <c r="R19" s="62">
        <f t="shared" si="0"/>
        <v>317.1262479502559</v>
      </c>
      <c r="S19" s="62">
        <f ca="1">AVERAGE(OFFSET($R$3,0,0,'Données projet'!$E$9+1,1))-AVERAGE(OFFSET($H$3,0,0,'Données projet'!$E$9+1,1))</f>
        <v>217.20547328702645</v>
      </c>
      <c r="T19" s="62">
        <f t="shared" si="34"/>
        <v>137.55906339137317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334.992017673269</v>
      </c>
      <c r="AN19" s="62">
        <f ca="1">AVERAGE(OFFSET($AM$3,0,0,'Données projet'!$E$10+1,1))-AVERAGE(OFFSET($H$3,0,0,'Données projet'!$E$10+1,1))</f>
        <v>305.35633273533773</v>
      </c>
      <c r="AO19" s="62">
        <f t="shared" si="36"/>
        <v>156.67965022779896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22.28</v>
      </c>
      <c r="BD19" s="13">
        <f>IF('Données projet'!$A$88&gt;35,BD18+BC19-BL18,IF(A19&lt;'Données projet'!$A$88,$BA$205^A19,IF(A19='Données projet'!$A$88,'Données projet'!$B$88,BD18+BC19-BL18)))</f>
        <v>148.68</v>
      </c>
      <c r="BE19" s="14">
        <f>BD19*VLOOKUP('Données projet'!$B$11,Paramètres!$A$1:$I$89,3,0)*VLOOKUP('Données projet'!$B$11,Paramètres!$A$1:$I$89,5,0)</f>
        <v>83.112120000000004</v>
      </c>
      <c r="BF19" s="14">
        <f t="shared" si="37"/>
        <v>22.896415290916135</v>
      </c>
      <c r="BG19" s="22">
        <f t="shared" si="7"/>
        <v>184.6315322983456</v>
      </c>
      <c r="BH19" s="62">
        <f t="shared" si="8"/>
        <v>477.96486563167889</v>
      </c>
      <c r="BI19" s="62">
        <f ca="1">AVERAGE(OFFSET($BH$3,0,0,'Données projet'!$E$11+1,1))-AVERAGE(OFFSET($H$3,0,0,'Données projet'!$E$11+1,1))</f>
        <v>415.52119746518764</v>
      </c>
      <c r="BJ19" s="62">
        <f t="shared" si="38"/>
        <v>490.11217551185604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33.6</v>
      </c>
      <c r="BZ19" s="14">
        <f>BY19*VLOOKUP('Données projet'!$B$12,Paramètres!$A$1:$I$89,3,0)*VLOOKUP('Données projet'!$B$12,Paramètres!$A$1:$I$89,5,0)</f>
        <v>26.732160000000004</v>
      </c>
      <c r="CA19" s="14">
        <f t="shared" si="39"/>
        <v>8.4038705306032053</v>
      </c>
      <c r="CB19" s="22">
        <f t="shared" si="10"/>
        <v>61.195253174133917</v>
      </c>
      <c r="CC19" s="62">
        <f t="shared" si="11"/>
        <v>354.52858650746725</v>
      </c>
      <c r="CD19" s="62">
        <f ca="1">AVERAGE(OFFSET($CC$3,0,0,'Données projet'!$E$12+1,1))-AVERAGE(OFFSET($H$3,0,0,'Données projet'!$E$12+1,1))</f>
        <v>232.53653575369032</v>
      </c>
      <c r="CE19" s="62">
        <f t="shared" si="40"/>
        <v>219.59799863414099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7.4358974358974361</v>
      </c>
      <c r="CT19" s="13">
        <f>IF('Données projet'!$A$140&gt;35,CT18+CS19-DB18,IF(A19&lt;'Données projet'!$A$140,$CQ$205^A19,IF(A19='Données projet'!$A$140,'Données projet'!$B$140,CT18+CS19-DB18)))</f>
        <v>40.128205128205124</v>
      </c>
      <c r="CU19" s="18">
        <f>CT19*VLOOKUP('Données projet'!$B$13,Paramètres!$A$1:$I$89,3,0)*VLOOKUP('Données projet'!$B$13,Paramètres!$A$1:$I$89,5,0)</f>
        <v>26.917999999999996</v>
      </c>
      <c r="CV19" s="14">
        <f t="shared" si="41"/>
        <v>8.4554723371554115</v>
      </c>
      <c r="CW19" s="22">
        <f t="shared" si="13"/>
        <v>61.608797653878987</v>
      </c>
      <c r="CX19" s="62">
        <f t="shared" si="14"/>
        <v>354.94213098721229</v>
      </c>
      <c r="CY19" s="62">
        <f ca="1">AVERAGE(OFFSET($CX$3,0,0,'Données projet'!$E$13+1,1))-AVERAGE(OFFSET($H$3,0,0,'Données projet'!$E$13+1,1))</f>
        <v>191.58722091189202</v>
      </c>
      <c r="CZ19" s="62">
        <f t="shared" si="42"/>
        <v>140.7542783756906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4.3703703703703702</v>
      </c>
      <c r="N20" s="14">
        <f>IF('Données projet'!$A$36&gt;35,N19+M20-V19,IF(A20&lt;'Données projet'!$A$36,$K$205^A20,IF(A20='Données projet'!$A$36,'Données projet'!$B$36,N19+M20-V19)))</f>
        <v>20.161289272799031</v>
      </c>
      <c r="O20" s="14">
        <f>N20*VLOOKUP('Données projet'!$B$9,Paramètres!$A$1:$I$89,3,0)*VLOOKUP('Données projet'!$B$9,Paramètres!$A$1:$I$89,5,0)</f>
        <v>12.056450985133822</v>
      </c>
      <c r="P20" s="14">
        <f t="shared" si="33"/>
        <v>4.1583170764789594</v>
      </c>
      <c r="Q20" s="22">
        <f t="shared" si="2"/>
        <v>28.240721040642256</v>
      </c>
      <c r="R20" s="62">
        <f t="shared" si="0"/>
        <v>321.57405437397557</v>
      </c>
      <c r="S20" s="62">
        <f ca="1">AVERAGE(OFFSET($R$3,0,0,'Données projet'!$E$9+1,1))-AVERAGE(OFFSET($H$3,0,0,'Données projet'!$E$9+1,1))</f>
        <v>217.20547328702645</v>
      </c>
      <c r="T20" s="62">
        <f t="shared" si="34"/>
        <v>137.55906339137317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343.28469438075035</v>
      </c>
      <c r="AN20" s="62">
        <f ca="1">AVERAGE(OFFSET($AM$3,0,0,'Données projet'!$E$10+1,1))-AVERAGE(OFFSET($H$3,0,0,'Données projet'!$E$10+1,1))</f>
        <v>305.35633273533773</v>
      </c>
      <c r="AO20" s="62">
        <f t="shared" si="36"/>
        <v>156.67965022779896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22.28</v>
      </c>
      <c r="BD20" s="13">
        <f>IF('Données projet'!$A$88&gt;35,BD19+BC20-BL19,IF(A20&lt;'Données projet'!$A$88,$BA$205^A20,IF(A20='Données projet'!$A$88,'Données projet'!$B$88,BD19+BC20-BL19)))</f>
        <v>170.96</v>
      </c>
      <c r="BE20" s="14">
        <f>BD20*VLOOKUP('Données projet'!$B$11,Paramètres!$A$1:$I$89,3,0)*VLOOKUP('Données projet'!$B$11,Paramètres!$A$1:$I$89,5,0)</f>
        <v>95.566640000000007</v>
      </c>
      <c r="BF20" s="14">
        <f t="shared" si="37"/>
        <v>25.903039428201726</v>
      </c>
      <c r="BG20" s="22">
        <f t="shared" si="7"/>
        <v>211.55969167078467</v>
      </c>
      <c r="BH20" s="62">
        <f t="shared" si="8"/>
        <v>504.89302500411799</v>
      </c>
      <c r="BI20" s="62">
        <f ca="1">AVERAGE(OFFSET($BH$3,0,0,'Données projet'!$E$11+1,1))-AVERAGE(OFFSET($H$3,0,0,'Données projet'!$E$11+1,1))</f>
        <v>415.52119746518764</v>
      </c>
      <c r="BJ20" s="62">
        <f t="shared" si="38"/>
        <v>490.11217551185604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45.2</v>
      </c>
      <c r="BZ20" s="14">
        <f>BY20*VLOOKUP('Données projet'!$B$12,Paramètres!$A$1:$I$89,3,0)*VLOOKUP('Données projet'!$B$12,Paramètres!$A$1:$I$89,5,0)</f>
        <v>35.961120000000008</v>
      </c>
      <c r="CA20" s="14">
        <f t="shared" si="39"/>
        <v>10.921600552662685</v>
      </c>
      <c r="CB20" s="22">
        <f t="shared" si="10"/>
        <v>81.654071629220851</v>
      </c>
      <c r="CC20" s="62">
        <f t="shared" si="11"/>
        <v>374.98740496255414</v>
      </c>
      <c r="CD20" s="62">
        <f ca="1">AVERAGE(OFFSET($CC$3,0,0,'Données projet'!$E$12+1,1))-AVERAGE(OFFSET($H$3,0,0,'Données projet'!$E$12+1,1))</f>
        <v>232.53653575369032</v>
      </c>
      <c r="CE20" s="62">
        <f t="shared" si="40"/>
        <v>219.59799863414099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7.4358974358974361</v>
      </c>
      <c r="CT20" s="13">
        <f>IF('Données projet'!$A$140&gt;35,CT19+CS20-DB19,IF(A20&lt;'Données projet'!$A$140,$CQ$205^A20,IF(A20='Données projet'!$A$140,'Données projet'!$B$140,CT19+CS20-DB19)))</f>
        <v>47.564102564102562</v>
      </c>
      <c r="CU20" s="18">
        <f>CT20*VLOOKUP('Données projet'!$B$13,Paramètres!$A$1:$I$89,3,0)*VLOOKUP('Données projet'!$B$13,Paramètres!$A$1:$I$89,5,0)</f>
        <v>31.905999999999999</v>
      </c>
      <c r="CV20" s="14">
        <f t="shared" si="41"/>
        <v>9.8259303853403726</v>
      </c>
      <c r="CW20" s="22">
        <f t="shared" si="13"/>
        <v>72.683112087801149</v>
      </c>
      <c r="CX20" s="62">
        <f t="shared" si="14"/>
        <v>366.01644542113445</v>
      </c>
      <c r="CY20" s="62">
        <f ca="1">AVERAGE(OFFSET($CX$3,0,0,'Données projet'!$E$13+1,1))-AVERAGE(OFFSET($H$3,0,0,'Données projet'!$E$13+1,1))</f>
        <v>191.58722091189202</v>
      </c>
      <c r="CZ20" s="62">
        <f t="shared" si="42"/>
        <v>140.7542783756906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4.3703703703703702</v>
      </c>
      <c r="N21" s="14">
        <f>IF('Données projet'!$A$36&gt;35,N20+M21-V20,IF(A21&lt;'Données projet'!$A$36,$K$205^A21,IF(A21='Données projet'!$A$36,'Données projet'!$B$36,N20+M21-V20)))</f>
        <v>24.057731387639919</v>
      </c>
      <c r="O21" s="14">
        <f>N21*VLOOKUP('Données projet'!$B$9,Paramètres!$A$1:$I$89,3,0)*VLOOKUP('Données projet'!$B$9,Paramètres!$A$1:$I$89,5,0)</f>
        <v>14.386523369808673</v>
      </c>
      <c r="P21" s="14">
        <f t="shared" si="33"/>
        <v>4.8609578896833261</v>
      </c>
      <c r="Q21" s="22">
        <f t="shared" si="2"/>
        <v>33.522696526948565</v>
      </c>
      <c r="R21" s="62">
        <f t="shared" si="0"/>
        <v>326.85602986028186</v>
      </c>
      <c r="S21" s="62">
        <f ca="1">AVERAGE(OFFSET($R$3,0,0,'Données projet'!$E$9+1,1))-AVERAGE(OFFSET($H$3,0,0,'Données projet'!$E$9+1,1))</f>
        <v>217.20547328702645</v>
      </c>
      <c r="T21" s="62">
        <f t="shared" si="34"/>
        <v>137.55906339137317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353.23335406291386</v>
      </c>
      <c r="AN21" s="62">
        <f ca="1">AVERAGE(OFFSET($AM$3,0,0,'Données projet'!$E$10+1,1))-AVERAGE(OFFSET($H$3,0,0,'Données projet'!$E$10+1,1))</f>
        <v>305.35633273533773</v>
      </c>
      <c r="AO21" s="62">
        <f t="shared" si="36"/>
        <v>156.67965022779896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22.28</v>
      </c>
      <c r="BD21" s="13">
        <f>IF('Données projet'!$A$88&gt;35,BD20+BC21-BL20,IF(A21&lt;'Données projet'!$A$88,$BA$205^A21,IF(A21='Données projet'!$A$88,'Données projet'!$B$88,BD20+BC21-BL20)))</f>
        <v>193.24</v>
      </c>
      <c r="BE21" s="14">
        <f>BD21*VLOOKUP('Données projet'!$B$11,Paramètres!$A$1:$I$89,3,0)*VLOOKUP('Données projet'!$B$11,Paramètres!$A$1:$I$89,5,0)</f>
        <v>108.02115999999999</v>
      </c>
      <c r="BF21" s="14">
        <f t="shared" si="37"/>
        <v>28.864262998355553</v>
      </c>
      <c r="BG21" s="22">
        <f t="shared" si="7"/>
        <v>238.4087783888026</v>
      </c>
      <c r="BH21" s="62">
        <f t="shared" si="8"/>
        <v>531.74211172213586</v>
      </c>
      <c r="BI21" s="62">
        <f ca="1">AVERAGE(OFFSET($BH$3,0,0,'Données projet'!$E$11+1,1))-AVERAGE(OFFSET($H$3,0,0,'Données projet'!$E$11+1,1))</f>
        <v>415.52119746518764</v>
      </c>
      <c r="BJ21" s="62">
        <f t="shared" si="38"/>
        <v>490.11217551185604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56.800000000000004</v>
      </c>
      <c r="BZ21" s="14">
        <f>BY21*VLOOKUP('Données projet'!$B$12,Paramètres!$A$1:$I$89,3,0)*VLOOKUP('Données projet'!$B$12,Paramètres!$A$1:$I$89,5,0)</f>
        <v>45.190080000000009</v>
      </c>
      <c r="CA21" s="14">
        <f t="shared" si="39"/>
        <v>13.364359727915414</v>
      </c>
      <c r="CB21" s="22">
        <f t="shared" si="10"/>
        <v>101.98231585945268</v>
      </c>
      <c r="CC21" s="62">
        <f t="shared" si="11"/>
        <v>395.315649192786</v>
      </c>
      <c r="CD21" s="62">
        <f ca="1">AVERAGE(OFFSET($CC$3,0,0,'Données projet'!$E$12+1,1))-AVERAGE(OFFSET($H$3,0,0,'Données projet'!$E$12+1,1))</f>
        <v>232.53653575369032</v>
      </c>
      <c r="CE21" s="62">
        <f t="shared" si="40"/>
        <v>219.59799863414099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7.4358974358974361</v>
      </c>
      <c r="CT21" s="13">
        <f>IF('Données projet'!$A$140&gt;35,CT20+CS21-DB20,IF(A21&lt;'Données projet'!$A$140,$CQ$205^A21,IF(A21='Données projet'!$A$140,'Données projet'!$B$140,CT20+CS21-DB20)))</f>
        <v>55</v>
      </c>
      <c r="CU21" s="18">
        <f>CT21*VLOOKUP('Données projet'!$B$13,Paramètres!$A$1:$I$89,3,0)*VLOOKUP('Données projet'!$B$13,Paramètres!$A$1:$I$89,5,0)</f>
        <v>36.893999999999998</v>
      </c>
      <c r="CV21" s="14">
        <f t="shared" si="41"/>
        <v>11.17156867911179</v>
      </c>
      <c r="CW21" s="22">
        <f t="shared" si="13"/>
        <v>83.714198782786369</v>
      </c>
      <c r="CX21" s="62">
        <f t="shared" si="14"/>
        <v>377.04753211611967</v>
      </c>
      <c r="CY21" s="62">
        <f ca="1">AVERAGE(OFFSET($CX$3,0,0,'Données projet'!$E$13+1,1))-AVERAGE(OFFSET($H$3,0,0,'Données projet'!$E$13+1,1))</f>
        <v>191.58722091189202</v>
      </c>
      <c r="CZ21" s="62">
        <f t="shared" si="42"/>
        <v>140.7542783756906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4.3703703703703702</v>
      </c>
      <c r="N22" s="14">
        <f>IF('Données projet'!$A$36&gt;35,N21+M22-V21,IF(A22&lt;'Données projet'!$A$36,$K$205^A22,IF(A22='Données projet'!$A$36,'Données projet'!$B$36,N21+M22-V21)))</f>
        <v>28.707213694944539</v>
      </c>
      <c r="O22" s="14">
        <f>N22*VLOOKUP('Données projet'!$B$9,Paramètres!$A$1:$I$89,3,0)*VLOOKUP('Données projet'!$B$9,Paramètres!$A$1:$I$89,5,0)</f>
        <v>17.166913789576835</v>
      </c>
      <c r="P22" s="14">
        <f t="shared" si="33"/>
        <v>5.6823256068972627</v>
      </c>
      <c r="Q22" s="22">
        <f t="shared" si="2"/>
        <v>39.79575861552572</v>
      </c>
      <c r="R22" s="62">
        <f t="shared" si="0"/>
        <v>333.12909194885901</v>
      </c>
      <c r="S22" s="62">
        <f ca="1">AVERAGE(OFFSET($R$3,0,0,'Données projet'!$E$9+1,1))-AVERAGE(OFFSET($H$3,0,0,'Données projet'!$E$9+1,1))</f>
        <v>217.20547328702645</v>
      </c>
      <c r="T22" s="62">
        <f t="shared" si="34"/>
        <v>137.55906339137317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365.16965167242461</v>
      </c>
      <c r="AN22" s="62">
        <f ca="1">AVERAGE(OFFSET($AM$3,0,0,'Données projet'!$E$10+1,1))-AVERAGE(OFFSET($H$3,0,0,'Données projet'!$E$10+1,1))</f>
        <v>305.35633273533773</v>
      </c>
      <c r="AO22" s="62">
        <f t="shared" si="36"/>
        <v>156.67965022779896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22.28</v>
      </c>
      <c r="BD22" s="13">
        <f>IF('Données projet'!$A$88&gt;35,BD21+BC22-BL21,IF(A22&lt;'Données projet'!$A$88,$BA$205^A22,IF(A22='Données projet'!$A$88,'Données projet'!$B$88,BD21+BC22-BL21)))</f>
        <v>215.52</v>
      </c>
      <c r="BE22" s="14">
        <f>BD22*VLOOKUP('Données projet'!$B$11,Paramètres!$A$1:$I$89,3,0)*VLOOKUP('Données projet'!$B$11,Paramètres!$A$1:$I$89,5,0)</f>
        <v>120.47568000000001</v>
      </c>
      <c r="BF22" s="14">
        <f t="shared" si="37"/>
        <v>31.785918284808552</v>
      </c>
      <c r="BG22" s="22">
        <f t="shared" si="7"/>
        <v>265.18895034604157</v>
      </c>
      <c r="BH22" s="62">
        <f t="shared" si="8"/>
        <v>558.52228367937482</v>
      </c>
      <c r="BI22" s="62">
        <f ca="1">AVERAGE(OFFSET($BH$3,0,0,'Données projet'!$E$11+1,1))-AVERAGE(OFFSET($H$3,0,0,'Données projet'!$E$11+1,1))</f>
        <v>415.52119746518764</v>
      </c>
      <c r="BJ22" s="62">
        <f t="shared" si="38"/>
        <v>490.11217551185604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68.400000000000006</v>
      </c>
      <c r="BZ22" s="14">
        <f>BY22*VLOOKUP('Données projet'!$B$12,Paramètres!$A$1:$I$89,3,0)*VLOOKUP('Données projet'!$B$12,Paramètres!$A$1:$I$89,5,0)</f>
        <v>54.419040000000003</v>
      </c>
      <c r="CA22" s="14">
        <f t="shared" si="39"/>
        <v>15.749310274925152</v>
      </c>
      <c r="CB22" s="22">
        <f t="shared" si="10"/>
        <v>122.20987672882796</v>
      </c>
      <c r="CC22" s="62">
        <f t="shared" si="11"/>
        <v>415.54321006216128</v>
      </c>
      <c r="CD22" s="62">
        <f ca="1">AVERAGE(OFFSET($CC$3,0,0,'Données projet'!$E$12+1,1))-AVERAGE(OFFSET($H$3,0,0,'Données projet'!$E$12+1,1))</f>
        <v>232.53653575369032</v>
      </c>
      <c r="CE22" s="62">
        <f t="shared" si="40"/>
        <v>219.59799863414099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7.4358974358974361</v>
      </c>
      <c r="CT22" s="13">
        <f>IF('Données projet'!$A$140&gt;35,CT21+CS22-DB21,IF(A22&lt;'Données projet'!$A$140,$CQ$205^A22,IF(A22='Données projet'!$A$140,'Données projet'!$B$140,CT21+CS22-DB21)))</f>
        <v>62.435897435897438</v>
      </c>
      <c r="CU22" s="18">
        <f>CT22*VLOOKUP('Données projet'!$B$13,Paramètres!$A$1:$I$89,3,0)*VLOOKUP('Données projet'!$B$13,Paramètres!$A$1:$I$89,5,0)</f>
        <v>41.881999999999998</v>
      </c>
      <c r="CV22" s="14">
        <f t="shared" si="41"/>
        <v>12.496128615984681</v>
      </c>
      <c r="CW22" s="22">
        <f t="shared" si="13"/>
        <v>94.708574006173308</v>
      </c>
      <c r="CX22" s="62">
        <f t="shared" si="14"/>
        <v>388.04190733950662</v>
      </c>
      <c r="CY22" s="62">
        <f ca="1">AVERAGE(OFFSET($CX$3,0,0,'Données projet'!$E$13+1,1))-AVERAGE(OFFSET($H$3,0,0,'Données projet'!$E$13+1,1))</f>
        <v>191.58722091189202</v>
      </c>
      <c r="CZ22" s="62">
        <f t="shared" si="42"/>
        <v>140.7542783756906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4.3703703703703702</v>
      </c>
      <c r="N23" s="14">
        <f>IF('Données projet'!$A$36&gt;35,N22+M23-V22,IF(A23&lt;'Données projet'!$A$36,$K$205^A23,IF(A23='Données projet'!$A$36,'Données projet'!$B$36,N22+M23-V22)))</f>
        <v>34.255271407286948</v>
      </c>
      <c r="O23" s="14">
        <f>N23*VLOOKUP('Données projet'!$B$9,Paramètres!$A$1:$I$89,3,0)*VLOOKUP('Données projet'!$B$9,Paramètres!$A$1:$I$89,5,0)</f>
        <v>20.484652301557595</v>
      </c>
      <c r="P23" s="14">
        <f t="shared" si="33"/>
        <v>6.6424817979453561</v>
      </c>
      <c r="Q23" s="22">
        <f t="shared" si="2"/>
        <v>47.246425223300974</v>
      </c>
      <c r="R23" s="62">
        <f t="shared" si="0"/>
        <v>340.57975855663426</v>
      </c>
      <c r="S23" s="62">
        <f ca="1">AVERAGE(OFFSET($R$3,0,0,'Données projet'!$E$9+1,1))-AVERAGE(OFFSET($H$3,0,0,'Données projet'!$E$9+1,1))</f>
        <v>217.20547328702645</v>
      </c>
      <c r="T23" s="62">
        <f t="shared" si="34"/>
        <v>137.55906339137317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379.49184380384929</v>
      </c>
      <c r="AN23" s="62">
        <f ca="1">AVERAGE(OFFSET($AM$3,0,0,'Données projet'!$E$10+1,1))-AVERAGE(OFFSET($H$3,0,0,'Données projet'!$E$10+1,1))</f>
        <v>305.35633273533773</v>
      </c>
      <c r="AO23" s="62">
        <f t="shared" si="36"/>
        <v>156.67965022779896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237.8</v>
      </c>
      <c r="BB23" s="13">
        <f>VLOOKUP(A23,'Données projet'!$A$87:$I$107,9,0)</f>
        <v>22.28</v>
      </c>
      <c r="BC23" s="13">
        <f t="array" ref="BC23">INDEX(BB:BB,MIN(IF(ISNUMBER(BB23:BB219),ROW(BB23:BB219),"")))</f>
        <v>22.28</v>
      </c>
      <c r="BD23" s="13">
        <f>IF('Données projet'!$A$88&gt;35,BD22+BC23-BL22,IF(A23&lt;'Données projet'!$A$88,$BA$205^A23,IF(A23='Données projet'!$A$88,'Données projet'!$B$88,BD22+BC23-BL22)))</f>
        <v>237.8</v>
      </c>
      <c r="BE23" s="14">
        <f>BD23*VLOOKUP('Données projet'!$B$11,Paramètres!$A$1:$I$89,3,0)*VLOOKUP('Données projet'!$B$11,Paramètres!$A$1:$I$89,5,0)</f>
        <v>132.93020000000001</v>
      </c>
      <c r="BF23" s="14">
        <f t="shared" si="37"/>
        <v>34.672561665514912</v>
      </c>
      <c r="BG23" s="22">
        <f t="shared" si="7"/>
        <v>291.90814323410513</v>
      </c>
      <c r="BH23" s="62">
        <f t="shared" si="8"/>
        <v>585.24147656743844</v>
      </c>
      <c r="BI23" s="62">
        <f ca="1">AVERAGE(OFFSET($BH$3,0,0,'Données projet'!$E$11+1,1))-AVERAGE(OFFSET($H$3,0,0,'Données projet'!$E$11+1,1))</f>
        <v>415.52119746518764</v>
      </c>
      <c r="BJ23" s="62">
        <f t="shared" si="38"/>
        <v>490.11217551185604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80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80</v>
      </c>
      <c r="BZ23" s="14">
        <f>BY23*VLOOKUP('Données projet'!$B$12,Paramètres!$A$1:$I$89,3,0)*VLOOKUP('Données projet'!$B$12,Paramètres!$A$1:$I$89,5,0)</f>
        <v>63.647999999999996</v>
      </c>
      <c r="CA23" s="14">
        <f t="shared" si="39"/>
        <v>18.087405707268363</v>
      </c>
      <c r="CB23" s="22">
        <f t="shared" si="10"/>
        <v>142.35583160682572</v>
      </c>
      <c r="CC23" s="62">
        <f t="shared" si="11"/>
        <v>435.689164940159</v>
      </c>
      <c r="CD23" s="62">
        <f ca="1">AVERAGE(OFFSET($CC$3,0,0,'Données projet'!$E$12+1,1))-AVERAGE(OFFSET($H$3,0,0,'Données projet'!$E$12+1,1))</f>
        <v>232.53653575369032</v>
      </c>
      <c r="CE23" s="62">
        <f t="shared" si="40"/>
        <v>219.59799863414099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69.871794871794876</v>
      </c>
      <c r="CR23" s="13">
        <f>VLOOKUP(A23,'Données projet'!$A$139:$I$159,9,0)</f>
        <v>7.4358974358974361</v>
      </c>
      <c r="CS23" s="13">
        <f t="array" ref="CS23">INDEX(CR:CR,MIN(IF(ISNUMBER(CR23:CR219),ROW(CR23:CR219),"")))</f>
        <v>7.4358974358974361</v>
      </c>
      <c r="CT23" s="13">
        <f>IF('Données projet'!$A$140&gt;35,CT22+CS23-DB22,IF(A23&lt;'Données projet'!$A$140,$CQ$205^A23,IF(A23='Données projet'!$A$140,'Données projet'!$B$140,CT22+CS23-DB22)))</f>
        <v>69.871794871794876</v>
      </c>
      <c r="CU23" s="18">
        <f>CT23*VLOOKUP('Données projet'!$B$13,Paramètres!$A$1:$I$89,3,0)*VLOOKUP('Données projet'!$B$13,Paramètres!$A$1:$I$89,5,0)</f>
        <v>46.870000000000005</v>
      </c>
      <c r="CV23" s="14">
        <f t="shared" si="41"/>
        <v>13.802407515959684</v>
      </c>
      <c r="CW23" s="22">
        <f t="shared" si="13"/>
        <v>105.67110975696312</v>
      </c>
      <c r="CX23" s="62">
        <f t="shared" si="14"/>
        <v>399.00444309029643</v>
      </c>
      <c r="CY23" s="62">
        <f ca="1">AVERAGE(OFFSET($CX$3,0,0,'Données projet'!$E$13+1,1))-AVERAGE(OFFSET($H$3,0,0,'Données projet'!$E$13+1,1))</f>
        <v>191.58722091189202</v>
      </c>
      <c r="CZ23" s="62">
        <f t="shared" si="42"/>
        <v>140.7542783756906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4.3703703703703702</v>
      </c>
      <c r="N24" s="14">
        <f>IF('Données projet'!$A$36&gt;35,N23+M24-V23,IF(A24&lt;'Données projet'!$A$36,$K$205^A24,IF(A24='Données projet'!$A$36,'Données projet'!$B$36,N23+M24-V23)))</f>
        <v>40.875566387466414</v>
      </c>
      <c r="O24" s="14">
        <f>N24*VLOOKUP('Données projet'!$B$9,Paramètres!$A$1:$I$89,3,0)*VLOOKUP('Données projet'!$B$9,Paramètres!$A$1:$I$89,5,0)</f>
        <v>24.443588699704918</v>
      </c>
      <c r="P24" s="14">
        <f t="shared" si="33"/>
        <v>7.7648778842379169</v>
      </c>
      <c r="Q24" s="22">
        <f t="shared" si="2"/>
        <v>56.096412633700432</v>
      </c>
      <c r="R24" s="62">
        <f t="shared" si="0"/>
        <v>349.42974596703374</v>
      </c>
      <c r="S24" s="62">
        <f ca="1">AVERAGE(OFFSET($R$3,0,0,'Données projet'!$E$9+1,1))-AVERAGE(OFFSET($H$3,0,0,'Données projet'!$E$9+1,1))</f>
        <v>217.20547328702645</v>
      </c>
      <c r="T24" s="62">
        <f t="shared" si="34"/>
        <v>137.55906339137317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5.8</v>
      </c>
      <c r="AI24" s="14">
        <f>IF('Données projet'!$A$62&gt;35,AI23+AH24-AQ23,IF(A24&lt;'Données projet'!$A$62,$AF$205^A24,IF(A24='Données projet'!$A$62,'Données projet'!$B$62,AI23+AH24-AQ23)))</f>
        <v>47.8</v>
      </c>
      <c r="AJ24" s="14">
        <f>AI24*VLOOKUP('Données projet'!$B$10,Paramètres!$A$1:$I$89,3,0)*VLOOKUP('Données projet'!$B$10,Paramètres!$A$1:$I$89,5,0)</f>
        <v>43.249439999999993</v>
      </c>
      <c r="AK24" s="14">
        <f t="shared" si="35"/>
        <v>12.85595739620004</v>
      </c>
      <c r="AL24" s="22">
        <f t="shared" si="4"/>
        <v>97.716900465048397</v>
      </c>
      <c r="AM24" s="62">
        <f t="shared" si="5"/>
        <v>391.05023379838173</v>
      </c>
      <c r="AN24" s="62">
        <f ca="1">AVERAGE(OFFSET($AM$3,0,0,'Données projet'!$E$10+1,1))-AVERAGE(OFFSET($H$3,0,0,'Données projet'!$E$10+1,1))</f>
        <v>305.35633273533773</v>
      </c>
      <c r="AO24" s="62">
        <f t="shared" si="36"/>
        <v>156.67965022779896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22.660000000000004</v>
      </c>
      <c r="BD24" s="13">
        <f>IF('Données projet'!$A$88&gt;35,BD23+BC24-BL23,IF(A24&lt;'Données projet'!$A$88,$BA$205^A24,IF(A24='Données projet'!$A$88,'Données projet'!$B$88,BD23+BC24-BL23)))</f>
        <v>260.46000000000004</v>
      </c>
      <c r="BE24" s="14">
        <f>BD24*VLOOKUP('Données projet'!$B$11,Paramètres!$A$1:$I$89,3,0)*VLOOKUP('Données projet'!$B$11,Paramètres!$A$1:$I$89,5,0)</f>
        <v>145.59714000000002</v>
      </c>
      <c r="BF24" s="14">
        <f t="shared" si="37"/>
        <v>37.576291644854251</v>
      </c>
      <c r="BG24" s="22">
        <f t="shared" si="7"/>
        <v>319.02706011478784</v>
      </c>
      <c r="BH24" s="62">
        <f t="shared" si="8"/>
        <v>612.36039344812116</v>
      </c>
      <c r="BI24" s="62">
        <f ca="1">AVERAGE(OFFSET($BH$3,0,0,'Données projet'!$E$11+1,1))-AVERAGE(OFFSET($H$3,0,0,'Données projet'!$E$11+1,1))</f>
        <v>415.52119746518764</v>
      </c>
      <c r="BJ24" s="62">
        <f t="shared" si="38"/>
        <v>490.11217551185604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12.6</v>
      </c>
      <c r="BY24" s="13">
        <f>IF('Données projet'!$A$114&gt;35,BY23+BX24-CG23,IF(A24&lt;'Données projet'!$A$114,$BV$205^A24,IF(A24='Données projet'!$A$114,'Données projet'!$B$114,BY23+BX24-CG23)))</f>
        <v>92.6</v>
      </c>
      <c r="BZ24" s="14">
        <f>BY24*VLOOKUP('Données projet'!$B$12,Paramètres!$A$1:$I$89,3,0)*VLOOKUP('Données projet'!$B$12,Paramètres!$A$1:$I$89,5,0)</f>
        <v>73.672560000000004</v>
      </c>
      <c r="CA24" s="14">
        <f t="shared" si="39"/>
        <v>20.582751720906476</v>
      </c>
      <c r="CB24" s="22">
        <f t="shared" si="10"/>
        <v>164.16133458057877</v>
      </c>
      <c r="CC24" s="62">
        <f t="shared" si="11"/>
        <v>457.49466791391205</v>
      </c>
      <c r="CD24" s="62">
        <f ca="1">AVERAGE(OFFSET($CC$3,0,0,'Données projet'!$E$12+1,1))-AVERAGE(OFFSET($H$3,0,0,'Données projet'!$E$12+1,1))</f>
        <v>232.53653575369032</v>
      </c>
      <c r="CE24" s="62">
        <f t="shared" si="40"/>
        <v>219.59799863414099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7.8205128205128176</v>
      </c>
      <c r="CT24" s="13">
        <f>IF('Données projet'!$A$140&gt;35,CT23+CS24-DB23,IF(A24&lt;'Données projet'!$A$140,$CQ$205^A24,IF(A24='Données projet'!$A$140,'Données projet'!$B$140,CT23+CS24-DB23)))</f>
        <v>77.692307692307693</v>
      </c>
      <c r="CU24" s="18">
        <f>CT24*VLOOKUP('Données projet'!$B$13,Paramètres!$A$1:$I$89,3,0)*VLOOKUP('Données projet'!$B$13,Paramètres!$A$1:$I$89,5,0)</f>
        <v>52.116</v>
      </c>
      <c r="CV24" s="14">
        <f t="shared" si="41"/>
        <v>15.15890066603534</v>
      </c>
      <c r="CW24" s="22">
        <f t="shared" si="13"/>
        <v>117.17045199334488</v>
      </c>
      <c r="CX24" s="62">
        <f t="shared" si="14"/>
        <v>410.50378532667821</v>
      </c>
      <c r="CY24" s="62">
        <f ca="1">AVERAGE(OFFSET($CX$3,0,0,'Données projet'!$E$13+1,1))-AVERAGE(OFFSET($H$3,0,0,'Données projet'!$E$13+1,1))</f>
        <v>191.58722091189202</v>
      </c>
      <c r="CZ24" s="62">
        <f t="shared" si="42"/>
        <v>140.7542783756906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4.3703703703703702</v>
      </c>
      <c r="N25" s="14">
        <f>IF('Données projet'!$A$36&gt;35,N24+M25-V24,IF(A25&lt;'Données projet'!$A$36,$K$205^A25,IF(A25='Données projet'!$A$36,'Données projet'!$B$36,N24+M25-V24)))</f>
        <v>48.775323004469058</v>
      </c>
      <c r="O25" s="14">
        <f>N25*VLOOKUP('Données projet'!$B$9,Paramètres!$A$1:$I$89,3,0)*VLOOKUP('Données projet'!$B$9,Paramètres!$A$1:$I$89,5,0)</f>
        <v>29.167643156672497</v>
      </c>
      <c r="P25" s="14">
        <f t="shared" si="33"/>
        <v>9.0769279301265016</v>
      </c>
      <c r="Q25" s="22">
        <f t="shared" si="2"/>
        <v>66.60929464284159</v>
      </c>
      <c r="R25" s="62">
        <f t="shared" si="0"/>
        <v>359.94262797617489</v>
      </c>
      <c r="S25" s="62">
        <f ca="1">AVERAGE(OFFSET($R$3,0,0,'Données projet'!$E$9+1,1))-AVERAGE(OFFSET($H$3,0,0,'Données projet'!$E$9+1,1))</f>
        <v>217.20547328702645</v>
      </c>
      <c r="T25" s="62">
        <f t="shared" si="34"/>
        <v>137.55906339137317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5.8</v>
      </c>
      <c r="AI25" s="14">
        <f>IF('Données projet'!$A$62&gt;35,AI24+AH25-AQ24,IF(A25&lt;'Données projet'!$A$62,$AF$205^A25,IF(A25='Données projet'!$A$62,'Données projet'!$B$62,AI24+AH25-AQ24)))</f>
        <v>53.599999999999994</v>
      </c>
      <c r="AJ25" s="14">
        <f>AI25*VLOOKUP('Données projet'!$B$10,Paramètres!$A$1:$I$89,3,0)*VLOOKUP('Données projet'!$B$10,Paramètres!$A$1:$I$89,5,0)</f>
        <v>48.497279999999989</v>
      </c>
      <c r="AK25" s="14">
        <f t="shared" si="35"/>
        <v>14.224989131913244</v>
      </c>
      <c r="AL25" s="22">
        <f t="shared" si="4"/>
        <v>109.24128540474889</v>
      </c>
      <c r="AM25" s="62">
        <f t="shared" si="5"/>
        <v>402.57461873808222</v>
      </c>
      <c r="AN25" s="62">
        <f ca="1">AVERAGE(OFFSET($AM$3,0,0,'Données projet'!$E$10+1,1))-AVERAGE(OFFSET($H$3,0,0,'Données projet'!$E$10+1,1))</f>
        <v>305.35633273533773</v>
      </c>
      <c r="AO25" s="62">
        <f t="shared" si="36"/>
        <v>156.67965022779896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22.660000000000004</v>
      </c>
      <c r="BD25" s="13">
        <f>IF('Données projet'!$A$88&gt;35,BD24+BC25-BL24,IF(A25&lt;'Données projet'!$A$88,$BA$205^A25,IF(A25='Données projet'!$A$88,'Données projet'!$B$88,BD24+BC25-BL24)))</f>
        <v>283.12000000000006</v>
      </c>
      <c r="BE25" s="14">
        <f>BD25*VLOOKUP('Données projet'!$B$11,Paramètres!$A$1:$I$89,3,0)*VLOOKUP('Données projet'!$B$11,Paramètres!$A$1:$I$89,5,0)</f>
        <v>158.26408000000004</v>
      </c>
      <c r="BF25" s="14">
        <f t="shared" si="37"/>
        <v>40.450725565810671</v>
      </c>
      <c r="BG25" s="22">
        <f t="shared" si="7"/>
        <v>346.09495302712025</v>
      </c>
      <c r="BH25" s="62">
        <f t="shared" si="8"/>
        <v>639.42828636045351</v>
      </c>
      <c r="BI25" s="62">
        <f ca="1">AVERAGE(OFFSET($BH$3,0,0,'Données projet'!$E$11+1,1))-AVERAGE(OFFSET($H$3,0,0,'Données projet'!$E$11+1,1))</f>
        <v>415.52119746518764</v>
      </c>
      <c r="BJ25" s="62">
        <f t="shared" si="38"/>
        <v>490.11217551185604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12.6</v>
      </c>
      <c r="BY25" s="13">
        <f>IF('Données projet'!$A$114&gt;35,BY24+BX25-CG24,IF(A25&lt;'Données projet'!$A$114,$BV$205^A25,IF(A25='Données projet'!$A$114,'Données projet'!$B$114,BY24+BX25-CG24)))</f>
        <v>105.19999999999999</v>
      </c>
      <c r="BZ25" s="14">
        <f>BY25*VLOOKUP('Données projet'!$B$12,Paramètres!$A$1:$I$89,3,0)*VLOOKUP('Données projet'!$B$12,Paramètres!$A$1:$I$89,5,0)</f>
        <v>83.697119999999998</v>
      </c>
      <c r="CA25" s="14">
        <f t="shared" si="39"/>
        <v>23.038758654907181</v>
      </c>
      <c r="CB25" s="22">
        <f t="shared" si="10"/>
        <v>185.89832199063002</v>
      </c>
      <c r="CC25" s="62">
        <f t="shared" si="11"/>
        <v>479.23165532396331</v>
      </c>
      <c r="CD25" s="62">
        <f ca="1">AVERAGE(OFFSET($CC$3,0,0,'Données projet'!$E$12+1,1))-AVERAGE(OFFSET($H$3,0,0,'Données projet'!$E$12+1,1))</f>
        <v>232.53653575369032</v>
      </c>
      <c r="CE25" s="62">
        <f t="shared" si="40"/>
        <v>219.59799863414099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7.8205128205128176</v>
      </c>
      <c r="CT25" s="13">
        <f>IF('Données projet'!$A$140&gt;35,CT24+CS25-DB24,IF(A25&lt;'Données projet'!$A$140,$CQ$205^A25,IF(A25='Données projet'!$A$140,'Données projet'!$B$140,CT24+CS25-DB24)))</f>
        <v>85.512820512820511</v>
      </c>
      <c r="CU25" s="18">
        <f>CT25*VLOOKUP('Données projet'!$B$13,Paramètres!$A$1:$I$89,3,0)*VLOOKUP('Données projet'!$B$13,Paramètres!$A$1:$I$89,5,0)</f>
        <v>57.362000000000002</v>
      </c>
      <c r="CV25" s="14">
        <f t="shared" si="41"/>
        <v>16.499564572816109</v>
      </c>
      <c r="CW25" s="22">
        <f t="shared" si="13"/>
        <v>128.64222496432137</v>
      </c>
      <c r="CX25" s="62">
        <f t="shared" si="14"/>
        <v>421.97555829765469</v>
      </c>
      <c r="CY25" s="62">
        <f ca="1">AVERAGE(OFFSET($CX$3,0,0,'Données projet'!$E$13+1,1))-AVERAGE(OFFSET($H$3,0,0,'Données projet'!$E$13+1,1))</f>
        <v>191.58722091189202</v>
      </c>
      <c r="CZ25" s="62">
        <f t="shared" si="42"/>
        <v>140.7542783756906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4.3703703703703702</v>
      </c>
      <c r="N26" s="14">
        <f>IF('Données projet'!$A$36&gt;35,N25+M26-V25,IF(A26&lt;'Données projet'!$A$36,$K$205^A26,IF(A26='Données projet'!$A$36,'Données projet'!$B$36,N25+M26-V25)))</f>
        <v>58.201814542189823</v>
      </c>
      <c r="O26" s="14">
        <f>N26*VLOOKUP('Données projet'!$B$9,Paramètres!$A$1:$I$89,3,0)*VLOOKUP('Données projet'!$B$9,Paramètres!$A$1:$I$89,5,0)</f>
        <v>34.804685096229512</v>
      </c>
      <c r="P26" s="14">
        <f t="shared" si="33"/>
        <v>10.610678220189007</v>
      </c>
      <c r="Q26" s="22">
        <f t="shared" si="2"/>
        <v>79.098424442762266</v>
      </c>
      <c r="R26" s="62">
        <f t="shared" si="0"/>
        <v>372.43175777609559</v>
      </c>
      <c r="S26" s="62">
        <f ca="1">AVERAGE(OFFSET($R$3,0,0,'Données projet'!$E$9+1,1))-AVERAGE(OFFSET($H$3,0,0,'Données projet'!$E$9+1,1))</f>
        <v>217.20547328702645</v>
      </c>
      <c r="T26" s="62">
        <f t="shared" si="34"/>
        <v>137.55906339137317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5.8</v>
      </c>
      <c r="AI26" s="14">
        <f>IF('Données projet'!$A$62&gt;35,AI25+AH26-AQ25,IF(A26&lt;'Données projet'!$A$62,$AF$205^A26,IF(A26='Données projet'!$A$62,'Données projet'!$B$62,AI25+AH26-AQ25)))</f>
        <v>59.399999999999991</v>
      </c>
      <c r="AJ26" s="14">
        <f>AI26*VLOOKUP('Données projet'!$B$10,Paramètres!$A$1:$I$89,3,0)*VLOOKUP('Données projet'!$B$10,Paramètres!$A$1:$I$89,5,0)</f>
        <v>53.745119999999986</v>
      </c>
      <c r="AK26" s="14">
        <f t="shared" si="35"/>
        <v>15.576850002330584</v>
      </c>
      <c r="AL26" s="22">
        <f t="shared" si="4"/>
        <v>120.73576442072574</v>
      </c>
      <c r="AM26" s="62">
        <f t="shared" si="5"/>
        <v>414.06909775405904</v>
      </c>
      <c r="AN26" s="62">
        <f ca="1">AVERAGE(OFFSET($AM$3,0,0,'Données projet'!$E$10+1,1))-AVERAGE(OFFSET($H$3,0,0,'Données projet'!$E$10+1,1))</f>
        <v>305.35633273533773</v>
      </c>
      <c r="AO26" s="62">
        <f t="shared" si="36"/>
        <v>156.67965022779896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22.660000000000004</v>
      </c>
      <c r="BD26" s="13">
        <f>IF('Données projet'!$A$88&gt;35,BD25+BC26-BL25,IF(A26&lt;'Données projet'!$A$88,$BA$205^A26,IF(A26='Données projet'!$A$88,'Données projet'!$B$88,BD25+BC26-BL25)))</f>
        <v>305.78000000000009</v>
      </c>
      <c r="BE26" s="14">
        <f>BD26*VLOOKUP('Données projet'!$B$11,Paramètres!$A$1:$I$89,3,0)*VLOOKUP('Données projet'!$B$11,Paramètres!$A$1:$I$89,5,0)</f>
        <v>170.93102000000005</v>
      </c>
      <c r="BF26" s="14">
        <f t="shared" si="37"/>
        <v>43.298474767053747</v>
      </c>
      <c r="BG26" s="22">
        <f t="shared" si="7"/>
        <v>373.11637005261861</v>
      </c>
      <c r="BH26" s="62">
        <f t="shared" si="8"/>
        <v>666.44970338595192</v>
      </c>
      <c r="BI26" s="62">
        <f ca="1">AVERAGE(OFFSET($BH$3,0,0,'Données projet'!$E$11+1,1))-AVERAGE(OFFSET($H$3,0,0,'Données projet'!$E$11+1,1))</f>
        <v>415.52119746518764</v>
      </c>
      <c r="BJ26" s="62">
        <f t="shared" si="38"/>
        <v>490.11217551185604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12.6</v>
      </c>
      <c r="BY26" s="13">
        <f>IF('Données projet'!$A$114&gt;35,BY25+BX26-CG25,IF(A26&lt;'Données projet'!$A$114,$BV$205^A26,IF(A26='Données projet'!$A$114,'Données projet'!$B$114,BY25+BX26-CG25)))</f>
        <v>117.79999999999998</v>
      </c>
      <c r="BZ26" s="14">
        <f>BY26*VLOOKUP('Données projet'!$B$12,Paramètres!$A$1:$I$89,3,0)*VLOOKUP('Données projet'!$B$12,Paramètres!$A$1:$I$89,5,0)</f>
        <v>93.721679999999992</v>
      </c>
      <c r="CA26" s="14">
        <f t="shared" si="39"/>
        <v>25.460676932382313</v>
      </c>
      <c r="CB26" s="22">
        <f t="shared" si="10"/>
        <v>207.57593832389918</v>
      </c>
      <c r="CC26" s="62">
        <f t="shared" si="11"/>
        <v>500.90927165723247</v>
      </c>
      <c r="CD26" s="62">
        <f ca="1">AVERAGE(OFFSET($CC$3,0,0,'Données projet'!$E$12+1,1))-AVERAGE(OFFSET($H$3,0,0,'Données projet'!$E$12+1,1))</f>
        <v>232.53653575369032</v>
      </c>
      <c r="CE26" s="62">
        <f t="shared" si="40"/>
        <v>219.59799863414099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7.8205128205128176</v>
      </c>
      <c r="CT26" s="13">
        <f>IF('Données projet'!$A$140&gt;35,CT25+CS26-DB25,IF(A26&lt;'Données projet'!$A$140,$CQ$205^A26,IF(A26='Données projet'!$A$140,'Données projet'!$B$140,CT25+CS26-DB25)))</f>
        <v>93.333333333333329</v>
      </c>
      <c r="CU26" s="18">
        <f>CT26*VLOOKUP('Données projet'!$B$13,Paramètres!$A$1:$I$89,3,0)*VLOOKUP('Données projet'!$B$13,Paramètres!$A$1:$I$89,5,0)</f>
        <v>62.608000000000004</v>
      </c>
      <c r="CV26" s="14">
        <f t="shared" si="41"/>
        <v>17.826011532339219</v>
      </c>
      <c r="CW26" s="22">
        <f t="shared" si="13"/>
        <v>140.08923675215749</v>
      </c>
      <c r="CX26" s="62">
        <f t="shared" si="14"/>
        <v>433.4225700854908</v>
      </c>
      <c r="CY26" s="62">
        <f ca="1">AVERAGE(OFFSET($CX$3,0,0,'Données projet'!$E$13+1,1))-AVERAGE(OFFSET($H$3,0,0,'Données projet'!$E$13+1,1))</f>
        <v>191.58722091189202</v>
      </c>
      <c r="CZ26" s="62">
        <f t="shared" si="42"/>
        <v>140.7542783756906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4.3703703703703702</v>
      </c>
      <c r="N27" s="14">
        <f>IF('Données projet'!$A$36&gt;35,N26+M27-V26,IF(A27&lt;'Données projet'!$A$36,$K$205^A27,IF(A27='Données projet'!$A$36,'Données projet'!$B$36,N26+M27-V26)))</f>
        <v>69.450103194459274</v>
      </c>
      <c r="O27" s="14">
        <f>N27*VLOOKUP('Données projet'!$B$9,Paramètres!$A$1:$I$89,3,0)*VLOOKUP('Données projet'!$B$9,Paramètres!$A$1:$I$89,5,0)</f>
        <v>41.531161710286646</v>
      </c>
      <c r="P27" s="14">
        <f t="shared" si="33"/>
        <v>12.40358997659513</v>
      </c>
      <c r="Q27" s="22">
        <f t="shared" si="2"/>
        <v>93.936359187985758</v>
      </c>
      <c r="R27" s="62">
        <f t="shared" si="0"/>
        <v>387.26969252131909</v>
      </c>
      <c r="S27" s="62">
        <f ca="1">AVERAGE(OFFSET($R$3,0,0,'Données projet'!$E$9+1,1))-AVERAGE(OFFSET($H$3,0,0,'Données projet'!$E$9+1,1))</f>
        <v>217.20547328702645</v>
      </c>
      <c r="T27" s="62">
        <f t="shared" si="34"/>
        <v>137.55906339137317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5.8</v>
      </c>
      <c r="AI27" s="14">
        <f>IF('Données projet'!$A$62&gt;35,AI26+AH27-AQ26,IF(A27&lt;'Données projet'!$A$62,$AF$205^A27,IF(A27='Données projet'!$A$62,'Données projet'!$B$62,AI26+AH27-AQ26)))</f>
        <v>65.199999999999989</v>
      </c>
      <c r="AJ27" s="14">
        <f>AI27*VLOOKUP('Données projet'!$B$10,Paramètres!$A$1:$I$89,3,0)*VLOOKUP('Données projet'!$B$10,Paramètres!$A$1:$I$89,5,0)</f>
        <v>58.992959999999982</v>
      </c>
      <c r="AK27" s="14">
        <f t="shared" si="35"/>
        <v>16.913407425602649</v>
      </c>
      <c r="AL27" s="22">
        <f t="shared" si="4"/>
        <v>132.20358993292459</v>
      </c>
      <c r="AM27" s="62">
        <f t="shared" si="5"/>
        <v>425.53692326625787</v>
      </c>
      <c r="AN27" s="62">
        <f ca="1">AVERAGE(OFFSET($AM$3,0,0,'Données projet'!$E$10+1,1))-AVERAGE(OFFSET($H$3,0,0,'Données projet'!$E$10+1,1))</f>
        <v>305.35633273533773</v>
      </c>
      <c r="AO27" s="62">
        <f t="shared" si="36"/>
        <v>156.67965022779896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22.660000000000004</v>
      </c>
      <c r="BD27" s="13">
        <f>IF('Données projet'!$A$88&gt;35,BD26+BC27-BL26,IF(A27&lt;'Données projet'!$A$88,$BA$205^A27,IF(A27='Données projet'!$A$88,'Données projet'!$B$88,BD26+BC27-BL26)))</f>
        <v>328.44000000000011</v>
      </c>
      <c r="BE27" s="14">
        <f>BD27*VLOOKUP('Données projet'!$B$11,Paramètres!$A$1:$I$89,3,0)*VLOOKUP('Données projet'!$B$11,Paramètres!$A$1:$I$89,5,0)</f>
        <v>183.59796000000006</v>
      </c>
      <c r="BF27" s="14">
        <f t="shared" si="37"/>
        <v>46.121741602132282</v>
      </c>
      <c r="BG27" s="22">
        <f t="shared" si="7"/>
        <v>400.09514695704712</v>
      </c>
      <c r="BH27" s="62">
        <f t="shared" si="8"/>
        <v>693.42848029038043</v>
      </c>
      <c r="BI27" s="62">
        <f ca="1">AVERAGE(OFFSET($BH$3,0,0,'Données projet'!$E$11+1,1))-AVERAGE(OFFSET($H$3,0,0,'Données projet'!$E$11+1,1))</f>
        <v>415.52119746518764</v>
      </c>
      <c r="BJ27" s="62">
        <f t="shared" si="38"/>
        <v>490.11217551185604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12.6</v>
      </c>
      <c r="BY27" s="13">
        <f>IF('Données projet'!$A$114&gt;35,BY26+BX27-CG26,IF(A27&lt;'Données projet'!$A$114,$BV$205^A27,IF(A27='Données projet'!$A$114,'Données projet'!$B$114,BY26+BX27-CG26)))</f>
        <v>130.39999999999998</v>
      </c>
      <c r="BZ27" s="14">
        <f>BY27*VLOOKUP('Données projet'!$B$12,Paramètres!$A$1:$I$89,3,0)*VLOOKUP('Données projet'!$B$12,Paramètres!$A$1:$I$89,5,0)</f>
        <v>103.74623999999999</v>
      </c>
      <c r="CA27" s="14">
        <f t="shared" si="39"/>
        <v>27.852568264974543</v>
      </c>
      <c r="CB27" s="22">
        <f t="shared" si="10"/>
        <v>229.20125772816399</v>
      </c>
      <c r="CC27" s="62">
        <f t="shared" si="11"/>
        <v>522.53459106149728</v>
      </c>
      <c r="CD27" s="62">
        <f ca="1">AVERAGE(OFFSET($CC$3,0,0,'Données projet'!$E$12+1,1))-AVERAGE(OFFSET($H$3,0,0,'Données projet'!$E$12+1,1))</f>
        <v>232.53653575369032</v>
      </c>
      <c r="CE27" s="62">
        <f t="shared" si="40"/>
        <v>219.59799863414099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7.8205128205128176</v>
      </c>
      <c r="CT27" s="13">
        <f>IF('Données projet'!$A$140&gt;35,CT26+CS27-DB26,IF(A27&lt;'Données projet'!$A$140,$CQ$205^A27,IF(A27='Données projet'!$A$140,'Données projet'!$B$140,CT26+CS27-DB26)))</f>
        <v>101.15384615384615</v>
      </c>
      <c r="CU27" s="18">
        <f>CT27*VLOOKUP('Données projet'!$B$13,Paramètres!$A$1:$I$89,3,0)*VLOOKUP('Données projet'!$B$13,Paramètres!$A$1:$I$89,5,0)</f>
        <v>67.853999999999999</v>
      </c>
      <c r="CV27" s="14">
        <f t="shared" si="41"/>
        <v>19.13956823586118</v>
      </c>
      <c r="CW27" s="22">
        <f t="shared" si="13"/>
        <v>151.51379801079153</v>
      </c>
      <c r="CX27" s="62">
        <f t="shared" si="14"/>
        <v>444.84713134412482</v>
      </c>
      <c r="CY27" s="62">
        <f ca="1">AVERAGE(OFFSET($CX$3,0,0,'Données projet'!$E$13+1,1))-AVERAGE(OFFSET($H$3,0,0,'Données projet'!$E$13+1,1))</f>
        <v>191.58722091189202</v>
      </c>
      <c r="CZ27" s="62">
        <f t="shared" si="42"/>
        <v>140.7542783756906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4.3703703703703702</v>
      </c>
      <c r="N28" s="14">
        <f>IF('Données projet'!$A$36&gt;35,N27+M28-V27,IF(A28&lt;'Données projet'!$A$36,$K$205^A28,IF(A28='Données projet'!$A$36,'Données projet'!$B$36,N27+M28-V27)))</f>
        <v>82.872275918900684</v>
      </c>
      <c r="O28" s="14">
        <f>N28*VLOOKUP('Données projet'!$B$9,Paramètres!$A$1:$I$89,3,0)*VLOOKUP('Données projet'!$B$9,Paramètres!$A$1:$I$89,5,0)</f>
        <v>49.557620999502618</v>
      </c>
      <c r="P28" s="14">
        <f t="shared" si="33"/>
        <v>14.49945433410293</v>
      </c>
      <c r="Q28" s="22">
        <f t="shared" si="2"/>
        <v>111.56607287269634</v>
      </c>
      <c r="R28" s="62">
        <f t="shared" si="0"/>
        <v>404.89940620602965</v>
      </c>
      <c r="S28" s="62">
        <f ca="1">AVERAGE(OFFSET($R$3,0,0,'Données projet'!$E$9+1,1))-AVERAGE(OFFSET($H$3,0,0,'Données projet'!$E$9+1,1))</f>
        <v>217.20547328702645</v>
      </c>
      <c r="T28" s="62">
        <f t="shared" si="34"/>
        <v>137.55906339137317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71</v>
      </c>
      <c r="AG28" s="13">
        <f>VLOOKUP(A28,'Données projet'!$A$61:$I$81,9,0)</f>
        <v>5.8</v>
      </c>
      <c r="AH28" s="13">
        <f t="array" ref="AH28">INDEX(AG:AG,MIN(IF(ISNUMBER(AG28:AG224),ROW(AG28:AG224),"")))</f>
        <v>5.8</v>
      </c>
      <c r="AI28" s="14">
        <f>IF('Données projet'!$A$62&gt;35,AI27+AH28-AQ27,IF(A28&lt;'Données projet'!$A$62,$AF$205^A28,IF(A28='Données projet'!$A$62,'Données projet'!$B$62,AI27+AH28-AQ27)))</f>
        <v>70.999999999999986</v>
      </c>
      <c r="AJ28" s="14">
        <f>AI28*VLOOKUP('Données projet'!$B$10,Paramètres!$A$1:$I$89,3,0)*VLOOKUP('Données projet'!$B$10,Paramètres!$A$1:$I$89,5,0)</f>
        <v>64.240799999999979</v>
      </c>
      <c r="AK28" s="14">
        <f t="shared" si="35"/>
        <v>18.236177554745847</v>
      </c>
      <c r="AL28" s="22">
        <f t="shared" si="4"/>
        <v>143.64740257451564</v>
      </c>
      <c r="AM28" s="62">
        <f t="shared" si="5"/>
        <v>436.98073590784895</v>
      </c>
      <c r="AN28" s="62">
        <f ca="1">AVERAGE(OFFSET($AM$3,0,0,'Données projet'!$E$10+1,1))-AVERAGE(OFFSET($H$3,0,0,'Données projet'!$E$10+1,1))</f>
        <v>305.35633273533773</v>
      </c>
      <c r="AO28" s="62">
        <f t="shared" si="36"/>
        <v>156.67965022779896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351.1</v>
      </c>
      <c r="BB28" s="13">
        <f>VLOOKUP(A28,'Données projet'!$A$87:$I$107,9,0)</f>
        <v>22.660000000000004</v>
      </c>
      <c r="BC28" s="13">
        <f t="array" ref="BC28">INDEX(BB:BB,MIN(IF(ISNUMBER(BB28:BB224),ROW(BB28:BB224),"")))</f>
        <v>22.660000000000004</v>
      </c>
      <c r="BD28" s="13">
        <f>IF('Données projet'!$A$88&gt;35,BD27+BC28-BL27,IF(A28&lt;'Données projet'!$A$88,$BA$205^A28,IF(A28='Données projet'!$A$88,'Données projet'!$B$88,BD27+BC28-BL27)))</f>
        <v>351.10000000000014</v>
      </c>
      <c r="BE28" s="14">
        <f>BD28*VLOOKUP('Données projet'!$B$11,Paramètres!$A$1:$I$89,3,0)*VLOOKUP('Données projet'!$B$11,Paramètres!$A$1:$I$89,5,0)</f>
        <v>196.2649000000001</v>
      </c>
      <c r="BF28" s="14">
        <f t="shared" si="37"/>
        <v>48.92240732658221</v>
      </c>
      <c r="BG28" s="22">
        <f t="shared" si="7"/>
        <v>427.03456026046416</v>
      </c>
      <c r="BH28" s="62">
        <f t="shared" si="8"/>
        <v>720.36789359379748</v>
      </c>
      <c r="BI28" s="62">
        <f ca="1">AVERAGE(OFFSET($BH$3,0,0,'Données projet'!$E$11+1,1))-AVERAGE(OFFSET($H$3,0,0,'Données projet'!$E$11+1,1))</f>
        <v>415.52119746518764</v>
      </c>
      <c r="BJ28" s="62">
        <f t="shared" si="38"/>
        <v>490.11217551185604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20.6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0.5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6.5190538994681333</v>
      </c>
      <c r="BS28" s="24">
        <f t="shared" si="9"/>
        <v>6.5190538994681333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143</v>
      </c>
      <c r="BW28" s="13">
        <f>VLOOKUP(A28,'Données projet'!$A$113:$I$133,9,0)</f>
        <v>12.6</v>
      </c>
      <c r="BX28" s="13">
        <f t="array" ref="BX28">INDEX(BW:BW,MIN(IF(ISNUMBER(BW28:BW224),ROW(BW28:BW224),"")))</f>
        <v>12.6</v>
      </c>
      <c r="BY28" s="13">
        <f>IF('Données projet'!$A$114&gt;35,BY27+BX28-CG27,IF(A28&lt;'Données projet'!$A$114,$BV$205^A28,IF(A28='Données projet'!$A$114,'Données projet'!$B$114,BY27+BX28-CG27)))</f>
        <v>142.99999999999997</v>
      </c>
      <c r="BZ28" s="14">
        <f>BY28*VLOOKUP('Données projet'!$B$12,Paramètres!$A$1:$I$89,3,0)*VLOOKUP('Données projet'!$B$12,Paramètres!$A$1:$I$89,5,0)</f>
        <v>113.77079999999999</v>
      </c>
      <c r="CA28" s="14">
        <f t="shared" si="39"/>
        <v>30.217664170580228</v>
      </c>
      <c r="CB28" s="22">
        <f t="shared" si="10"/>
        <v>250.77990843042718</v>
      </c>
      <c r="CC28" s="62">
        <f t="shared" si="11"/>
        <v>544.11324176376047</v>
      </c>
      <c r="CD28" s="62">
        <f ca="1">AVERAGE(OFFSET($CC$3,0,0,'Données projet'!$E$12+1,1))-AVERAGE(OFFSET($H$3,0,0,'Données projet'!$E$12+1,1))</f>
        <v>232.53653575369032</v>
      </c>
      <c r="CE28" s="62">
        <f t="shared" si="40"/>
        <v>219.59799863414099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56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108.97435897435896</v>
      </c>
      <c r="CR28" s="13">
        <f>VLOOKUP(A28,'Données projet'!$A$139:$I$159,9,0)</f>
        <v>7.8205128205128176</v>
      </c>
      <c r="CS28" s="13">
        <f t="array" ref="CS28">INDEX(CR:CR,MIN(IF(ISNUMBER(CR28:CR224),ROW(CR28:CR224),"")))</f>
        <v>7.8205128205128176</v>
      </c>
      <c r="CT28" s="13">
        <f>IF('Données projet'!$A$140&gt;35,CT27+CS28-DB27,IF(A28&lt;'Données projet'!$A$140,$CQ$205^A28,IF(A28='Données projet'!$A$140,'Données projet'!$B$140,CT27+CS28-DB27)))</f>
        <v>108.97435897435896</v>
      </c>
      <c r="CU28" s="18">
        <f>CT28*VLOOKUP('Données projet'!$B$13,Paramètres!$A$1:$I$89,3,0)*VLOOKUP('Données projet'!$B$13,Paramètres!$A$1:$I$89,5,0)</f>
        <v>73.099999999999994</v>
      </c>
      <c r="CV28" s="14">
        <f t="shared" si="41"/>
        <v>20.44134457781275</v>
      </c>
      <c r="CW28" s="22">
        <f t="shared" si="13"/>
        <v>162.91784180635719</v>
      </c>
      <c r="CX28" s="62">
        <f t="shared" si="14"/>
        <v>456.25117513969053</v>
      </c>
      <c r="CY28" s="62">
        <f ca="1">AVERAGE(OFFSET($CX$3,0,0,'Données projet'!$E$13+1,1))-AVERAGE(OFFSET($H$3,0,0,'Données projet'!$E$13+1,1))</f>
        <v>191.58722091189202</v>
      </c>
      <c r="CZ28" s="62">
        <f t="shared" si="42"/>
        <v>140.7542783756906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27.564102564102562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4.3703703703703702</v>
      </c>
      <c r="N29" s="14">
        <f>IF('Données projet'!$A$36&gt;35,N28+M29-V28,IF(A29&lt;'Données projet'!$A$36,$K$205^A29,IF(A29='Données projet'!$A$36,'Données projet'!$B$36,N28+M29-V28)))</f>
        <v>98.888465244589028</v>
      </c>
      <c r="O29" s="14">
        <f>N29*VLOOKUP('Données projet'!$B$9,Paramètres!$A$1:$I$89,3,0)*VLOOKUP('Données projet'!$B$9,Paramètres!$A$1:$I$89,5,0)</f>
        <v>59.135302216264243</v>
      </c>
      <c r="P29" s="14">
        <f t="shared" si="33"/>
        <v>16.949461920575921</v>
      </c>
      <c r="Q29" s="22">
        <f t="shared" si="2"/>
        <v>132.51429753832994</v>
      </c>
      <c r="R29" s="62">
        <f t="shared" si="0"/>
        <v>425.84763087166323</v>
      </c>
      <c r="S29" s="62">
        <f ca="1">AVERAGE(OFFSET($R$3,0,0,'Données projet'!$E$9+1,1))-AVERAGE(OFFSET($H$3,0,0,'Données projet'!$E$9+1,1))</f>
        <v>217.20547328702645</v>
      </c>
      <c r="T29" s="62">
        <f t="shared" si="34"/>
        <v>137.55906339137317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</v>
      </c>
      <c r="AI29" s="14">
        <f>IF('Données projet'!$A$62&gt;35,AI28+AH29-AQ28,IF(A29&lt;'Données projet'!$A$62,$AF$205^A29,IF(A29='Données projet'!$A$62,'Données projet'!$B$62,AI28+AH29-AQ28)))</f>
        <v>69.799999999999983</v>
      </c>
      <c r="AJ29" s="14">
        <f>AI29*VLOOKUP('Données projet'!$B$10,Paramètres!$A$1:$I$89,3,0)*VLOOKUP('Données projet'!$B$10,Paramètres!$A$1:$I$89,5,0)</f>
        <v>63.155039999999985</v>
      </c>
      <c r="AK29" s="14">
        <f t="shared" si="35"/>
        <v>17.963567346799877</v>
      </c>
      <c r="AL29" s="22">
        <f t="shared" si="4"/>
        <v>141.28157446234309</v>
      </c>
      <c r="AM29" s="62">
        <f t="shared" si="5"/>
        <v>434.6149077956764</v>
      </c>
      <c r="AN29" s="62">
        <f ca="1">AVERAGE(OFFSET($AM$3,0,0,'Données projet'!$E$10+1,1))-AVERAGE(OFFSET($H$3,0,0,'Données projet'!$E$10+1,1))</f>
        <v>305.35633273533773</v>
      </c>
      <c r="AO29" s="62">
        <f t="shared" si="36"/>
        <v>156.67965022779896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21.179999999999996</v>
      </c>
      <c r="BD29" s="13">
        <f>IF('Données projet'!$A$88&gt;35,BD28+BC29-BL28,IF(A29&lt;'Données projet'!$A$88,$BA$205^A29,IF(A29='Données projet'!$A$88,'Données projet'!$B$88,BD28+BC29-BL28)))</f>
        <v>351.68000000000012</v>
      </c>
      <c r="BE29" s="14">
        <f>BD29*VLOOKUP('Données projet'!$B$11,Paramètres!$A$1:$I$89,3,0)*VLOOKUP('Données projet'!$B$11,Paramètres!$A$1:$I$89,5,0)</f>
        <v>196.58912000000007</v>
      </c>
      <c r="BF29" s="14">
        <f t="shared" si="37"/>
        <v>48.993810737694119</v>
      </c>
      <c r="BG29" s="22">
        <f t="shared" si="7"/>
        <v>427.72360436815069</v>
      </c>
      <c r="BH29" s="62">
        <f t="shared" si="8"/>
        <v>721.056937701484</v>
      </c>
      <c r="BI29" s="62">
        <f ca="1">AVERAGE(OFFSET($BH$3,0,0,'Données projet'!$E$11+1,1))-AVERAGE(OFFSET($H$3,0,0,'Données projet'!$E$11+1,1))</f>
        <v>415.52119746518764</v>
      </c>
      <c r="BJ29" s="62">
        <f t="shared" si="38"/>
        <v>490.11217551185604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4.6096672192345229</v>
      </c>
      <c r="BS29" s="24">
        <f t="shared" si="9"/>
        <v>4.6096672192345229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98.999999999999972</v>
      </c>
      <c r="BZ29" s="14">
        <f>BY29*VLOOKUP('Données projet'!$B$12,Paramètres!$A$1:$I$89,3,0)*VLOOKUP('Données projet'!$B$12,Paramètres!$A$1:$I$89,5,0)</f>
        <v>78.764399999999981</v>
      </c>
      <c r="CA29" s="14">
        <f t="shared" si="39"/>
        <v>21.834800364471622</v>
      </c>
      <c r="CB29" s="22">
        <f t="shared" si="10"/>
        <v>175.21027396812136</v>
      </c>
      <c r="CC29" s="62">
        <f t="shared" si="11"/>
        <v>468.5436073014547</v>
      </c>
      <c r="CD29" s="62">
        <f ca="1">AVERAGE(OFFSET($CC$3,0,0,'Données projet'!$E$12+1,1))-AVERAGE(OFFSET($H$3,0,0,'Données projet'!$E$12+1,1))</f>
        <v>232.53653575369032</v>
      </c>
      <c r="CE29" s="62">
        <f t="shared" si="40"/>
        <v>219.59799863414099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7.6923076923076907</v>
      </c>
      <c r="CT29" s="13">
        <f>IF('Données projet'!$A$140&gt;35,CT28+CS29-DB28,IF(A29&lt;'Données projet'!$A$140,$CQ$205^A29,IF(A29='Données projet'!$A$140,'Données projet'!$B$140,CT28+CS29-DB28)))</f>
        <v>89.102564102564088</v>
      </c>
      <c r="CU29" s="18">
        <f>CT29*VLOOKUP('Données projet'!$B$13,Paramètres!$A$1:$I$89,3,0)*VLOOKUP('Données projet'!$B$13,Paramètres!$A$1:$I$89,5,0)</f>
        <v>59.769999999999989</v>
      </c>
      <c r="CV29" s="14">
        <f t="shared" si="41"/>
        <v>17.110104804168579</v>
      </c>
      <c r="CW29" s="22">
        <f t="shared" si="13"/>
        <v>133.89951586726025</v>
      </c>
      <c r="CX29" s="62">
        <f t="shared" si="14"/>
        <v>427.23284920059359</v>
      </c>
      <c r="CY29" s="62">
        <f ca="1">AVERAGE(OFFSET($CX$3,0,0,'Données projet'!$E$13+1,1))-AVERAGE(OFFSET($H$3,0,0,'Données projet'!$E$13+1,1))</f>
        <v>191.58722091189202</v>
      </c>
      <c r="CZ29" s="62">
        <f t="shared" si="42"/>
        <v>140.7542783756906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>
        <f>VLOOKUP(A30,'Données projet'!$A$35:$I$55,2,0)</f>
        <v>118</v>
      </c>
      <c r="L30" s="13">
        <f>VLOOKUP(A30,'Données projet'!$A$35:$I$55,9,0)</f>
        <v>4.3703703703703702</v>
      </c>
      <c r="M30" s="13">
        <f t="array" ref="M30">INDEX(L:L,MIN(IF(ISNUMBER(L30:L226),ROW(L30:L226),"")))</f>
        <v>4.3703703703703702</v>
      </c>
      <c r="N30" s="14">
        <f>IF('Données projet'!$A$36&gt;35,N29+M30-V29,IF(A30&lt;'Données projet'!$A$36,$K$205^A30,IF(A30='Données projet'!$A$36,'Données projet'!$B$36,N29+M30-V29)))</f>
        <v>118</v>
      </c>
      <c r="O30" s="14">
        <f>N30*VLOOKUP('Données projet'!$B$9,Paramètres!$A$1:$I$89,3,0)*VLOOKUP('Données projet'!$B$9,Paramètres!$A$1:$I$89,5,0)</f>
        <v>70.564000000000007</v>
      </c>
      <c r="P30" s="14">
        <f t="shared" si="33"/>
        <v>19.813453167086163</v>
      </c>
      <c r="Q30" s="22">
        <f t="shared" si="2"/>
        <v>157.40739759934175</v>
      </c>
      <c r="R30" s="62">
        <f t="shared" si="0"/>
        <v>450.74073093267509</v>
      </c>
      <c r="S30" s="62">
        <f ca="1">AVERAGE(OFFSET($R$3,0,0,'Données projet'!$E$9+1,1))-AVERAGE(OFFSET($H$3,0,0,'Données projet'!$E$9+1,1))</f>
        <v>217.20547328702645</v>
      </c>
      <c r="T30" s="62">
        <f t="shared" si="34"/>
        <v>137.55906339137317</v>
      </c>
      <c r="U30" s="16">
        <f>IF(ISNA(VLOOKUP(A30,'Données projet'!$A$35:$I$55,3,0)),0,VLOOKUP(A30,'Données projet'!$A$35:$I$55,3,0))</f>
        <v>1</v>
      </c>
      <c r="V30" s="16">
        <f>IF(ISNA(VLOOKUP(A30,'Données projet'!$A$35:$I$55,4,0)),0,VLOOKUP(A30,'Données projet'!$A$35:$I$55,4,0))</f>
        <v>15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0.5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5.0780618544061999</v>
      </c>
      <c r="AC30" s="24">
        <f t="shared" si="3"/>
        <v>5.0780618544061999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</v>
      </c>
      <c r="AI30" s="14">
        <f>IF('Données projet'!$A$62&gt;35,AI29+AH30-AQ29,IF(A30&lt;'Données projet'!$A$62,$AF$205^A30,IF(A30='Données projet'!$A$62,'Données projet'!$B$62,AI29+AH30-AQ29)))</f>
        <v>76.59999999999998</v>
      </c>
      <c r="AJ30" s="14">
        <f>AI30*VLOOKUP('Données projet'!$B$10,Paramètres!$A$1:$I$89,3,0)*VLOOKUP('Données projet'!$B$10,Paramètres!$A$1:$I$89,5,0)</f>
        <v>69.307679999999976</v>
      </c>
      <c r="AK30" s="14">
        <f t="shared" si="35"/>
        <v>19.50143078484135</v>
      </c>
      <c r="AL30" s="22">
        <f t="shared" si="4"/>
        <v>154.67586795026531</v>
      </c>
      <c r="AM30" s="62">
        <f t="shared" si="5"/>
        <v>448.0092012835986</v>
      </c>
      <c r="AN30" s="62">
        <f ca="1">AVERAGE(OFFSET($AM$3,0,0,'Données projet'!$E$10+1,1))-AVERAGE(OFFSET($H$3,0,0,'Données projet'!$E$10+1,1))</f>
        <v>305.35633273533773</v>
      </c>
      <c r="AO30" s="62">
        <f t="shared" si="36"/>
        <v>156.67965022779896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21.179999999999996</v>
      </c>
      <c r="BD30" s="13">
        <f>IF('Données projet'!$A$88&gt;35,BD29+BC30-BL29,IF(A30&lt;'Données projet'!$A$88,$BA$205^A30,IF(A30='Données projet'!$A$88,'Données projet'!$B$88,BD29+BC30-BL29)))</f>
        <v>372.86000000000013</v>
      </c>
      <c r="BE30" s="14">
        <f>BD30*VLOOKUP('Données projet'!$B$11,Paramètres!$A$1:$I$89,3,0)*VLOOKUP('Données projet'!$B$11,Paramètres!$A$1:$I$89,5,0)</f>
        <v>208.42874000000009</v>
      </c>
      <c r="BF30" s="14">
        <f t="shared" si="37"/>
        <v>51.592075917324429</v>
      </c>
      <c r="BG30" s="22">
        <f t="shared" si="7"/>
        <v>452.86958772267349</v>
      </c>
      <c r="BH30" s="62">
        <f t="shared" si="8"/>
        <v>746.20292105600674</v>
      </c>
      <c r="BI30" s="62">
        <f ca="1">AVERAGE(OFFSET($BH$3,0,0,'Données projet'!$E$11+1,1))-AVERAGE(OFFSET($H$3,0,0,'Données projet'!$E$11+1,1))</f>
        <v>415.52119746518764</v>
      </c>
      <c r="BJ30" s="62">
        <f t="shared" si="38"/>
        <v>490.11217551185604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3.2595269497340671</v>
      </c>
      <c r="BS30" s="24">
        <f t="shared" si="9"/>
        <v>3.2595269497340671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110.99999999999997</v>
      </c>
      <c r="BZ30" s="14">
        <f>BY30*VLOOKUP('Données projet'!$B$12,Paramètres!$A$1:$I$89,3,0)*VLOOKUP('Données projet'!$B$12,Paramètres!$A$1:$I$89,5,0)</f>
        <v>88.311599999999984</v>
      </c>
      <c r="CA30" s="14">
        <f t="shared" si="39"/>
        <v>24.157575839957186</v>
      </c>
      <c r="CB30" s="22">
        <f t="shared" si="10"/>
        <v>195.8838145879254</v>
      </c>
      <c r="CC30" s="62">
        <f t="shared" si="11"/>
        <v>489.21714792125874</v>
      </c>
      <c r="CD30" s="62">
        <f ca="1">AVERAGE(OFFSET($CC$3,0,0,'Données projet'!$E$12+1,1))-AVERAGE(OFFSET($H$3,0,0,'Données projet'!$E$12+1,1))</f>
        <v>232.53653575369032</v>
      </c>
      <c r="CE30" s="62">
        <f t="shared" si="40"/>
        <v>219.59799863414099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7.6923076923076907</v>
      </c>
      <c r="CT30" s="13">
        <f>IF('Données projet'!$A$140&gt;35,CT29+CS30-DB29,IF(A30&lt;'Données projet'!$A$140,$CQ$205^A30,IF(A30='Données projet'!$A$140,'Données projet'!$B$140,CT29+CS30-DB29)))</f>
        <v>96.794871794871781</v>
      </c>
      <c r="CU30" s="18">
        <f>CT30*VLOOKUP('Données projet'!$B$13,Paramètres!$A$1:$I$89,3,0)*VLOOKUP('Données projet'!$B$13,Paramètres!$A$1:$I$89,5,0)</f>
        <v>64.929999999999993</v>
      </c>
      <c r="CV30" s="14">
        <f t="shared" si="41"/>
        <v>18.408941721487473</v>
      </c>
      <c r="CW30" s="22">
        <f t="shared" si="13"/>
        <v>145.14865683159067</v>
      </c>
      <c r="CX30" s="62">
        <f t="shared" si="14"/>
        <v>438.48199016492401</v>
      </c>
      <c r="CY30" s="62">
        <f ca="1">AVERAGE(OFFSET($CX$3,0,0,'Données projet'!$E$13+1,1))-AVERAGE(OFFSET($H$3,0,0,'Données projet'!$E$13+1,1))</f>
        <v>191.58722091189202</v>
      </c>
      <c r="CZ30" s="62">
        <f t="shared" si="42"/>
        <v>140.7542783756906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9.6666666666666661</v>
      </c>
      <c r="N31" s="14">
        <f>IF('Données projet'!$A$36&gt;35,N30+M31-V30,IF(A31&lt;'Données projet'!$A$36,$K$205^A31,IF(A31='Données projet'!$A$36,'Données projet'!$B$36,N30+M31-V30)))</f>
        <v>112.66666666666667</v>
      </c>
      <c r="O31" s="14">
        <f>N31*VLOOKUP('Données projet'!$B$9,Paramètres!$A$1:$I$89,3,0)*VLOOKUP('Données projet'!$B$9,Paramètres!$A$1:$I$89,5,0)</f>
        <v>67.37466666666667</v>
      </c>
      <c r="P31" s="14">
        <f t="shared" si="33"/>
        <v>19.020051421525295</v>
      </c>
      <c r="Q31" s="22">
        <f t="shared" si="2"/>
        <v>150.47080067026766</v>
      </c>
      <c r="R31" s="62">
        <f t="shared" si="0"/>
        <v>443.80413400360101</v>
      </c>
      <c r="S31" s="62">
        <f ca="1">AVERAGE(OFFSET($R$3,0,0,'Données projet'!$E$9+1,1))-AVERAGE(OFFSET($H$3,0,0,'Données projet'!$E$9+1,1))</f>
        <v>217.20547328702645</v>
      </c>
      <c r="T31" s="62">
        <f t="shared" si="34"/>
        <v>137.55906339137317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3.5907319725353588</v>
      </c>
      <c r="AC31" s="24">
        <f t="shared" si="3"/>
        <v>3.5907319725353588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</v>
      </c>
      <c r="AI31" s="14">
        <f>IF('Données projet'!$A$62&gt;35,AI30+AH31-AQ30,IF(A31&lt;'Données projet'!$A$62,$AF$205^A31,IF(A31='Données projet'!$A$62,'Données projet'!$B$62,AI30+AH31-AQ30)))</f>
        <v>83.399999999999977</v>
      </c>
      <c r="AJ31" s="14">
        <f>AI31*VLOOKUP('Données projet'!$B$10,Paramètres!$A$1:$I$89,3,0)*VLOOKUP('Données projet'!$B$10,Paramètres!$A$1:$I$89,5,0)</f>
        <v>75.460319999999982</v>
      </c>
      <c r="AK31" s="14">
        <f t="shared" si="35"/>
        <v>21.023463123249066</v>
      </c>
      <c r="AL31" s="22">
        <f t="shared" si="4"/>
        <v>168.04258893965877</v>
      </c>
      <c r="AM31" s="62">
        <f t="shared" si="5"/>
        <v>461.37592227299206</v>
      </c>
      <c r="AN31" s="62">
        <f ca="1">AVERAGE(OFFSET($AM$3,0,0,'Données projet'!$E$10+1,1))-AVERAGE(OFFSET($H$3,0,0,'Données projet'!$E$10+1,1))</f>
        <v>305.35633273533773</v>
      </c>
      <c r="AO31" s="62">
        <f t="shared" si="36"/>
        <v>156.67965022779896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21.179999999999996</v>
      </c>
      <c r="BD31" s="13">
        <f>IF('Données projet'!$A$88&gt;35,BD30+BC31-BL30,IF(A31&lt;'Données projet'!$A$88,$BA$205^A31,IF(A31='Données projet'!$A$88,'Données projet'!$B$88,BD30+BC31-BL30)))</f>
        <v>394.04000000000013</v>
      </c>
      <c r="BE31" s="14">
        <f>BD31*VLOOKUP('Données projet'!$B$11,Paramètres!$A$1:$I$89,3,0)*VLOOKUP('Données projet'!$B$11,Paramètres!$A$1:$I$89,5,0)</f>
        <v>220.26836000000006</v>
      </c>
      <c r="BF31" s="14">
        <f t="shared" si="37"/>
        <v>54.173208301746556</v>
      </c>
      <c r="BG31" s="22">
        <f t="shared" si="7"/>
        <v>477.98573145887525</v>
      </c>
      <c r="BH31" s="62">
        <f t="shared" si="8"/>
        <v>771.31906479220856</v>
      </c>
      <c r="BI31" s="62">
        <f ca="1">AVERAGE(OFFSET($BH$3,0,0,'Données projet'!$E$11+1,1))-AVERAGE(OFFSET($H$3,0,0,'Données projet'!$E$11+1,1))</f>
        <v>415.52119746518764</v>
      </c>
      <c r="BJ31" s="62">
        <f t="shared" si="38"/>
        <v>490.11217551185604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2.3048336096172619</v>
      </c>
      <c r="BS31" s="24">
        <f t="shared" si="9"/>
        <v>2.3048336096172619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122.99999999999997</v>
      </c>
      <c r="BZ31" s="14">
        <f>BY31*VLOOKUP('Données projet'!$B$12,Paramètres!$A$1:$I$89,3,0)*VLOOKUP('Données projet'!$B$12,Paramètres!$A$1:$I$89,5,0)</f>
        <v>97.858799999999988</v>
      </c>
      <c r="CA31" s="14">
        <f t="shared" si="39"/>
        <v>26.45124536158788</v>
      </c>
      <c r="CB31" s="22">
        <f t="shared" si="10"/>
        <v>216.50666233809886</v>
      </c>
      <c r="CC31" s="62">
        <f t="shared" si="11"/>
        <v>509.83999567143218</v>
      </c>
      <c r="CD31" s="62">
        <f ca="1">AVERAGE(OFFSET($CC$3,0,0,'Données projet'!$E$12+1,1))-AVERAGE(OFFSET($H$3,0,0,'Données projet'!$E$12+1,1))</f>
        <v>232.53653575369032</v>
      </c>
      <c r="CE31" s="62">
        <f t="shared" si="40"/>
        <v>219.59799863414099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7.6923076923076907</v>
      </c>
      <c r="CT31" s="13">
        <f>IF('Données projet'!$A$140&gt;35,CT30+CS31-DB30,IF(A31&lt;'Données projet'!$A$140,$CQ$205^A31,IF(A31='Données projet'!$A$140,'Données projet'!$B$140,CT30+CS31-DB30)))</f>
        <v>104.48717948717947</v>
      </c>
      <c r="CU31" s="18">
        <f>CT31*VLOOKUP('Données projet'!$B$13,Paramètres!$A$1:$I$89,3,0)*VLOOKUP('Données projet'!$B$13,Paramètres!$A$1:$I$89,5,0)</f>
        <v>70.089999999999989</v>
      </c>
      <c r="CV31" s="14">
        <f t="shared" si="41"/>
        <v>19.695806071745888</v>
      </c>
      <c r="CW31" s="22">
        <f t="shared" si="13"/>
        <v>156.3769455749574</v>
      </c>
      <c r="CX31" s="62">
        <f t="shared" si="14"/>
        <v>449.71027890829072</v>
      </c>
      <c r="CY31" s="62">
        <f ca="1">AVERAGE(OFFSET($CX$3,0,0,'Données projet'!$E$13+1,1))-AVERAGE(OFFSET($H$3,0,0,'Données projet'!$E$13+1,1))</f>
        <v>191.58722091189202</v>
      </c>
      <c r="CZ31" s="62">
        <f t="shared" si="42"/>
        <v>140.7542783756906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9.6666666666666661</v>
      </c>
      <c r="N32" s="14">
        <f>IF('Données projet'!$A$36&gt;35,N31+M32-V31,IF(A32&lt;'Données projet'!$A$36,$K$205^A32,IF(A32='Données projet'!$A$36,'Données projet'!$B$36,N31+M32-V31)))</f>
        <v>122.33333333333334</v>
      </c>
      <c r="O32" s="14">
        <f>N32*VLOOKUP('Données projet'!$B$9,Paramètres!$A$1:$I$89,3,0)*VLOOKUP('Données projet'!$B$9,Paramètres!$A$1:$I$89,5,0)</f>
        <v>73.155333333333346</v>
      </c>
      <c r="P32" s="14">
        <f t="shared" si="33"/>
        <v>20.455016056663315</v>
      </c>
      <c r="Q32" s="22">
        <f t="shared" si="2"/>
        <v>163.03802518757752</v>
      </c>
      <c r="R32" s="62">
        <f t="shared" si="0"/>
        <v>456.3713585209108</v>
      </c>
      <c r="S32" s="62">
        <f ca="1">AVERAGE(OFFSET($R$3,0,0,'Données projet'!$E$9+1,1))-AVERAGE(OFFSET($H$3,0,0,'Données projet'!$E$9+1,1))</f>
        <v>217.20547328702645</v>
      </c>
      <c r="T32" s="62">
        <f t="shared" si="34"/>
        <v>137.55906339137317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2.5390309272031004</v>
      </c>
      <c r="AC32" s="24">
        <f t="shared" si="3"/>
        <v>2.5390309272031004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6.8</v>
      </c>
      <c r="AI32" s="14">
        <f>IF('Données projet'!$A$62&gt;35,AI31+AH32-AQ31,IF(A32&lt;'Données projet'!$A$62,$AF$205^A32,IF(A32='Données projet'!$A$62,'Données projet'!$B$62,AI31+AH32-AQ31)))</f>
        <v>90.199999999999974</v>
      </c>
      <c r="AJ32" s="14">
        <f>AI32*VLOOKUP('Données projet'!$B$10,Paramètres!$A$1:$I$89,3,0)*VLOOKUP('Données projet'!$B$10,Paramètres!$A$1:$I$89,5,0)</f>
        <v>81.612959999999973</v>
      </c>
      <c r="AK32" s="14">
        <f t="shared" si="35"/>
        <v>22.531101896247538</v>
      </c>
      <c r="AL32" s="22">
        <f t="shared" si="4"/>
        <v>181.3842411359644</v>
      </c>
      <c r="AM32" s="62">
        <f t="shared" si="5"/>
        <v>474.71757446929769</v>
      </c>
      <c r="AN32" s="62">
        <f ca="1">AVERAGE(OFFSET($AM$3,0,0,'Données projet'!$E$10+1,1))-AVERAGE(OFFSET($H$3,0,0,'Données projet'!$E$10+1,1))</f>
        <v>305.35633273533773</v>
      </c>
      <c r="AO32" s="62">
        <f t="shared" si="36"/>
        <v>156.67965022779896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21.179999999999996</v>
      </c>
      <c r="BD32" s="13">
        <f>IF('Données projet'!$A$88&gt;35,BD31+BC32-BL31,IF(A32&lt;'Données projet'!$A$88,$BA$205^A32,IF(A32='Données projet'!$A$88,'Données projet'!$B$88,BD31+BC32-BL31)))</f>
        <v>415.22000000000014</v>
      </c>
      <c r="BE32" s="14">
        <f>BD32*VLOOKUP('Données projet'!$B$11,Paramètres!$A$1:$I$89,3,0)*VLOOKUP('Données projet'!$B$11,Paramètres!$A$1:$I$89,5,0)</f>
        <v>232.10798000000008</v>
      </c>
      <c r="BF32" s="14">
        <f t="shared" si="37"/>
        <v>56.738233791294078</v>
      </c>
      <c r="BG32" s="22">
        <f t="shared" si="7"/>
        <v>503.07382235317067</v>
      </c>
      <c r="BH32" s="62">
        <f t="shared" si="8"/>
        <v>796.40715568650398</v>
      </c>
      <c r="BI32" s="62">
        <f ca="1">AVERAGE(OFFSET($BH$3,0,0,'Données projet'!$E$11+1,1))-AVERAGE(OFFSET($H$3,0,0,'Données projet'!$E$11+1,1))</f>
        <v>415.52119746518764</v>
      </c>
      <c r="BJ32" s="62">
        <f t="shared" si="38"/>
        <v>490.11217551185604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1.6297634748670338</v>
      </c>
      <c r="BS32" s="24">
        <f t="shared" si="9"/>
        <v>1.6297634748670338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134.99999999999997</v>
      </c>
      <c r="BZ32" s="14">
        <f>BY32*VLOOKUP('Données projet'!$B$12,Paramètres!$A$1:$I$89,3,0)*VLOOKUP('Données projet'!$B$12,Paramètres!$A$1:$I$89,5,0)</f>
        <v>107.40599999999998</v>
      </c>
      <c r="CA32" s="14">
        <f t="shared" si="39"/>
        <v>28.718971683040337</v>
      </c>
      <c r="CB32" s="22">
        <f t="shared" si="10"/>
        <v>237.08432568129521</v>
      </c>
      <c r="CC32" s="62">
        <f t="shared" si="11"/>
        <v>530.4176590146285</v>
      </c>
      <c r="CD32" s="62">
        <f ca="1">AVERAGE(OFFSET($CC$3,0,0,'Données projet'!$E$12+1,1))-AVERAGE(OFFSET($H$3,0,0,'Données projet'!$E$12+1,1))</f>
        <v>232.53653575369032</v>
      </c>
      <c r="CE32" s="62">
        <f t="shared" si="40"/>
        <v>219.59799863414099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7.6923076923076907</v>
      </c>
      <c r="CT32" s="13">
        <f>IF('Données projet'!$A$140&gt;35,CT31+CS32-DB31,IF(A32&lt;'Données projet'!$A$140,$CQ$205^A32,IF(A32='Données projet'!$A$140,'Données projet'!$B$140,CT31+CS32-DB31)))</f>
        <v>112.17948717948717</v>
      </c>
      <c r="CU32" s="18">
        <f>CT32*VLOOKUP('Données projet'!$B$13,Paramètres!$A$1:$I$89,3,0)*VLOOKUP('Données projet'!$B$13,Paramètres!$A$1:$I$89,5,0)</f>
        <v>75.25</v>
      </c>
      <c r="CV32" s="14">
        <f t="shared" si="41"/>
        <v>20.971679502814343</v>
      </c>
      <c r="CW32" s="22">
        <f t="shared" si="13"/>
        <v>167.58609180073498</v>
      </c>
      <c r="CX32" s="62">
        <f t="shared" si="14"/>
        <v>460.91942513406832</v>
      </c>
      <c r="CY32" s="62">
        <f ca="1">AVERAGE(OFFSET($CX$3,0,0,'Données projet'!$E$13+1,1))-AVERAGE(OFFSET($H$3,0,0,'Données projet'!$E$13+1,1))</f>
        <v>191.58722091189202</v>
      </c>
      <c r="CZ32" s="62">
        <f t="shared" si="42"/>
        <v>140.7542783756906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132</v>
      </c>
      <c r="L33" s="13">
        <f>VLOOKUP(A33,'Données projet'!$A$35:$I$55,9,0)</f>
        <v>9.6666666666666661</v>
      </c>
      <c r="M33" s="13">
        <f t="array" ref="M33">INDEX(L:L,MIN(IF(ISNUMBER(L33:L229),ROW(L33:L229),"")))</f>
        <v>9.6666666666666661</v>
      </c>
      <c r="N33" s="14">
        <f>IF('Données projet'!$A$36&gt;35,N32+M33-V32,IF(A33&lt;'Données projet'!$A$36,$K$205^A33,IF(A33='Données projet'!$A$36,'Données projet'!$B$36,N32+M33-V32)))</f>
        <v>132</v>
      </c>
      <c r="O33" s="14">
        <f>N33*VLOOKUP('Données projet'!$B$9,Paramètres!$A$1:$I$89,3,0)*VLOOKUP('Données projet'!$B$9,Paramètres!$A$1:$I$89,5,0)</f>
        <v>78.936000000000007</v>
      </c>
      <c r="P33" s="14">
        <f t="shared" si="33"/>
        <v>21.876828219051273</v>
      </c>
      <c r="Q33" s="22">
        <f t="shared" si="2"/>
        <v>175.5823424815143</v>
      </c>
      <c r="R33" s="62">
        <f t="shared" si="0"/>
        <v>468.91567581484765</v>
      </c>
      <c r="S33" s="62">
        <f ca="1">AVERAGE(OFFSET($R$3,0,0,'Données projet'!$E$9+1,1))-AVERAGE(OFFSET($H$3,0,0,'Données projet'!$E$9+1,1))</f>
        <v>217.20547328702645</v>
      </c>
      <c r="T33" s="62">
        <f t="shared" si="34"/>
        <v>137.55906339137317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1.7953659862676796</v>
      </c>
      <c r="AC33" s="24">
        <f t="shared" si="3"/>
        <v>1.7953659862676796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6.8</v>
      </c>
      <c r="AH33" s="13">
        <f t="array" ref="AH33">INDEX(AG:AG,MIN(IF(ISNUMBER(AG33:AG229),ROW(AG33:AG229),"")))</f>
        <v>6.8</v>
      </c>
      <c r="AI33" s="14">
        <f>IF('Données projet'!$A$62&gt;35,AI32+AH33-AQ32,IF(A33&lt;'Données projet'!$A$62,$AF$205^A33,IF(A33='Données projet'!$A$62,'Données projet'!$B$62,AI32+AH33-AQ32)))</f>
        <v>96.999999999999972</v>
      </c>
      <c r="AJ33" s="14">
        <f>AI33*VLOOKUP('Données projet'!$B$10,Paramètres!$A$1:$I$89,3,0)*VLOOKUP('Données projet'!$B$10,Paramètres!$A$1:$I$89,5,0)</f>
        <v>87.765599999999964</v>
      </c>
      <c r="AK33" s="14">
        <f t="shared" si="35"/>
        <v>24.025555589247954</v>
      </c>
      <c r="AL33" s="22">
        <f t="shared" si="4"/>
        <v>194.70292931794015</v>
      </c>
      <c r="AM33" s="62">
        <f t="shared" si="5"/>
        <v>488.03626265127343</v>
      </c>
      <c r="AN33" s="62">
        <f ca="1">AVERAGE(OFFSET($AM$3,0,0,'Données projet'!$E$10+1,1))-AVERAGE(OFFSET($H$3,0,0,'Données projet'!$E$10+1,1))</f>
        <v>305.35633273533773</v>
      </c>
      <c r="AO33" s="62">
        <f t="shared" si="36"/>
        <v>156.67965022779896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436.4</v>
      </c>
      <c r="BB33" s="13">
        <f>VLOOKUP(A33,'Données projet'!$A$87:$I$107,9,0)</f>
        <v>21.179999999999996</v>
      </c>
      <c r="BC33" s="13">
        <f t="array" ref="BC33">INDEX(BB:BB,MIN(IF(ISNUMBER(BB33:BB229),ROW(BB33:BB229),"")))</f>
        <v>21.179999999999996</v>
      </c>
      <c r="BD33" s="13">
        <f>IF('Données projet'!$A$88&gt;35,BD32+BC33-BL32,IF(A33&lt;'Données projet'!$A$88,$BA$205^A33,IF(A33='Données projet'!$A$88,'Données projet'!$B$88,BD32+BC33-BL32)))</f>
        <v>436.40000000000015</v>
      </c>
      <c r="BE33" s="14">
        <f>BD33*VLOOKUP('Données projet'!$B$11,Paramètres!$A$1:$I$89,3,0)*VLOOKUP('Données projet'!$B$11,Paramètres!$A$1:$I$89,5,0)</f>
        <v>243.94760000000011</v>
      </c>
      <c r="BF33" s="14">
        <f t="shared" si="37"/>
        <v>59.288067714065242</v>
      </c>
      <c r="BG33" s="22">
        <f t="shared" si="7"/>
        <v>528.13545460199714</v>
      </c>
      <c r="BH33" s="62">
        <f t="shared" si="8"/>
        <v>821.46878793533051</v>
      </c>
      <c r="BI33" s="62">
        <f ca="1">AVERAGE(OFFSET($BH$3,0,0,'Données projet'!$E$11+1,1))-AVERAGE(OFFSET($H$3,0,0,'Données projet'!$E$11+1,1))</f>
        <v>415.52119746518764</v>
      </c>
      <c r="BJ33" s="62">
        <f t="shared" si="38"/>
        <v>490.11217551185604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1.1524168048086312</v>
      </c>
      <c r="BS33" s="24">
        <f t="shared" si="9"/>
        <v>1.1524168048086312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147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146.99999999999997</v>
      </c>
      <c r="BZ33" s="14">
        <f>BY33*VLOOKUP('Données projet'!$B$12,Paramètres!$A$1:$I$89,3,0)*VLOOKUP('Données projet'!$B$12,Paramètres!$A$1:$I$89,5,0)</f>
        <v>116.95319999999998</v>
      </c>
      <c r="CA33" s="14">
        <f t="shared" si="39"/>
        <v>30.963323095281662</v>
      </c>
      <c r="CB33" s="22">
        <f t="shared" si="10"/>
        <v>257.62127772428215</v>
      </c>
      <c r="CC33" s="62">
        <f t="shared" si="11"/>
        <v>550.95461105761547</v>
      </c>
      <c r="CD33" s="62">
        <f ca="1">AVERAGE(OFFSET($CC$3,0,0,'Données projet'!$E$12+1,1))-AVERAGE(OFFSET($H$3,0,0,'Données projet'!$E$12+1,1))</f>
        <v>232.53653575369032</v>
      </c>
      <c r="CE33" s="62">
        <f t="shared" si="40"/>
        <v>219.59799863414099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119.87179487179486</v>
      </c>
      <c r="CR33" s="13">
        <f>VLOOKUP(A33,'Données projet'!$A$139:$I$159,9,0)</f>
        <v>7.6923076923076907</v>
      </c>
      <c r="CS33" s="13">
        <f t="array" ref="CS33">INDEX(CR:CR,MIN(IF(ISNUMBER(CR33:CR229),ROW(CR33:CR229),"")))</f>
        <v>7.6923076923076907</v>
      </c>
      <c r="CT33" s="13">
        <f>IF('Données projet'!$A$140&gt;35,CT32+CS33-DB32,IF(A33&lt;'Données projet'!$A$140,$CQ$205^A33,IF(A33='Données projet'!$A$140,'Données projet'!$B$140,CT32+CS33-DB32)))</f>
        <v>119.87179487179486</v>
      </c>
      <c r="CU33" s="18">
        <f>CT33*VLOOKUP('Données projet'!$B$13,Paramètres!$A$1:$I$89,3,0)*VLOOKUP('Données projet'!$B$13,Paramètres!$A$1:$I$89,5,0)</f>
        <v>80.41</v>
      </c>
      <c r="CV33" s="14">
        <f t="shared" si="41"/>
        <v>22.2374014157886</v>
      </c>
      <c r="CW33" s="22">
        <f t="shared" si="13"/>
        <v>178.77755746583179</v>
      </c>
      <c r="CX33" s="62">
        <f t="shared" si="14"/>
        <v>472.11089079916508</v>
      </c>
      <c r="CY33" s="62">
        <f ca="1">AVERAGE(OFFSET($CX$3,0,0,'Données projet'!$E$13+1,1))-AVERAGE(OFFSET($H$3,0,0,'Données projet'!$E$13+1,1))</f>
        <v>191.58722091189202</v>
      </c>
      <c r="CZ33" s="62">
        <f t="shared" si="42"/>
        <v>140.7542783756906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142</v>
      </c>
      <c r="O34" s="14">
        <f>N34*VLOOKUP('Données projet'!$B$9,Paramètres!$A$1:$I$89,3,0)*VLOOKUP('Données projet'!$B$9,Paramètres!$A$1:$I$89,5,0)</f>
        <v>84.916000000000011</v>
      </c>
      <c r="P34" s="14">
        <f t="shared" si="33"/>
        <v>23.33496813320572</v>
      </c>
      <c r="Q34" s="22">
        <f t="shared" si="2"/>
        <v>188.53710283199996</v>
      </c>
      <c r="R34" s="62">
        <f t="shared" si="0"/>
        <v>481.87043616533327</v>
      </c>
      <c r="S34" s="62">
        <f ca="1">AVERAGE(OFFSET($R$3,0,0,'Données projet'!$E$9+1,1))-AVERAGE(OFFSET($H$3,0,0,'Données projet'!$E$9+1,1))</f>
        <v>217.20547328702645</v>
      </c>
      <c r="T34" s="62">
        <f t="shared" si="34"/>
        <v>137.55906339137317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1.2695154636015502</v>
      </c>
      <c r="AC34" s="24">
        <f t="shared" si="3"/>
        <v>1.2695154636015502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105.59999999999997</v>
      </c>
      <c r="AJ34" s="14">
        <f>AI34*VLOOKUP('Données projet'!$B$10,Paramètres!$A$1:$I$89,3,0)*VLOOKUP('Données projet'!$B$10,Paramètres!$A$1:$I$89,5,0)</f>
        <v>95.546879999999973</v>
      </c>
      <c r="AK34" s="14">
        <f t="shared" si="35"/>
        <v>25.898306910102065</v>
      </c>
      <c r="AL34" s="22">
        <f t="shared" si="4"/>
        <v>211.51703386842772</v>
      </c>
      <c r="AM34" s="62">
        <f t="shared" si="5"/>
        <v>504.85036720176106</v>
      </c>
      <c r="AN34" s="62">
        <f ca="1">AVERAGE(OFFSET($AM$3,0,0,'Données projet'!$E$10+1,1))-AVERAGE(OFFSET($H$3,0,0,'Données projet'!$E$10+1,1))</f>
        <v>305.35633273533773</v>
      </c>
      <c r="AO34" s="62">
        <f t="shared" si="36"/>
        <v>156.67965022779896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21.9</v>
      </c>
      <c r="BD34" s="13">
        <f>IF('Données projet'!$A$88&gt;35,BD33+BC34-BL33,IF(A34&lt;'Données projet'!$A$88,$BA$205^A34,IF(A34='Données projet'!$A$88,'Données projet'!$B$88,BD33+BC34-BL33)))</f>
        <v>458.30000000000013</v>
      </c>
      <c r="BE34" s="14">
        <f>BD34*VLOOKUP('Données projet'!$B$11,Paramètres!$A$1:$I$89,3,0)*VLOOKUP('Données projet'!$B$11,Paramètres!$A$1:$I$89,5,0)</f>
        <v>256.18970000000007</v>
      </c>
      <c r="BF34" s="14">
        <f t="shared" si="37"/>
        <v>61.909479422222191</v>
      </c>
      <c r="BG34" s="22">
        <f t="shared" si="7"/>
        <v>554.02273749370386</v>
      </c>
      <c r="BH34" s="62">
        <f t="shared" si="8"/>
        <v>847.35607082703723</v>
      </c>
      <c r="BI34" s="62">
        <f ca="1">AVERAGE(OFFSET($BH$3,0,0,'Données projet'!$E$11+1,1))-AVERAGE(OFFSET($H$3,0,0,'Données projet'!$E$11+1,1))</f>
        <v>415.52119746518764</v>
      </c>
      <c r="BJ34" s="62">
        <f t="shared" si="38"/>
        <v>490.11217551185604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0.81488173743351711</v>
      </c>
      <c r="BS34" s="24">
        <f t="shared" si="9"/>
        <v>0.81488173743351711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10.6</v>
      </c>
      <c r="BY34" s="13">
        <f>IF('Données projet'!$A$114&gt;35,BY33+BX34-CG33,IF(A34&lt;'Données projet'!$A$114,$BV$205^A34,IF(A34='Données projet'!$A$114,'Données projet'!$B$114,BY33+BX34-CG33)))</f>
        <v>157.59999999999997</v>
      </c>
      <c r="BZ34" s="14">
        <f>BY34*VLOOKUP('Données projet'!$B$12,Paramètres!$A$1:$I$89,3,0)*VLOOKUP('Données projet'!$B$12,Paramètres!$A$1:$I$89,5,0)</f>
        <v>125.38655999999999</v>
      </c>
      <c r="CA34" s="14">
        <f t="shared" si="39"/>
        <v>32.928097385453498</v>
      </c>
      <c r="CB34" s="22">
        <f t="shared" si="10"/>
        <v>275.73136161299811</v>
      </c>
      <c r="CC34" s="62">
        <f t="shared" si="11"/>
        <v>569.06469494633143</v>
      </c>
      <c r="CD34" s="62">
        <f ca="1">AVERAGE(OFFSET($CC$3,0,0,'Données projet'!$E$12+1,1))-AVERAGE(OFFSET($H$3,0,0,'Données projet'!$E$12+1,1))</f>
        <v>232.53653575369032</v>
      </c>
      <c r="CE34" s="62">
        <f t="shared" si="40"/>
        <v>219.59799863414099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7.1794871794871824</v>
      </c>
      <c r="CT34" s="13">
        <f>IF('Données projet'!$A$140&gt;35,CT33+CS34-DB33,IF(A34&lt;'Données projet'!$A$140,$CQ$205^A34,IF(A34='Données projet'!$A$140,'Données projet'!$B$140,CT33+CS34-DB33)))</f>
        <v>127.05128205128204</v>
      </c>
      <c r="CU34" s="18">
        <f>CT34*VLOOKUP('Données projet'!$B$13,Paramètres!$A$1:$I$89,3,0)*VLOOKUP('Données projet'!$B$13,Paramètres!$A$1:$I$89,5,0)</f>
        <v>85.225999999999999</v>
      </c>
      <c r="CV34" s="14">
        <f t="shared" si="41"/>
        <v>23.410224444266952</v>
      </c>
      <c r="CW34" s="22">
        <f t="shared" si="13"/>
        <v>189.20809090709827</v>
      </c>
      <c r="CX34" s="62">
        <f t="shared" si="14"/>
        <v>482.54142424043158</v>
      </c>
      <c r="CY34" s="62">
        <f ca="1">AVERAGE(OFFSET($CX$3,0,0,'Données projet'!$E$13+1,1))-AVERAGE(OFFSET($H$3,0,0,'Données projet'!$E$13+1,1))</f>
        <v>191.58722091189202</v>
      </c>
      <c r="CZ34" s="62">
        <f t="shared" si="42"/>
        <v>140.7542783756906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152</v>
      </c>
      <c r="O35" s="14">
        <f>N35*VLOOKUP('Données projet'!$B$9,Paramètres!$A$1:$I$89,3,0)*VLOOKUP('Données projet'!$B$9,Paramètres!$A$1:$I$89,5,0)</f>
        <v>90.896000000000001</v>
      </c>
      <c r="P35" s="14">
        <f t="shared" si="33"/>
        <v>24.781193872187952</v>
      </c>
      <c r="Q35" s="22">
        <f t="shared" ref="Q35:Q66" si="53">(O35+P35)*0.475*44/12</f>
        <v>201.47111266072736</v>
      </c>
      <c r="R35" s="62">
        <f t="shared" si="0"/>
        <v>494.80444599406064</v>
      </c>
      <c r="S35" s="62">
        <f ca="1">AVERAGE(OFFSET($R$3,0,0,'Données projet'!$E$9+1,1))-AVERAGE(OFFSET($H$3,0,0,'Données projet'!$E$9+1,1))</f>
        <v>217.20547328702645</v>
      </c>
      <c r="T35" s="62">
        <f t="shared" si="34"/>
        <v>137.55906339137317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0.89768299313383981</v>
      </c>
      <c r="AC35" s="24">
        <f t="shared" si="3"/>
        <v>0.89768299313383981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114.19999999999996</v>
      </c>
      <c r="AJ35" s="14">
        <f>AI35*VLOOKUP('Données projet'!$B$10,Paramètres!$A$1:$I$89,3,0)*VLOOKUP('Données projet'!$B$10,Paramètres!$A$1:$I$89,5,0)</f>
        <v>103.32815999999997</v>
      </c>
      <c r="AK35" s="14">
        <f t="shared" si="35"/>
        <v>27.753368651496011</v>
      </c>
      <c r="AL35" s="22">
        <f t="shared" si="4"/>
        <v>228.30032906802214</v>
      </c>
      <c r="AM35" s="62">
        <f t="shared" si="5"/>
        <v>521.63366240135542</v>
      </c>
      <c r="AN35" s="62">
        <f ca="1">AVERAGE(OFFSET($AM$3,0,0,'Données projet'!$E$10+1,1))-AVERAGE(OFFSET($H$3,0,0,'Données projet'!$E$10+1,1))</f>
        <v>305.35633273533773</v>
      </c>
      <c r="AO35" s="62">
        <f t="shared" si="36"/>
        <v>156.67965022779896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21.9</v>
      </c>
      <c r="BD35" s="13">
        <f>IF('Données projet'!$A$88&gt;35,BD34+BC35-BL34,IF(A35&lt;'Données projet'!$A$88,$BA$205^A35,IF(A35='Données projet'!$A$88,'Données projet'!$B$88,BD34+BC35-BL34)))</f>
        <v>480.2000000000001</v>
      </c>
      <c r="BE35" s="14">
        <f>BD35*VLOOKUP('Données projet'!$B$11,Paramètres!$A$1:$I$89,3,0)*VLOOKUP('Données projet'!$B$11,Paramètres!$A$1:$I$89,5,0)</f>
        <v>268.43180000000007</v>
      </c>
      <c r="BF35" s="14">
        <f t="shared" si="37"/>
        <v>64.516344923498124</v>
      </c>
      <c r="BG35" s="22">
        <f t="shared" si="7"/>
        <v>579.88468574175943</v>
      </c>
      <c r="BH35" s="62">
        <f t="shared" si="8"/>
        <v>873.2180190750928</v>
      </c>
      <c r="BI35" s="62">
        <f ca="1">AVERAGE(OFFSET($BH$3,0,0,'Données projet'!$E$11+1,1))-AVERAGE(OFFSET($H$3,0,0,'Données projet'!$E$11+1,1))</f>
        <v>415.52119746518764</v>
      </c>
      <c r="BJ35" s="62">
        <f t="shared" si="38"/>
        <v>490.11217551185604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0.5762084024043157</v>
      </c>
      <c r="BS35" s="24">
        <f t="shared" si="9"/>
        <v>0.5762084024043157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10.6</v>
      </c>
      <c r="BY35" s="13">
        <f>IF('Données projet'!$A$114&gt;35,BY34+BX35-CG34,IF(A35&lt;'Données projet'!$A$114,$BV$205^A35,IF(A35='Données projet'!$A$114,'Données projet'!$B$114,BY34+BX35-CG34)))</f>
        <v>168.19999999999996</v>
      </c>
      <c r="BZ35" s="14">
        <f>BY35*VLOOKUP('Données projet'!$B$12,Paramètres!$A$1:$I$89,3,0)*VLOOKUP('Données projet'!$B$12,Paramètres!$A$1:$I$89,5,0)</f>
        <v>133.81991999999997</v>
      </c>
      <c r="CA35" s="14">
        <f t="shared" si="39"/>
        <v>34.877537443386267</v>
      </c>
      <c r="CB35" s="22">
        <f t="shared" si="10"/>
        <v>293.81473838056439</v>
      </c>
      <c r="CC35" s="62">
        <f t="shared" si="11"/>
        <v>587.14807171389771</v>
      </c>
      <c r="CD35" s="62">
        <f ca="1">AVERAGE(OFFSET($CC$3,0,0,'Données projet'!$E$12+1,1))-AVERAGE(OFFSET($H$3,0,0,'Données projet'!$E$12+1,1))</f>
        <v>232.53653575369032</v>
      </c>
      <c r="CE35" s="62">
        <f t="shared" si="40"/>
        <v>219.59799863414099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7.1794871794871824</v>
      </c>
      <c r="CT35" s="13">
        <f>IF('Données projet'!$A$140&gt;35,CT34+CS35-DB34,IF(A35&lt;'Données projet'!$A$140,$CQ$205^A35,IF(A35='Données projet'!$A$140,'Données projet'!$B$140,CT34+CS35-DB34)))</f>
        <v>134.23076923076923</v>
      </c>
      <c r="CU35" s="18">
        <f>CT35*VLOOKUP('Données projet'!$B$13,Paramètres!$A$1:$I$89,3,0)*VLOOKUP('Données projet'!$B$13,Paramètres!$A$1:$I$89,5,0)</f>
        <v>90.042000000000002</v>
      </c>
      <c r="CV35" s="14">
        <f t="shared" si="41"/>
        <v>24.575354107485161</v>
      </c>
      <c r="CW35" s="22">
        <f t="shared" si="13"/>
        <v>199.62522507053666</v>
      </c>
      <c r="CX35" s="62">
        <f t="shared" si="14"/>
        <v>492.95855840386997</v>
      </c>
      <c r="CY35" s="62">
        <f ca="1">AVERAGE(OFFSET($CX$3,0,0,'Données projet'!$E$13+1,1))-AVERAGE(OFFSET($H$3,0,0,'Données projet'!$E$13+1,1))</f>
        <v>191.58722091189202</v>
      </c>
      <c r="CZ35" s="62">
        <f t="shared" si="42"/>
        <v>140.7542783756906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162</v>
      </c>
      <c r="O36" s="14">
        <f>N36*VLOOKUP('Données projet'!$B$9,Paramètres!$A$1:$I$89,3,0)*VLOOKUP('Données projet'!$B$9,Paramètres!$A$1:$I$89,5,0)</f>
        <v>96.876000000000019</v>
      </c>
      <c r="P36" s="14">
        <f t="shared" si="33"/>
        <v>26.21637845945024</v>
      </c>
      <c r="Q36" s="22">
        <f t="shared" si="53"/>
        <v>214.38589248354253</v>
      </c>
      <c r="R36" s="62">
        <f t="shared" si="0"/>
        <v>507.71922581687585</v>
      </c>
      <c r="S36" s="62">
        <f ca="1">AVERAGE(OFFSET($R$3,0,0,'Données projet'!$E$9+1,1))-AVERAGE(OFFSET($H$3,0,0,'Données projet'!$E$9+1,1))</f>
        <v>217.20547328702645</v>
      </c>
      <c r="T36" s="62">
        <f t="shared" si="34"/>
        <v>137.55906339137317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0.6347577318007751</v>
      </c>
      <c r="AC36" s="24">
        <f t="shared" si="3"/>
        <v>0.6347577318007751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122.79999999999995</v>
      </c>
      <c r="AJ36" s="14">
        <f>AI36*VLOOKUP('Données projet'!$B$10,Paramètres!$A$1:$I$89,3,0)*VLOOKUP('Données projet'!$B$10,Paramètres!$A$1:$I$89,5,0)</f>
        <v>111.10943999999996</v>
      </c>
      <c r="AK36" s="14">
        <f t="shared" si="35"/>
        <v>29.592224426586206</v>
      </c>
      <c r="AL36" s="22">
        <f t="shared" si="4"/>
        <v>245.05539887630425</v>
      </c>
      <c r="AM36" s="62">
        <f t="shared" si="5"/>
        <v>538.38873220963751</v>
      </c>
      <c r="AN36" s="62">
        <f ca="1">AVERAGE(OFFSET($AM$3,0,0,'Données projet'!$E$10+1,1))-AVERAGE(OFFSET($H$3,0,0,'Données projet'!$E$10+1,1))</f>
        <v>305.35633273533773</v>
      </c>
      <c r="AO36" s="62">
        <f t="shared" si="36"/>
        <v>156.67965022779896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21.9</v>
      </c>
      <c r="BD36" s="13">
        <f>IF('Données projet'!$A$88&gt;35,BD35+BC36-BL35,IF(A36&lt;'Données projet'!$A$88,$BA$205^A36,IF(A36='Données projet'!$A$88,'Données projet'!$B$88,BD35+BC36-BL35)))</f>
        <v>502.10000000000008</v>
      </c>
      <c r="BE36" s="14">
        <f>BD36*VLOOKUP('Données projet'!$B$11,Paramètres!$A$1:$I$89,3,0)*VLOOKUP('Données projet'!$B$11,Paramètres!$A$1:$I$89,5,0)</f>
        <v>280.67390000000006</v>
      </c>
      <c r="BF36" s="14">
        <f t="shared" si="37"/>
        <v>67.109403392591588</v>
      </c>
      <c r="BG36" s="22">
        <f t="shared" si="7"/>
        <v>605.72258674209695</v>
      </c>
      <c r="BH36" s="62">
        <f t="shared" si="8"/>
        <v>899.05592007543032</v>
      </c>
      <c r="BI36" s="62">
        <f ca="1">AVERAGE(OFFSET($BH$3,0,0,'Données projet'!$E$11+1,1))-AVERAGE(OFFSET($H$3,0,0,'Données projet'!$E$11+1,1))</f>
        <v>415.52119746518764</v>
      </c>
      <c r="BJ36" s="62">
        <f t="shared" si="38"/>
        <v>490.11217551185604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0.40744086871675861</v>
      </c>
      <c r="BS36" s="24">
        <f t="shared" si="9"/>
        <v>0.40744086871675861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10.6</v>
      </c>
      <c r="BY36" s="13">
        <f>IF('Données projet'!$A$114&gt;35,BY35+BX36-CG35,IF(A36&lt;'Données projet'!$A$114,$BV$205^A36,IF(A36='Données projet'!$A$114,'Données projet'!$B$114,BY35+BX36-CG35)))</f>
        <v>178.79999999999995</v>
      </c>
      <c r="BZ36" s="14">
        <f>BY36*VLOOKUP('Données projet'!$B$12,Paramètres!$A$1:$I$89,3,0)*VLOOKUP('Données projet'!$B$12,Paramètres!$A$1:$I$89,5,0)</f>
        <v>142.25327999999996</v>
      </c>
      <c r="CA36" s="14">
        <f t="shared" si="39"/>
        <v>36.812719642712231</v>
      </c>
      <c r="CB36" s="22">
        <f t="shared" si="10"/>
        <v>311.87328271105707</v>
      </c>
      <c r="CC36" s="62">
        <f t="shared" si="11"/>
        <v>605.20661604439033</v>
      </c>
      <c r="CD36" s="62">
        <f ca="1">AVERAGE(OFFSET($CC$3,0,0,'Données projet'!$E$12+1,1))-AVERAGE(OFFSET($H$3,0,0,'Données projet'!$E$12+1,1))</f>
        <v>232.53653575369032</v>
      </c>
      <c r="CE36" s="62">
        <f t="shared" si="40"/>
        <v>219.59799863414099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7.1794871794871824</v>
      </c>
      <c r="CT36" s="13">
        <f>IF('Données projet'!$A$140&gt;35,CT35+CS36-DB35,IF(A36&lt;'Données projet'!$A$140,$CQ$205^A36,IF(A36='Données projet'!$A$140,'Données projet'!$B$140,CT35+CS36-DB35)))</f>
        <v>141.41025641025641</v>
      </c>
      <c r="CU36" s="18">
        <f>CT36*VLOOKUP('Données projet'!$B$13,Paramètres!$A$1:$I$89,3,0)*VLOOKUP('Données projet'!$B$13,Paramètres!$A$1:$I$89,5,0)</f>
        <v>94.858000000000004</v>
      </c>
      <c r="CV36" s="14">
        <f t="shared" si="41"/>
        <v>25.733248812615624</v>
      </c>
      <c r="CW36" s="22">
        <f t="shared" si="13"/>
        <v>210.02975834863889</v>
      </c>
      <c r="CX36" s="62">
        <f t="shared" si="14"/>
        <v>503.36309168197221</v>
      </c>
      <c r="CY36" s="62">
        <f ca="1">AVERAGE(OFFSET($CX$3,0,0,'Données projet'!$E$13+1,1))-AVERAGE(OFFSET($H$3,0,0,'Données projet'!$E$13+1,1))</f>
        <v>191.58722091189202</v>
      </c>
      <c r="CZ36" s="62">
        <f t="shared" si="42"/>
        <v>140.7542783756906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172</v>
      </c>
      <c r="O37" s="14">
        <f>N37*VLOOKUP('Données projet'!$B$9,Paramètres!$A$1:$I$89,3,0)*VLOOKUP('Données projet'!$B$9,Paramètres!$A$1:$I$89,5,0)</f>
        <v>102.85600000000001</v>
      </c>
      <c r="P37" s="14">
        <f t="shared" si="33"/>
        <v>27.641281046809258</v>
      </c>
      <c r="Q37" s="22">
        <f t="shared" si="53"/>
        <v>227.28276448985946</v>
      </c>
      <c r="R37" s="62">
        <f t="shared" si="0"/>
        <v>520.61609782319283</v>
      </c>
      <c r="S37" s="62">
        <f ca="1">AVERAGE(OFFSET($R$3,0,0,'Données projet'!$E$9+1,1))-AVERAGE(OFFSET($H$3,0,0,'Données projet'!$E$9+1,1))</f>
        <v>217.20547328702645</v>
      </c>
      <c r="T37" s="62">
        <f t="shared" si="34"/>
        <v>137.55906339137317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0.44884149656691991</v>
      </c>
      <c r="AC37" s="24">
        <f t="shared" si="3"/>
        <v>0.44884149656691991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131.39999999999995</v>
      </c>
      <c r="AJ37" s="14">
        <f>AI37*VLOOKUP('Données projet'!$B$10,Paramètres!$A$1:$I$89,3,0)*VLOOKUP('Données projet'!$B$10,Paramètres!$A$1:$I$89,5,0)</f>
        <v>118.89071999999994</v>
      </c>
      <c r="AK37" s="14">
        <f t="shared" si="35"/>
        <v>31.416138277101783</v>
      </c>
      <c r="AL37" s="22">
        <f t="shared" si="4"/>
        <v>261.78444483261882</v>
      </c>
      <c r="AM37" s="62">
        <f t="shared" si="5"/>
        <v>555.11777816595213</v>
      </c>
      <c r="AN37" s="62">
        <f ca="1">AVERAGE(OFFSET($AM$3,0,0,'Données projet'!$E$10+1,1))-AVERAGE(OFFSET($H$3,0,0,'Données projet'!$E$10+1,1))</f>
        <v>305.35633273533773</v>
      </c>
      <c r="AO37" s="62">
        <f t="shared" si="36"/>
        <v>156.67965022779896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21.9</v>
      </c>
      <c r="BD37" s="13">
        <f>IF('Données projet'!$A$88&gt;35,BD36+BC37-BL36,IF(A37&lt;'Données projet'!$A$88,$BA$205^A37,IF(A37='Données projet'!$A$88,'Données projet'!$B$88,BD36+BC37-BL36)))</f>
        <v>524.00000000000011</v>
      </c>
      <c r="BE37" s="14">
        <f>BD37*VLOOKUP('Données projet'!$B$11,Paramètres!$A$1:$I$89,3,0)*VLOOKUP('Données projet'!$B$11,Paramètres!$A$1:$I$89,5,0)</f>
        <v>292.91600000000005</v>
      </c>
      <c r="BF37" s="14">
        <f t="shared" si="37"/>
        <v>69.68932587703776</v>
      </c>
      <c r="BG37" s="22">
        <f t="shared" si="7"/>
        <v>631.53760923584082</v>
      </c>
      <c r="BH37" s="62">
        <f t="shared" si="8"/>
        <v>924.87094256917408</v>
      </c>
      <c r="BI37" s="62">
        <f ca="1">AVERAGE(OFFSET($BH$3,0,0,'Données projet'!$E$11+1,1))-AVERAGE(OFFSET($H$3,0,0,'Données projet'!$E$11+1,1))</f>
        <v>415.52119746518764</v>
      </c>
      <c r="BJ37" s="62">
        <f t="shared" si="38"/>
        <v>490.11217551185604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0.28810420120215791</v>
      </c>
      <c r="BS37" s="24">
        <f t="shared" si="9"/>
        <v>0.28810420120215791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10.6</v>
      </c>
      <c r="BY37" s="13">
        <f>IF('Données projet'!$A$114&gt;35,BY36+BX37-CG36,IF(A37&lt;'Données projet'!$A$114,$BV$205^A37,IF(A37='Données projet'!$A$114,'Données projet'!$B$114,BY36+BX37-CG36)))</f>
        <v>189.39999999999995</v>
      </c>
      <c r="BZ37" s="14">
        <f>BY37*VLOOKUP('Données projet'!$B$12,Paramètres!$A$1:$I$89,3,0)*VLOOKUP('Données projet'!$B$12,Paramètres!$A$1:$I$89,5,0)</f>
        <v>150.68663999999998</v>
      </c>
      <c r="CA37" s="14">
        <f t="shared" si="39"/>
        <v>38.734585523437175</v>
      </c>
      <c r="CB37" s="22">
        <f t="shared" si="10"/>
        <v>329.90863445331973</v>
      </c>
      <c r="CC37" s="62">
        <f t="shared" si="11"/>
        <v>623.24196778665305</v>
      </c>
      <c r="CD37" s="62">
        <f ca="1">AVERAGE(OFFSET($CC$3,0,0,'Données projet'!$E$12+1,1))-AVERAGE(OFFSET($H$3,0,0,'Données projet'!$E$12+1,1))</f>
        <v>232.53653575369032</v>
      </c>
      <c r="CE37" s="62">
        <f t="shared" si="40"/>
        <v>219.59799863414099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7.1794871794871824</v>
      </c>
      <c r="CT37" s="13">
        <f>IF('Données projet'!$A$140&gt;35,CT36+CS37-DB36,IF(A37&lt;'Données projet'!$A$140,$CQ$205^A37,IF(A37='Données projet'!$A$140,'Données projet'!$B$140,CT36+CS37-DB36)))</f>
        <v>148.58974358974359</v>
      </c>
      <c r="CU37" s="18">
        <f>CT37*VLOOKUP('Données projet'!$B$13,Paramètres!$A$1:$I$89,3,0)*VLOOKUP('Données projet'!$B$13,Paramètres!$A$1:$I$89,5,0)</f>
        <v>99.674000000000007</v>
      </c>
      <c r="CV37" s="14">
        <f t="shared" si="41"/>
        <v>26.884317790337015</v>
      </c>
      <c r="CW37" s="22">
        <f t="shared" si="13"/>
        <v>220.42240348483696</v>
      </c>
      <c r="CX37" s="62">
        <f t="shared" si="14"/>
        <v>513.75573681817025</v>
      </c>
      <c r="CY37" s="62">
        <f ca="1">AVERAGE(OFFSET($CX$3,0,0,'Données projet'!$E$13+1,1))-AVERAGE(OFFSET($H$3,0,0,'Données projet'!$E$13+1,1))</f>
        <v>191.58722091189202</v>
      </c>
      <c r="CZ37" s="62">
        <f t="shared" si="42"/>
        <v>140.7542783756906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182</v>
      </c>
      <c r="L38" s="13">
        <f>VLOOKUP(A38,'Données projet'!$A$35:$I$55,9,0)</f>
        <v>10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182</v>
      </c>
      <c r="O38" s="14">
        <f>N38*VLOOKUP('Données projet'!$B$9,Paramètres!$A$1:$I$89,3,0)*VLOOKUP('Données projet'!$B$9,Paramètres!$A$1:$I$89,5,0)</f>
        <v>108.836</v>
      </c>
      <c r="P38" s="14">
        <f t="shared" si="33"/>
        <v>29.056567526298153</v>
      </c>
      <c r="Q38" s="22">
        <f t="shared" si="53"/>
        <v>240.16288844163589</v>
      </c>
      <c r="R38" s="62">
        <f t="shared" si="0"/>
        <v>533.49622177496917</v>
      </c>
      <c r="S38" s="62">
        <f ca="1">AVERAGE(OFFSET($R$3,0,0,'Données projet'!$E$9+1,1))-AVERAGE(OFFSET($H$3,0,0,'Données projet'!$E$9+1,1))</f>
        <v>217.20547328702645</v>
      </c>
      <c r="T38" s="62">
        <f t="shared" si="34"/>
        <v>137.55906339137317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36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0.31737886590038755</v>
      </c>
      <c r="AC38" s="24">
        <f t="shared" si="3"/>
        <v>0.31737886590038755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140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139.99999999999994</v>
      </c>
      <c r="AJ38" s="14">
        <f>AI38*VLOOKUP('Données projet'!$B$10,Paramètres!$A$1:$I$89,3,0)*VLOOKUP('Données projet'!$B$10,Paramètres!$A$1:$I$89,5,0)</f>
        <v>126.67199999999994</v>
      </c>
      <c r="AK38" s="14">
        <f t="shared" si="35"/>
        <v>33.226199426361319</v>
      </c>
      <c r="AL38" s="22">
        <f t="shared" si="4"/>
        <v>278.48936400091253</v>
      </c>
      <c r="AM38" s="62">
        <f t="shared" si="5"/>
        <v>571.82269733424585</v>
      </c>
      <c r="AN38" s="62">
        <f ca="1">AVERAGE(OFFSET($AM$3,0,0,'Données projet'!$E$10+1,1))-AVERAGE(OFFSET($H$3,0,0,'Données projet'!$E$10+1,1))</f>
        <v>305.35633273533773</v>
      </c>
      <c r="AO38" s="62">
        <f t="shared" si="36"/>
        <v>156.67965022779896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545.9</v>
      </c>
      <c r="BB38" s="13">
        <f>VLOOKUP(A38,'Données projet'!$A$87:$I$107,9,0)</f>
        <v>21.9</v>
      </c>
      <c r="BC38" s="13">
        <f t="array" ref="BC38">INDEX(BB:BB,MIN(IF(ISNUMBER(BB38:BB234),ROW(BB38:BB234),"")))</f>
        <v>21.9</v>
      </c>
      <c r="BD38" s="13">
        <f>IF('Données projet'!$A$88&gt;35,BD37+BC38-BL37,IF(A38&lt;'Données projet'!$A$88,$BA$205^A38,IF(A38='Données projet'!$A$88,'Données projet'!$B$88,BD37+BC38-BL37)))</f>
        <v>545.90000000000009</v>
      </c>
      <c r="BE38" s="14">
        <f>BD38*VLOOKUP('Données projet'!$B$11,Paramètres!$A$1:$I$89,3,0)*VLOOKUP('Données projet'!$B$11,Paramètres!$A$1:$I$89,5,0)</f>
        <v>305.15810000000005</v>
      </c>
      <c r="BF38" s="14">
        <f t="shared" si="37"/>
        <v>72.256724159681056</v>
      </c>
      <c r="BG38" s="22">
        <f t="shared" si="7"/>
        <v>657.33081874477784</v>
      </c>
      <c r="BH38" s="62">
        <f t="shared" si="8"/>
        <v>950.6641520781111</v>
      </c>
      <c r="BI38" s="62">
        <f ca="1">AVERAGE(OFFSET($BH$3,0,0,'Données projet'!$E$11+1,1))-AVERAGE(OFFSET($H$3,0,0,'Données projet'!$E$11+1,1))</f>
        <v>415.52119746518764</v>
      </c>
      <c r="BJ38" s="62">
        <f t="shared" si="38"/>
        <v>490.11217551185604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109.3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0.20372043435837936</v>
      </c>
      <c r="BS38" s="24">
        <f t="shared" si="9"/>
        <v>0.20372043435837936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200</v>
      </c>
      <c r="BW38" s="13">
        <f>VLOOKUP(A38,'Données projet'!$A$113:$I$133,9,0)</f>
        <v>10.6</v>
      </c>
      <c r="BX38" s="13">
        <f t="array" ref="BX38">INDEX(BW:BW,MIN(IF(ISNUMBER(BW38:BW234),ROW(BW38:BW234),"")))</f>
        <v>10.6</v>
      </c>
      <c r="BY38" s="13">
        <f>IF('Données projet'!$A$114&gt;35,BY37+BX38-CG37,IF(A38&lt;'Données projet'!$A$114,$BV$205^A38,IF(A38='Données projet'!$A$114,'Données projet'!$B$114,BY37+BX38-CG37)))</f>
        <v>199.99999999999994</v>
      </c>
      <c r="BZ38" s="14">
        <f>BY38*VLOOKUP('Données projet'!$B$12,Paramètres!$A$1:$I$89,3,0)*VLOOKUP('Données projet'!$B$12,Paramètres!$A$1:$I$89,5,0)</f>
        <v>159.11999999999995</v>
      </c>
      <c r="CA38" s="14">
        <f t="shared" si="39"/>
        <v>40.643965284387697</v>
      </c>
      <c r="CB38" s="22">
        <f t="shared" si="10"/>
        <v>347.92223953697516</v>
      </c>
      <c r="CC38" s="62">
        <f t="shared" si="11"/>
        <v>641.25557287030847</v>
      </c>
      <c r="CD38" s="62">
        <f ca="1">AVERAGE(OFFSET($CC$3,0,0,'Données projet'!$E$12+1,1))-AVERAGE(OFFSET($H$3,0,0,'Données projet'!$E$12+1,1))</f>
        <v>232.53653575369032</v>
      </c>
      <c r="CE38" s="62">
        <f t="shared" si="40"/>
        <v>219.59799863414099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155.76923076923077</v>
      </c>
      <c r="CR38" s="13">
        <f>VLOOKUP(A38,'Données projet'!$A$139:$I$159,9,0)</f>
        <v>7.1794871794871824</v>
      </c>
      <c r="CS38" s="13">
        <f t="array" ref="CS38">INDEX(CR:CR,MIN(IF(ISNUMBER(CR38:CR234),ROW(CR38:CR234),"")))</f>
        <v>7.1794871794871824</v>
      </c>
      <c r="CT38" s="13">
        <f>IF('Données projet'!$A$140&gt;35,CT37+CS38-DB37,IF(A38&lt;'Données projet'!$A$140,$CQ$205^A38,IF(A38='Données projet'!$A$140,'Données projet'!$B$140,CT37+CS38-DB37)))</f>
        <v>155.76923076923077</v>
      </c>
      <c r="CU38" s="18">
        <f>CT38*VLOOKUP('Données projet'!$B$13,Paramètres!$A$1:$I$89,3,0)*VLOOKUP('Données projet'!$B$13,Paramètres!$A$1:$I$89,5,0)</f>
        <v>104.49</v>
      </c>
      <c r="CV38" s="14">
        <f t="shared" si="41"/>
        <v>28.028928490951767</v>
      </c>
      <c r="CW38" s="22">
        <f t="shared" si="13"/>
        <v>230.80380045507431</v>
      </c>
      <c r="CX38" s="62">
        <f t="shared" si="14"/>
        <v>524.1371337884076</v>
      </c>
      <c r="CY38" s="62">
        <f ca="1">AVERAGE(OFFSET($CX$3,0,0,'Données projet'!$E$13+1,1))-AVERAGE(OFFSET($H$3,0,0,'Données projet'!$E$13+1,1))</f>
        <v>191.58722091189202</v>
      </c>
      <c r="CZ38" s="62">
        <f t="shared" si="42"/>
        <v>140.7542783756906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31.410256410256409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12.4</v>
      </c>
      <c r="N39" s="14">
        <f>IF('Données projet'!$A$36&gt;35,N38+M39-V38,IF(A39&lt;'Données projet'!$A$36,$K$205^A39,IF(A39='Données projet'!$A$36,'Données projet'!$B$36,N38+M39-V38)))</f>
        <v>158.4</v>
      </c>
      <c r="O39" s="14">
        <f>N39*VLOOKUP('Données projet'!$B$9,Paramètres!$A$1:$I$89,3,0)*VLOOKUP('Données projet'!$B$9,Paramètres!$A$1:$I$89,5,0)</f>
        <v>94.723200000000006</v>
      </c>
      <c r="P39" s="14">
        <f t="shared" si="33"/>
        <v>25.700933959119112</v>
      </c>
      <c r="Q39" s="22">
        <f t="shared" si="53"/>
        <v>209.7386999787991</v>
      </c>
      <c r="R39" s="62">
        <f t="shared" si="0"/>
        <v>503.07203331213242</v>
      </c>
      <c r="S39" s="62">
        <f ca="1">AVERAGE(OFFSET($R$3,0,0,'Données projet'!$E$9+1,1))-AVERAGE(OFFSET($H$3,0,0,'Données projet'!$E$9+1,1))</f>
        <v>217.20547328702645</v>
      </c>
      <c r="T39" s="62">
        <f t="shared" si="34"/>
        <v>137.55906339137317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0.22442074828345995</v>
      </c>
      <c r="AC39" s="24">
        <f t="shared" si="3"/>
        <v>0.22442074828345995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105.79999999999995</v>
      </c>
      <c r="AJ39" s="14">
        <f>AI39*VLOOKUP('Données projet'!$B$10,Paramètres!$A$1:$I$89,3,0)*VLOOKUP('Données projet'!$B$10,Paramètres!$A$1:$I$89,5,0)</f>
        <v>95.727839999999958</v>
      </c>
      <c r="AK39" s="14">
        <f t="shared" si="35"/>
        <v>25.941642560384413</v>
      </c>
      <c r="AL39" s="22">
        <f t="shared" si="4"/>
        <v>211.90768212600278</v>
      </c>
      <c r="AM39" s="62">
        <f t="shared" si="5"/>
        <v>505.2410154593361</v>
      </c>
      <c r="AN39" s="62">
        <f ca="1">AVERAGE(OFFSET($AM$3,0,0,'Données projet'!$E$10+1,1))-AVERAGE(OFFSET($H$3,0,0,'Données projet'!$E$10+1,1))</f>
        <v>305.35633273533773</v>
      </c>
      <c r="AO39" s="62">
        <f t="shared" si="36"/>
        <v>156.67965022779896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21.300000000000011</v>
      </c>
      <c r="BD39" s="13">
        <f>IF('Données projet'!$A$88&gt;35,BD38+BC39-BL38,IF(A39&lt;'Données projet'!$A$88,$BA$205^A39,IF(A39='Données projet'!$A$88,'Données projet'!$B$88,BD38+BC39-BL38)))</f>
        <v>457.90000000000003</v>
      </c>
      <c r="BE39" s="14">
        <f>BD39*VLOOKUP('Données projet'!$B$11,Paramètres!$A$1:$I$89,3,0)*VLOOKUP('Données projet'!$B$11,Paramètres!$A$1:$I$89,5,0)</f>
        <v>255.96610000000004</v>
      </c>
      <c r="BF39" s="14">
        <f t="shared" si="37"/>
        <v>61.861732535337616</v>
      </c>
      <c r="BG39" s="22">
        <f t="shared" si="7"/>
        <v>553.55014166571311</v>
      </c>
      <c r="BH39" s="62">
        <f t="shared" si="8"/>
        <v>846.88347499904648</v>
      </c>
      <c r="BI39" s="62">
        <f ca="1">AVERAGE(OFFSET($BH$3,0,0,'Données projet'!$E$11+1,1))-AVERAGE(OFFSET($H$3,0,0,'Données projet'!$E$11+1,1))</f>
        <v>415.52119746518764</v>
      </c>
      <c r="BJ39" s="62">
        <f t="shared" si="38"/>
        <v>490.11217551185604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0.14405210060107898</v>
      </c>
      <c r="BS39" s="24">
        <f t="shared" si="9"/>
        <v>0.14405210060107898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9.6</v>
      </c>
      <c r="BY39" s="13">
        <f>IF('Données projet'!$A$114&gt;35,BY38+BX39-CG38,IF(A39&lt;'Données projet'!$A$114,$BV$205^A39,IF(A39='Données projet'!$A$114,'Données projet'!$B$114,BY38+BX39-CG38)))</f>
        <v>153.59999999999994</v>
      </c>
      <c r="BZ39" s="14">
        <f>BY39*VLOOKUP('Données projet'!$B$12,Paramètres!$A$1:$I$89,3,0)*VLOOKUP('Données projet'!$B$12,Paramètres!$A$1:$I$89,5,0)</f>
        <v>122.20415999999996</v>
      </c>
      <c r="CA39" s="14">
        <f t="shared" si="39"/>
        <v>32.188537573102444</v>
      </c>
      <c r="CB39" s="22">
        <f t="shared" si="10"/>
        <v>268.90061493982</v>
      </c>
      <c r="CC39" s="62">
        <f t="shared" si="11"/>
        <v>562.23394827315337</v>
      </c>
      <c r="CD39" s="62">
        <f ca="1">AVERAGE(OFFSET($CC$3,0,0,'Données projet'!$E$12+1,1))-AVERAGE(OFFSET($H$3,0,0,'Données projet'!$E$12+1,1))</f>
        <v>232.53653575369032</v>
      </c>
      <c r="CE39" s="62">
        <f t="shared" si="40"/>
        <v>219.59799863414099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6.9230769230769225</v>
      </c>
      <c r="CT39" s="13">
        <f>IF('Données projet'!$A$140&gt;35,CT38+CS39-DB38,IF(A39&lt;'Données projet'!$A$140,$CQ$205^A39,IF(A39='Données projet'!$A$140,'Données projet'!$B$140,CT38+CS39-DB38)))</f>
        <v>131.2820512820513</v>
      </c>
      <c r="CU39" s="18">
        <f>CT39*VLOOKUP('Données projet'!$B$13,Paramètres!$A$1:$I$89,3,0)*VLOOKUP('Données projet'!$B$13,Paramètres!$A$1:$I$89,5,0)</f>
        <v>88.064000000000007</v>
      </c>
      <c r="CV39" s="14">
        <f t="shared" si="41"/>
        <v>24.097719124688673</v>
      </c>
      <c r="CW39" s="22">
        <f t="shared" si="13"/>
        <v>195.34832747549947</v>
      </c>
      <c r="CX39" s="62">
        <f t="shared" si="14"/>
        <v>488.68166080883282</v>
      </c>
      <c r="CY39" s="62">
        <f ca="1">AVERAGE(OFFSET($CX$3,0,0,'Données projet'!$E$13+1,1))-AVERAGE(OFFSET($H$3,0,0,'Données projet'!$E$13+1,1))</f>
        <v>191.58722091189202</v>
      </c>
      <c r="CZ39" s="62">
        <f t="shared" si="42"/>
        <v>140.7542783756906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12.4</v>
      </c>
      <c r="N40" s="14">
        <f>IF('Données projet'!$A$36&gt;35,N39+M40-V39,IF(A40&lt;'Données projet'!$A$36,$K$205^A40,IF(A40='Données projet'!$A$36,'Données projet'!$B$36,N39+M40-V39)))</f>
        <v>170.8</v>
      </c>
      <c r="O40" s="14">
        <f>N40*VLOOKUP('Données projet'!$B$9,Paramètres!$A$1:$I$89,3,0)*VLOOKUP('Données projet'!$B$9,Paramètres!$A$1:$I$89,5,0)</f>
        <v>102.13840000000002</v>
      </c>
      <c r="P40" s="14">
        <f t="shared" si="33"/>
        <v>27.470812821300004</v>
      </c>
      <c r="Q40" s="22">
        <f t="shared" si="53"/>
        <v>225.7360456637642</v>
      </c>
      <c r="R40" s="62">
        <f t="shared" si="0"/>
        <v>519.06937899709749</v>
      </c>
      <c r="S40" s="62">
        <f ca="1">AVERAGE(OFFSET($R$3,0,0,'Données projet'!$E$9+1,1))-AVERAGE(OFFSET($H$3,0,0,'Données projet'!$E$9+1,1))</f>
        <v>217.20547328702645</v>
      </c>
      <c r="T40" s="62">
        <f t="shared" si="34"/>
        <v>137.55906339137317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0.15868943295019378</v>
      </c>
      <c r="AC40" s="24">
        <f t="shared" si="3"/>
        <v>0.15868943295019378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113.59999999999995</v>
      </c>
      <c r="AJ40" s="14">
        <f>AI40*VLOOKUP('Données projet'!$B$10,Paramètres!$A$1:$I$89,3,0)*VLOOKUP('Données projet'!$B$10,Paramètres!$A$1:$I$89,5,0)</f>
        <v>102.78527999999994</v>
      </c>
      <c r="AK40" s="14">
        <f t="shared" si="35"/>
        <v>27.624487443976509</v>
      </c>
      <c r="AL40" s="22">
        <f t="shared" si="4"/>
        <v>227.13034496492563</v>
      </c>
      <c r="AM40" s="62">
        <f t="shared" si="5"/>
        <v>520.46367829825897</v>
      </c>
      <c r="AN40" s="62">
        <f ca="1">AVERAGE(OFFSET($AM$3,0,0,'Données projet'!$E$10+1,1))-AVERAGE(OFFSET($H$3,0,0,'Données projet'!$E$10+1,1))</f>
        <v>305.35633273533773</v>
      </c>
      <c r="AO40" s="62">
        <f t="shared" si="36"/>
        <v>156.67965022779896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21.300000000000011</v>
      </c>
      <c r="BD40" s="13">
        <f>IF('Données projet'!$A$88&gt;35,BD39+BC40-BL39,IF(A40&lt;'Données projet'!$A$88,$BA$205^A40,IF(A40='Données projet'!$A$88,'Données projet'!$B$88,BD39+BC40-BL39)))</f>
        <v>479.20000000000005</v>
      </c>
      <c r="BE40" s="14">
        <f>BD40*VLOOKUP('Données projet'!$B$11,Paramètres!$A$1:$I$89,3,0)*VLOOKUP('Données projet'!$B$11,Paramètres!$A$1:$I$89,5,0)</f>
        <v>267.87280000000004</v>
      </c>
      <c r="BF40" s="14">
        <f t="shared" si="37"/>
        <v>64.397616150255317</v>
      </c>
      <c r="BG40" s="22">
        <f t="shared" si="7"/>
        <v>578.70430812836139</v>
      </c>
      <c r="BH40" s="62">
        <f t="shared" si="8"/>
        <v>872.03764146169465</v>
      </c>
      <c r="BI40" s="62">
        <f ca="1">AVERAGE(OFFSET($BH$3,0,0,'Données projet'!$E$11+1,1))-AVERAGE(OFFSET($H$3,0,0,'Données projet'!$E$11+1,1))</f>
        <v>415.52119746518764</v>
      </c>
      <c r="BJ40" s="62">
        <f t="shared" si="38"/>
        <v>490.11217551185604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0.10186021717918969</v>
      </c>
      <c r="BS40" s="24">
        <f t="shared" si="9"/>
        <v>0.10186021717918969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9.6</v>
      </c>
      <c r="BY40" s="13">
        <f>IF('Données projet'!$A$114&gt;35,BY39+BX40-CG39,IF(A40&lt;'Données projet'!$A$114,$BV$205^A40,IF(A40='Données projet'!$A$114,'Données projet'!$B$114,BY39+BX40-CG39)))</f>
        <v>163.19999999999993</v>
      </c>
      <c r="BZ40" s="14">
        <f>BY40*VLOOKUP('Données projet'!$B$12,Paramètres!$A$1:$I$89,3,0)*VLOOKUP('Données projet'!$B$12,Paramètres!$A$1:$I$89,5,0)</f>
        <v>129.84191999999996</v>
      </c>
      <c r="CA40" s="14">
        <f t="shared" si="39"/>
        <v>33.959829099416822</v>
      </c>
      <c r="CB40" s="22">
        <f t="shared" si="10"/>
        <v>285.28804634815089</v>
      </c>
      <c r="CC40" s="62">
        <f t="shared" si="11"/>
        <v>578.6213796814842</v>
      </c>
      <c r="CD40" s="62">
        <f ca="1">AVERAGE(OFFSET($CC$3,0,0,'Données projet'!$E$12+1,1))-AVERAGE(OFFSET($H$3,0,0,'Données projet'!$E$12+1,1))</f>
        <v>232.53653575369032</v>
      </c>
      <c r="CE40" s="62">
        <f t="shared" si="40"/>
        <v>219.59799863414099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6.9230769230769225</v>
      </c>
      <c r="CT40" s="13">
        <f>IF('Données projet'!$A$140&gt;35,CT39+CS40-DB39,IF(A40&lt;'Données projet'!$A$140,$CQ$205^A40,IF(A40='Données projet'!$A$140,'Données projet'!$B$140,CT39+CS40-DB39)))</f>
        <v>138.20512820512823</v>
      </c>
      <c r="CU40" s="18">
        <f>CT40*VLOOKUP('Données projet'!$B$13,Paramètres!$A$1:$I$89,3,0)*VLOOKUP('Données projet'!$B$13,Paramètres!$A$1:$I$89,5,0)</f>
        <v>92.708000000000027</v>
      </c>
      <c r="CV40" s="14">
        <f t="shared" si="41"/>
        <v>25.217198292374437</v>
      </c>
      <c r="CW40" s="22">
        <f t="shared" si="13"/>
        <v>205.38638702588551</v>
      </c>
      <c r="CX40" s="62">
        <f t="shared" si="14"/>
        <v>498.71972035921885</v>
      </c>
      <c r="CY40" s="62">
        <f ca="1">AVERAGE(OFFSET($CX$3,0,0,'Données projet'!$E$13+1,1))-AVERAGE(OFFSET($H$3,0,0,'Données projet'!$E$13+1,1))</f>
        <v>191.58722091189202</v>
      </c>
      <c r="CZ40" s="62">
        <f t="shared" si="42"/>
        <v>140.7542783756906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12.4</v>
      </c>
      <c r="N41" s="14">
        <f>IF('Données projet'!$A$36&gt;35,N40+M41-V40,IF(A41&lt;'Données projet'!$A$36,$K$205^A41,IF(A41='Données projet'!$A$36,'Données projet'!$B$36,N40+M41-V40)))</f>
        <v>183.20000000000002</v>
      </c>
      <c r="O41" s="14">
        <f>N41*VLOOKUP('Données projet'!$B$9,Paramètres!$A$1:$I$89,3,0)*VLOOKUP('Données projet'!$B$9,Paramètres!$A$1:$I$89,5,0)</f>
        <v>109.55360000000002</v>
      </c>
      <c r="P41" s="14">
        <f t="shared" si="33"/>
        <v>29.225784372214765</v>
      </c>
      <c r="Q41" s="22">
        <f t="shared" si="53"/>
        <v>241.70742778160744</v>
      </c>
      <c r="R41" s="62">
        <f t="shared" si="0"/>
        <v>535.04076111494078</v>
      </c>
      <c r="S41" s="62">
        <f ca="1">AVERAGE(OFFSET($R$3,0,0,'Données projet'!$E$9+1,1))-AVERAGE(OFFSET($H$3,0,0,'Données projet'!$E$9+1,1))</f>
        <v>217.20547328702645</v>
      </c>
      <c r="T41" s="62">
        <f t="shared" si="34"/>
        <v>137.55906339137317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0.11221037414172998</v>
      </c>
      <c r="AC41" s="24">
        <f t="shared" si="3"/>
        <v>0.11221037414172998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121.39999999999995</v>
      </c>
      <c r="AJ41" s="14">
        <f>AI41*VLOOKUP('Données projet'!$B$10,Paramètres!$A$1:$I$89,3,0)*VLOOKUP('Données projet'!$B$10,Paramètres!$A$1:$I$89,5,0)</f>
        <v>109.84271999999994</v>
      </c>
      <c r="AK41" s="14">
        <f t="shared" si="35"/>
        <v>29.293925092514947</v>
      </c>
      <c r="AL41" s="22">
        <f t="shared" si="4"/>
        <v>242.32965686946343</v>
      </c>
      <c r="AM41" s="62">
        <f t="shared" si="5"/>
        <v>535.66299020279678</v>
      </c>
      <c r="AN41" s="62">
        <f ca="1">AVERAGE(OFFSET($AM$3,0,0,'Données projet'!$E$10+1,1))-AVERAGE(OFFSET($H$3,0,0,'Données projet'!$E$10+1,1))</f>
        <v>305.35633273533773</v>
      </c>
      <c r="AO41" s="62">
        <f t="shared" si="36"/>
        <v>156.67965022779896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21.300000000000011</v>
      </c>
      <c r="BD41" s="13">
        <f>IF('Données projet'!$A$88&gt;35,BD40+BC41-BL40,IF(A41&lt;'Données projet'!$A$88,$BA$205^A41,IF(A41='Données projet'!$A$88,'Données projet'!$B$88,BD40+BC41-BL40)))</f>
        <v>500.50000000000006</v>
      </c>
      <c r="BE41" s="14">
        <f>BD41*VLOOKUP('Données projet'!$B$11,Paramètres!$A$1:$I$89,3,0)*VLOOKUP('Données projet'!$B$11,Paramètres!$A$1:$I$89,5,0)</f>
        <v>279.77950000000004</v>
      </c>
      <c r="BF41" s="14">
        <f t="shared" si="37"/>
        <v>66.920408756154785</v>
      </c>
      <c r="BG41" s="22">
        <f t="shared" si="7"/>
        <v>603.83567441696971</v>
      </c>
      <c r="BH41" s="62">
        <f t="shared" si="8"/>
        <v>897.16900775030308</v>
      </c>
      <c r="BI41" s="62">
        <f ca="1">AVERAGE(OFFSET($BH$3,0,0,'Données projet'!$E$11+1,1))-AVERAGE(OFFSET($H$3,0,0,'Données projet'!$E$11+1,1))</f>
        <v>415.52119746518764</v>
      </c>
      <c r="BJ41" s="62">
        <f t="shared" si="38"/>
        <v>490.11217551185604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7.2026050300539504E-2</v>
      </c>
      <c r="BS41" s="24">
        <f t="shared" si="9"/>
        <v>7.2026050300539504E-2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9.6</v>
      </c>
      <c r="BY41" s="13">
        <f>IF('Données projet'!$A$114&gt;35,BY40+BX41-CG40,IF(A41&lt;'Données projet'!$A$114,$BV$205^A41,IF(A41='Données projet'!$A$114,'Données projet'!$B$114,BY40+BX41-CG40)))</f>
        <v>172.79999999999993</v>
      </c>
      <c r="BZ41" s="14">
        <f>BY41*VLOOKUP('Données projet'!$B$12,Paramètres!$A$1:$I$89,3,0)*VLOOKUP('Données projet'!$B$12,Paramètres!$A$1:$I$89,5,0)</f>
        <v>137.47967999999995</v>
      </c>
      <c r="CA41" s="14">
        <f t="shared" si="39"/>
        <v>35.719026553355249</v>
      </c>
      <c r="CB41" s="22">
        <f t="shared" si="10"/>
        <v>301.65441391376027</v>
      </c>
      <c r="CC41" s="62">
        <f t="shared" si="11"/>
        <v>594.98774724709358</v>
      </c>
      <c r="CD41" s="62">
        <f ca="1">AVERAGE(OFFSET($CC$3,0,0,'Données projet'!$E$12+1,1))-AVERAGE(OFFSET($H$3,0,0,'Données projet'!$E$12+1,1))</f>
        <v>232.53653575369032</v>
      </c>
      <c r="CE41" s="62">
        <f t="shared" si="40"/>
        <v>219.59799863414099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6.9230769230769225</v>
      </c>
      <c r="CT41" s="13">
        <f>IF('Données projet'!$A$140&gt;35,CT40+CS41-DB40,IF(A41&lt;'Données projet'!$A$140,$CQ$205^A41,IF(A41='Données projet'!$A$140,'Données projet'!$B$140,CT40+CS41-DB40)))</f>
        <v>145.12820512820517</v>
      </c>
      <c r="CU41" s="18">
        <f>CT41*VLOOKUP('Données projet'!$B$13,Paramètres!$A$1:$I$89,3,0)*VLOOKUP('Données projet'!$B$13,Paramètres!$A$1:$I$89,5,0)</f>
        <v>97.352000000000032</v>
      </c>
      <c r="CV41" s="14">
        <f t="shared" si="41"/>
        <v>26.330166121651178</v>
      </c>
      <c r="CW41" s="22">
        <f t="shared" si="13"/>
        <v>215.41310599520918</v>
      </c>
      <c r="CX41" s="62">
        <f t="shared" si="14"/>
        <v>508.74643932854246</v>
      </c>
      <c r="CY41" s="62">
        <f ca="1">AVERAGE(OFFSET($CX$3,0,0,'Données projet'!$E$13+1,1))-AVERAGE(OFFSET($H$3,0,0,'Données projet'!$E$13+1,1))</f>
        <v>191.58722091189202</v>
      </c>
      <c r="CZ41" s="62">
        <f t="shared" si="42"/>
        <v>140.7542783756906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12.4</v>
      </c>
      <c r="N42" s="14">
        <f>IF('Données projet'!$A$36&gt;35,N41+M42-V41,IF(A42&lt;'Données projet'!$A$36,$K$205^A42,IF(A42='Données projet'!$A$36,'Données projet'!$B$36,N41+M42-V41)))</f>
        <v>195.60000000000002</v>
      </c>
      <c r="O42" s="14">
        <f>N42*VLOOKUP('Données projet'!$B$9,Paramètres!$A$1:$I$89,3,0)*VLOOKUP('Données projet'!$B$9,Paramètres!$A$1:$I$89,5,0)</f>
        <v>116.96880000000002</v>
      </c>
      <c r="P42" s="14">
        <f t="shared" si="33"/>
        <v>30.966972418998537</v>
      </c>
      <c r="Q42" s="22">
        <f t="shared" si="53"/>
        <v>257.6548036297558</v>
      </c>
      <c r="R42" s="62">
        <f t="shared" si="0"/>
        <v>550.98813696308912</v>
      </c>
      <c r="S42" s="62">
        <f ca="1">AVERAGE(OFFSET($R$3,0,0,'Données projet'!$E$9+1,1))-AVERAGE(OFFSET($H$3,0,0,'Données projet'!$E$9+1,1))</f>
        <v>217.20547328702645</v>
      </c>
      <c r="T42" s="62">
        <f t="shared" si="34"/>
        <v>137.55906339137317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7.9344716475096888E-2</v>
      </c>
      <c r="AC42" s="24">
        <f t="shared" si="3"/>
        <v>7.9344716475096888E-2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129.19999999999996</v>
      </c>
      <c r="AJ42" s="14">
        <f>AI42*VLOOKUP('Données projet'!$B$10,Paramètres!$A$1:$I$89,3,0)*VLOOKUP('Données projet'!$B$10,Paramètres!$A$1:$I$89,5,0)</f>
        <v>116.90015999999997</v>
      </c>
      <c r="AK42" s="14">
        <f t="shared" si="35"/>
        <v>30.950914970772502</v>
      </c>
      <c r="AL42" s="22">
        <f t="shared" si="4"/>
        <v>257.50728890742869</v>
      </c>
      <c r="AM42" s="62">
        <f t="shared" si="5"/>
        <v>550.84062224076206</v>
      </c>
      <c r="AN42" s="62">
        <f ca="1">AVERAGE(OFFSET($AM$3,0,0,'Données projet'!$E$10+1,1))-AVERAGE(OFFSET($H$3,0,0,'Données projet'!$E$10+1,1))</f>
        <v>305.35633273533773</v>
      </c>
      <c r="AO42" s="62">
        <f t="shared" si="36"/>
        <v>156.67965022779896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21.300000000000011</v>
      </c>
      <c r="BD42" s="13">
        <f>IF('Données projet'!$A$88&gt;35,BD41+BC42-BL41,IF(A42&lt;'Données projet'!$A$88,$BA$205^A42,IF(A42='Données projet'!$A$88,'Données projet'!$B$88,BD41+BC42-BL41)))</f>
        <v>521.80000000000007</v>
      </c>
      <c r="BE42" s="14">
        <f>BD42*VLOOKUP('Données projet'!$B$11,Paramètres!$A$1:$I$89,3,0)*VLOOKUP('Données projet'!$B$11,Paramètres!$A$1:$I$89,5,0)</f>
        <v>291.68620000000004</v>
      </c>
      <c r="BF42" s="14">
        <f t="shared" si="37"/>
        <v>69.430731166048346</v>
      </c>
      <c r="BG42" s="22">
        <f t="shared" si="7"/>
        <v>628.94532178086763</v>
      </c>
      <c r="BH42" s="62">
        <f t="shared" si="8"/>
        <v>922.278655114201</v>
      </c>
      <c r="BI42" s="62">
        <f ca="1">AVERAGE(OFFSET($BH$3,0,0,'Données projet'!$E$11+1,1))-AVERAGE(OFFSET($H$3,0,0,'Données projet'!$E$11+1,1))</f>
        <v>415.52119746518764</v>
      </c>
      <c r="BJ42" s="62">
        <f t="shared" si="38"/>
        <v>490.11217551185604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5.0930108589594854E-2</v>
      </c>
      <c r="BS42" s="24">
        <f t="shared" si="9"/>
        <v>5.0930108589594854E-2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9.6</v>
      </c>
      <c r="BY42" s="13">
        <f>IF('Données projet'!$A$114&gt;35,BY41+BX42-CG41,IF(A42&lt;'Données projet'!$A$114,$BV$205^A42,IF(A42='Données projet'!$A$114,'Données projet'!$B$114,BY41+BX42-CG41)))</f>
        <v>182.39999999999992</v>
      </c>
      <c r="BZ42" s="14">
        <f>BY42*VLOOKUP('Données projet'!$B$12,Paramètres!$A$1:$I$89,3,0)*VLOOKUP('Données projet'!$B$12,Paramètres!$A$1:$I$89,5,0)</f>
        <v>145.11743999999993</v>
      </c>
      <c r="CA42" s="14">
        <f t="shared" si="39"/>
        <v>37.466878406916173</v>
      </c>
      <c r="CB42" s="22">
        <f t="shared" si="10"/>
        <v>318.00102122537891</v>
      </c>
      <c r="CC42" s="62">
        <f t="shared" si="11"/>
        <v>611.33435455871222</v>
      </c>
      <c r="CD42" s="62">
        <f ca="1">AVERAGE(OFFSET($CC$3,0,0,'Données projet'!$E$12+1,1))-AVERAGE(OFFSET($H$3,0,0,'Données projet'!$E$12+1,1))</f>
        <v>232.53653575369032</v>
      </c>
      <c r="CE42" s="62">
        <f t="shared" si="40"/>
        <v>219.59799863414099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6.9230769230769225</v>
      </c>
      <c r="CT42" s="13">
        <f>IF('Données projet'!$A$140&gt;35,CT41+CS42-DB41,IF(A42&lt;'Données projet'!$A$140,$CQ$205^A42,IF(A42='Données projet'!$A$140,'Données projet'!$B$140,CT41+CS42-DB41)))</f>
        <v>152.0512820512821</v>
      </c>
      <c r="CU42" s="18">
        <f>CT42*VLOOKUP('Données projet'!$B$13,Paramètres!$A$1:$I$89,3,0)*VLOOKUP('Données projet'!$B$13,Paramètres!$A$1:$I$89,5,0)</f>
        <v>101.99600000000004</v>
      </c>
      <c r="CV42" s="14">
        <f t="shared" si="41"/>
        <v>27.436968686812364</v>
      </c>
      <c r="CW42" s="22">
        <f t="shared" si="13"/>
        <v>225.42908712953158</v>
      </c>
      <c r="CX42" s="62">
        <f t="shared" si="14"/>
        <v>518.76242046286484</v>
      </c>
      <c r="CY42" s="62">
        <f ca="1">AVERAGE(OFFSET($CX$3,0,0,'Données projet'!$E$13+1,1))-AVERAGE(OFFSET($H$3,0,0,'Données projet'!$E$13+1,1))</f>
        <v>191.58722091189202</v>
      </c>
      <c r="CZ42" s="62">
        <f t="shared" si="42"/>
        <v>140.7542783756906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208</v>
      </c>
      <c r="L43" s="13">
        <f>VLOOKUP(A43,'Données projet'!$A$35:$I$55,9,0)</f>
        <v>12.4</v>
      </c>
      <c r="M43" s="13">
        <f t="array" ref="M43">INDEX(L:L,MIN(IF(ISNUMBER(L43:L239),ROW(L43:L239),"")))</f>
        <v>12.4</v>
      </c>
      <c r="N43" s="14">
        <f>IF('Données projet'!$A$36&gt;35,N42+M43-V42,IF(A43&lt;'Données projet'!$A$36,$K$205^A43,IF(A43='Données projet'!$A$36,'Données projet'!$B$36,N42+M43-V42)))</f>
        <v>208.00000000000003</v>
      </c>
      <c r="O43" s="14">
        <f>N43*VLOOKUP('Données projet'!$B$9,Paramètres!$A$1:$I$89,3,0)*VLOOKUP('Données projet'!$B$9,Paramètres!$A$1:$I$89,5,0)</f>
        <v>124.38400000000003</v>
      </c>
      <c r="P43" s="14">
        <f t="shared" si="33"/>
        <v>32.695350227217695</v>
      </c>
      <c r="Q43" s="22">
        <f t="shared" si="53"/>
        <v>273.57986831240419</v>
      </c>
      <c r="R43" s="62">
        <f t="shared" si="0"/>
        <v>566.91320164573744</v>
      </c>
      <c r="S43" s="62">
        <f ca="1">AVERAGE(OFFSET($R$3,0,0,'Données projet'!$E$9+1,1))-AVERAGE(OFFSET($H$3,0,0,'Données projet'!$E$9+1,1))</f>
        <v>217.20547328702645</v>
      </c>
      <c r="T43" s="62">
        <f t="shared" si="34"/>
        <v>137.55906339137317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34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5.6105187070864988E-2</v>
      </c>
      <c r="AC43" s="24">
        <f t="shared" si="3"/>
        <v>5.6105187070864988E-2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136.99999999999997</v>
      </c>
      <c r="AJ43" s="14">
        <f>AI43*VLOOKUP('Données projet'!$B$10,Paramètres!$A$1:$I$89,3,0)*VLOOKUP('Données projet'!$B$10,Paramètres!$A$1:$I$89,5,0)</f>
        <v>123.95759999999997</v>
      </c>
      <c r="AK43" s="14">
        <f t="shared" si="35"/>
        <v>32.59629414926458</v>
      </c>
      <c r="AL43" s="22">
        <f t="shared" si="4"/>
        <v>272.66469897663575</v>
      </c>
      <c r="AM43" s="62">
        <f t="shared" si="5"/>
        <v>565.99803230996906</v>
      </c>
      <c r="AN43" s="62">
        <f ca="1">AVERAGE(OFFSET($AM$3,0,0,'Données projet'!$E$10+1,1))-AVERAGE(OFFSET($H$3,0,0,'Données projet'!$E$10+1,1))</f>
        <v>305.35633273533773</v>
      </c>
      <c r="AO43" s="62">
        <f t="shared" si="36"/>
        <v>156.67965022779896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543.1</v>
      </c>
      <c r="BB43" s="13">
        <f>VLOOKUP(A43,'Données projet'!$A$87:$I$107,9,0)</f>
        <v>21.300000000000011</v>
      </c>
      <c r="BC43" s="13">
        <f t="array" ref="BC43">INDEX(BB:BB,MIN(IF(ISNUMBER(BB43:BB239),ROW(BB43:BB239),"")))</f>
        <v>21.300000000000011</v>
      </c>
      <c r="BD43" s="13">
        <f>IF('Données projet'!$A$88&gt;35,BD42+BC43-BL42,IF(A43&lt;'Données projet'!$A$88,$BA$205^A43,IF(A43='Données projet'!$A$88,'Données projet'!$B$88,BD42+BC43-BL42)))</f>
        <v>543.10000000000014</v>
      </c>
      <c r="BE43" s="14">
        <f>BD43*VLOOKUP('Données projet'!$B$11,Paramètres!$A$1:$I$89,3,0)*VLOOKUP('Données projet'!$B$11,Paramètres!$A$1:$I$89,5,0)</f>
        <v>303.59290000000004</v>
      </c>
      <c r="BF43" s="14">
        <f t="shared" si="37"/>
        <v>71.929150641333649</v>
      </c>
      <c r="BG43" s="22">
        <f t="shared" si="7"/>
        <v>654.03423820032276</v>
      </c>
      <c r="BH43" s="62">
        <f t="shared" si="8"/>
        <v>947.36757153365602</v>
      </c>
      <c r="BI43" s="62">
        <f ca="1">AVERAGE(OFFSET($BH$3,0,0,'Données projet'!$E$11+1,1))-AVERAGE(OFFSET($H$3,0,0,'Données projet'!$E$11+1,1))</f>
        <v>415.52119746518764</v>
      </c>
      <c r="BJ43" s="62">
        <f t="shared" si="38"/>
        <v>490.11217551185604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3.6013025150269752E-2</v>
      </c>
      <c r="BS43" s="24">
        <f t="shared" si="9"/>
        <v>3.6013025150269752E-2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192</v>
      </c>
      <c r="BW43" s="13">
        <f>VLOOKUP(A43,'Données projet'!$A$113:$I$133,9,0)</f>
        <v>9.6</v>
      </c>
      <c r="BX43" s="13">
        <f t="array" ref="BX43">INDEX(BW:BW,MIN(IF(ISNUMBER(BW43:BW239),ROW(BW43:BW239),"")))</f>
        <v>9.6</v>
      </c>
      <c r="BY43" s="13">
        <f>IF('Données projet'!$A$114&gt;35,BY42+BX43-CG42,IF(A43&lt;'Données projet'!$A$114,$BV$205^A43,IF(A43='Données projet'!$A$114,'Données projet'!$B$114,BY42+BX43-CG42)))</f>
        <v>191.99999999999991</v>
      </c>
      <c r="BZ43" s="14">
        <f>BY43*VLOOKUP('Données projet'!$B$12,Paramètres!$A$1:$I$89,3,0)*VLOOKUP('Données projet'!$B$12,Paramètres!$A$1:$I$89,5,0)</f>
        <v>152.75519999999995</v>
      </c>
      <c r="CA43" s="14">
        <f t="shared" si="39"/>
        <v>39.204049895729561</v>
      </c>
      <c r="CB43" s="22">
        <f t="shared" si="10"/>
        <v>334.32902690172887</v>
      </c>
      <c r="CC43" s="62">
        <f t="shared" si="11"/>
        <v>627.66236023506212</v>
      </c>
      <c r="CD43" s="62">
        <f ca="1">AVERAGE(OFFSET($CC$3,0,0,'Données projet'!$E$12+1,1))-AVERAGE(OFFSET($H$3,0,0,'Données projet'!$E$12+1,1))</f>
        <v>232.53653575369032</v>
      </c>
      <c r="CE43" s="62">
        <f t="shared" si="40"/>
        <v>219.59799863414099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158.97435897435898</v>
      </c>
      <c r="CR43" s="13">
        <f>VLOOKUP(A43,'Données projet'!$A$139:$I$159,9,0)</f>
        <v>6.9230769230769225</v>
      </c>
      <c r="CS43" s="13">
        <f t="array" ref="CS43">INDEX(CR:CR,MIN(IF(ISNUMBER(CR43:CR239),ROW(CR43:CR239),"")))</f>
        <v>6.9230769230769225</v>
      </c>
      <c r="CT43" s="13">
        <f>IF('Données projet'!$A$140&gt;35,CT42+CS43-DB42,IF(A43&lt;'Données projet'!$A$140,$CQ$205^A43,IF(A43='Données projet'!$A$140,'Données projet'!$B$140,CT42+CS43-DB42)))</f>
        <v>158.97435897435903</v>
      </c>
      <c r="CU43" s="18">
        <f>CT43*VLOOKUP('Données projet'!$B$13,Paramètres!$A$1:$I$89,3,0)*VLOOKUP('Données projet'!$B$13,Paramètres!$A$1:$I$89,5,0)</f>
        <v>106.64000000000003</v>
      </c>
      <c r="CV43" s="14">
        <f t="shared" si="41"/>
        <v>28.537918766434618</v>
      </c>
      <c r="CW43" s="22">
        <f t="shared" si="13"/>
        <v>235.4348751848737</v>
      </c>
      <c r="CX43" s="62">
        <f t="shared" si="14"/>
        <v>528.76820851820708</v>
      </c>
      <c r="CY43" s="62">
        <f ca="1">AVERAGE(OFFSET($CX$3,0,0,'Données projet'!$E$13+1,1))-AVERAGE(OFFSET($H$3,0,0,'Données projet'!$E$13+1,1))</f>
        <v>191.58722091189202</v>
      </c>
      <c r="CZ43" s="62">
        <f t="shared" si="42"/>
        <v>140.7542783756906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14.1</v>
      </c>
      <c r="N44" s="14">
        <f>IF('Données projet'!$A$36&gt;35,N43+M44-V43,IF(A44&lt;'Données projet'!$A$36,$K$205^A44,IF(A44='Données projet'!$A$36,'Données projet'!$B$36,N43+M44-V43)))</f>
        <v>188.10000000000002</v>
      </c>
      <c r="O44" s="14">
        <f>N44*VLOOKUP('Données projet'!$B$9,Paramètres!$A$1:$I$89,3,0)*VLOOKUP('Données projet'!$B$9,Paramètres!$A$1:$I$89,5,0)</f>
        <v>112.48380000000002</v>
      </c>
      <c r="P44" s="14">
        <f t="shared" si="33"/>
        <v>29.915424563902814</v>
      </c>
      <c r="Q44" s="22">
        <f t="shared" si="53"/>
        <v>248.01198278213079</v>
      </c>
      <c r="R44" s="62">
        <f t="shared" si="0"/>
        <v>541.34531611546413</v>
      </c>
      <c r="S44" s="62">
        <f ca="1">AVERAGE(OFFSET($R$3,0,0,'Données projet'!$E$9+1,1))-AVERAGE(OFFSET($H$3,0,0,'Données projet'!$E$9+1,1))</f>
        <v>217.20547328702645</v>
      </c>
      <c r="T44" s="62">
        <f t="shared" si="34"/>
        <v>137.55906339137317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3.9672358237548444E-2</v>
      </c>
      <c r="AC44" s="24">
        <f t="shared" si="3"/>
        <v>3.9672358237548444E-2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145.39999999999998</v>
      </c>
      <c r="AJ44" s="14">
        <f>AI44*VLOOKUP('Données projet'!$B$10,Paramètres!$A$1:$I$89,3,0)*VLOOKUP('Données projet'!$B$10,Paramètres!$A$1:$I$89,5,0)</f>
        <v>131.55791999999997</v>
      </c>
      <c r="AK44" s="14">
        <f t="shared" si="35"/>
        <v>34.3560989338864</v>
      </c>
      <c r="AL44" s="22">
        <f t="shared" si="4"/>
        <v>288.96691630985214</v>
      </c>
      <c r="AM44" s="62">
        <f t="shared" si="5"/>
        <v>582.30024964318545</v>
      </c>
      <c r="AN44" s="62">
        <f ca="1">AVERAGE(OFFSET($AM$3,0,0,'Données projet'!$E$10+1,1))-AVERAGE(OFFSET($H$3,0,0,'Données projet'!$E$10+1,1))</f>
        <v>305.35633273533773</v>
      </c>
      <c r="AO44" s="62">
        <f t="shared" si="36"/>
        <v>156.67965022779896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18.620000000000005</v>
      </c>
      <c r="BD44" s="13">
        <f>IF('Données projet'!$A$88&gt;35,BD43+BC44-BL43,IF(A44&lt;'Données projet'!$A$88,$BA$205^A44,IF(A44='Données projet'!$A$88,'Données projet'!$B$88,BD43+BC44-BL43)))</f>
        <v>561.72000000000014</v>
      </c>
      <c r="BE44" s="14">
        <f>BD44*VLOOKUP('Données projet'!$B$11,Paramètres!$A$1:$I$89,3,0)*VLOOKUP('Données projet'!$B$11,Paramètres!$A$1:$I$89,5,0)</f>
        <v>314.00148000000007</v>
      </c>
      <c r="BF44" s="14">
        <f t="shared" si="37"/>
        <v>74.103873662113301</v>
      </c>
      <c r="BG44" s="22">
        <f t="shared" si="7"/>
        <v>675.9501576281807</v>
      </c>
      <c r="BH44" s="62">
        <f t="shared" si="8"/>
        <v>969.28349096151396</v>
      </c>
      <c r="BI44" s="62">
        <f ca="1">AVERAGE(OFFSET($BH$3,0,0,'Données projet'!$E$11+1,1))-AVERAGE(OFFSET($H$3,0,0,'Données projet'!$E$11+1,1))</f>
        <v>415.52119746518764</v>
      </c>
      <c r="BJ44" s="62">
        <f t="shared" si="38"/>
        <v>490.11217551185604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2.5465054294797427E-2</v>
      </c>
      <c r="BS44" s="24">
        <f t="shared" si="9"/>
        <v>2.5465054294797427E-2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8.1999999999999993</v>
      </c>
      <c r="BY44" s="13">
        <f>IF('Données projet'!$A$114&gt;35,BY43+BX44-CG43,IF(A44&lt;'Données projet'!$A$114,$BV$205^A44,IF(A44='Données projet'!$A$114,'Données projet'!$B$114,BY43+BX44-CG43)))</f>
        <v>200.1999999999999</v>
      </c>
      <c r="BZ44" s="14">
        <f>BY44*VLOOKUP('Données projet'!$B$12,Paramètres!$A$1:$I$89,3,0)*VLOOKUP('Données projet'!$B$12,Paramètres!$A$1:$I$89,5,0)</f>
        <v>159.27911999999992</v>
      </c>
      <c r="CA44" s="14">
        <f t="shared" si="39"/>
        <v>40.679876202753306</v>
      </c>
      <c r="CB44" s="22">
        <f t="shared" si="10"/>
        <v>348.26191838646179</v>
      </c>
      <c r="CC44" s="62">
        <f t="shared" si="11"/>
        <v>641.5952517197951</v>
      </c>
      <c r="CD44" s="62">
        <f ca="1">AVERAGE(OFFSET($CC$3,0,0,'Données projet'!$E$12+1,1))-AVERAGE(OFFSET($H$3,0,0,'Données projet'!$E$12+1,1))</f>
        <v>232.53653575369032</v>
      </c>
      <c r="CE44" s="62">
        <f t="shared" si="40"/>
        <v>219.59799863414099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6.2820512820512819</v>
      </c>
      <c r="CT44" s="13">
        <f>IF('Données projet'!$A$140&gt;35,CT43+CS44-DB43,IF(A44&lt;'Données projet'!$A$140,$CQ$205^A44,IF(A44='Données projet'!$A$140,'Données projet'!$B$140,CT43+CS44-DB43)))</f>
        <v>165.25641025641031</v>
      </c>
      <c r="CU44" s="18">
        <f>CT44*VLOOKUP('Données projet'!$B$13,Paramètres!$A$1:$I$89,3,0)*VLOOKUP('Données projet'!$B$13,Paramètres!$A$1:$I$89,5,0)</f>
        <v>110.85400000000003</v>
      </c>
      <c r="CV44" s="14">
        <f t="shared" si="41"/>
        <v>29.532102980068863</v>
      </c>
      <c r="CW44" s="22">
        <f t="shared" si="13"/>
        <v>244.50579602361998</v>
      </c>
      <c r="CX44" s="62">
        <f t="shared" si="14"/>
        <v>537.83912935695332</v>
      </c>
      <c r="CY44" s="62">
        <f ca="1">AVERAGE(OFFSET($CX$3,0,0,'Données projet'!$E$13+1,1))-AVERAGE(OFFSET($H$3,0,0,'Données projet'!$E$13+1,1))</f>
        <v>191.58722091189202</v>
      </c>
      <c r="CZ44" s="62">
        <f t="shared" si="42"/>
        <v>140.7542783756906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14.1</v>
      </c>
      <c r="N45" s="14">
        <f>IF('Données projet'!$A$36&gt;35,N44+M45-V44,IF(A45&lt;'Données projet'!$A$36,$K$205^A45,IF(A45='Données projet'!$A$36,'Données projet'!$B$36,N44+M45-V44)))</f>
        <v>202.20000000000002</v>
      </c>
      <c r="O45" s="14">
        <f>N45*VLOOKUP('Données projet'!$B$9,Paramètres!$A$1:$I$89,3,0)*VLOOKUP('Données projet'!$B$9,Paramètres!$A$1:$I$89,5,0)</f>
        <v>120.91560000000003</v>
      </c>
      <c r="P45" s="14">
        <f t="shared" si="33"/>
        <v>31.888453396738488</v>
      </c>
      <c r="Q45" s="22">
        <f t="shared" si="53"/>
        <v>266.13372633265288</v>
      </c>
      <c r="R45" s="62">
        <f t="shared" si="0"/>
        <v>559.4670596659862</v>
      </c>
      <c r="S45" s="62">
        <f ca="1">AVERAGE(OFFSET($R$3,0,0,'Données projet'!$E$9+1,1))-AVERAGE(OFFSET($H$3,0,0,'Données projet'!$E$9+1,1))</f>
        <v>217.20547328702645</v>
      </c>
      <c r="T45" s="62">
        <f t="shared" si="34"/>
        <v>137.55906339137317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2.8052593535432494E-2</v>
      </c>
      <c r="AC45" s="24">
        <f t="shared" si="3"/>
        <v>2.8052593535432494E-2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153.79999999999998</v>
      </c>
      <c r="AJ45" s="14">
        <f>AI45*VLOOKUP('Données projet'!$B$10,Paramètres!$A$1:$I$89,3,0)*VLOOKUP('Données projet'!$B$10,Paramètres!$A$1:$I$89,5,0)</f>
        <v>139.15823999999998</v>
      </c>
      <c r="AK45" s="14">
        <f t="shared" si="35"/>
        <v>36.104102468715482</v>
      </c>
      <c r="AL45" s="22">
        <f t="shared" si="4"/>
        <v>305.24857979967942</v>
      </c>
      <c r="AM45" s="62">
        <f t="shared" si="5"/>
        <v>598.58191313301268</v>
      </c>
      <c r="AN45" s="62">
        <f ca="1">AVERAGE(OFFSET($AM$3,0,0,'Données projet'!$E$10+1,1))-AVERAGE(OFFSET($H$3,0,0,'Données projet'!$E$10+1,1))</f>
        <v>305.35633273533773</v>
      </c>
      <c r="AO45" s="62">
        <f t="shared" si="36"/>
        <v>156.67965022779896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18.620000000000005</v>
      </c>
      <c r="BD45" s="13">
        <f>IF('Données projet'!$A$88&gt;35,BD44+BC45-BL44,IF(A45&lt;'Données projet'!$A$88,$BA$205^A45,IF(A45='Données projet'!$A$88,'Données projet'!$B$88,BD44+BC45-BL44)))</f>
        <v>580.34000000000015</v>
      </c>
      <c r="BE45" s="14">
        <f>BD45*VLOOKUP('Données projet'!$B$11,Paramètres!$A$1:$I$89,3,0)*VLOOKUP('Données projet'!$B$11,Paramètres!$A$1:$I$89,5,0)</f>
        <v>324.4100600000001</v>
      </c>
      <c r="BF45" s="14">
        <f t="shared" si="37"/>
        <v>76.27022017175149</v>
      </c>
      <c r="BG45" s="22">
        <f t="shared" si="7"/>
        <v>697.85148796580063</v>
      </c>
      <c r="BH45" s="62">
        <f t="shared" si="8"/>
        <v>991.184821299134</v>
      </c>
      <c r="BI45" s="62">
        <f ca="1">AVERAGE(OFFSET($BH$3,0,0,'Données projet'!$E$11+1,1))-AVERAGE(OFFSET($H$3,0,0,'Données projet'!$E$11+1,1))</f>
        <v>415.52119746518764</v>
      </c>
      <c r="BJ45" s="62">
        <f t="shared" si="38"/>
        <v>490.11217551185604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1.8006512575134876E-2</v>
      </c>
      <c r="BS45" s="24">
        <f t="shared" si="9"/>
        <v>1.8006512575134876E-2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8.1999999999999993</v>
      </c>
      <c r="BY45" s="13">
        <f>IF('Données projet'!$A$114&gt;35,BY44+BX45-CG44,IF(A45&lt;'Données projet'!$A$114,$BV$205^A45,IF(A45='Données projet'!$A$114,'Données projet'!$B$114,BY44+BX45-CG44)))</f>
        <v>208.39999999999989</v>
      </c>
      <c r="BZ45" s="14">
        <f>BY45*VLOOKUP('Données projet'!$B$12,Paramètres!$A$1:$I$89,3,0)*VLOOKUP('Données projet'!$B$12,Paramètres!$A$1:$I$89,5,0)</f>
        <v>165.80303999999992</v>
      </c>
      <c r="CA45" s="14">
        <f t="shared" si="39"/>
        <v>42.148680985457837</v>
      </c>
      <c r="CB45" s="22">
        <f t="shared" si="10"/>
        <v>362.18258071633892</v>
      </c>
      <c r="CC45" s="62">
        <f t="shared" si="11"/>
        <v>655.51591404967223</v>
      </c>
      <c r="CD45" s="62">
        <f ca="1">AVERAGE(OFFSET($CC$3,0,0,'Données projet'!$E$12+1,1))-AVERAGE(OFFSET($H$3,0,0,'Données projet'!$E$12+1,1))</f>
        <v>232.53653575369032</v>
      </c>
      <c r="CE45" s="62">
        <f t="shared" si="40"/>
        <v>219.59799863414099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6.2820512820512819</v>
      </c>
      <c r="CT45" s="13">
        <f>IF('Données projet'!$A$140&gt;35,CT44+CS45-DB44,IF(A45&lt;'Données projet'!$A$140,$CQ$205^A45,IF(A45='Données projet'!$A$140,'Données projet'!$B$140,CT44+CS45-DB44)))</f>
        <v>171.53846153846158</v>
      </c>
      <c r="CU45" s="18">
        <f>CT45*VLOOKUP('Données projet'!$B$13,Paramètres!$A$1:$I$89,3,0)*VLOOKUP('Données projet'!$B$13,Paramètres!$A$1:$I$89,5,0)</f>
        <v>115.06800000000003</v>
      </c>
      <c r="CV45" s="14">
        <f t="shared" si="41"/>
        <v>30.521896703482735</v>
      </c>
      <c r="CW45" s="22">
        <f t="shared" si="13"/>
        <v>253.56907009189914</v>
      </c>
      <c r="CX45" s="62">
        <f t="shared" si="14"/>
        <v>546.90240342523248</v>
      </c>
      <c r="CY45" s="62">
        <f ca="1">AVERAGE(OFFSET($CX$3,0,0,'Données projet'!$E$13+1,1))-AVERAGE(OFFSET($H$3,0,0,'Données projet'!$E$13+1,1))</f>
        <v>191.58722091189202</v>
      </c>
      <c r="CZ45" s="62">
        <f t="shared" si="42"/>
        <v>140.7542783756906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14.1</v>
      </c>
      <c r="N46" s="14">
        <f>IF('Données projet'!$A$36&gt;35,N45+M46-V45,IF(A46&lt;'Données projet'!$A$36,$K$205^A46,IF(A46='Données projet'!$A$36,'Données projet'!$B$36,N45+M46-V45)))</f>
        <v>216.3</v>
      </c>
      <c r="O46" s="14">
        <f>N46*VLOOKUP('Données projet'!$B$9,Paramètres!$A$1:$I$89,3,0)*VLOOKUP('Données projet'!$B$9,Paramètres!$A$1:$I$89,5,0)</f>
        <v>129.34740000000002</v>
      </c>
      <c r="P46" s="14">
        <f t="shared" si="33"/>
        <v>33.845518493267228</v>
      </c>
      <c r="Q46" s="22">
        <f t="shared" si="53"/>
        <v>284.22766637577377</v>
      </c>
      <c r="R46" s="62">
        <f t="shared" si="0"/>
        <v>577.56099970910714</v>
      </c>
      <c r="S46" s="62">
        <f ca="1">AVERAGE(OFFSET($R$3,0,0,'Données projet'!$E$9+1,1))-AVERAGE(OFFSET($H$3,0,0,'Données projet'!$E$9+1,1))</f>
        <v>217.20547328702645</v>
      </c>
      <c r="T46" s="62">
        <f t="shared" si="34"/>
        <v>137.55906339137317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1.9836179118774222E-2</v>
      </c>
      <c r="AC46" s="24">
        <f t="shared" si="3"/>
        <v>1.9836179118774222E-2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162.19999999999999</v>
      </c>
      <c r="AJ46" s="14">
        <f>AI46*VLOOKUP('Données projet'!$B$10,Paramètres!$A$1:$I$89,3,0)*VLOOKUP('Données projet'!$B$10,Paramètres!$A$1:$I$89,5,0)</f>
        <v>146.75855999999999</v>
      </c>
      <c r="AK46" s="14">
        <f t="shared" si="35"/>
        <v>37.841022770456242</v>
      </c>
      <c r="AL46" s="22">
        <f t="shared" si="4"/>
        <v>321.51093999187793</v>
      </c>
      <c r="AM46" s="62">
        <f t="shared" si="5"/>
        <v>614.84427332521125</v>
      </c>
      <c r="AN46" s="62">
        <f ca="1">AVERAGE(OFFSET($AM$3,0,0,'Données projet'!$E$10+1,1))-AVERAGE(OFFSET($H$3,0,0,'Données projet'!$E$10+1,1))</f>
        <v>305.35633273533773</v>
      </c>
      <c r="AO46" s="62">
        <f t="shared" si="36"/>
        <v>156.67965022779896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18.620000000000005</v>
      </c>
      <c r="BD46" s="13">
        <f>IF('Données projet'!$A$88&gt;35,BD45+BC46-BL45,IF(A46&lt;'Données projet'!$A$88,$BA$205^A46,IF(A46='Données projet'!$A$88,'Données projet'!$B$88,BD45+BC46-BL45)))</f>
        <v>598.96000000000015</v>
      </c>
      <c r="BE46" s="14">
        <f>BD46*VLOOKUP('Données projet'!$B$11,Paramètres!$A$1:$I$89,3,0)*VLOOKUP('Données projet'!$B$11,Paramètres!$A$1:$I$89,5,0)</f>
        <v>334.81864000000007</v>
      </c>
      <c r="BF46" s="14">
        <f t="shared" si="37"/>
        <v>78.428489755709052</v>
      </c>
      <c r="BG46" s="22">
        <f t="shared" si="7"/>
        <v>719.73875099119334</v>
      </c>
      <c r="BH46" s="62">
        <f t="shared" si="8"/>
        <v>1013.0720843245267</v>
      </c>
      <c r="BI46" s="62">
        <f ca="1">AVERAGE(OFFSET($BH$3,0,0,'Données projet'!$E$11+1,1))-AVERAGE(OFFSET($H$3,0,0,'Données projet'!$E$11+1,1))</f>
        <v>415.52119746518764</v>
      </c>
      <c r="BJ46" s="62">
        <f t="shared" si="38"/>
        <v>490.11217551185604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1.2732527147398713E-2</v>
      </c>
      <c r="BS46" s="24">
        <f t="shared" si="9"/>
        <v>1.2732527147398713E-2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8.1999999999999993</v>
      </c>
      <c r="BY46" s="13">
        <f>IF('Données projet'!$A$114&gt;35,BY45+BX46-CG45,IF(A46&lt;'Données projet'!$A$114,$BV$205^A46,IF(A46='Données projet'!$A$114,'Données projet'!$B$114,BY45+BX46-CG45)))</f>
        <v>216.59999999999988</v>
      </c>
      <c r="BZ46" s="14">
        <f>BY46*VLOOKUP('Données projet'!$B$12,Paramètres!$A$1:$I$89,3,0)*VLOOKUP('Données projet'!$B$12,Paramètres!$A$1:$I$89,5,0)</f>
        <v>172.3269599999999</v>
      </c>
      <c r="CA46" s="14">
        <f t="shared" si="39"/>
        <v>43.610772138081288</v>
      </c>
      <c r="CB46" s="22">
        <f t="shared" si="10"/>
        <v>376.09155014049134</v>
      </c>
      <c r="CC46" s="62">
        <f t="shared" si="11"/>
        <v>669.42488347382459</v>
      </c>
      <c r="CD46" s="62">
        <f ca="1">AVERAGE(OFFSET($CC$3,0,0,'Données projet'!$E$12+1,1))-AVERAGE(OFFSET($H$3,0,0,'Données projet'!$E$12+1,1))</f>
        <v>232.53653575369032</v>
      </c>
      <c r="CE46" s="62">
        <f t="shared" si="40"/>
        <v>219.59799863414099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6.2820512820512819</v>
      </c>
      <c r="CT46" s="13">
        <f>IF('Données projet'!$A$140&gt;35,CT45+CS46-DB45,IF(A46&lt;'Données projet'!$A$140,$CQ$205^A46,IF(A46='Données projet'!$A$140,'Données projet'!$B$140,CT45+CS46-DB45)))</f>
        <v>177.82051282051285</v>
      </c>
      <c r="CU46" s="18">
        <f>CT46*VLOOKUP('Données projet'!$B$13,Paramètres!$A$1:$I$89,3,0)*VLOOKUP('Données projet'!$B$13,Paramètres!$A$1:$I$89,5,0)</f>
        <v>119.28200000000002</v>
      </c>
      <c r="CV46" s="14">
        <f t="shared" si="41"/>
        <v>31.507479139573579</v>
      </c>
      <c r="CW46" s="22">
        <f t="shared" si="13"/>
        <v>262.62500950142402</v>
      </c>
      <c r="CX46" s="62">
        <f t="shared" si="14"/>
        <v>555.95834283475733</v>
      </c>
      <c r="CY46" s="62">
        <f ca="1">AVERAGE(OFFSET($CX$3,0,0,'Données projet'!$E$13+1,1))-AVERAGE(OFFSET($H$3,0,0,'Données projet'!$E$13+1,1))</f>
        <v>191.58722091189202</v>
      </c>
      <c r="CZ46" s="62">
        <f t="shared" si="42"/>
        <v>140.7542783756906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14.1</v>
      </c>
      <c r="N47" s="14">
        <f>IF('Données projet'!$A$36&gt;35,N46+M47-V46,IF(A47&lt;'Données projet'!$A$36,$K$205^A47,IF(A47='Données projet'!$A$36,'Données projet'!$B$36,N46+M47-V46)))</f>
        <v>230.4</v>
      </c>
      <c r="O47" s="14">
        <f>N47*VLOOKUP('Données projet'!$B$9,Paramètres!$A$1:$I$89,3,0)*VLOOKUP('Données projet'!$B$9,Paramètres!$A$1:$I$89,5,0)</f>
        <v>137.7792</v>
      </c>
      <c r="P47" s="14">
        <f t="shared" si="33"/>
        <v>35.787778913287674</v>
      </c>
      <c r="Q47" s="22">
        <f t="shared" si="53"/>
        <v>302.29582160730934</v>
      </c>
      <c r="R47" s="62">
        <f t="shared" si="0"/>
        <v>595.62915494064259</v>
      </c>
      <c r="S47" s="62">
        <f ca="1">AVERAGE(OFFSET($R$3,0,0,'Données projet'!$E$9+1,1))-AVERAGE(OFFSET($H$3,0,0,'Données projet'!$E$9+1,1))</f>
        <v>217.20547328702645</v>
      </c>
      <c r="T47" s="62">
        <f t="shared" si="34"/>
        <v>137.55906339137317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1.4026296767716247E-2</v>
      </c>
      <c r="AC47" s="24">
        <f t="shared" si="3"/>
        <v>1.4026296767716247E-2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</v>
      </c>
      <c r="AJ47" s="14">
        <f>AI47*VLOOKUP('Données projet'!$B$10,Paramètres!$A$1:$I$89,3,0)*VLOOKUP('Données projet'!$B$10,Paramètres!$A$1:$I$89,5,0)</f>
        <v>154.35888</v>
      </c>
      <c r="AK47" s="14">
        <f t="shared" si="35"/>
        <v>39.567499286120309</v>
      </c>
      <c r="AL47" s="22">
        <f t="shared" si="4"/>
        <v>337.75511058999291</v>
      </c>
      <c r="AM47" s="62">
        <f t="shared" si="5"/>
        <v>631.08844392332617</v>
      </c>
      <c r="AN47" s="62">
        <f ca="1">AVERAGE(OFFSET($AM$3,0,0,'Données projet'!$E$10+1,1))-AVERAGE(OFFSET($H$3,0,0,'Données projet'!$E$10+1,1))</f>
        <v>305.35633273533773</v>
      </c>
      <c r="AO47" s="62">
        <f t="shared" si="36"/>
        <v>156.67965022779896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18.620000000000005</v>
      </c>
      <c r="BD47" s="13">
        <f>IF('Données projet'!$A$88&gt;35,BD46+BC47-BL46,IF(A47&lt;'Données projet'!$A$88,$BA$205^A47,IF(A47='Données projet'!$A$88,'Données projet'!$B$88,BD46+BC47-BL46)))</f>
        <v>617.58000000000015</v>
      </c>
      <c r="BE47" s="14">
        <f>BD47*VLOOKUP('Données projet'!$B$11,Paramètres!$A$1:$I$89,3,0)*VLOOKUP('Données projet'!$B$11,Paramètres!$A$1:$I$89,5,0)</f>
        <v>345.22722000000005</v>
      </c>
      <c r="BF47" s="14">
        <f t="shared" si="37"/>
        <v>80.578962314824935</v>
      </c>
      <c r="BG47" s="22">
        <f t="shared" si="7"/>
        <v>741.6124341983201</v>
      </c>
      <c r="BH47" s="62">
        <f t="shared" si="8"/>
        <v>1034.9457675316535</v>
      </c>
      <c r="BI47" s="62">
        <f ca="1">AVERAGE(OFFSET($BH$3,0,0,'Données projet'!$E$11+1,1))-AVERAGE(OFFSET($H$3,0,0,'Données projet'!$E$11+1,1))</f>
        <v>415.52119746518764</v>
      </c>
      <c r="BJ47" s="62">
        <f t="shared" si="38"/>
        <v>490.11217551185604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9.003256287567438E-3</v>
      </c>
      <c r="BS47" s="24">
        <f t="shared" si="9"/>
        <v>9.003256287567438E-3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8.1999999999999993</v>
      </c>
      <c r="BY47" s="13">
        <f>IF('Données projet'!$A$114&gt;35,BY46+BX47-CG46,IF(A47&lt;'Données projet'!$A$114,$BV$205^A47,IF(A47='Données projet'!$A$114,'Données projet'!$B$114,BY46+BX47-CG46)))</f>
        <v>224.79999999999987</v>
      </c>
      <c r="BZ47" s="14">
        <f>BY47*VLOOKUP('Données projet'!$B$12,Paramètres!$A$1:$I$89,3,0)*VLOOKUP('Données projet'!$B$12,Paramètres!$A$1:$I$89,5,0)</f>
        <v>178.8508799999999</v>
      </c>
      <c r="CA47" s="14">
        <f t="shared" si="39"/>
        <v>45.066432921978375</v>
      </c>
      <c r="CB47" s="22">
        <f t="shared" si="10"/>
        <v>389.98932000577884</v>
      </c>
      <c r="CC47" s="62">
        <f t="shared" si="11"/>
        <v>683.32265333911209</v>
      </c>
      <c r="CD47" s="62">
        <f ca="1">AVERAGE(OFFSET($CC$3,0,0,'Données projet'!$E$12+1,1))-AVERAGE(OFFSET($H$3,0,0,'Données projet'!$E$12+1,1))</f>
        <v>232.53653575369032</v>
      </c>
      <c r="CE47" s="62">
        <f t="shared" si="40"/>
        <v>219.59799863414099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6.2820512820512819</v>
      </c>
      <c r="CT47" s="13">
        <f>IF('Données projet'!$A$140&gt;35,CT46+CS47-DB46,IF(A47&lt;'Données projet'!$A$140,$CQ$205^A47,IF(A47='Données projet'!$A$140,'Données projet'!$B$140,CT46+CS47-DB46)))</f>
        <v>184.10256410256412</v>
      </c>
      <c r="CU47" s="18">
        <f>CT47*VLOOKUP('Données projet'!$B$13,Paramètres!$A$1:$I$89,3,0)*VLOOKUP('Données projet'!$B$13,Paramètres!$A$1:$I$89,5,0)</f>
        <v>123.49600000000001</v>
      </c>
      <c r="CV47" s="14">
        <f t="shared" si="41"/>
        <v>32.489016111577364</v>
      </c>
      <c r="CW47" s="22">
        <f t="shared" si="13"/>
        <v>271.67390306099725</v>
      </c>
      <c r="CX47" s="62">
        <f t="shared" si="14"/>
        <v>565.00723639433056</v>
      </c>
      <c r="CY47" s="62">
        <f ca="1">AVERAGE(OFFSET($CX$3,0,0,'Données projet'!$E$13+1,1))-AVERAGE(OFFSET($H$3,0,0,'Données projet'!$E$13+1,1))</f>
        <v>191.58722091189202</v>
      </c>
      <c r="CZ47" s="62">
        <f t="shared" si="42"/>
        <v>140.7542783756906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14.1</v>
      </c>
      <c r="N48" s="14">
        <f>IF('Données projet'!$A$36&gt;35,N47+M48-V47,IF(A48&lt;'Données projet'!$A$36,$K$205^A48,IF(A48='Données projet'!$A$36,'Données projet'!$B$36,N47+M48-V47)))</f>
        <v>244.5</v>
      </c>
      <c r="O48" s="14">
        <f>N48*VLOOKUP('Données projet'!$B$9,Paramètres!$A$1:$I$89,3,0)*VLOOKUP('Données projet'!$B$9,Paramètres!$A$1:$I$89,5,0)</f>
        <v>146.21100000000001</v>
      </c>
      <c r="P48" s="14">
        <f t="shared" si="33"/>
        <v>37.71624383608448</v>
      </c>
      <c r="Q48" s="22">
        <f t="shared" si="53"/>
        <v>320.33994968118049</v>
      </c>
      <c r="R48" s="62">
        <f t="shared" si="0"/>
        <v>613.6732830145138</v>
      </c>
      <c r="S48" s="62">
        <f ca="1">AVERAGE(OFFSET($R$3,0,0,'Données projet'!$E$9+1,1))-AVERAGE(OFFSET($H$3,0,0,'Données projet'!$E$9+1,1))</f>
        <v>217.20547328702645</v>
      </c>
      <c r="T48" s="62">
        <f t="shared" si="34"/>
        <v>137.55906339137317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9.918089559387111E-3</v>
      </c>
      <c r="AC48" s="24">
        <f t="shared" si="3"/>
        <v>9.918089559387111E-3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</v>
      </c>
      <c r="AJ48" s="14">
        <f>AI48*VLOOKUP('Données projet'!$B$10,Paramètres!$A$1:$I$89,3,0)*VLOOKUP('Données projet'!$B$10,Paramètres!$A$1:$I$89,5,0)</f>
        <v>161.95919999999998</v>
      </c>
      <c r="AK48" s="14">
        <f t="shared" si="35"/>
        <v>41.284104935125683</v>
      </c>
      <c r="AL48" s="22">
        <f t="shared" si="4"/>
        <v>353.98208942867717</v>
      </c>
      <c r="AM48" s="62">
        <f t="shared" si="5"/>
        <v>647.31542276201048</v>
      </c>
      <c r="AN48" s="62">
        <f ca="1">AVERAGE(OFFSET($AM$3,0,0,'Données projet'!$E$10+1,1))-AVERAGE(OFFSET($H$3,0,0,'Données projet'!$E$10+1,1))</f>
        <v>305.35633273533773</v>
      </c>
      <c r="AO48" s="62">
        <f t="shared" si="36"/>
        <v>156.67965022779896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636.20000000000005</v>
      </c>
      <c r="BB48" s="13">
        <f>VLOOKUP(A48,'Données projet'!$A$87:$I$107,9,0)</f>
        <v>18.620000000000005</v>
      </c>
      <c r="BC48" s="13">
        <f t="array" ref="BC48">INDEX(BB:BB,MIN(IF(ISNUMBER(BB48:BB244),ROW(BB48:BB244),"")))</f>
        <v>18.620000000000005</v>
      </c>
      <c r="BD48" s="13">
        <f>IF('Données projet'!$A$88&gt;35,BD47+BC48-BL47,IF(A48&lt;'Données projet'!$A$88,$BA$205^A48,IF(A48='Données projet'!$A$88,'Données projet'!$B$88,BD47+BC48-BL47)))</f>
        <v>636.20000000000016</v>
      </c>
      <c r="BE48" s="14">
        <f>BD48*VLOOKUP('Données projet'!$B$11,Paramètres!$A$1:$I$89,3,0)*VLOOKUP('Données projet'!$B$11,Paramètres!$A$1:$I$89,5,0)</f>
        <v>355.63580000000013</v>
      </c>
      <c r="BF48" s="14">
        <f t="shared" si="37"/>
        <v>82.72189991276511</v>
      </c>
      <c r="BG48" s="22">
        <f t="shared" si="7"/>
        <v>763.47299401473276</v>
      </c>
      <c r="BH48" s="62">
        <f t="shared" si="8"/>
        <v>1056.8063273480661</v>
      </c>
      <c r="BI48" s="62">
        <f ca="1">AVERAGE(OFFSET($BH$3,0,0,'Données projet'!$E$11+1,1))-AVERAGE(OFFSET($H$3,0,0,'Données projet'!$E$11+1,1))</f>
        <v>415.52119746518764</v>
      </c>
      <c r="BJ48" s="62">
        <f t="shared" si="38"/>
        <v>490.11217551185604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134.30000000000001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6.3662635736993567E-3</v>
      </c>
      <c r="BS48" s="24">
        <f t="shared" si="9"/>
        <v>6.3662635736993567E-3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233</v>
      </c>
      <c r="BW48" s="13">
        <f>VLOOKUP(A48,'Données projet'!$A$113:$I$133,9,0)</f>
        <v>8.1999999999999993</v>
      </c>
      <c r="BX48" s="13">
        <f t="array" ref="BX48">INDEX(BW:BW,MIN(IF(ISNUMBER(BW48:BW244),ROW(BW48:BW244),"")))</f>
        <v>8.1999999999999993</v>
      </c>
      <c r="BY48" s="13">
        <f>IF('Données projet'!$A$114&gt;35,BY47+BX48-CG47,IF(A48&lt;'Données projet'!$A$114,$BV$205^A48,IF(A48='Données projet'!$A$114,'Données projet'!$B$114,BY47+BX48-CG47)))</f>
        <v>232.99999999999986</v>
      </c>
      <c r="BZ48" s="14">
        <f>BY48*VLOOKUP('Données projet'!$B$12,Paramètres!$A$1:$I$89,3,0)*VLOOKUP('Données projet'!$B$12,Paramètres!$A$1:$I$89,5,0)</f>
        <v>185.37479999999988</v>
      </c>
      <c r="CA48" s="14">
        <f t="shared" si="39"/>
        <v>46.515924762412688</v>
      </c>
      <c r="CB48" s="22">
        <f t="shared" si="10"/>
        <v>403.87634562786849</v>
      </c>
      <c r="CC48" s="62">
        <f t="shared" si="11"/>
        <v>697.2096789612018</v>
      </c>
      <c r="CD48" s="62">
        <f ca="1">AVERAGE(OFFSET($CC$3,0,0,'Données projet'!$E$12+1,1))-AVERAGE(OFFSET($H$3,0,0,'Données projet'!$E$12+1,1))</f>
        <v>232.53653575369032</v>
      </c>
      <c r="CE48" s="62">
        <f t="shared" si="40"/>
        <v>219.59799863414099</v>
      </c>
      <c r="CF48" s="16">
        <f>IF(ISNA(VLOOKUP(A48,'Données projet'!$A$113:$I$133,3,0)),0,VLOOKUP(A48,'Données projet'!$A$113:$I$133,3,0))</f>
        <v>4</v>
      </c>
      <c r="CG48" s="16">
        <f>IF(ISNA(VLOOKUP(A48,'Données projet'!$A$113:$I$133,4,0)),0,VLOOKUP(A48,'Données projet'!$A$113:$I$133,4,0))</f>
        <v>50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190.38461538461539</v>
      </c>
      <c r="CR48" s="13">
        <f>VLOOKUP(A48,'Données projet'!$A$139:$I$159,9,0)</f>
        <v>6.2820512820512819</v>
      </c>
      <c r="CS48" s="13">
        <f t="array" ref="CS48">INDEX(CR:CR,MIN(IF(ISNUMBER(CR48:CR244),ROW(CR48:CR244),"")))</f>
        <v>6.2820512820512819</v>
      </c>
      <c r="CT48" s="13">
        <f>IF('Données projet'!$A$140&gt;35,CT47+CS48-DB47,IF(A48&lt;'Données projet'!$A$140,$CQ$205^A48,IF(A48='Données projet'!$A$140,'Données projet'!$B$140,CT47+CS48-DB47)))</f>
        <v>190.38461538461539</v>
      </c>
      <c r="CU48" s="18">
        <f>CT48*VLOOKUP('Données projet'!$B$13,Paramètres!$A$1:$I$89,3,0)*VLOOKUP('Données projet'!$B$13,Paramètres!$A$1:$I$89,5,0)</f>
        <v>127.71000000000001</v>
      </c>
      <c r="CV48" s="14">
        <f t="shared" si="41"/>
        <v>33.466661484162984</v>
      </c>
      <c r="CW48" s="22">
        <f t="shared" si="13"/>
        <v>280.71601875158382</v>
      </c>
      <c r="CX48" s="62">
        <f t="shared" si="14"/>
        <v>574.04935208491713</v>
      </c>
      <c r="CY48" s="62">
        <f ca="1">AVERAGE(OFFSET($CX$3,0,0,'Données projet'!$E$13+1,1))-AVERAGE(OFFSET($H$3,0,0,'Données projet'!$E$13+1,1))</f>
        <v>191.58722091189202</v>
      </c>
      <c r="CZ48" s="62">
        <f t="shared" si="42"/>
        <v>140.7542783756906</v>
      </c>
      <c r="DA48" s="16">
        <f>IF(ISNA(VLOOKUP(A48,'Données projet'!$A$139:$I$159,3,0)),0,VLOOKUP(A48,'Données projet'!$A$139:$I$159,3,0))</f>
        <v>4</v>
      </c>
      <c r="DB48" s="16">
        <f>IF(ISNA(VLOOKUP(A48,'Données projet'!$A$139:$I$159,4,0)),0,VLOOKUP(A48,'Données projet'!$A$139:$I$159,4,0))</f>
        <v>31.410256410256409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14.1</v>
      </c>
      <c r="N49" s="14">
        <f>IF('Données projet'!$A$36&gt;35,N48+M49-V48,IF(A49&lt;'Données projet'!$A$36,$K$205^A49,IF(A49='Données projet'!$A$36,'Données projet'!$B$36,N48+M49-V48)))</f>
        <v>258.60000000000002</v>
      </c>
      <c r="O49" s="14">
        <f>N49*VLOOKUP('Données projet'!$B$9,Paramètres!$A$1:$I$89,3,0)*VLOOKUP('Données projet'!$B$9,Paramètres!$A$1:$I$89,5,0)</f>
        <v>154.64280000000002</v>
      </c>
      <c r="P49" s="14">
        <f t="shared" si="33"/>
        <v>39.631799470164985</v>
      </c>
      <c r="Q49" s="22">
        <f t="shared" si="53"/>
        <v>338.36159407720407</v>
      </c>
      <c r="R49" s="62">
        <f t="shared" si="0"/>
        <v>631.69492741053739</v>
      </c>
      <c r="S49" s="62">
        <f ca="1">AVERAGE(OFFSET($R$3,0,0,'Données projet'!$E$9+1,1))-AVERAGE(OFFSET($H$3,0,0,'Données projet'!$E$9+1,1))</f>
        <v>217.20547328702645</v>
      </c>
      <c r="T49" s="62">
        <f t="shared" si="34"/>
        <v>137.55906339137317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7.0131483838581235E-3</v>
      </c>
      <c r="AC49" s="24">
        <f t="shared" si="3"/>
        <v>7.0131483838581235E-3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145.19999999999999</v>
      </c>
      <c r="AJ49" s="14">
        <f>AI49*VLOOKUP('Données projet'!$B$10,Paramètres!$A$1:$I$89,3,0)*VLOOKUP('Données projet'!$B$10,Paramètres!$A$1:$I$89,5,0)</f>
        <v>131.37696</v>
      </c>
      <c r="AK49" s="14">
        <f t="shared" si="35"/>
        <v>34.314338988223334</v>
      </c>
      <c r="AL49" s="22">
        <f t="shared" si="4"/>
        <v>288.57901240448899</v>
      </c>
      <c r="AM49" s="62">
        <f t="shared" si="5"/>
        <v>581.91234573782231</v>
      </c>
      <c r="AN49" s="62">
        <f ca="1">AVERAGE(OFFSET($AM$3,0,0,'Données projet'!$E$10+1,1))-AVERAGE(OFFSET($H$3,0,0,'Données projet'!$E$10+1,1))</f>
        <v>305.35633273533773</v>
      </c>
      <c r="AO49" s="62">
        <f t="shared" si="36"/>
        <v>156.67965022779896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17.639999999999997</v>
      </c>
      <c r="BD49" s="13">
        <f>IF('Données projet'!$A$88&gt;35,BD48+BC49-BL48,IF(A49&lt;'Données projet'!$A$88,$BA$205^A49,IF(A49='Données projet'!$A$88,'Données projet'!$B$88,BD48+BC49-BL48)))</f>
        <v>519.54000000000019</v>
      </c>
      <c r="BE49" s="14">
        <f>BD49*VLOOKUP('Données projet'!$B$11,Paramètres!$A$1:$I$89,3,0)*VLOOKUP('Données projet'!$B$11,Paramètres!$A$1:$I$89,5,0)</f>
        <v>290.42286000000013</v>
      </c>
      <c r="BF49" s="14">
        <f t="shared" si="37"/>
        <v>69.164951685951522</v>
      </c>
      <c r="BG49" s="22">
        <f t="shared" si="7"/>
        <v>626.28210535303231</v>
      </c>
      <c r="BH49" s="62">
        <f t="shared" si="8"/>
        <v>919.61543868636568</v>
      </c>
      <c r="BI49" s="62">
        <f ca="1">AVERAGE(OFFSET($BH$3,0,0,'Données projet'!$E$11+1,1))-AVERAGE(OFFSET($H$3,0,0,'Données projet'!$E$11+1,1))</f>
        <v>415.52119746518764</v>
      </c>
      <c r="BJ49" s="62">
        <f t="shared" si="38"/>
        <v>490.11217551185604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4.501628143783719E-3</v>
      </c>
      <c r="BS49" s="24">
        <f t="shared" si="9"/>
        <v>4.501628143783719E-3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189.99999999999986</v>
      </c>
      <c r="BZ49" s="14">
        <f>BY49*VLOOKUP('Données projet'!$B$12,Paramètres!$A$1:$I$89,3,0)*VLOOKUP('Données projet'!$B$12,Paramètres!$A$1:$I$89,5,0)</f>
        <v>151.1639999999999</v>
      </c>
      <c r="CA49" s="14">
        <f t="shared" si="39"/>
        <v>38.842989674159945</v>
      </c>
      <c r="CB49" s="22">
        <f t="shared" si="10"/>
        <v>330.92884034916176</v>
      </c>
      <c r="CC49" s="62">
        <f t="shared" si="11"/>
        <v>624.26217368249513</v>
      </c>
      <c r="CD49" s="62">
        <f ca="1">AVERAGE(OFFSET($CC$3,0,0,'Données projet'!$E$12+1,1))-AVERAGE(OFFSET($H$3,0,0,'Données projet'!$E$12+1,1))</f>
        <v>232.53653575369032</v>
      </c>
      <c r="CE49" s="62">
        <f t="shared" si="40"/>
        <v>219.59799863414099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5.8974358974358951</v>
      </c>
      <c r="CT49" s="13">
        <f>IF('Données projet'!$A$140&gt;35,CT48+CS49-DB48,IF(A49&lt;'Données projet'!$A$140,$CQ$205^A49,IF(A49='Données projet'!$A$140,'Données projet'!$B$140,CT48+CS49-DB48)))</f>
        <v>164.87179487179486</v>
      </c>
      <c r="CU49" s="18">
        <f>CT49*VLOOKUP('Données projet'!$B$13,Paramètres!$A$1:$I$89,3,0)*VLOOKUP('Données projet'!$B$13,Paramètres!$A$1:$I$89,5,0)</f>
        <v>110.59599999999999</v>
      </c>
      <c r="CV49" s="14">
        <f t="shared" si="41"/>
        <v>29.471362629717831</v>
      </c>
      <c r="CW49" s="22">
        <f t="shared" si="13"/>
        <v>243.95065658009185</v>
      </c>
      <c r="CX49" s="62">
        <f t="shared" si="14"/>
        <v>537.2839899134251</v>
      </c>
      <c r="CY49" s="62">
        <f ca="1">AVERAGE(OFFSET($CX$3,0,0,'Données projet'!$E$13+1,1))-AVERAGE(OFFSET($H$3,0,0,'Données projet'!$E$13+1,1))</f>
        <v>191.58722091189202</v>
      </c>
      <c r="CZ49" s="62">
        <f t="shared" si="42"/>
        <v>140.7542783756906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14.1</v>
      </c>
      <c r="N50" s="14">
        <f>IF('Données projet'!$A$36&gt;35,N49+M50-V49,IF(A50&lt;'Données projet'!$A$36,$K$205^A50,IF(A50='Données projet'!$A$36,'Données projet'!$B$36,N49+M50-V49)))</f>
        <v>272.70000000000005</v>
      </c>
      <c r="O50" s="14">
        <f>N50*VLOOKUP('Données projet'!$B$9,Paramètres!$A$1:$I$89,3,0)*VLOOKUP('Données projet'!$B$9,Paramètres!$A$1:$I$89,5,0)</f>
        <v>163.07460000000003</v>
      </c>
      <c r="P50" s="14">
        <f t="shared" si="33"/>
        <v>41.535229926099966</v>
      </c>
      <c r="Q50" s="22">
        <f t="shared" si="53"/>
        <v>356.36212045462412</v>
      </c>
      <c r="R50" s="62">
        <f t="shared" si="0"/>
        <v>649.69545378795738</v>
      </c>
      <c r="S50" s="62">
        <f ca="1">AVERAGE(OFFSET($R$3,0,0,'Données projet'!$E$9+1,1))-AVERAGE(OFFSET($H$3,0,0,'Données projet'!$E$9+1,1))</f>
        <v>217.20547328702645</v>
      </c>
      <c r="T50" s="62">
        <f t="shared" si="34"/>
        <v>137.55906339137317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4.9590447796935555E-3</v>
      </c>
      <c r="AC50" s="24">
        <f t="shared" si="3"/>
        <v>4.9590447796935555E-3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153.39999999999998</v>
      </c>
      <c r="AJ50" s="14">
        <f>AI50*VLOOKUP('Données projet'!$B$10,Paramètres!$A$1:$I$89,3,0)*VLOOKUP('Données projet'!$B$10,Paramètres!$A$1:$I$89,5,0)</f>
        <v>138.79631999999998</v>
      </c>
      <c r="AK50" s="14">
        <f t="shared" si="35"/>
        <v>36.021120886354559</v>
      </c>
      <c r="AL50" s="22">
        <f t="shared" si="4"/>
        <v>304.47370954373417</v>
      </c>
      <c r="AM50" s="62">
        <f t="shared" si="5"/>
        <v>597.80704287706749</v>
      </c>
      <c r="AN50" s="62">
        <f ca="1">AVERAGE(OFFSET($AM$3,0,0,'Données projet'!$E$10+1,1))-AVERAGE(OFFSET($H$3,0,0,'Données projet'!$E$10+1,1))</f>
        <v>305.35633273533773</v>
      </c>
      <c r="AO50" s="62">
        <f t="shared" si="36"/>
        <v>156.67965022779896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17.639999999999997</v>
      </c>
      <c r="BD50" s="13">
        <f>IF('Données projet'!$A$88&gt;35,BD49+BC50-BL49,IF(A50&lt;'Données projet'!$A$88,$BA$205^A50,IF(A50='Données projet'!$A$88,'Données projet'!$B$88,BD49+BC50-BL49)))</f>
        <v>537.18000000000018</v>
      </c>
      <c r="BE50" s="14">
        <f>BD50*VLOOKUP('Données projet'!$B$11,Paramètres!$A$1:$I$89,3,0)*VLOOKUP('Données projet'!$B$11,Paramètres!$A$1:$I$89,5,0)</f>
        <v>300.2836200000001</v>
      </c>
      <c r="BF50" s="14">
        <f t="shared" si="37"/>
        <v>71.235917851307818</v>
      </c>
      <c r="BG50" s="22">
        <f t="shared" si="7"/>
        <v>647.06319509102798</v>
      </c>
      <c r="BH50" s="62">
        <f t="shared" si="8"/>
        <v>940.39652842436135</v>
      </c>
      <c r="BI50" s="62">
        <f ca="1">AVERAGE(OFFSET($BH$3,0,0,'Données projet'!$E$11+1,1))-AVERAGE(OFFSET($H$3,0,0,'Données projet'!$E$11+1,1))</f>
        <v>415.52119746518764</v>
      </c>
      <c r="BJ50" s="62">
        <f t="shared" si="38"/>
        <v>490.11217551185604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3.1831317868496784E-3</v>
      </c>
      <c r="BS50" s="24">
        <f t="shared" si="9"/>
        <v>3.1831317868496784E-3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196.99999999999986</v>
      </c>
      <c r="BZ50" s="14">
        <f>BY50*VLOOKUP('Données projet'!$B$12,Paramètres!$A$1:$I$89,3,0)*VLOOKUP('Données projet'!$B$12,Paramètres!$A$1:$I$89,5,0)</f>
        <v>156.7331999999999</v>
      </c>
      <c r="CA50" s="14">
        <f t="shared" si="39"/>
        <v>40.104797241533646</v>
      </c>
      <c r="CB50" s="22">
        <f t="shared" si="10"/>
        <v>342.82617852900427</v>
      </c>
      <c r="CC50" s="62">
        <f t="shared" si="11"/>
        <v>636.15951186233758</v>
      </c>
      <c r="CD50" s="62">
        <f ca="1">AVERAGE(OFFSET($CC$3,0,0,'Données projet'!$E$12+1,1))-AVERAGE(OFFSET($H$3,0,0,'Données projet'!$E$12+1,1))</f>
        <v>232.53653575369032</v>
      </c>
      <c r="CE50" s="62">
        <f t="shared" si="40"/>
        <v>219.59799863414099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5.8974358974358951</v>
      </c>
      <c r="CT50" s="13">
        <f>IF('Données projet'!$A$140&gt;35,CT49+CS50-DB49,IF(A50&lt;'Données projet'!$A$140,$CQ$205^A50,IF(A50='Données projet'!$A$140,'Données projet'!$B$140,CT49+CS50-DB49)))</f>
        <v>170.76923076923075</v>
      </c>
      <c r="CU50" s="18">
        <f>CT50*VLOOKUP('Données projet'!$B$13,Paramètres!$A$1:$I$89,3,0)*VLOOKUP('Données projet'!$B$13,Paramètres!$A$1:$I$89,5,0)</f>
        <v>114.55199999999998</v>
      </c>
      <c r="CV50" s="14">
        <f t="shared" si="41"/>
        <v>30.400927204443946</v>
      </c>
      <c r="CW50" s="22">
        <f t="shared" si="13"/>
        <v>252.45968154773985</v>
      </c>
      <c r="CX50" s="62">
        <f t="shared" si="14"/>
        <v>545.79301488107319</v>
      </c>
      <c r="CY50" s="62">
        <f ca="1">AVERAGE(OFFSET($CX$3,0,0,'Données projet'!$E$13+1,1))-AVERAGE(OFFSET($H$3,0,0,'Données projet'!$E$13+1,1))</f>
        <v>191.58722091189202</v>
      </c>
      <c r="CZ50" s="62">
        <f t="shared" si="42"/>
        <v>140.7542783756906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14.1</v>
      </c>
      <c r="N51" s="14">
        <f>IF('Données projet'!$A$36&gt;35,N50+M51-V50,IF(A51&lt;'Données projet'!$A$36,$K$205^A51,IF(A51='Données projet'!$A$36,'Données projet'!$B$36,N50+M51-V50)))</f>
        <v>286.80000000000007</v>
      </c>
      <c r="O51" s="14">
        <f>N51*VLOOKUP('Données projet'!$B$9,Paramètres!$A$1:$I$89,3,0)*VLOOKUP('Données projet'!$B$9,Paramètres!$A$1:$I$89,5,0)</f>
        <v>171.50640000000004</v>
      </c>
      <c r="P51" s="14">
        <f t="shared" si="33"/>
        <v>43.427233649451665</v>
      </c>
      <c r="Q51" s="22">
        <f t="shared" si="53"/>
        <v>374.34274527279507</v>
      </c>
      <c r="R51" s="62">
        <f t="shared" si="0"/>
        <v>667.67607860612839</v>
      </c>
      <c r="S51" s="62">
        <f ca="1">AVERAGE(OFFSET($R$3,0,0,'Données projet'!$E$9+1,1))-AVERAGE(OFFSET($H$3,0,0,'Données projet'!$E$9+1,1))</f>
        <v>217.20547328702645</v>
      </c>
      <c r="T51" s="62">
        <f t="shared" si="34"/>
        <v>137.55906339137317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3.5065741919290618E-3</v>
      </c>
      <c r="AC51" s="24">
        <f t="shared" si="3"/>
        <v>3.5065741919290618E-3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161.59999999999997</v>
      </c>
      <c r="AJ51" s="14">
        <f>AI51*VLOOKUP('Données projet'!$B$10,Paramètres!$A$1:$I$89,3,0)*VLOOKUP('Données projet'!$B$10,Paramètres!$A$1:$I$89,5,0)</f>
        <v>146.21567999999996</v>
      </c>
      <c r="AK51" s="14">
        <f t="shared" si="35"/>
        <v>37.717310552893402</v>
      </c>
      <c r="AL51" s="22">
        <f t="shared" si="4"/>
        <v>320.34995854628926</v>
      </c>
      <c r="AM51" s="62">
        <f t="shared" si="5"/>
        <v>613.68329187962263</v>
      </c>
      <c r="AN51" s="62">
        <f ca="1">AVERAGE(OFFSET($AM$3,0,0,'Données projet'!$E$10+1,1))-AVERAGE(OFFSET($H$3,0,0,'Données projet'!$E$10+1,1))</f>
        <v>305.35633273533773</v>
      </c>
      <c r="AO51" s="62">
        <f t="shared" si="36"/>
        <v>156.67965022779896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17.639999999999997</v>
      </c>
      <c r="BD51" s="13">
        <f>IF('Données projet'!$A$88&gt;35,BD50+BC51-BL50,IF(A51&lt;'Données projet'!$A$88,$BA$205^A51,IF(A51='Données projet'!$A$88,'Données projet'!$B$88,BD50+BC51-BL50)))</f>
        <v>554.82000000000016</v>
      </c>
      <c r="BE51" s="14">
        <f>BD51*VLOOKUP('Données projet'!$B$11,Paramètres!$A$1:$I$89,3,0)*VLOOKUP('Données projet'!$B$11,Paramètres!$A$1:$I$89,5,0)</f>
        <v>310.14438000000013</v>
      </c>
      <c r="BF51" s="14">
        <f t="shared" si="37"/>
        <v>73.298981645091246</v>
      </c>
      <c r="BG51" s="22">
        <f t="shared" si="7"/>
        <v>667.83052153186748</v>
      </c>
      <c r="BH51" s="62">
        <f t="shared" si="8"/>
        <v>961.16385486520085</v>
      </c>
      <c r="BI51" s="62">
        <f ca="1">AVERAGE(OFFSET($BH$3,0,0,'Données projet'!$E$11+1,1))-AVERAGE(OFFSET($H$3,0,0,'Données projet'!$E$11+1,1))</f>
        <v>415.52119746518764</v>
      </c>
      <c r="BJ51" s="62">
        <f t="shared" si="38"/>
        <v>490.11217551185604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2.2508140718918595E-3</v>
      </c>
      <c r="BS51" s="24">
        <f t="shared" si="9"/>
        <v>2.2508140718918595E-3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203.99999999999986</v>
      </c>
      <c r="BZ51" s="14">
        <f>BY51*VLOOKUP('Données projet'!$B$12,Paramètres!$A$1:$I$89,3,0)*VLOOKUP('Données projet'!$B$12,Paramètres!$A$1:$I$89,5,0)</f>
        <v>162.30239999999989</v>
      </c>
      <c r="CA51" s="14">
        <f t="shared" si="39"/>
        <v>41.36139554151432</v>
      </c>
      <c r="CB51" s="22">
        <f t="shared" si="10"/>
        <v>354.71444390147059</v>
      </c>
      <c r="CC51" s="62">
        <f t="shared" si="11"/>
        <v>648.0477772348039</v>
      </c>
      <c r="CD51" s="62">
        <f ca="1">AVERAGE(OFFSET($CC$3,0,0,'Données projet'!$E$12+1,1))-AVERAGE(OFFSET($H$3,0,0,'Données projet'!$E$12+1,1))</f>
        <v>232.53653575369032</v>
      </c>
      <c r="CE51" s="62">
        <f t="shared" si="40"/>
        <v>219.59799863414099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5.8974358974358951</v>
      </c>
      <c r="CT51" s="13">
        <f>IF('Données projet'!$A$140&gt;35,CT50+CS51-DB50,IF(A51&lt;'Données projet'!$A$140,$CQ$205^A51,IF(A51='Données projet'!$A$140,'Données projet'!$B$140,CT50+CS51-DB50)))</f>
        <v>176.66666666666663</v>
      </c>
      <c r="CU51" s="18">
        <f>CT51*VLOOKUP('Données projet'!$B$13,Paramètres!$A$1:$I$89,3,0)*VLOOKUP('Données projet'!$B$13,Paramètres!$A$1:$I$89,5,0)</f>
        <v>118.50799999999998</v>
      </c>
      <c r="CV51" s="14">
        <f t="shared" si="41"/>
        <v>31.326761814194999</v>
      </c>
      <c r="CW51" s="22">
        <f t="shared" si="13"/>
        <v>260.96221015972293</v>
      </c>
      <c r="CX51" s="62">
        <f t="shared" si="14"/>
        <v>554.29554349305624</v>
      </c>
      <c r="CY51" s="62">
        <f ca="1">AVERAGE(OFFSET($CX$3,0,0,'Données projet'!$E$13+1,1))-AVERAGE(OFFSET($H$3,0,0,'Données projet'!$E$13+1,1))</f>
        <v>191.58722091189202</v>
      </c>
      <c r="CZ51" s="62">
        <f t="shared" si="42"/>
        <v>140.7542783756906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14.1</v>
      </c>
      <c r="N52" s="14">
        <f>IF('Données projet'!$A$36&gt;35,N51+M52-V51,IF(A52&lt;'Données projet'!$A$36,$K$205^A52,IF(A52='Données projet'!$A$36,'Données projet'!$B$36,N51+M52-V51)))</f>
        <v>300.90000000000009</v>
      </c>
      <c r="O52" s="14">
        <f>N52*VLOOKUP('Données projet'!$B$9,Paramètres!$A$1:$I$89,3,0)*VLOOKUP('Données projet'!$B$9,Paramètres!$A$1:$I$89,5,0)</f>
        <v>179.93820000000005</v>
      </c>
      <c r="P52" s="14">
        <f t="shared" si="33"/>
        <v>45.308436530386629</v>
      </c>
      <c r="Q52" s="22">
        <f t="shared" si="53"/>
        <v>392.30455862375675</v>
      </c>
      <c r="R52" s="62">
        <f t="shared" si="0"/>
        <v>685.63789195709001</v>
      </c>
      <c r="S52" s="62">
        <f ca="1">AVERAGE(OFFSET($R$3,0,0,'Données projet'!$E$9+1,1))-AVERAGE(OFFSET($H$3,0,0,'Données projet'!$E$9+1,1))</f>
        <v>217.20547328702645</v>
      </c>
      <c r="T52" s="62">
        <f t="shared" si="34"/>
        <v>137.55906339137317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2.4795223898467778E-3</v>
      </c>
      <c r="AC52" s="24">
        <f t="shared" si="3"/>
        <v>2.4795223898467778E-3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169.79999999999995</v>
      </c>
      <c r="AJ52" s="14">
        <f>AI52*VLOOKUP('Données projet'!$B$10,Paramètres!$A$1:$I$89,3,0)*VLOOKUP('Données projet'!$B$10,Paramètres!$A$1:$I$89,5,0)</f>
        <v>153.63503999999995</v>
      </c>
      <c r="AK52" s="14">
        <f t="shared" si="35"/>
        <v>39.403506785222667</v>
      </c>
      <c r="AL52" s="22">
        <f t="shared" si="4"/>
        <v>336.20880231759605</v>
      </c>
      <c r="AM52" s="62">
        <f t="shared" si="5"/>
        <v>629.54213565092937</v>
      </c>
      <c r="AN52" s="62">
        <f ca="1">AVERAGE(OFFSET($AM$3,0,0,'Données projet'!$E$10+1,1))-AVERAGE(OFFSET($H$3,0,0,'Données projet'!$E$10+1,1))</f>
        <v>305.35633273533773</v>
      </c>
      <c r="AO52" s="62">
        <f t="shared" si="36"/>
        <v>156.67965022779896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17.639999999999997</v>
      </c>
      <c r="BD52" s="13">
        <f>IF('Données projet'!$A$88&gt;35,BD51+BC52-BL51,IF(A52&lt;'Données projet'!$A$88,$BA$205^A52,IF(A52='Données projet'!$A$88,'Données projet'!$B$88,BD51+BC52-BL51)))</f>
        <v>572.46000000000015</v>
      </c>
      <c r="BE52" s="14">
        <f>BD52*VLOOKUP('Données projet'!$B$11,Paramètres!$A$1:$I$89,3,0)*VLOOKUP('Données projet'!$B$11,Paramètres!$A$1:$I$89,5,0)</f>
        <v>320.0051400000001</v>
      </c>
      <c r="BF52" s="14">
        <f t="shared" si="37"/>
        <v>75.354423138791091</v>
      </c>
      <c r="BG52" s="22">
        <f t="shared" si="7"/>
        <v>688.58457246672788</v>
      </c>
      <c r="BH52" s="62">
        <f t="shared" si="8"/>
        <v>981.91790580006113</v>
      </c>
      <c r="BI52" s="62">
        <f ca="1">AVERAGE(OFFSET($BH$3,0,0,'Données projet'!$E$11+1,1))-AVERAGE(OFFSET($H$3,0,0,'Données projet'!$E$11+1,1))</f>
        <v>415.52119746518764</v>
      </c>
      <c r="BJ52" s="62">
        <f t="shared" si="38"/>
        <v>490.11217551185604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1.5915658934248392E-3</v>
      </c>
      <c r="BS52" s="24">
        <f t="shared" si="9"/>
        <v>1.5915658934248392E-3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210.99999999999986</v>
      </c>
      <c r="BZ52" s="14">
        <f>BY52*VLOOKUP('Données projet'!$B$12,Paramètres!$A$1:$I$89,3,0)*VLOOKUP('Données projet'!$B$12,Paramètres!$A$1:$I$89,5,0)</f>
        <v>167.87159999999989</v>
      </c>
      <c r="CA52" s="14">
        <f t="shared" si="39"/>
        <v>42.612983811358006</v>
      </c>
      <c r="CB52" s="22">
        <f t="shared" si="10"/>
        <v>366.59398347144833</v>
      </c>
      <c r="CC52" s="62">
        <f t="shared" si="11"/>
        <v>659.92731680478164</v>
      </c>
      <c r="CD52" s="62">
        <f ca="1">AVERAGE(OFFSET($CC$3,0,0,'Données projet'!$E$12+1,1))-AVERAGE(OFFSET($H$3,0,0,'Données projet'!$E$12+1,1))</f>
        <v>232.53653575369032</v>
      </c>
      <c r="CE52" s="62">
        <f t="shared" si="40"/>
        <v>219.59799863414099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5.8974358974358951</v>
      </c>
      <c r="CT52" s="13">
        <f>IF('Données projet'!$A$140&gt;35,CT51+CS52-DB51,IF(A52&lt;'Données projet'!$A$140,$CQ$205^A52,IF(A52='Données projet'!$A$140,'Données projet'!$B$140,CT51+CS52-DB51)))</f>
        <v>182.56410256410251</v>
      </c>
      <c r="CU52" s="18">
        <f>CT52*VLOOKUP('Données projet'!$B$13,Paramètres!$A$1:$I$89,3,0)*VLOOKUP('Données projet'!$B$13,Paramètres!$A$1:$I$89,5,0)</f>
        <v>122.46399999999997</v>
      </c>
      <c r="CV52" s="14">
        <f t="shared" si="41"/>
        <v>32.249005247502218</v>
      </c>
      <c r="CW52" s="22">
        <f t="shared" si="13"/>
        <v>269.45848413939967</v>
      </c>
      <c r="CX52" s="62">
        <f t="shared" si="14"/>
        <v>562.79181747273299</v>
      </c>
      <c r="CY52" s="62">
        <f ca="1">AVERAGE(OFFSET($CX$3,0,0,'Données projet'!$E$13+1,1))-AVERAGE(OFFSET($H$3,0,0,'Données projet'!$E$13+1,1))</f>
        <v>191.58722091189202</v>
      </c>
      <c r="CZ52" s="62">
        <f t="shared" si="42"/>
        <v>140.7542783756906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315</v>
      </c>
      <c r="L53" s="13">
        <f>VLOOKUP(A53,'Données projet'!$A$35:$I$55,9,0)</f>
        <v>14.1</v>
      </c>
      <c r="M53" s="13">
        <f t="array" ref="M53">INDEX(L:L,MIN(IF(ISNUMBER(L53:L249),ROW(L53:L249),"")))</f>
        <v>14.1</v>
      </c>
      <c r="N53" s="14">
        <f>IF('Données projet'!$A$36&gt;35,N52+M53-V52,IF(A53&lt;'Données projet'!$A$36,$K$205^A53,IF(A53='Données projet'!$A$36,'Données projet'!$B$36,N52+M53-V52)))</f>
        <v>315.00000000000011</v>
      </c>
      <c r="O53" s="14">
        <f>N53*VLOOKUP('Données projet'!$B$9,Paramètres!$A$1:$I$89,3,0)*VLOOKUP('Données projet'!$B$9,Paramètres!$A$1:$I$89,5,0)</f>
        <v>188.37000000000009</v>
      </c>
      <c r="P53" s="14">
        <f t="shared" si="33"/>
        <v>47.179402486491341</v>
      </c>
      <c r="Q53" s="22">
        <f t="shared" si="53"/>
        <v>410.24854266397256</v>
      </c>
      <c r="R53" s="62">
        <f t="shared" si="0"/>
        <v>703.58187599730581</v>
      </c>
      <c r="S53" s="62">
        <f ca="1">AVERAGE(OFFSET($R$3,0,0,'Données projet'!$E$9+1,1))-AVERAGE(OFFSET($H$3,0,0,'Données projet'!$E$9+1,1))</f>
        <v>217.20547328702645</v>
      </c>
      <c r="T53" s="62">
        <f t="shared" si="34"/>
        <v>137.55906339137317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79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1.7532870959645309E-3</v>
      </c>
      <c r="AC53" s="24">
        <f t="shared" si="3"/>
        <v>1.7532870959645309E-3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177.99999999999994</v>
      </c>
      <c r="AJ53" s="14">
        <f>AI53*VLOOKUP('Données projet'!$B$10,Paramètres!$A$1:$I$89,3,0)*VLOOKUP('Données projet'!$B$10,Paramètres!$A$1:$I$89,5,0)</f>
        <v>161.05439999999996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645.38451067704386</v>
      </c>
      <c r="AN53" s="62">
        <f ca="1">AVERAGE(OFFSET($AM$3,0,0,'Données projet'!$E$10+1,1))-AVERAGE(OFFSET($H$3,0,0,'Données projet'!$E$10+1,1))</f>
        <v>305.35633273533773</v>
      </c>
      <c r="AO53" s="62">
        <f t="shared" si="36"/>
        <v>156.67965022779896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590.1</v>
      </c>
      <c r="BB53" s="13">
        <f>VLOOKUP(A53,'Données projet'!$A$87:$I$107,9,0)</f>
        <v>17.639999999999997</v>
      </c>
      <c r="BC53" s="13">
        <f t="array" ref="BC53">INDEX(BB:BB,MIN(IF(ISNUMBER(BB53:BB249),ROW(BB53:BB249),"")))</f>
        <v>17.639999999999997</v>
      </c>
      <c r="BD53" s="13">
        <f>IF('Données projet'!$A$88&gt;35,BD52+BC53-BL52,IF(A53&lt;'Données projet'!$A$88,$BA$205^A53,IF(A53='Données projet'!$A$88,'Données projet'!$B$88,BD52+BC53-BL52)))</f>
        <v>590.10000000000014</v>
      </c>
      <c r="BE53" s="14">
        <f>BD53*VLOOKUP('Données projet'!$B$11,Paramètres!$A$1:$I$89,3,0)*VLOOKUP('Données projet'!$B$11,Paramètres!$A$1:$I$89,5,0)</f>
        <v>329.86590000000007</v>
      </c>
      <c r="BF53" s="14">
        <f t="shared" si="37"/>
        <v>77.402504162841808</v>
      </c>
      <c r="BG53" s="22">
        <f t="shared" si="7"/>
        <v>709.32580391694955</v>
      </c>
      <c r="BH53" s="62">
        <f t="shared" si="8"/>
        <v>1002.6591372502828</v>
      </c>
      <c r="BI53" s="62">
        <f ca="1">AVERAGE(OFFSET($BH$3,0,0,'Données projet'!$E$11+1,1))-AVERAGE(OFFSET($H$3,0,0,'Données projet'!$E$11+1,1))</f>
        <v>415.52119746518764</v>
      </c>
      <c r="BJ53" s="62">
        <f t="shared" si="38"/>
        <v>490.11217551185604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1.1254070359459298E-3</v>
      </c>
      <c r="BS53" s="24">
        <f t="shared" si="9"/>
        <v>1.1254070359459298E-3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218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217.99999999999986</v>
      </c>
      <c r="BZ53" s="14">
        <f>BY53*VLOOKUP('Données projet'!$B$12,Paramètres!$A$1:$I$89,3,0)*VLOOKUP('Données projet'!$B$12,Paramètres!$A$1:$I$89,5,0)</f>
        <v>173.44079999999991</v>
      </c>
      <c r="CA53" s="14">
        <f t="shared" si="39"/>
        <v>43.859747318594444</v>
      </c>
      <c r="CB53" s="22">
        <f t="shared" si="10"/>
        <v>378.46511991321842</v>
      </c>
      <c r="CC53" s="62">
        <f t="shared" si="11"/>
        <v>671.79845324655173</v>
      </c>
      <c r="CD53" s="62">
        <f ca="1">AVERAGE(OFFSET($CC$3,0,0,'Données projet'!$E$12+1,1))-AVERAGE(OFFSET($H$3,0,0,'Données projet'!$E$12+1,1))</f>
        <v>232.53653575369032</v>
      </c>
      <c r="CE53" s="62">
        <f t="shared" si="40"/>
        <v>219.59799863414099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188.46153846153845</v>
      </c>
      <c r="CR53" s="13">
        <f>VLOOKUP(A53,'Données projet'!$A$139:$I$159,9,0)</f>
        <v>5.8974358974358951</v>
      </c>
      <c r="CS53" s="13">
        <f t="array" ref="CS53">INDEX(CR:CR,MIN(IF(ISNUMBER(CR53:CR249),ROW(CR53:CR249),"")))</f>
        <v>5.8974358974358951</v>
      </c>
      <c r="CT53" s="13">
        <f>IF('Données projet'!$A$140&gt;35,CT52+CS53-DB52,IF(A53&lt;'Données projet'!$A$140,$CQ$205^A53,IF(A53='Données projet'!$A$140,'Données projet'!$B$140,CT52+CS53-DB52)))</f>
        <v>188.4615384615384</v>
      </c>
      <c r="CU53" s="18">
        <f>CT53*VLOOKUP('Données projet'!$B$13,Paramètres!$A$1:$I$89,3,0)*VLOOKUP('Données projet'!$B$13,Paramètres!$A$1:$I$89,5,0)</f>
        <v>126.41999999999994</v>
      </c>
      <c r="CV53" s="14">
        <f t="shared" si="41"/>
        <v>33.167786817172448</v>
      </c>
      <c r="CW53" s="22">
        <f t="shared" si="13"/>
        <v>277.94872870657525</v>
      </c>
      <c r="CX53" s="62">
        <f t="shared" si="14"/>
        <v>571.28206203990862</v>
      </c>
      <c r="CY53" s="62">
        <f ca="1">AVERAGE(OFFSET($CX$3,0,0,'Données projet'!$E$13+1,1))-AVERAGE(OFFSET($H$3,0,0,'Données projet'!$E$13+1,1))</f>
        <v>191.58722091189202</v>
      </c>
      <c r="CZ53" s="62">
        <f t="shared" si="42"/>
        <v>140.7542783756906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15.7</v>
      </c>
      <c r="N54" s="14">
        <f>IF('Données projet'!$A$36&gt;35,N53+M54-V53,IF(A54&lt;'Données projet'!$A$36,$K$205^A54,IF(A54='Données projet'!$A$36,'Données projet'!$B$36,N53+M54-V53)))</f>
        <v>251.7000000000001</v>
      </c>
      <c r="O54" s="14">
        <f>N54*VLOOKUP('Données projet'!$B$9,Paramètres!$A$1:$I$89,3,0)*VLOOKUP('Données projet'!$B$9,Paramètres!$A$1:$I$89,5,0)</f>
        <v>150.51660000000007</v>
      </c>
      <c r="P54" s="14">
        <f t="shared" si="33"/>
        <v>38.695961323116059</v>
      </c>
      <c r="Q54" s="22">
        <f t="shared" si="53"/>
        <v>329.54521097109392</v>
      </c>
      <c r="R54" s="62">
        <f t="shared" si="0"/>
        <v>622.87854430442724</v>
      </c>
      <c r="S54" s="62">
        <f ca="1">AVERAGE(OFFSET($R$3,0,0,'Données projet'!$E$9+1,1))-AVERAGE(OFFSET($H$3,0,0,'Données projet'!$E$9+1,1))</f>
        <v>217.20547328702645</v>
      </c>
      <c r="T54" s="62">
        <f t="shared" si="34"/>
        <v>137.55906339137317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1.2397611949233889E-3</v>
      </c>
      <c r="AC54" s="24">
        <f t="shared" si="3"/>
        <v>1.2397611949233889E-3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185.99999999999994</v>
      </c>
      <c r="AJ54" s="14">
        <f>AI54*VLOOKUP('Données projet'!$B$10,Paramètres!$A$1:$I$89,3,0)*VLOOKUP('Données projet'!$B$10,Paramètres!$A$1:$I$89,5,0)</f>
        <v>168.29279999999994</v>
      </c>
      <c r="AK54" s="14">
        <f t="shared" si="35"/>
        <v>42.707443263135069</v>
      </c>
      <c r="AL54" s="22">
        <f t="shared" si="4"/>
        <v>367.49209034996011</v>
      </c>
      <c r="AM54" s="62">
        <f t="shared" si="5"/>
        <v>660.82542368329337</v>
      </c>
      <c r="AN54" s="62">
        <f ca="1">AVERAGE(OFFSET($AM$3,0,0,'Données projet'!$E$10+1,1))-AVERAGE(OFFSET($H$3,0,0,'Données projet'!$E$10+1,1))</f>
        <v>305.35633273533773</v>
      </c>
      <c r="AO54" s="62">
        <f t="shared" si="36"/>
        <v>156.67965022779896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18.159999999999989</v>
      </c>
      <c r="BD54" s="13">
        <f>IF('Données projet'!$A$88&gt;35,BD53+BC54-BL53,IF(A54&lt;'Données projet'!$A$88,$BA$205^A54,IF(A54='Données projet'!$A$88,'Données projet'!$B$88,BD53+BC54-BL53)))</f>
        <v>608.2600000000001</v>
      </c>
      <c r="BE54" s="14">
        <f>BD54*VLOOKUP('Données projet'!$B$11,Paramètres!$A$1:$I$89,3,0)*VLOOKUP('Données projet'!$B$11,Paramètres!$A$1:$I$89,5,0)</f>
        <v>340.01734000000005</v>
      </c>
      <c r="BF54" s="14">
        <f t="shared" si="37"/>
        <v>79.50352896494752</v>
      </c>
      <c r="BG54" s="22">
        <f t="shared" si="7"/>
        <v>730.66551344728362</v>
      </c>
      <c r="BH54" s="62">
        <f t="shared" si="8"/>
        <v>1023.998846780617</v>
      </c>
      <c r="BI54" s="62">
        <f ca="1">AVERAGE(OFFSET($BH$3,0,0,'Données projet'!$E$11+1,1))-AVERAGE(OFFSET($H$3,0,0,'Données projet'!$E$11+1,1))</f>
        <v>415.52119746518764</v>
      </c>
      <c r="BJ54" s="62">
        <f t="shared" si="38"/>
        <v>490.11217551185604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7.9578294671241959E-4</v>
      </c>
      <c r="BS54" s="24">
        <f t="shared" si="9"/>
        <v>7.9578294671241959E-4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6.4</v>
      </c>
      <c r="BY54" s="13">
        <f>IF('Données projet'!$A$114&gt;35,BY53+BX54-CG53,IF(A54&lt;'Données projet'!$A$114,$BV$205^A54,IF(A54='Données projet'!$A$114,'Données projet'!$B$114,BY53+BX54-CG53)))</f>
        <v>224.39999999999986</v>
      </c>
      <c r="BZ54" s="14">
        <f>BY54*VLOOKUP('Données projet'!$B$12,Paramètres!$A$1:$I$89,3,0)*VLOOKUP('Données projet'!$B$12,Paramètres!$A$1:$I$89,5,0)</f>
        <v>178.5326399999999</v>
      </c>
      <c r="CA54" s="14">
        <f t="shared" si="39"/>
        <v>44.99557024111764</v>
      </c>
      <c r="CB54" s="22">
        <f t="shared" si="10"/>
        <v>389.311632836613</v>
      </c>
      <c r="CC54" s="62">
        <f t="shared" si="11"/>
        <v>682.64496616994631</v>
      </c>
      <c r="CD54" s="62">
        <f ca="1">AVERAGE(OFFSET($CC$3,0,0,'Données projet'!$E$12+1,1))-AVERAGE(OFFSET($H$3,0,0,'Données projet'!$E$12+1,1))</f>
        <v>232.53653575369032</v>
      </c>
      <c r="CE54" s="62">
        <f t="shared" si="40"/>
        <v>219.59799863414099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5.6410256410256405</v>
      </c>
      <c r="CT54" s="13">
        <f>IF('Données projet'!$A$140&gt;35,CT53+CS54-DB53,IF(A54&lt;'Données projet'!$A$140,$CQ$205^A54,IF(A54='Données projet'!$A$140,'Données projet'!$B$140,CT53+CS54-DB53)))</f>
        <v>194.10256410256403</v>
      </c>
      <c r="CU54" s="18">
        <f>CT54*VLOOKUP('Données projet'!$B$13,Paramètres!$A$1:$I$89,3,0)*VLOOKUP('Données projet'!$B$13,Paramètres!$A$1:$I$89,5,0)</f>
        <v>130.20399999999995</v>
      </c>
      <c r="CV54" s="14">
        <f t="shared" si="41"/>
        <v>34.043493440159544</v>
      </c>
      <c r="CW54" s="22">
        <f t="shared" si="13"/>
        <v>286.06438440827776</v>
      </c>
      <c r="CX54" s="62">
        <f t="shared" si="14"/>
        <v>579.39771774161113</v>
      </c>
      <c r="CY54" s="62">
        <f ca="1">AVERAGE(OFFSET($CX$3,0,0,'Données projet'!$E$13+1,1))-AVERAGE(OFFSET($H$3,0,0,'Données projet'!$E$13+1,1))</f>
        <v>191.58722091189202</v>
      </c>
      <c r="CZ54" s="62">
        <f t="shared" si="42"/>
        <v>140.7542783756906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15.7</v>
      </c>
      <c r="N55" s="14">
        <f>IF('Données projet'!$A$36&gt;35,N54+M55-V54,IF(A55&lt;'Données projet'!$A$36,$K$205^A55,IF(A55='Données projet'!$A$36,'Données projet'!$B$36,N54+M55-V54)))</f>
        <v>267.40000000000009</v>
      </c>
      <c r="O55" s="14">
        <f>N55*VLOOKUP('Données projet'!$B$9,Paramètres!$A$1:$I$89,3,0)*VLOOKUP('Données projet'!$B$9,Paramètres!$A$1:$I$89,5,0)</f>
        <v>159.90520000000006</v>
      </c>
      <c r="P55" s="14">
        <f t="shared" si="33"/>
        <v>40.821132264574658</v>
      </c>
      <c r="Q55" s="22">
        <f t="shared" si="53"/>
        <v>349.59836202746766</v>
      </c>
      <c r="R55" s="62">
        <f t="shared" si="0"/>
        <v>642.93169536080097</v>
      </c>
      <c r="S55" s="62">
        <f ca="1">AVERAGE(OFFSET($R$3,0,0,'Données projet'!$E$9+1,1))-AVERAGE(OFFSET($H$3,0,0,'Données projet'!$E$9+1,1))</f>
        <v>217.20547328702645</v>
      </c>
      <c r="T55" s="62">
        <f t="shared" si="34"/>
        <v>137.55906339137317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8.7664354798226544E-4</v>
      </c>
      <c r="AC55" s="24">
        <f t="shared" si="3"/>
        <v>8.7664354798226544E-4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193.99999999999994</v>
      </c>
      <c r="AJ55" s="14">
        <f>AI55*VLOOKUP('Données projet'!$B$10,Paramètres!$A$1:$I$89,3,0)*VLOOKUP('Données projet'!$B$10,Paramètres!$A$1:$I$89,5,0)</f>
        <v>175.53119999999993</v>
      </c>
      <c r="AK55" s="14">
        <f t="shared" si="35"/>
        <v>44.326510481422488</v>
      </c>
      <c r="AL55" s="22">
        <f t="shared" si="4"/>
        <v>382.91884575514405</v>
      </c>
      <c r="AM55" s="62">
        <f t="shared" si="5"/>
        <v>676.25217908847731</v>
      </c>
      <c r="AN55" s="62">
        <f ca="1">AVERAGE(OFFSET($AM$3,0,0,'Données projet'!$E$10+1,1))-AVERAGE(OFFSET($H$3,0,0,'Données projet'!$E$10+1,1))</f>
        <v>305.35633273533773</v>
      </c>
      <c r="AO55" s="62">
        <f t="shared" si="36"/>
        <v>156.67965022779896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18.159999999999989</v>
      </c>
      <c r="BD55" s="13">
        <f>IF('Données projet'!$A$88&gt;35,BD54+BC55-BL54,IF(A55&lt;'Données projet'!$A$88,$BA$205^A55,IF(A55='Données projet'!$A$88,'Données projet'!$B$88,BD54+BC55-BL54)))</f>
        <v>626.42000000000007</v>
      </c>
      <c r="BE55" s="14">
        <f>BD55*VLOOKUP('Données projet'!$B$11,Paramètres!$A$1:$I$89,3,0)*VLOOKUP('Données projet'!$B$11,Paramètres!$A$1:$I$89,5,0)</f>
        <v>350.16878000000008</v>
      </c>
      <c r="BF55" s="14">
        <f t="shared" si="37"/>
        <v>81.597263817714094</v>
      </c>
      <c r="BG55" s="22">
        <f t="shared" si="7"/>
        <v>751.99252631585216</v>
      </c>
      <c r="BH55" s="62">
        <f t="shared" si="8"/>
        <v>1045.3258596491855</v>
      </c>
      <c r="BI55" s="62">
        <f ca="1">AVERAGE(OFFSET($BH$3,0,0,'Données projet'!$E$11+1,1))-AVERAGE(OFFSET($H$3,0,0,'Données projet'!$E$11+1,1))</f>
        <v>415.52119746518764</v>
      </c>
      <c r="BJ55" s="62">
        <f t="shared" si="38"/>
        <v>490.11217551185604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5.6270351797296488E-4</v>
      </c>
      <c r="BS55" s="24">
        <f t="shared" si="9"/>
        <v>5.6270351797296488E-4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6.4</v>
      </c>
      <c r="BY55" s="13">
        <f>IF('Données projet'!$A$114&gt;35,BY54+BX55-CG54,IF(A55&lt;'Données projet'!$A$114,$BV$205^A55,IF(A55='Données projet'!$A$114,'Données projet'!$B$114,BY54+BX55-CG54)))</f>
        <v>230.79999999999987</v>
      </c>
      <c r="BZ55" s="14">
        <f>BY55*VLOOKUP('Données projet'!$B$12,Paramètres!$A$1:$I$89,3,0)*VLOOKUP('Données projet'!$B$12,Paramètres!$A$1:$I$89,5,0)</f>
        <v>183.62447999999992</v>
      </c>
      <c r="CA55" s="14">
        <f t="shared" si="39"/>
        <v>46.127628187181493</v>
      </c>
      <c r="CB55" s="22">
        <f t="shared" si="10"/>
        <v>400.15158842600766</v>
      </c>
      <c r="CC55" s="62">
        <f t="shared" si="11"/>
        <v>693.48492175934098</v>
      </c>
      <c r="CD55" s="62">
        <f ca="1">AVERAGE(OFFSET($CC$3,0,0,'Données projet'!$E$12+1,1))-AVERAGE(OFFSET($H$3,0,0,'Données projet'!$E$12+1,1))</f>
        <v>232.53653575369032</v>
      </c>
      <c r="CE55" s="62">
        <f t="shared" si="40"/>
        <v>219.59799863414099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5.6410256410256405</v>
      </c>
      <c r="CT55" s="13">
        <f>IF('Données projet'!$A$140&gt;35,CT54+CS55-DB54,IF(A55&lt;'Données projet'!$A$140,$CQ$205^A55,IF(A55='Données projet'!$A$140,'Données projet'!$B$140,CT54+CS55-DB54)))</f>
        <v>199.74358974358967</v>
      </c>
      <c r="CU55" s="18">
        <f>CT55*VLOOKUP('Données projet'!$B$13,Paramètres!$A$1:$I$89,3,0)*VLOOKUP('Données projet'!$B$13,Paramètres!$A$1:$I$89,5,0)</f>
        <v>133.98799999999997</v>
      </c>
      <c r="CV55" s="14">
        <f t="shared" si="41"/>
        <v>34.916242264181065</v>
      </c>
      <c r="CW55" s="22">
        <f t="shared" si="13"/>
        <v>294.17488861011532</v>
      </c>
      <c r="CX55" s="62">
        <f t="shared" si="14"/>
        <v>587.50822194344869</v>
      </c>
      <c r="CY55" s="62">
        <f ca="1">AVERAGE(OFFSET($CX$3,0,0,'Données projet'!$E$13+1,1))-AVERAGE(OFFSET($H$3,0,0,'Données projet'!$E$13+1,1))</f>
        <v>191.58722091189202</v>
      </c>
      <c r="CZ55" s="62">
        <f t="shared" si="42"/>
        <v>140.7542783756906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15.7</v>
      </c>
      <c r="N56" s="14">
        <f>IF('Données projet'!$A$36&gt;35,N55+M56-V55,IF(A56&lt;'Données projet'!$A$36,$K$205^A56,IF(A56='Données projet'!$A$36,'Données projet'!$B$36,N55+M56-V55)))</f>
        <v>283.10000000000008</v>
      </c>
      <c r="O56" s="14">
        <f>N56*VLOOKUP('Données projet'!$B$9,Paramètres!$A$1:$I$89,3,0)*VLOOKUP('Données projet'!$B$9,Paramètres!$A$1:$I$89,5,0)</f>
        <v>169.29380000000009</v>
      </c>
      <c r="P56" s="14">
        <f t="shared" si="33"/>
        <v>42.931819978697277</v>
      </c>
      <c r="Q56" s="22">
        <f t="shared" si="53"/>
        <v>369.6262881295645</v>
      </c>
      <c r="R56" s="62">
        <f t="shared" si="0"/>
        <v>662.95962146289776</v>
      </c>
      <c r="S56" s="62">
        <f ca="1">AVERAGE(OFFSET($R$3,0,0,'Données projet'!$E$9+1,1))-AVERAGE(OFFSET($H$3,0,0,'Données projet'!$E$9+1,1))</f>
        <v>217.20547328702645</v>
      </c>
      <c r="T56" s="62">
        <f t="shared" si="34"/>
        <v>137.55906339137317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6.1988059746169444E-4</v>
      </c>
      <c r="AC56" s="24">
        <f t="shared" si="3"/>
        <v>6.1988059746169444E-4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201.99999999999994</v>
      </c>
      <c r="AJ56" s="14">
        <f>AI56*VLOOKUP('Données projet'!$B$10,Paramètres!$A$1:$I$89,3,0)*VLOOKUP('Données projet'!$B$10,Paramètres!$A$1:$I$89,5,0)</f>
        <v>182.76959999999994</v>
      </c>
      <c r="AK56" s="14">
        <f t="shared" si="35"/>
        <v>45.937822477650357</v>
      </c>
      <c r="AL56" s="22">
        <f t="shared" si="4"/>
        <v>398.33209414857424</v>
      </c>
      <c r="AM56" s="62">
        <f t="shared" si="5"/>
        <v>691.6654274819075</v>
      </c>
      <c r="AN56" s="62">
        <f ca="1">AVERAGE(OFFSET($AM$3,0,0,'Données projet'!$E$10+1,1))-AVERAGE(OFFSET($H$3,0,0,'Données projet'!$E$10+1,1))</f>
        <v>305.35633273533773</v>
      </c>
      <c r="AO56" s="62">
        <f t="shared" si="36"/>
        <v>156.67965022779896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18.159999999999989</v>
      </c>
      <c r="BD56" s="13">
        <f>IF('Données projet'!$A$88&gt;35,BD55+BC56-BL55,IF(A56&lt;'Données projet'!$A$88,$BA$205^A56,IF(A56='Données projet'!$A$88,'Données projet'!$B$88,BD55+BC56-BL55)))</f>
        <v>644.58000000000004</v>
      </c>
      <c r="BE56" s="14">
        <f>BD56*VLOOKUP('Données projet'!$B$11,Paramètres!$A$1:$I$89,3,0)*VLOOKUP('Données projet'!$B$11,Paramètres!$A$1:$I$89,5,0)</f>
        <v>360.32022000000001</v>
      </c>
      <c r="BF56" s="14">
        <f t="shared" si="37"/>
        <v>83.683944326594485</v>
      </c>
      <c r="BG56" s="22">
        <f t="shared" si="7"/>
        <v>773.30725286881864</v>
      </c>
      <c r="BH56" s="62">
        <f t="shared" si="8"/>
        <v>1066.640586202152</v>
      </c>
      <c r="BI56" s="62">
        <f ca="1">AVERAGE(OFFSET($BH$3,0,0,'Données projet'!$E$11+1,1))-AVERAGE(OFFSET($H$3,0,0,'Données projet'!$E$11+1,1))</f>
        <v>415.52119746518764</v>
      </c>
      <c r="BJ56" s="62">
        <f t="shared" si="38"/>
        <v>490.11217551185604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3.978914733562098E-4</v>
      </c>
      <c r="BS56" s="24">
        <f t="shared" si="9"/>
        <v>3.978914733562098E-4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6.4</v>
      </c>
      <c r="BY56" s="13">
        <f>IF('Données projet'!$A$114&gt;35,BY55+BX56-CG55,IF(A56&lt;'Données projet'!$A$114,$BV$205^A56,IF(A56='Données projet'!$A$114,'Données projet'!$B$114,BY55+BX56-CG55)))</f>
        <v>237.19999999999987</v>
      </c>
      <c r="BZ56" s="14">
        <f>BY56*VLOOKUP('Données projet'!$B$12,Paramètres!$A$1:$I$89,3,0)*VLOOKUP('Données projet'!$B$12,Paramètres!$A$1:$I$89,5,0)</f>
        <v>188.71631999999991</v>
      </c>
      <c r="CA56" s="14">
        <f t="shared" si="39"/>
        <v>47.256037552855531</v>
      </c>
      <c r="CB56" s="22">
        <f t="shared" si="10"/>
        <v>410.98518940455659</v>
      </c>
      <c r="CC56" s="62">
        <f t="shared" si="11"/>
        <v>704.31852273788991</v>
      </c>
      <c r="CD56" s="62">
        <f ca="1">AVERAGE(OFFSET($CC$3,0,0,'Données projet'!$E$12+1,1))-AVERAGE(OFFSET($H$3,0,0,'Données projet'!$E$12+1,1))</f>
        <v>232.53653575369032</v>
      </c>
      <c r="CE56" s="62">
        <f t="shared" si="40"/>
        <v>219.59799863414099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5.6410256410256405</v>
      </c>
      <c r="CT56" s="13">
        <f>IF('Données projet'!$A$140&gt;35,CT55+CS56-DB55,IF(A56&lt;'Données projet'!$A$140,$CQ$205^A56,IF(A56='Données projet'!$A$140,'Données projet'!$B$140,CT55+CS56-DB55)))</f>
        <v>205.3846153846153</v>
      </c>
      <c r="CU56" s="18">
        <f>CT56*VLOOKUP('Données projet'!$B$13,Paramètres!$A$1:$I$89,3,0)*VLOOKUP('Données projet'!$B$13,Paramètres!$A$1:$I$89,5,0)</f>
        <v>137.77199999999993</v>
      </c>
      <c r="CV56" s="14">
        <f t="shared" si="41"/>
        <v>35.786126416547233</v>
      </c>
      <c r="CW56" s="22">
        <f t="shared" si="13"/>
        <v>302.28040350881963</v>
      </c>
      <c r="CX56" s="62">
        <f t="shared" si="14"/>
        <v>595.613736842153</v>
      </c>
      <c r="CY56" s="62">
        <f ca="1">AVERAGE(OFFSET($CX$3,0,0,'Données projet'!$E$13+1,1))-AVERAGE(OFFSET($H$3,0,0,'Données projet'!$E$13+1,1))</f>
        <v>191.58722091189202</v>
      </c>
      <c r="CZ56" s="62">
        <f t="shared" si="42"/>
        <v>140.7542783756906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15.7</v>
      </c>
      <c r="N57" s="14">
        <f>IF('Données projet'!$A$36&gt;35,N56+M57-V56,IF(A57&lt;'Données projet'!$A$36,$K$205^A57,IF(A57='Données projet'!$A$36,'Données projet'!$B$36,N56+M57-V56)))</f>
        <v>298.80000000000007</v>
      </c>
      <c r="O57" s="14">
        <f>N57*VLOOKUP('Données projet'!$B$9,Paramètres!$A$1:$I$89,3,0)*VLOOKUP('Données projet'!$B$9,Paramètres!$A$1:$I$89,5,0)</f>
        <v>178.68240000000006</v>
      </c>
      <c r="P57" s="14">
        <f t="shared" si="33"/>
        <v>45.028919214980071</v>
      </c>
      <c r="Q57" s="22">
        <f t="shared" si="53"/>
        <v>389.63054763275704</v>
      </c>
      <c r="R57" s="62">
        <f t="shared" si="0"/>
        <v>682.9638809660903</v>
      </c>
      <c r="S57" s="62">
        <f ca="1">AVERAGE(OFFSET($R$3,0,0,'Données projet'!$E$9+1,1))-AVERAGE(OFFSET($H$3,0,0,'Données projet'!$E$9+1,1))</f>
        <v>217.20547328702645</v>
      </c>
      <c r="T57" s="62">
        <f t="shared" si="34"/>
        <v>137.55906339137317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4.3832177399113272E-4</v>
      </c>
      <c r="AC57" s="24">
        <f t="shared" si="3"/>
        <v>4.3832177399113272E-4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209.99999999999994</v>
      </c>
      <c r="AJ57" s="14">
        <f>AI57*VLOOKUP('Données projet'!$B$10,Paramètres!$A$1:$I$89,3,0)*VLOOKUP('Données projet'!$B$10,Paramètres!$A$1:$I$89,5,0)</f>
        <v>190.00799999999992</v>
      </c>
      <c r="AK57" s="14">
        <f t="shared" si="35"/>
        <v>47.541721533308163</v>
      </c>
      <c r="AL57" s="22">
        <f t="shared" si="4"/>
        <v>413.73243167051163</v>
      </c>
      <c r="AM57" s="62">
        <f t="shared" si="5"/>
        <v>707.06576500384494</v>
      </c>
      <c r="AN57" s="62">
        <f ca="1">AVERAGE(OFFSET($AM$3,0,0,'Données projet'!$E$10+1,1))-AVERAGE(OFFSET($H$3,0,0,'Données projet'!$E$10+1,1))</f>
        <v>305.35633273533773</v>
      </c>
      <c r="AO57" s="62">
        <f t="shared" si="36"/>
        <v>156.67965022779896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18.159999999999989</v>
      </c>
      <c r="BD57" s="13">
        <f>IF('Données projet'!$A$88&gt;35,BD56+BC57-BL56,IF(A57&lt;'Données projet'!$A$88,$BA$205^A57,IF(A57='Données projet'!$A$88,'Données projet'!$B$88,BD56+BC57-BL56)))</f>
        <v>662.74</v>
      </c>
      <c r="BE57" s="14">
        <f>BD57*VLOOKUP('Données projet'!$B$11,Paramètres!$A$1:$I$89,3,0)*VLOOKUP('Données projet'!$B$11,Paramètres!$A$1:$I$89,5,0)</f>
        <v>370.47166000000004</v>
      </c>
      <c r="BF57" s="14">
        <f t="shared" si="37"/>
        <v>85.763792066191144</v>
      </c>
      <c r="BG57" s="22">
        <f t="shared" si="7"/>
        <v>794.61007901528308</v>
      </c>
      <c r="BH57" s="62">
        <f t="shared" si="8"/>
        <v>1087.9434123486164</v>
      </c>
      <c r="BI57" s="62">
        <f ca="1">AVERAGE(OFFSET($BH$3,0,0,'Données projet'!$E$11+1,1))-AVERAGE(OFFSET($H$3,0,0,'Données projet'!$E$11+1,1))</f>
        <v>415.52119746518764</v>
      </c>
      <c r="BJ57" s="62">
        <f t="shared" si="38"/>
        <v>490.11217551185604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2.8135175898648244E-4</v>
      </c>
      <c r="BS57" s="24">
        <f t="shared" si="9"/>
        <v>2.8135175898648244E-4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6.4</v>
      </c>
      <c r="BY57" s="13">
        <f>IF('Données projet'!$A$114&gt;35,BY56+BX57-CG56,IF(A57&lt;'Données projet'!$A$114,$BV$205^A57,IF(A57='Données projet'!$A$114,'Données projet'!$B$114,BY56+BX57-CG56)))</f>
        <v>243.59999999999988</v>
      </c>
      <c r="BZ57" s="14">
        <f>BY57*VLOOKUP('Données projet'!$B$12,Paramètres!$A$1:$I$89,3,0)*VLOOKUP('Données projet'!$B$12,Paramètres!$A$1:$I$89,5,0)</f>
        <v>193.80815999999993</v>
      </c>
      <c r="CA57" s="14">
        <f t="shared" si="39"/>
        <v>48.380908095574689</v>
      </c>
      <c r="CB57" s="22">
        <f t="shared" si="10"/>
        <v>421.81262693312578</v>
      </c>
      <c r="CC57" s="62">
        <f t="shared" si="11"/>
        <v>715.14596026645904</v>
      </c>
      <c r="CD57" s="62">
        <f ca="1">AVERAGE(OFFSET($CC$3,0,0,'Données projet'!$E$12+1,1))-AVERAGE(OFFSET($H$3,0,0,'Données projet'!$E$12+1,1))</f>
        <v>232.53653575369032</v>
      </c>
      <c r="CE57" s="62">
        <f t="shared" si="40"/>
        <v>219.59799863414099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5.6410256410256405</v>
      </c>
      <c r="CT57" s="13">
        <f>IF('Données projet'!$A$140&gt;35,CT56+CS57-DB56,IF(A57&lt;'Données projet'!$A$140,$CQ$205^A57,IF(A57='Données projet'!$A$140,'Données projet'!$B$140,CT56+CS57-DB56)))</f>
        <v>211.02564102564094</v>
      </c>
      <c r="CU57" s="18">
        <f>CT57*VLOOKUP('Données projet'!$B$13,Paramètres!$A$1:$I$89,3,0)*VLOOKUP('Données projet'!$B$13,Paramètres!$A$1:$I$89,5,0)</f>
        <v>141.55599999999995</v>
      </c>
      <c r="CV57" s="14">
        <f t="shared" si="41"/>
        <v>36.653233617821797</v>
      </c>
      <c r="CW57" s="22">
        <f t="shared" si="13"/>
        <v>310.38108188437286</v>
      </c>
      <c r="CX57" s="62">
        <f t="shared" si="14"/>
        <v>603.71441521770612</v>
      </c>
      <c r="CY57" s="62">
        <f ca="1">AVERAGE(OFFSET($CX$3,0,0,'Données projet'!$E$13+1,1))-AVERAGE(OFFSET($H$3,0,0,'Données projet'!$E$13+1,1))</f>
        <v>191.58722091189202</v>
      </c>
      <c r="CZ57" s="62">
        <f t="shared" si="42"/>
        <v>140.7542783756906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15.7</v>
      </c>
      <c r="N58" s="14">
        <f>IF('Données projet'!$A$36&gt;35,N57+M58-V57,IF(A58&lt;'Données projet'!$A$36,$K$205^A58,IF(A58='Données projet'!$A$36,'Données projet'!$B$36,N57+M58-V57)))</f>
        <v>314.50000000000006</v>
      </c>
      <c r="O58" s="14">
        <f>N58*VLOOKUP('Données projet'!$B$9,Paramètres!$A$1:$I$89,3,0)*VLOOKUP('Données projet'!$B$9,Paramètres!$A$1:$I$89,5,0)</f>
        <v>188.07100000000005</v>
      </c>
      <c r="P58" s="14">
        <f t="shared" si="33"/>
        <v>47.113225385753083</v>
      </c>
      <c r="Q58" s="22">
        <f t="shared" si="53"/>
        <v>409.61252588018669</v>
      </c>
      <c r="R58" s="62">
        <f t="shared" si="0"/>
        <v>702.94585921351995</v>
      </c>
      <c r="S58" s="62">
        <f ca="1">AVERAGE(OFFSET($R$3,0,0,'Données projet'!$E$9+1,1))-AVERAGE(OFFSET($H$3,0,0,'Données projet'!$E$9+1,1))</f>
        <v>217.20547328702645</v>
      </c>
      <c r="T58" s="62">
        <f t="shared" si="34"/>
        <v>137.55906339137317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3.0994029873084722E-4</v>
      </c>
      <c r="AC58" s="24">
        <f t="shared" si="3"/>
        <v>3.0994029873084722E-4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217.99999999999994</v>
      </c>
      <c r="AJ58" s="14">
        <f>AI58*VLOOKUP('Données projet'!$B$10,Paramètres!$A$1:$I$89,3,0)*VLOOKUP('Données projet'!$B$10,Paramètres!$A$1:$I$89,5,0)</f>
        <v>197.24639999999994</v>
      </c>
      <c r="AK58" s="14">
        <f t="shared" si="35"/>
        <v>49.138522374247202</v>
      </c>
      <c r="AL58" s="22">
        <f t="shared" si="4"/>
        <v>429.12040646848044</v>
      </c>
      <c r="AM58" s="62">
        <f t="shared" si="5"/>
        <v>722.45373980181375</v>
      </c>
      <c r="AN58" s="62">
        <f ca="1">AVERAGE(OFFSET($AM$3,0,0,'Données projet'!$E$10+1,1))-AVERAGE(OFFSET($H$3,0,0,'Données projet'!$E$10+1,1))</f>
        <v>305.35633273533773</v>
      </c>
      <c r="AO58" s="62">
        <f t="shared" si="36"/>
        <v>156.67965022779896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680.9</v>
      </c>
      <c r="BB58" s="13">
        <f>VLOOKUP(A58,'Données projet'!$A$87:$I$107,9,0)</f>
        <v>18.159999999999989</v>
      </c>
      <c r="BC58" s="13">
        <f t="array" ref="BC58">INDEX(BB:BB,MIN(IF(ISNUMBER(BB58:BB254),ROW(BB58:BB254),"")))</f>
        <v>18.159999999999989</v>
      </c>
      <c r="BD58" s="13">
        <f>IF('Données projet'!$A$88&gt;35,BD57+BC58-BL57,IF(A58&lt;'Données projet'!$A$88,$BA$205^A58,IF(A58='Données projet'!$A$88,'Données projet'!$B$88,BD57+BC58-BL57)))</f>
        <v>680.9</v>
      </c>
      <c r="BE58" s="14">
        <f>BD58*VLOOKUP('Données projet'!$B$11,Paramètres!$A$1:$I$89,3,0)*VLOOKUP('Données projet'!$B$11,Paramètres!$A$1:$I$89,5,0)</f>
        <v>380.62309999999997</v>
      </c>
      <c r="BF58" s="14">
        <f t="shared" si="37"/>
        <v>87.837015777099921</v>
      </c>
      <c r="BG58" s="22">
        <f t="shared" si="7"/>
        <v>815.90136831178233</v>
      </c>
      <c r="BH58" s="62">
        <f t="shared" si="8"/>
        <v>1109.2347016451156</v>
      </c>
      <c r="BI58" s="62">
        <f ca="1">AVERAGE(OFFSET($BH$3,0,0,'Données projet'!$E$11+1,1))-AVERAGE(OFFSET($H$3,0,0,'Données projet'!$E$11+1,1))</f>
        <v>415.52119746518764</v>
      </c>
      <c r="BJ58" s="62">
        <f t="shared" si="38"/>
        <v>490.11217551185604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140.30000000000001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1.989457366781049E-4</v>
      </c>
      <c r="BS58" s="24">
        <f t="shared" si="9"/>
        <v>1.989457366781049E-4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250</v>
      </c>
      <c r="BW58" s="13">
        <f>VLOOKUP(A58,'Données projet'!$A$113:$I$133,9,0)</f>
        <v>6.4</v>
      </c>
      <c r="BX58" s="13">
        <f t="array" ref="BX58">INDEX(BW:BW,MIN(IF(ISNUMBER(BW58:BW254),ROW(BW58:BW254),"")))</f>
        <v>6.4</v>
      </c>
      <c r="BY58" s="13">
        <f>IF('Données projet'!$A$114&gt;35,BY57+BX58-CG57,IF(A58&lt;'Données projet'!$A$114,$BV$205^A58,IF(A58='Données projet'!$A$114,'Données projet'!$B$114,BY57+BX58-CG57)))</f>
        <v>249.99999999999989</v>
      </c>
      <c r="BZ58" s="14">
        <f>BY58*VLOOKUP('Données projet'!$B$12,Paramètres!$A$1:$I$89,3,0)*VLOOKUP('Données projet'!$B$12,Paramètres!$A$1:$I$89,5,0)</f>
        <v>198.89999999999992</v>
      </c>
      <c r="CA58" s="14">
        <f t="shared" si="39"/>
        <v>49.502343477105526</v>
      </c>
      <c r="CB58" s="22">
        <f t="shared" si="10"/>
        <v>432.63408155595857</v>
      </c>
      <c r="CC58" s="62">
        <f t="shared" si="11"/>
        <v>725.96741488929183</v>
      </c>
      <c r="CD58" s="62">
        <f ca="1">AVERAGE(OFFSET($CC$3,0,0,'Données projet'!$E$12+1,1))-AVERAGE(OFFSET($H$3,0,0,'Données projet'!$E$12+1,1))</f>
        <v>232.53653575369032</v>
      </c>
      <c r="CE58" s="62">
        <f t="shared" si="40"/>
        <v>219.59799863414099</v>
      </c>
      <c r="CF58" s="16">
        <f>IF(ISNA(VLOOKUP(A58,'Données projet'!$A$113:$I$133,3,0)),0,VLOOKUP(A58,'Données projet'!$A$113:$I$133,3,0))</f>
        <v>5</v>
      </c>
      <c r="CG58" s="16">
        <f>IF(ISNA(VLOOKUP(A58,'Données projet'!$A$113:$I$133,4,0)),0,VLOOKUP(A58,'Données projet'!$A$113:$I$133,4,0))</f>
        <v>30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216.66666666666666</v>
      </c>
      <c r="CR58" s="13">
        <f>VLOOKUP(A58,'Données projet'!$A$139:$I$159,9,0)</f>
        <v>5.6410256410256405</v>
      </c>
      <c r="CS58" s="13">
        <f t="array" ref="CS58">INDEX(CR:CR,MIN(IF(ISNUMBER(CR58:CR254),ROW(CR58:CR254),"")))</f>
        <v>5.6410256410256405</v>
      </c>
      <c r="CT58" s="13">
        <f>IF('Données projet'!$A$140&gt;35,CT57+CS58-DB57,IF(A58&lt;'Données projet'!$A$140,$CQ$205^A58,IF(A58='Données projet'!$A$140,'Données projet'!$B$140,CT57+CS58-DB57)))</f>
        <v>216.66666666666657</v>
      </c>
      <c r="CU58" s="18">
        <f>CT58*VLOOKUP('Données projet'!$B$13,Paramètres!$A$1:$I$89,3,0)*VLOOKUP('Données projet'!$B$13,Paramètres!$A$1:$I$89,5,0)</f>
        <v>145.33999999999995</v>
      </c>
      <c r="CV58" s="14">
        <f t="shared" si="41"/>
        <v>37.517646631752974</v>
      </c>
      <c r="CW58" s="22">
        <f t="shared" si="13"/>
        <v>318.47706788363627</v>
      </c>
      <c r="CX58" s="62">
        <f t="shared" si="14"/>
        <v>611.81040121696958</v>
      </c>
      <c r="CY58" s="62">
        <f ca="1">AVERAGE(OFFSET($CX$3,0,0,'Données projet'!$E$13+1,1))-AVERAGE(OFFSET($H$3,0,0,'Données projet'!$E$13+1,1))</f>
        <v>191.58722091189202</v>
      </c>
      <c r="CZ58" s="62">
        <f t="shared" si="42"/>
        <v>140.7542783756906</v>
      </c>
      <c r="DA58" s="16">
        <f>IF(ISNA(VLOOKUP(A58,'Données projet'!$A$139:$I$159,3,0)),0,VLOOKUP(A58,'Données projet'!$A$139:$I$159,3,0))</f>
        <v>5</v>
      </c>
      <c r="DB58" s="16">
        <f>IF(ISNA(VLOOKUP(A58,'Données projet'!$A$139:$I$159,4,0)),0,VLOOKUP(A58,'Données projet'!$A$139:$I$159,4,0))</f>
        <v>30.128205128205128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15.7</v>
      </c>
      <c r="N59" s="14">
        <f>IF('Données projet'!$A$36&gt;35,N58+M59-V58,IF(A59&lt;'Données projet'!$A$36,$K$205^A59,IF(A59='Données projet'!$A$36,'Données projet'!$B$36,N58+M59-V58)))</f>
        <v>330.20000000000005</v>
      </c>
      <c r="O59" s="14">
        <f>N59*VLOOKUP('Données projet'!$B$9,Paramètres!$A$1:$I$89,3,0)*VLOOKUP('Données projet'!$B$9,Paramètres!$A$1:$I$89,5,0)</f>
        <v>197.45960000000005</v>
      </c>
      <c r="P59" s="14">
        <f t="shared" si="33"/>
        <v>49.185450002435452</v>
      </c>
      <c r="Q59" s="22">
        <f t="shared" si="53"/>
        <v>429.57346208757514</v>
      </c>
      <c r="R59" s="62">
        <f t="shared" si="0"/>
        <v>722.90679542090845</v>
      </c>
      <c r="S59" s="62">
        <f ca="1">AVERAGE(OFFSET($R$3,0,0,'Données projet'!$E$9+1,1))-AVERAGE(OFFSET($H$3,0,0,'Données projet'!$E$9+1,1))</f>
        <v>217.20547328702645</v>
      </c>
      <c r="T59" s="62">
        <f t="shared" si="34"/>
        <v>137.55906339137317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2.1916088699556636E-4</v>
      </c>
      <c r="AC59" s="24">
        <f t="shared" si="3"/>
        <v>2.1916088699556636E-4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183.59999999999994</v>
      </c>
      <c r="AJ59" s="14">
        <f>AI59*VLOOKUP('Données projet'!$B$10,Paramètres!$A$1:$I$89,3,0)*VLOOKUP('Données projet'!$B$10,Paramètres!$A$1:$I$89,5,0)</f>
        <v>166.12127999999993</v>
      </c>
      <c r="AK59" s="14">
        <f t="shared" si="35"/>
        <v>42.220155874487318</v>
      </c>
      <c r="AL59" s="22">
        <f t="shared" si="4"/>
        <v>362.86133414806528</v>
      </c>
      <c r="AM59" s="62">
        <f t="shared" si="5"/>
        <v>656.1946674813986</v>
      </c>
      <c r="AN59" s="62">
        <f ca="1">AVERAGE(OFFSET($AM$3,0,0,'Données projet'!$E$10+1,1))-AVERAGE(OFFSET($H$3,0,0,'Données projet'!$E$10+1,1))</f>
        <v>305.35633273533773</v>
      </c>
      <c r="AO59" s="62">
        <f t="shared" si="36"/>
        <v>156.67965022779896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17.140000000000008</v>
      </c>
      <c r="BD59" s="13">
        <f>IF('Données projet'!$A$88&gt;35,BD58+BC59-BL58,IF(A59&lt;'Données projet'!$A$88,$BA$205^A59,IF(A59='Données projet'!$A$88,'Données projet'!$B$88,BD58+BC59-BL58)))</f>
        <v>557.74</v>
      </c>
      <c r="BE59" s="14">
        <f>BD59*VLOOKUP('Données projet'!$B$11,Paramètres!$A$1:$I$89,3,0)*VLOOKUP('Données projet'!$B$11,Paramètres!$A$1:$I$89,5,0)</f>
        <v>311.77666000000005</v>
      </c>
      <c r="BF59" s="14">
        <f t="shared" si="37"/>
        <v>73.639743995120924</v>
      </c>
      <c r="BG59" s="22">
        <f t="shared" si="7"/>
        <v>671.26690362483566</v>
      </c>
      <c r="BH59" s="62">
        <f t="shared" si="8"/>
        <v>964.60023695816903</v>
      </c>
      <c r="BI59" s="62">
        <f ca="1">AVERAGE(OFFSET($BH$3,0,0,'Données projet'!$E$11+1,1))-AVERAGE(OFFSET($H$3,0,0,'Données projet'!$E$11+1,1))</f>
        <v>415.52119746518764</v>
      </c>
      <c r="BJ59" s="62">
        <f t="shared" si="38"/>
        <v>490.11217551185604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1.4067587949324122E-4</v>
      </c>
      <c r="BS59" s="24">
        <f t="shared" si="9"/>
        <v>1.4067587949324122E-4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</v>
      </c>
      <c r="BY59" s="13">
        <f>IF('Données projet'!$A$114&gt;35,BY58+BX59-CG58,IF(A59&lt;'Données projet'!$A$114,$BV$205^A59,IF(A59='Données projet'!$A$114,'Données projet'!$B$114,BY58+BX59-CG58)))</f>
        <v>224.99999999999989</v>
      </c>
      <c r="BZ59" s="14">
        <f>BY59*VLOOKUP('Données projet'!$B$12,Paramètres!$A$1:$I$89,3,0)*VLOOKUP('Données projet'!$B$12,Paramètres!$A$1:$I$89,5,0)</f>
        <v>179.00999999999991</v>
      </c>
      <c r="CA59" s="14">
        <f t="shared" si="39"/>
        <v>45.101858757318098</v>
      </c>
      <c r="CB59" s="22">
        <f t="shared" si="10"/>
        <v>390.32815400232886</v>
      </c>
      <c r="CC59" s="62">
        <f t="shared" si="11"/>
        <v>683.66148733566217</v>
      </c>
      <c r="CD59" s="62">
        <f ca="1">AVERAGE(OFFSET($CC$3,0,0,'Données projet'!$E$12+1,1))-AVERAGE(OFFSET($H$3,0,0,'Données projet'!$E$12+1,1))</f>
        <v>232.53653575369032</v>
      </c>
      <c r="CE59" s="62">
        <f t="shared" si="40"/>
        <v>219.59799863414099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5.2564102564102599</v>
      </c>
      <c r="CT59" s="13">
        <f>IF('Données projet'!$A$140&gt;35,CT58+CS59-DB58,IF(A59&lt;'Données projet'!$A$140,$CQ$205^A59,IF(A59='Données projet'!$A$140,'Données projet'!$B$140,CT58+CS59-DB58)))</f>
        <v>191.79487179487168</v>
      </c>
      <c r="CU59" s="18">
        <f>CT59*VLOOKUP('Données projet'!$B$13,Paramètres!$A$1:$I$89,3,0)*VLOOKUP('Données projet'!$B$13,Paramètres!$A$1:$I$89,5,0)</f>
        <v>128.65599999999995</v>
      </c>
      <c r="CV59" s="14">
        <f t="shared" si="41"/>
        <v>33.685612807452138</v>
      </c>
      <c r="CW59" s="22">
        <f t="shared" si="13"/>
        <v>282.7449756396457</v>
      </c>
      <c r="CX59" s="62">
        <f t="shared" si="14"/>
        <v>576.07830897297902</v>
      </c>
      <c r="CY59" s="62">
        <f ca="1">AVERAGE(OFFSET($CX$3,0,0,'Données projet'!$E$13+1,1))-AVERAGE(OFFSET($H$3,0,0,'Données projet'!$E$13+1,1))</f>
        <v>191.58722091189202</v>
      </c>
      <c r="CZ59" s="62">
        <f t="shared" si="42"/>
        <v>140.7542783756906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15.7</v>
      </c>
      <c r="N60" s="14">
        <f>IF('Données projet'!$A$36&gt;35,N59+M60-V59,IF(A60&lt;'Données projet'!$A$36,$K$205^A60,IF(A60='Données projet'!$A$36,'Données projet'!$B$36,N59+M60-V59)))</f>
        <v>345.90000000000003</v>
      </c>
      <c r="O60" s="14">
        <f>N60*VLOOKUP('Données projet'!$B$9,Paramètres!$A$1:$I$89,3,0)*VLOOKUP('Données projet'!$B$9,Paramètres!$A$1:$I$89,5,0)</f>
        <v>206.84820000000005</v>
      </c>
      <c r="P60" s="14">
        <f t="shared" si="33"/>
        <v>51.246233092829954</v>
      </c>
      <c r="Q60" s="22">
        <f t="shared" si="53"/>
        <v>449.51447097001227</v>
      </c>
      <c r="R60" s="62">
        <f t="shared" si="0"/>
        <v>742.84780430334558</v>
      </c>
      <c r="S60" s="62">
        <f ca="1">AVERAGE(OFFSET($R$3,0,0,'Données projet'!$E$9+1,1))-AVERAGE(OFFSET($H$3,0,0,'Données projet'!$E$9+1,1))</f>
        <v>217.20547328702645</v>
      </c>
      <c r="T60" s="62">
        <f t="shared" si="34"/>
        <v>137.55906339137317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1.5497014936542361E-4</v>
      </c>
      <c r="AC60" s="24">
        <f t="shared" si="3"/>
        <v>1.5497014936542361E-4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191.19999999999993</v>
      </c>
      <c r="AJ60" s="14">
        <f>AI60*VLOOKUP('Données projet'!$B$10,Paramètres!$A$1:$I$89,3,0)*VLOOKUP('Données projet'!$B$10,Paramètres!$A$1:$I$89,5,0)</f>
        <v>172.99775999999994</v>
      </c>
      <c r="AK60" s="14">
        <f t="shared" si="35"/>
        <v>43.760737531919567</v>
      </c>
      <c r="AL60" s="22">
        <f t="shared" si="4"/>
        <v>377.52104986809314</v>
      </c>
      <c r="AM60" s="62">
        <f t="shared" si="5"/>
        <v>670.85438320142646</v>
      </c>
      <c r="AN60" s="62">
        <f ca="1">AVERAGE(OFFSET($AM$3,0,0,'Données projet'!$E$10+1,1))-AVERAGE(OFFSET($H$3,0,0,'Données projet'!$E$10+1,1))</f>
        <v>305.35633273533773</v>
      </c>
      <c r="AO60" s="62">
        <f t="shared" si="36"/>
        <v>156.67965022779896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17.140000000000008</v>
      </c>
      <c r="BD60" s="13">
        <f>IF('Données projet'!$A$88&gt;35,BD59+BC60-BL59,IF(A60&lt;'Données projet'!$A$88,$BA$205^A60,IF(A60='Données projet'!$A$88,'Données projet'!$B$88,BD59+BC60-BL59)))</f>
        <v>574.88</v>
      </c>
      <c r="BE60" s="14">
        <f>BD60*VLOOKUP('Données projet'!$B$11,Paramètres!$A$1:$I$89,3,0)*VLOOKUP('Données projet'!$B$11,Paramètres!$A$1:$I$89,5,0)</f>
        <v>321.35791999999998</v>
      </c>
      <c r="BF60" s="14">
        <f t="shared" si="37"/>
        <v>75.635825657538362</v>
      </c>
      <c r="BG60" s="22">
        <f t="shared" si="7"/>
        <v>691.43077368687921</v>
      </c>
      <c r="BH60" s="62">
        <f t="shared" si="8"/>
        <v>984.76410702021258</v>
      </c>
      <c r="BI60" s="62">
        <f ca="1">AVERAGE(OFFSET($BH$3,0,0,'Données projet'!$E$11+1,1))-AVERAGE(OFFSET($H$3,0,0,'Données projet'!$E$11+1,1))</f>
        <v>415.52119746518764</v>
      </c>
      <c r="BJ60" s="62">
        <f t="shared" si="38"/>
        <v>490.11217551185604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9.9472868339052449E-5</v>
      </c>
      <c r="BS60" s="24">
        <f t="shared" si="9"/>
        <v>9.9472868339052449E-5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</v>
      </c>
      <c r="BY60" s="13">
        <f>IF('Données projet'!$A$114&gt;35,BY59+BX60-CG59,IF(A60&lt;'Données projet'!$A$114,$BV$205^A60,IF(A60='Données projet'!$A$114,'Données projet'!$B$114,BY59+BX60-CG59)))</f>
        <v>229.99999999999989</v>
      </c>
      <c r="BZ60" s="14">
        <f>BY60*VLOOKUP('Données projet'!$B$12,Paramètres!$A$1:$I$89,3,0)*VLOOKUP('Données projet'!$B$12,Paramètres!$A$1:$I$89,5,0)</f>
        <v>182.98799999999991</v>
      </c>
      <c r="CA60" s="14">
        <f t="shared" si="39"/>
        <v>45.986322796524831</v>
      </c>
      <c r="CB60" s="22">
        <f t="shared" si="10"/>
        <v>398.79694553728058</v>
      </c>
      <c r="CC60" s="62">
        <f t="shared" si="11"/>
        <v>692.13027887061389</v>
      </c>
      <c r="CD60" s="62">
        <f ca="1">AVERAGE(OFFSET($CC$3,0,0,'Données projet'!$E$12+1,1))-AVERAGE(OFFSET($H$3,0,0,'Données projet'!$E$12+1,1))</f>
        <v>232.53653575369032</v>
      </c>
      <c r="CE60" s="62">
        <f t="shared" si="40"/>
        <v>219.59799863414099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5.2564102564102599</v>
      </c>
      <c r="CT60" s="13">
        <f>IF('Données projet'!$A$140&gt;35,CT59+CS60-DB59,IF(A60&lt;'Données projet'!$A$140,$CQ$205^A60,IF(A60='Données projet'!$A$140,'Données projet'!$B$140,CT59+CS60-DB59)))</f>
        <v>197.05128205128193</v>
      </c>
      <c r="CU60" s="18">
        <f>CT60*VLOOKUP('Données projet'!$B$13,Paramètres!$A$1:$I$89,3,0)*VLOOKUP('Données projet'!$B$13,Paramètres!$A$1:$I$89,5,0)</f>
        <v>132.18199999999993</v>
      </c>
      <c r="CV60" s="14">
        <f t="shared" si="41"/>
        <v>34.500065985258935</v>
      </c>
      <c r="CW60" s="22">
        <f t="shared" si="13"/>
        <v>290.30459825765917</v>
      </c>
      <c r="CX60" s="62">
        <f t="shared" si="14"/>
        <v>583.63793159099248</v>
      </c>
      <c r="CY60" s="62">
        <f ca="1">AVERAGE(OFFSET($CX$3,0,0,'Données projet'!$E$13+1,1))-AVERAGE(OFFSET($H$3,0,0,'Données projet'!$E$13+1,1))</f>
        <v>191.58722091189202</v>
      </c>
      <c r="CZ60" s="62">
        <f t="shared" si="42"/>
        <v>140.7542783756906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15.7</v>
      </c>
      <c r="N61" s="14">
        <f>IF('Données projet'!$A$36&gt;35,N60+M61-V60,IF(A61&lt;'Données projet'!$A$36,$K$205^A61,IF(A61='Données projet'!$A$36,'Données projet'!$B$36,N60+M61-V60)))</f>
        <v>361.6</v>
      </c>
      <c r="O61" s="14">
        <f>N61*VLOOKUP('Données projet'!$B$9,Paramètres!$A$1:$I$89,3,0)*VLOOKUP('Données projet'!$B$9,Paramètres!$A$1:$I$89,5,0)</f>
        <v>216.23680000000002</v>
      </c>
      <c r="P61" s="14">
        <f t="shared" si="33"/>
        <v>53.296153300267918</v>
      </c>
      <c r="Q61" s="22">
        <f t="shared" si="53"/>
        <v>469.43656033129997</v>
      </c>
      <c r="R61" s="62">
        <f t="shared" si="0"/>
        <v>762.76989366463329</v>
      </c>
      <c r="S61" s="62">
        <f ca="1">AVERAGE(OFFSET($R$3,0,0,'Données projet'!$E$9+1,1))-AVERAGE(OFFSET($H$3,0,0,'Données projet'!$E$9+1,1))</f>
        <v>217.20547328702645</v>
      </c>
      <c r="T61" s="62">
        <f t="shared" si="34"/>
        <v>137.55906339137317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1.0958044349778318E-4</v>
      </c>
      <c r="AC61" s="24">
        <f t="shared" si="3"/>
        <v>1.0958044349778318E-4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198.79999999999993</v>
      </c>
      <c r="AJ61" s="14">
        <f>AI61*VLOOKUP('Données projet'!$B$10,Paramètres!$A$1:$I$89,3,0)*VLOOKUP('Données projet'!$B$10,Paramètres!$A$1:$I$89,5,0)</f>
        <v>179.87423999999993</v>
      </c>
      <c r="AK61" s="14">
        <f t="shared" si="35"/>
        <v>45.294205745553846</v>
      </c>
      <c r="AL61" s="22">
        <f t="shared" si="4"/>
        <v>392.16837634017276</v>
      </c>
      <c r="AM61" s="62">
        <f t="shared" si="5"/>
        <v>685.50170967350607</v>
      </c>
      <c r="AN61" s="62">
        <f ca="1">AVERAGE(OFFSET($AM$3,0,0,'Données projet'!$E$10+1,1))-AVERAGE(OFFSET($H$3,0,0,'Données projet'!$E$10+1,1))</f>
        <v>305.35633273533773</v>
      </c>
      <c r="AO61" s="62">
        <f t="shared" si="36"/>
        <v>156.67965022779896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17.140000000000008</v>
      </c>
      <c r="BD61" s="13">
        <f>IF('Données projet'!$A$88&gt;35,BD60+BC61-BL60,IF(A61&lt;'Données projet'!$A$88,$BA$205^A61,IF(A61='Données projet'!$A$88,'Données projet'!$B$88,BD60+BC61-BL60)))</f>
        <v>592.02</v>
      </c>
      <c r="BE61" s="14">
        <f>BD61*VLOOKUP('Données projet'!$B$11,Paramètres!$A$1:$I$89,3,0)*VLOOKUP('Données projet'!$B$11,Paramètres!$A$1:$I$89,5,0)</f>
        <v>330.93917999999996</v>
      </c>
      <c r="BF61" s="14">
        <f t="shared" si="37"/>
        <v>77.624990929380417</v>
      </c>
      <c r="BG61" s="22">
        <f t="shared" si="7"/>
        <v>711.58259770200414</v>
      </c>
      <c r="BH61" s="62">
        <f t="shared" si="8"/>
        <v>1004.9159310353375</v>
      </c>
      <c r="BI61" s="62">
        <f ca="1">AVERAGE(OFFSET($BH$3,0,0,'Données projet'!$E$11+1,1))-AVERAGE(OFFSET($H$3,0,0,'Données projet'!$E$11+1,1))</f>
        <v>415.52119746518764</v>
      </c>
      <c r="BJ61" s="62">
        <f t="shared" si="38"/>
        <v>490.11217551185604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7.033793974662061E-5</v>
      </c>
      <c r="BS61" s="24">
        <f t="shared" si="9"/>
        <v>7.033793974662061E-5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</v>
      </c>
      <c r="BY61" s="13">
        <f>IF('Données projet'!$A$114&gt;35,BY60+BX61-CG60,IF(A61&lt;'Données projet'!$A$114,$BV$205^A61,IF(A61='Données projet'!$A$114,'Données projet'!$B$114,BY60+BX61-CG60)))</f>
        <v>234.99999999999989</v>
      </c>
      <c r="BZ61" s="14">
        <f>BY61*VLOOKUP('Données projet'!$B$12,Paramètres!$A$1:$I$89,3,0)*VLOOKUP('Données projet'!$B$12,Paramètres!$A$1:$I$89,5,0)</f>
        <v>186.96599999999992</v>
      </c>
      <c r="CA61" s="14">
        <f t="shared" si="39"/>
        <v>46.868551400324606</v>
      </c>
      <c r="CB61" s="22">
        <f t="shared" si="10"/>
        <v>407.26184368889852</v>
      </c>
      <c r="CC61" s="62">
        <f t="shared" si="11"/>
        <v>700.59517702223184</v>
      </c>
      <c r="CD61" s="62">
        <f ca="1">AVERAGE(OFFSET($CC$3,0,0,'Données projet'!$E$12+1,1))-AVERAGE(OFFSET($H$3,0,0,'Données projet'!$E$12+1,1))</f>
        <v>232.53653575369032</v>
      </c>
      <c r="CE61" s="62">
        <f t="shared" si="40"/>
        <v>219.59799863414099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5.2564102564102599</v>
      </c>
      <c r="CT61" s="13">
        <f>IF('Données projet'!$A$140&gt;35,CT60+CS61-DB60,IF(A61&lt;'Données projet'!$A$140,$CQ$205^A61,IF(A61='Données projet'!$A$140,'Données projet'!$B$140,CT60+CS61-DB60)))</f>
        <v>202.30769230769218</v>
      </c>
      <c r="CU61" s="18">
        <f>CT61*VLOOKUP('Données projet'!$B$13,Paramètres!$A$1:$I$89,3,0)*VLOOKUP('Données projet'!$B$13,Paramètres!$A$1:$I$89,5,0)</f>
        <v>135.70799999999991</v>
      </c>
      <c r="CV61" s="14">
        <f t="shared" si="41"/>
        <v>35.311993883566068</v>
      </c>
      <c r="CW61" s="22">
        <f t="shared" si="13"/>
        <v>297.85982268054408</v>
      </c>
      <c r="CX61" s="62">
        <f t="shared" si="14"/>
        <v>591.19315601387734</v>
      </c>
      <c r="CY61" s="62">
        <f ca="1">AVERAGE(OFFSET($CX$3,0,0,'Données projet'!$E$13+1,1))-AVERAGE(OFFSET($H$3,0,0,'Données projet'!$E$13+1,1))</f>
        <v>191.58722091189202</v>
      </c>
      <c r="CZ61" s="62">
        <f t="shared" si="42"/>
        <v>140.7542783756906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15.7</v>
      </c>
      <c r="N62" s="14">
        <f>IF('Données projet'!$A$36&gt;35,N61+M62-V61,IF(A62&lt;'Données projet'!$A$36,$K$205^A62,IF(A62='Données projet'!$A$36,'Données projet'!$B$36,N61+M62-V61)))</f>
        <v>377.3</v>
      </c>
      <c r="O62" s="14">
        <f>N62*VLOOKUP('Données projet'!$B$9,Paramètres!$A$1:$I$89,3,0)*VLOOKUP('Données projet'!$B$9,Paramètres!$A$1:$I$89,5,0)</f>
        <v>225.62540000000004</v>
      </c>
      <c r="P62" s="14">
        <f t="shared" si="33"/>
        <v>55.335736179321074</v>
      </c>
      <c r="Q62" s="22">
        <f t="shared" si="53"/>
        <v>489.34064551231751</v>
      </c>
      <c r="R62" s="62">
        <f t="shared" si="0"/>
        <v>782.67397884565082</v>
      </c>
      <c r="S62" s="62">
        <f ca="1">AVERAGE(OFFSET($R$3,0,0,'Données projet'!$E$9+1,1))-AVERAGE(OFFSET($H$3,0,0,'Données projet'!$E$9+1,1))</f>
        <v>217.20547328702645</v>
      </c>
      <c r="T62" s="62">
        <f t="shared" si="34"/>
        <v>137.55906339137317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7.7485074682711805E-5</v>
      </c>
      <c r="AC62" s="24">
        <f t="shared" si="3"/>
        <v>7.7485074682711805E-5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206.39999999999992</v>
      </c>
      <c r="AJ62" s="14">
        <f>AI62*VLOOKUP('Données projet'!$B$10,Paramètres!$A$1:$I$89,3,0)*VLOOKUP('Données projet'!$B$10,Paramètres!$A$1:$I$89,5,0)</f>
        <v>186.75071999999992</v>
      </c>
      <c r="AK62" s="14">
        <f t="shared" si="35"/>
        <v>46.820863587839391</v>
      </c>
      <c r="AL62" s="22">
        <f t="shared" si="4"/>
        <v>406.80384141548672</v>
      </c>
      <c r="AM62" s="62">
        <f t="shared" si="5"/>
        <v>700.13717474882003</v>
      </c>
      <c r="AN62" s="62">
        <f ca="1">AVERAGE(OFFSET($AM$3,0,0,'Données projet'!$E$10+1,1))-AVERAGE(OFFSET($H$3,0,0,'Données projet'!$E$10+1,1))</f>
        <v>305.35633273533773</v>
      </c>
      <c r="AO62" s="62">
        <f t="shared" si="36"/>
        <v>156.67965022779896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17.140000000000008</v>
      </c>
      <c r="BD62" s="13">
        <f>IF('Données projet'!$A$88&gt;35,BD61+BC62-BL61,IF(A62&lt;'Données projet'!$A$88,$BA$205^A62,IF(A62='Données projet'!$A$88,'Données projet'!$B$88,BD61+BC62-BL61)))</f>
        <v>609.16</v>
      </c>
      <c r="BE62" s="14">
        <f>BD62*VLOOKUP('Données projet'!$B$11,Paramètres!$A$1:$I$89,3,0)*VLOOKUP('Données projet'!$B$11,Paramètres!$A$1:$I$89,5,0)</f>
        <v>340.52043999999995</v>
      </c>
      <c r="BF62" s="14">
        <f t="shared" si="37"/>
        <v>79.607463047138936</v>
      </c>
      <c r="BG62" s="22">
        <f t="shared" si="7"/>
        <v>731.7227644737668</v>
      </c>
      <c r="BH62" s="62">
        <f t="shared" si="8"/>
        <v>1025.0560978071001</v>
      </c>
      <c r="BI62" s="62">
        <f ca="1">AVERAGE(OFFSET($BH$3,0,0,'Données projet'!$E$11+1,1))-AVERAGE(OFFSET($H$3,0,0,'Données projet'!$E$11+1,1))</f>
        <v>415.52119746518764</v>
      </c>
      <c r="BJ62" s="62">
        <f t="shared" si="38"/>
        <v>490.11217551185604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4.9736434169526224E-5</v>
      </c>
      <c r="BS62" s="24">
        <f t="shared" si="9"/>
        <v>4.9736434169526224E-5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</v>
      </c>
      <c r="BY62" s="13">
        <f>IF('Données projet'!$A$114&gt;35,BY61+BX62-CG61,IF(A62&lt;'Données projet'!$A$114,$BV$205^A62,IF(A62='Données projet'!$A$114,'Données projet'!$B$114,BY61+BX62-CG61)))</f>
        <v>239.99999999999989</v>
      </c>
      <c r="BZ62" s="14">
        <f>BY62*VLOOKUP('Données projet'!$B$12,Paramètres!$A$1:$I$89,3,0)*VLOOKUP('Données projet'!$B$12,Paramètres!$A$1:$I$89,5,0)</f>
        <v>190.94399999999993</v>
      </c>
      <c r="CA62" s="14">
        <f t="shared" si="39"/>
        <v>47.748597609826554</v>
      </c>
      <c r="CB62" s="22">
        <f t="shared" si="10"/>
        <v>415.72294083711444</v>
      </c>
      <c r="CC62" s="62">
        <f t="shared" si="11"/>
        <v>709.05627417044775</v>
      </c>
      <c r="CD62" s="62">
        <f ca="1">AVERAGE(OFFSET($CC$3,0,0,'Données projet'!$E$12+1,1))-AVERAGE(OFFSET($H$3,0,0,'Données projet'!$E$12+1,1))</f>
        <v>232.53653575369032</v>
      </c>
      <c r="CE62" s="62">
        <f t="shared" si="40"/>
        <v>219.59799863414099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5.2564102564102599</v>
      </c>
      <c r="CT62" s="13">
        <f>IF('Données projet'!$A$140&gt;35,CT61+CS62-DB61,IF(A62&lt;'Données projet'!$A$140,$CQ$205^A62,IF(A62='Données projet'!$A$140,'Données projet'!$B$140,CT61+CS62-DB61)))</f>
        <v>207.56410256410243</v>
      </c>
      <c r="CU62" s="18">
        <f>CT62*VLOOKUP('Données projet'!$B$13,Paramètres!$A$1:$I$89,3,0)*VLOOKUP('Données projet'!$B$13,Paramètres!$A$1:$I$89,5,0)</f>
        <v>139.2339999999999</v>
      </c>
      <c r="CV62" s="14">
        <f t="shared" si="41"/>
        <v>36.12146965812709</v>
      </c>
      <c r="CW62" s="22">
        <f t="shared" si="13"/>
        <v>305.41077632123785</v>
      </c>
      <c r="CX62" s="62">
        <f t="shared" si="14"/>
        <v>598.74410965457116</v>
      </c>
      <c r="CY62" s="62">
        <f ca="1">AVERAGE(OFFSET($CX$3,0,0,'Données projet'!$E$13+1,1))-AVERAGE(OFFSET($H$3,0,0,'Données projet'!$E$13+1,1))</f>
        <v>191.58722091189202</v>
      </c>
      <c r="CZ62" s="62">
        <f t="shared" si="42"/>
        <v>140.7542783756906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393</v>
      </c>
      <c r="L63" s="13">
        <f>VLOOKUP(A63,'Données projet'!$A$35:$I$55,9,0)</f>
        <v>15.7</v>
      </c>
      <c r="M63" s="13">
        <f t="array" ref="M63">INDEX(L:L,MIN(IF(ISNUMBER(L63:L259),ROW(L63:L259),"")))</f>
        <v>15.7</v>
      </c>
      <c r="N63" s="14">
        <f>IF('Données projet'!$A$36&gt;35,N62+M63-V62,IF(A63&lt;'Données projet'!$A$36,$K$205^A63,IF(A63='Données projet'!$A$36,'Données projet'!$B$36,N62+M63-V62)))</f>
        <v>393</v>
      </c>
      <c r="O63" s="14">
        <f>N63*VLOOKUP('Données projet'!$B$9,Paramètres!$A$1:$I$89,3,0)*VLOOKUP('Données projet'!$B$9,Paramètres!$A$1:$I$89,5,0)</f>
        <v>235.01400000000001</v>
      </c>
      <c r="P63" s="14">
        <f t="shared" si="33"/>
        <v>57.365461071820548</v>
      </c>
      <c r="Q63" s="22">
        <f t="shared" si="53"/>
        <v>509.22756136675412</v>
      </c>
      <c r="R63" s="62">
        <f t="shared" si="0"/>
        <v>802.56089470008737</v>
      </c>
      <c r="S63" s="62">
        <f ca="1">AVERAGE(OFFSET($R$3,0,0,'Données projet'!$E$9+1,1))-AVERAGE(OFFSET($H$3,0,0,'Données projet'!$E$9+1,1))</f>
        <v>217.20547328702645</v>
      </c>
      <c r="T63" s="62">
        <f t="shared" si="34"/>
        <v>137.55906339137317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88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5.479022174889159E-5</v>
      </c>
      <c r="AC63" s="24">
        <f t="shared" si="3"/>
        <v>5.479022174889159E-5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213.99999999999991</v>
      </c>
      <c r="AJ63" s="14">
        <f>AI63*VLOOKUP('Données projet'!$B$10,Paramètres!$A$1:$I$89,3,0)*VLOOKUP('Données projet'!$B$10,Paramètres!$A$1:$I$89,5,0)</f>
        <v>193.62719999999993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714.76126520309413</v>
      </c>
      <c r="AN63" s="62">
        <f ca="1">AVERAGE(OFFSET($AM$3,0,0,'Données projet'!$E$10+1,1))-AVERAGE(OFFSET($H$3,0,0,'Données projet'!$E$10+1,1))</f>
        <v>305.35633273533773</v>
      </c>
      <c r="AO63" s="62">
        <f t="shared" si="36"/>
        <v>156.67965022779896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626.29999999999995</v>
      </c>
      <c r="BB63" s="13">
        <f>VLOOKUP(A63,'Données projet'!$A$87:$I$107,9,0)</f>
        <v>17.140000000000008</v>
      </c>
      <c r="BC63" s="13">
        <f t="array" ref="BC63">INDEX(BB:BB,MIN(IF(ISNUMBER(BB63:BB259),ROW(BB63:BB259),"")))</f>
        <v>17.140000000000008</v>
      </c>
      <c r="BD63" s="13">
        <f>IF('Données projet'!$A$88&gt;35,BD62+BC63-BL62,IF(A63&lt;'Données projet'!$A$88,$BA$205^A63,IF(A63='Données projet'!$A$88,'Données projet'!$B$88,BD62+BC63-BL62)))</f>
        <v>626.29999999999995</v>
      </c>
      <c r="BE63" s="14">
        <f>BD63*VLOOKUP('Données projet'!$B$11,Paramètres!$A$1:$I$89,3,0)*VLOOKUP('Données projet'!$B$11,Paramètres!$A$1:$I$89,5,0)</f>
        <v>350.10169999999999</v>
      </c>
      <c r="BF63" s="14">
        <f t="shared" si="37"/>
        <v>81.583451970159942</v>
      </c>
      <c r="BG63" s="22">
        <f t="shared" si="7"/>
        <v>751.85163968136192</v>
      </c>
      <c r="BH63" s="62">
        <f t="shared" si="8"/>
        <v>1045.1849730146953</v>
      </c>
      <c r="BI63" s="62">
        <f ca="1">AVERAGE(OFFSET($BH$3,0,0,'Données projet'!$E$11+1,1))-AVERAGE(OFFSET($H$3,0,0,'Données projet'!$E$11+1,1))</f>
        <v>415.52119746518764</v>
      </c>
      <c r="BJ63" s="62">
        <f t="shared" si="38"/>
        <v>490.11217551185604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61.4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3.5168969873310305E-5</v>
      </c>
      <c r="BS63" s="24">
        <f t="shared" si="9"/>
        <v>3.5168969873310305E-5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245</v>
      </c>
      <c r="BW63" s="13">
        <f>VLOOKUP(A63,'Données projet'!$A$113:$I$133,9,0)</f>
        <v>5</v>
      </c>
      <c r="BX63" s="13">
        <f t="array" ref="BX63">INDEX(BW:BW,MIN(IF(ISNUMBER(BW63:BW259),ROW(BW63:BW259),"")))</f>
        <v>5</v>
      </c>
      <c r="BY63" s="13">
        <f>IF('Données projet'!$A$114&gt;35,BY62+BX63-CG62,IF(A63&lt;'Données projet'!$A$114,$BV$205^A63,IF(A63='Données projet'!$A$114,'Données projet'!$B$114,BY62+BX63-CG62)))</f>
        <v>244.99999999999989</v>
      </c>
      <c r="BZ63" s="14">
        <f>BY63*VLOOKUP('Données projet'!$B$12,Paramètres!$A$1:$I$89,3,0)*VLOOKUP('Données projet'!$B$12,Paramètres!$A$1:$I$89,5,0)</f>
        <v>194.92199999999991</v>
      </c>
      <c r="CA63" s="14">
        <f t="shared" si="39"/>
        <v>48.626512129794925</v>
      </c>
      <c r="CB63" s="22">
        <f t="shared" si="10"/>
        <v>424.18032529272597</v>
      </c>
      <c r="CC63" s="62">
        <f t="shared" si="11"/>
        <v>717.51365862605928</v>
      </c>
      <c r="CD63" s="62">
        <f ca="1">AVERAGE(OFFSET($CC$3,0,0,'Données projet'!$E$12+1,1))-AVERAGE(OFFSET($H$3,0,0,'Données projet'!$E$12+1,1))</f>
        <v>232.53653575369032</v>
      </c>
      <c r="CE63" s="62">
        <f t="shared" si="40"/>
        <v>219.59799863414099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212.82051282051282</v>
      </c>
      <c r="CR63" s="13">
        <f>VLOOKUP(A63,'Données projet'!$A$139:$I$159,9,0)</f>
        <v>5.2564102564102599</v>
      </c>
      <c r="CS63" s="13">
        <f t="array" ref="CS63">INDEX(CR:CR,MIN(IF(ISNUMBER(CR63:CR259),ROW(CR63:CR259),"")))</f>
        <v>5.2564102564102599</v>
      </c>
      <c r="CT63" s="13">
        <f>IF('Données projet'!$A$140&gt;35,CT62+CS63-DB62,IF(A63&lt;'Données projet'!$A$140,$CQ$205^A63,IF(A63='Données projet'!$A$140,'Données projet'!$B$140,CT62+CS63-DB62)))</f>
        <v>212.82051282051268</v>
      </c>
      <c r="CU63" s="18">
        <f>CT63*VLOOKUP('Données projet'!$B$13,Paramètres!$A$1:$I$89,3,0)*VLOOKUP('Données projet'!$B$13,Paramètres!$A$1:$I$89,5,0)</f>
        <v>142.75999999999991</v>
      </c>
      <c r="CV63" s="14">
        <f t="shared" si="41"/>
        <v>36.928562548329118</v>
      </c>
      <c r="CW63" s="22">
        <f t="shared" si="13"/>
        <v>312.95757977167301</v>
      </c>
      <c r="CX63" s="62">
        <f t="shared" si="14"/>
        <v>606.29091310500633</v>
      </c>
      <c r="CY63" s="62">
        <f ca="1">AVERAGE(OFFSET($CX$3,0,0,'Données projet'!$E$13+1,1))-AVERAGE(OFFSET($H$3,0,0,'Données projet'!$E$13+1,1))</f>
        <v>191.58722091189202</v>
      </c>
      <c r="CZ63" s="62">
        <f t="shared" si="42"/>
        <v>140.7542783756906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14.3</v>
      </c>
      <c r="N64" s="14">
        <f>IF('Données projet'!$A$36&gt;35,N63+M64-V63,IF(A64&lt;'Données projet'!$A$36,$K$205^A64,IF(A64='Données projet'!$A$36,'Données projet'!$B$36,N63+M64-V63)))</f>
        <v>319.3</v>
      </c>
      <c r="O64" s="14">
        <f>N64*VLOOKUP('Données projet'!$B$9,Paramètres!$A$1:$I$89,3,0)*VLOOKUP('Données projet'!$B$9,Paramètres!$A$1:$I$89,5,0)</f>
        <v>190.94140000000002</v>
      </c>
      <c r="P64" s="14">
        <f t="shared" si="33"/>
        <v>47.748023117802013</v>
      </c>
      <c r="Q64" s="22">
        <f t="shared" si="53"/>
        <v>415.71741193017186</v>
      </c>
      <c r="R64" s="62">
        <f t="shared" si="0"/>
        <v>709.05074526350518</v>
      </c>
      <c r="S64" s="62">
        <f ca="1">AVERAGE(OFFSET($R$3,0,0,'Données projet'!$E$9+1,1))-AVERAGE(OFFSET($H$3,0,0,'Données projet'!$E$9+1,1))</f>
        <v>217.20547328702645</v>
      </c>
      <c r="T64" s="62">
        <f t="shared" si="34"/>
        <v>137.55906339137317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3.8742537341355902E-5</v>
      </c>
      <c r="AC64" s="24">
        <f t="shared" si="3"/>
        <v>3.8742537341355902E-5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</v>
      </c>
      <c r="AJ64" s="14">
        <f>AI64*VLOOKUP('Données projet'!$B$10,Paramètres!$A$1:$I$89,3,0)*VLOOKUP('Données projet'!$B$10,Paramètres!$A$1:$I$89,5,0)</f>
        <v>200.14175999999992</v>
      </c>
      <c r="AK64" s="14">
        <f t="shared" si="35"/>
        <v>49.775320997880847</v>
      </c>
      <c r="AL64" s="22">
        <f t="shared" si="4"/>
        <v>435.27224940464231</v>
      </c>
      <c r="AM64" s="62">
        <f t="shared" si="5"/>
        <v>728.60558273797562</v>
      </c>
      <c r="AN64" s="62">
        <f ca="1">AVERAGE(OFFSET($AM$3,0,0,'Données projet'!$E$10+1,1))-AVERAGE(OFFSET($H$3,0,0,'Données projet'!$E$10+1,1))</f>
        <v>305.35633273533773</v>
      </c>
      <c r="AO64" s="62">
        <f t="shared" si="36"/>
        <v>156.67965022779896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16.3</v>
      </c>
      <c r="BD64" s="13">
        <f>IF('Données projet'!$A$88&gt;35,BD63+BC64-BL63,IF(A64&lt;'Données projet'!$A$88,$BA$205^A64,IF(A64='Données projet'!$A$88,'Données projet'!$B$88,BD63+BC64-BL63)))</f>
        <v>581.19999999999993</v>
      </c>
      <c r="BE64" s="14">
        <f>BD64*VLOOKUP('Données projet'!$B$11,Paramètres!$A$1:$I$89,3,0)*VLOOKUP('Données projet'!$B$11,Paramètres!$A$1:$I$89,5,0)</f>
        <v>324.89079999999996</v>
      </c>
      <c r="BF64" s="14">
        <f t="shared" si="37"/>
        <v>76.370079632387331</v>
      </c>
      <c r="BG64" s="22">
        <f t="shared" si="7"/>
        <v>698.86269869307444</v>
      </c>
      <c r="BH64" s="62">
        <f t="shared" si="8"/>
        <v>992.19603202640769</v>
      </c>
      <c r="BI64" s="62">
        <f ca="1">AVERAGE(OFFSET($BH$3,0,0,'Données projet'!$E$11+1,1))-AVERAGE(OFFSET($H$3,0,0,'Données projet'!$E$11+1,1))</f>
        <v>415.52119746518764</v>
      </c>
      <c r="BJ64" s="62">
        <f t="shared" si="38"/>
        <v>490.11217551185604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2.4868217084763112E-5</v>
      </c>
      <c r="BS64" s="24">
        <f t="shared" si="9"/>
        <v>2.4868217084763112E-5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4.4000000000000004</v>
      </c>
      <c r="BY64" s="13">
        <f>IF('Données projet'!$A$114&gt;35,BY63+BX64-CG63,IF(A64&lt;'Données projet'!$A$114,$BV$205^A64,IF(A64='Données projet'!$A$114,'Données projet'!$B$114,BY63+BX64-CG63)))</f>
        <v>249.39999999999989</v>
      </c>
      <c r="BZ64" s="14">
        <f>BY64*VLOOKUP('Données projet'!$B$12,Paramètres!$A$1:$I$89,3,0)*VLOOKUP('Données projet'!$B$12,Paramètres!$A$1:$I$89,5,0)</f>
        <v>198.42263999999992</v>
      </c>
      <c r="CA64" s="14">
        <f t="shared" si="39"/>
        <v>49.397352151183256</v>
      </c>
      <c r="CB64" s="22">
        <f t="shared" si="10"/>
        <v>431.61981966331064</v>
      </c>
      <c r="CC64" s="62">
        <f t="shared" si="11"/>
        <v>724.95315299664389</v>
      </c>
      <c r="CD64" s="62">
        <f ca="1">AVERAGE(OFFSET($CC$3,0,0,'Données projet'!$E$12+1,1))-AVERAGE(OFFSET($H$3,0,0,'Données projet'!$E$12+1,1))</f>
        <v>232.53653575369032</v>
      </c>
      <c r="CE64" s="62">
        <f t="shared" si="40"/>
        <v>219.59799863414099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4.7435897435897401</v>
      </c>
      <c r="CT64" s="13">
        <f>IF('Données projet'!$A$140&gt;35,CT63+CS64-DB63,IF(A64&lt;'Données projet'!$A$140,$CQ$205^A64,IF(A64='Données projet'!$A$140,'Données projet'!$B$140,CT63+CS64-DB63)))</f>
        <v>217.56410256410243</v>
      </c>
      <c r="CU64" s="18">
        <f>CT64*VLOOKUP('Données projet'!$B$13,Paramètres!$A$1:$I$89,3,0)*VLOOKUP('Données projet'!$B$13,Paramètres!$A$1:$I$89,5,0)</f>
        <v>145.94199999999992</v>
      </c>
      <c r="CV64" s="14">
        <f t="shared" si="41"/>
        <v>37.654923728693518</v>
      </c>
      <c r="CW64" s="22">
        <f t="shared" si="13"/>
        <v>319.76464216080774</v>
      </c>
      <c r="CX64" s="62">
        <f t="shared" si="14"/>
        <v>613.09797549414111</v>
      </c>
      <c r="CY64" s="62">
        <f ca="1">AVERAGE(OFFSET($CX$3,0,0,'Données projet'!$E$13+1,1))-AVERAGE(OFFSET($H$3,0,0,'Données projet'!$E$13+1,1))</f>
        <v>191.58722091189202</v>
      </c>
      <c r="CZ64" s="62">
        <f t="shared" si="42"/>
        <v>140.7542783756906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14.3</v>
      </c>
      <c r="N65" s="14">
        <f>IF('Données projet'!$A$36&gt;35,N64+M65-V64,IF(A65&lt;'Données projet'!$A$36,$K$205^A65,IF(A65='Données projet'!$A$36,'Données projet'!$B$36,N64+M65-V64)))</f>
        <v>333.6</v>
      </c>
      <c r="O65" s="14">
        <f>N65*VLOOKUP('Données projet'!$B$9,Paramètres!$A$1:$I$89,3,0)*VLOOKUP('Données projet'!$B$9,Paramètres!$A$1:$I$89,5,0)</f>
        <v>199.49280000000002</v>
      </c>
      <c r="P65" s="14">
        <f t="shared" si="33"/>
        <v>49.632684049228061</v>
      </c>
      <c r="Q65" s="22">
        <f t="shared" si="53"/>
        <v>433.89355138573887</v>
      </c>
      <c r="R65" s="62">
        <f t="shared" si="0"/>
        <v>727.22688471907213</v>
      </c>
      <c r="S65" s="62">
        <f ca="1">AVERAGE(OFFSET($R$3,0,0,'Données projet'!$E$9+1,1))-AVERAGE(OFFSET($H$3,0,0,'Données projet'!$E$9+1,1))</f>
        <v>217.20547328702645</v>
      </c>
      <c r="T65" s="62">
        <f t="shared" si="34"/>
        <v>137.55906339137317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2.7395110874445795E-5</v>
      </c>
      <c r="AC65" s="24">
        <f t="shared" si="3"/>
        <v>2.7395110874445795E-5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228.39999999999989</v>
      </c>
      <c r="AJ65" s="14">
        <f>AI65*VLOOKUP('Données projet'!$B$10,Paramètres!$A$1:$I$89,3,0)*VLOOKUP('Données projet'!$B$10,Paramètres!$A$1:$I$89,5,0)</f>
        <v>206.65631999999988</v>
      </c>
      <c r="AK65" s="14">
        <f t="shared" si="35"/>
        <v>51.20422634371338</v>
      </c>
      <c r="AL65" s="22">
        <f t="shared" si="4"/>
        <v>449.10711821530066</v>
      </c>
      <c r="AM65" s="62">
        <f t="shared" si="5"/>
        <v>742.44045154863397</v>
      </c>
      <c r="AN65" s="62">
        <f ca="1">AVERAGE(OFFSET($AM$3,0,0,'Données projet'!$E$10+1,1))-AVERAGE(OFFSET($H$3,0,0,'Données projet'!$E$10+1,1))</f>
        <v>305.35633273533773</v>
      </c>
      <c r="AO65" s="62">
        <f t="shared" si="36"/>
        <v>156.67965022779896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16.3</v>
      </c>
      <c r="BD65" s="13">
        <f>IF('Données projet'!$A$88&gt;35,BD64+BC65-BL64,IF(A65&lt;'Données projet'!$A$88,$BA$205^A65,IF(A65='Données projet'!$A$88,'Données projet'!$B$88,BD64+BC65-BL64)))</f>
        <v>597.49999999999989</v>
      </c>
      <c r="BE65" s="14">
        <f>BD65*VLOOKUP('Données projet'!$B$11,Paramètres!$A$1:$I$89,3,0)*VLOOKUP('Données projet'!$B$11,Paramètres!$A$1:$I$89,5,0)</f>
        <v>334.00249999999994</v>
      </c>
      <c r="BF65" s="14">
        <f t="shared" si="37"/>
        <v>78.259544399752272</v>
      </c>
      <c r="BG65" s="22">
        <f t="shared" si="7"/>
        <v>718.02306066290168</v>
      </c>
      <c r="BH65" s="62">
        <f t="shared" si="8"/>
        <v>1011.3563939962351</v>
      </c>
      <c r="BI65" s="62">
        <f ca="1">AVERAGE(OFFSET($BH$3,0,0,'Données projet'!$E$11+1,1))-AVERAGE(OFFSET($H$3,0,0,'Données projet'!$E$11+1,1))</f>
        <v>415.52119746518764</v>
      </c>
      <c r="BJ65" s="62">
        <f t="shared" si="38"/>
        <v>490.11217551185604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1.7584484936655152E-5</v>
      </c>
      <c r="BS65" s="24">
        <f t="shared" si="9"/>
        <v>1.7584484936655152E-5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4.4000000000000004</v>
      </c>
      <c r="BY65" s="13">
        <f>IF('Données projet'!$A$114&gt;35,BY64+BX65-CG64,IF(A65&lt;'Données projet'!$A$114,$BV$205^A65,IF(A65='Données projet'!$A$114,'Données projet'!$B$114,BY64+BX65-CG64)))</f>
        <v>253.7999999999999</v>
      </c>
      <c r="BZ65" s="14">
        <f>BY65*VLOOKUP('Données projet'!$B$12,Paramètres!$A$1:$I$89,3,0)*VLOOKUP('Données projet'!$B$12,Paramètres!$A$1:$I$89,5,0)</f>
        <v>201.92327999999995</v>
      </c>
      <c r="CA65" s="14">
        <f t="shared" si="39"/>
        <v>50.166610737265309</v>
      </c>
      <c r="CB65" s="22">
        <f t="shared" si="10"/>
        <v>439.05655970073695</v>
      </c>
      <c r="CC65" s="62">
        <f t="shared" si="11"/>
        <v>732.38989303407027</v>
      </c>
      <c r="CD65" s="62">
        <f ca="1">AVERAGE(OFFSET($CC$3,0,0,'Données projet'!$E$12+1,1))-AVERAGE(OFFSET($H$3,0,0,'Données projet'!$E$12+1,1))</f>
        <v>232.53653575369032</v>
      </c>
      <c r="CE65" s="62">
        <f t="shared" si="40"/>
        <v>219.59799863414099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4.7435897435897401</v>
      </c>
      <c r="CT65" s="13">
        <f>IF('Données projet'!$A$140&gt;35,CT64+CS65-DB64,IF(A65&lt;'Données projet'!$A$140,$CQ$205^A65,IF(A65='Données projet'!$A$140,'Données projet'!$B$140,CT64+CS65-DB64)))</f>
        <v>222.30769230769218</v>
      </c>
      <c r="CU65" s="18">
        <f>CT65*VLOOKUP('Données projet'!$B$13,Paramètres!$A$1:$I$89,3,0)*VLOOKUP('Données projet'!$B$13,Paramètres!$A$1:$I$89,5,0)</f>
        <v>149.12399999999994</v>
      </c>
      <c r="CV65" s="14">
        <f t="shared" si="41"/>
        <v>38.379443667029371</v>
      </c>
      <c r="CW65" s="22">
        <f t="shared" si="13"/>
        <v>326.56849772007598</v>
      </c>
      <c r="CX65" s="62">
        <f t="shared" si="14"/>
        <v>619.9018310534093</v>
      </c>
      <c r="CY65" s="62">
        <f ca="1">AVERAGE(OFFSET($CX$3,0,0,'Données projet'!$E$13+1,1))-AVERAGE(OFFSET($H$3,0,0,'Données projet'!$E$13+1,1))</f>
        <v>191.58722091189202</v>
      </c>
      <c r="CZ65" s="62">
        <f t="shared" si="42"/>
        <v>140.7542783756906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14.3</v>
      </c>
      <c r="N66" s="14">
        <f>IF('Données projet'!$A$36&gt;35,N65+M66-V65,IF(A66&lt;'Données projet'!$A$36,$K$205^A66,IF(A66='Données projet'!$A$36,'Données projet'!$B$36,N65+M66-V65)))</f>
        <v>347.90000000000003</v>
      </c>
      <c r="O66" s="14">
        <f>N66*VLOOKUP('Données projet'!$B$9,Paramètres!$A$1:$I$89,3,0)*VLOOKUP('Données projet'!$B$9,Paramètres!$A$1:$I$89,5,0)</f>
        <v>208.04420000000005</v>
      </c>
      <c r="P66" s="14">
        <f t="shared" si="33"/>
        <v>51.507961722634242</v>
      </c>
      <c r="Q66" s="22">
        <f t="shared" si="53"/>
        <v>452.05334833358802</v>
      </c>
      <c r="R66" s="62">
        <f t="shared" si="0"/>
        <v>745.38668166692128</v>
      </c>
      <c r="S66" s="62">
        <f ca="1">AVERAGE(OFFSET($R$3,0,0,'Données projet'!$E$9+1,1))-AVERAGE(OFFSET($H$3,0,0,'Données projet'!$E$9+1,1))</f>
        <v>217.20547328702645</v>
      </c>
      <c r="T66" s="62">
        <f t="shared" si="34"/>
        <v>137.55906339137317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1.9371268670677951E-5</v>
      </c>
      <c r="AC66" s="24">
        <f t="shared" si="3"/>
        <v>1.9371268670677951E-5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235.59999999999988</v>
      </c>
      <c r="AJ66" s="14">
        <f>AI66*VLOOKUP('Données projet'!$B$10,Paramètres!$A$1:$I$89,3,0)*VLOOKUP('Données projet'!$B$10,Paramètres!$A$1:$I$89,5,0)</f>
        <v>213.17087999999987</v>
      </c>
      <c r="AK66" s="14">
        <f t="shared" si="35"/>
        <v>52.627897224631596</v>
      </c>
      <c r="AL66" s="22">
        <f t="shared" si="4"/>
        <v>462.93287033289977</v>
      </c>
      <c r="AM66" s="62">
        <f t="shared" si="5"/>
        <v>756.26620366623308</v>
      </c>
      <c r="AN66" s="62">
        <f ca="1">AVERAGE(OFFSET($AM$3,0,0,'Données projet'!$E$10+1,1))-AVERAGE(OFFSET($H$3,0,0,'Données projet'!$E$10+1,1))</f>
        <v>305.35633273533773</v>
      </c>
      <c r="AO66" s="62">
        <f t="shared" si="36"/>
        <v>156.67965022779896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16.3</v>
      </c>
      <c r="BD66" s="13">
        <f>IF('Données projet'!$A$88&gt;35,BD65+BC66-BL65,IF(A66&lt;'Données projet'!$A$88,$BA$205^A66,IF(A66='Données projet'!$A$88,'Données projet'!$B$88,BD65+BC66-BL65)))</f>
        <v>613.79999999999984</v>
      </c>
      <c r="BE66" s="14">
        <f>BD66*VLOOKUP('Données projet'!$B$11,Paramètres!$A$1:$I$89,3,0)*VLOOKUP('Données projet'!$B$11,Paramètres!$A$1:$I$89,5,0)</f>
        <v>343.11419999999993</v>
      </c>
      <c r="BF66" s="14">
        <f t="shared" si="37"/>
        <v>80.143018032935856</v>
      </c>
      <c r="BG66" s="22">
        <f t="shared" si="7"/>
        <v>737.17298807402983</v>
      </c>
      <c r="BH66" s="62">
        <f t="shared" si="8"/>
        <v>1030.5063214073632</v>
      </c>
      <c r="BI66" s="62">
        <f ca="1">AVERAGE(OFFSET($BH$3,0,0,'Données projet'!$E$11+1,1))-AVERAGE(OFFSET($H$3,0,0,'Données projet'!$E$11+1,1))</f>
        <v>415.52119746518764</v>
      </c>
      <c r="BJ66" s="62">
        <f t="shared" si="38"/>
        <v>490.11217551185604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1.2434108542381556E-5</v>
      </c>
      <c r="BS66" s="24">
        <f t="shared" si="9"/>
        <v>1.2434108542381556E-5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4.4000000000000004</v>
      </c>
      <c r="BY66" s="13">
        <f>IF('Données projet'!$A$114&gt;35,BY65+BX66-CG65,IF(A66&lt;'Données projet'!$A$114,$BV$205^A66,IF(A66='Données projet'!$A$114,'Données projet'!$B$114,BY65+BX66-CG65)))</f>
        <v>258.19999999999987</v>
      </c>
      <c r="BZ66" s="14">
        <f>BY66*VLOOKUP('Données projet'!$B$12,Paramètres!$A$1:$I$89,3,0)*VLOOKUP('Données projet'!$B$12,Paramètres!$A$1:$I$89,5,0)</f>
        <v>205.4239199999999</v>
      </c>
      <c r="CA66" s="14">
        <f t="shared" si="39"/>
        <v>50.934318468081216</v>
      </c>
      <c r="CB66" s="22">
        <f t="shared" si="10"/>
        <v>446.49059866524129</v>
      </c>
      <c r="CC66" s="62">
        <f t="shared" si="11"/>
        <v>739.82393199857461</v>
      </c>
      <c r="CD66" s="62">
        <f ca="1">AVERAGE(OFFSET($CC$3,0,0,'Données projet'!$E$12+1,1))-AVERAGE(OFFSET($H$3,0,0,'Données projet'!$E$12+1,1))</f>
        <v>232.53653575369032</v>
      </c>
      <c r="CE66" s="62">
        <f t="shared" si="40"/>
        <v>219.59799863414099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4.7435897435897401</v>
      </c>
      <c r="CT66" s="13">
        <f>IF('Données projet'!$A$140&gt;35,CT65+CS66-DB65,IF(A66&lt;'Données projet'!$A$140,$CQ$205^A66,IF(A66='Données projet'!$A$140,'Données projet'!$B$140,CT65+CS66-DB65)))</f>
        <v>227.05128205128193</v>
      </c>
      <c r="CU66" s="18">
        <f>CT66*VLOOKUP('Données projet'!$B$13,Paramètres!$A$1:$I$89,3,0)*VLOOKUP('Données projet'!$B$13,Paramètres!$A$1:$I$89,5,0)</f>
        <v>152.3059999999999</v>
      </c>
      <c r="CV66" s="14">
        <f t="shared" si="41"/>
        <v>39.102166177111755</v>
      </c>
      <c r="CW66" s="22">
        <f t="shared" si="13"/>
        <v>333.36922275846945</v>
      </c>
      <c r="CX66" s="62">
        <f t="shared" si="14"/>
        <v>626.70255609180276</v>
      </c>
      <c r="CY66" s="62">
        <f ca="1">AVERAGE(OFFSET($CX$3,0,0,'Données projet'!$E$13+1,1))-AVERAGE(OFFSET($H$3,0,0,'Données projet'!$E$13+1,1))</f>
        <v>191.58722091189202</v>
      </c>
      <c r="CZ66" s="62">
        <f t="shared" si="42"/>
        <v>140.7542783756906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14.3</v>
      </c>
      <c r="N67" s="14">
        <f>IF('Données projet'!$A$36&gt;35,N66+M67-V66,IF(A67&lt;'Données projet'!$A$36,$K$205^A67,IF(A67='Données projet'!$A$36,'Données projet'!$B$36,N66+M67-V66)))</f>
        <v>362.20000000000005</v>
      </c>
      <c r="O67" s="14">
        <f>N67*VLOOKUP('Données projet'!$B$9,Paramètres!$A$1:$I$89,3,0)*VLOOKUP('Données projet'!$B$9,Paramètres!$A$1:$I$89,5,0)</f>
        <v>216.59560000000005</v>
      </c>
      <c r="P67" s="14">
        <f t="shared" si="33"/>
        <v>53.374285937607603</v>
      </c>
      <c r="Q67" s="22">
        <f t="shared" ref="Q67:Q98" si="54">(O67+P67)*0.475*44/12</f>
        <v>470.19755134133334</v>
      </c>
      <c r="R67" s="62">
        <f t="shared" ref="R67:R130" si="55">Q67+(I67+J67)*44/12</f>
        <v>763.53088467466659</v>
      </c>
      <c r="S67" s="62">
        <f ca="1">AVERAGE(OFFSET($R$3,0,0,'Données projet'!$E$9+1,1))-AVERAGE(OFFSET($H$3,0,0,'Données projet'!$E$9+1,1))</f>
        <v>217.20547328702645</v>
      </c>
      <c r="T67" s="62">
        <f t="shared" si="34"/>
        <v>137.55906339137317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1.3697555437222898E-5</v>
      </c>
      <c r="AC67" s="24">
        <f t="shared" si="3"/>
        <v>1.3697555437222898E-5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242.79999999999987</v>
      </c>
      <c r="AJ67" s="14">
        <f>AI67*VLOOKUP('Données projet'!$B$10,Paramètres!$A$1:$I$89,3,0)*VLOOKUP('Données projet'!$B$10,Paramètres!$A$1:$I$89,5,0)</f>
        <v>219.68543999999989</v>
      </c>
      <c r="AK67" s="14">
        <f t="shared" si="35"/>
        <v>54.046511966469559</v>
      </c>
      <c r="AL67" s="22">
        <f t="shared" si="4"/>
        <v>476.74981634160099</v>
      </c>
      <c r="AM67" s="62">
        <f t="shared" si="5"/>
        <v>770.08314967493425</v>
      </c>
      <c r="AN67" s="62">
        <f ca="1">AVERAGE(OFFSET($AM$3,0,0,'Données projet'!$E$10+1,1))-AVERAGE(OFFSET($H$3,0,0,'Données projet'!$E$10+1,1))</f>
        <v>305.35633273533773</v>
      </c>
      <c r="AO67" s="62">
        <f t="shared" si="36"/>
        <v>156.67965022779896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16.3</v>
      </c>
      <c r="BD67" s="13">
        <f>IF('Données projet'!$A$88&gt;35,BD66+BC67-BL66,IF(A67&lt;'Données projet'!$A$88,$BA$205^A67,IF(A67='Données projet'!$A$88,'Données projet'!$B$88,BD66+BC67-BL66)))</f>
        <v>630.0999999999998</v>
      </c>
      <c r="BE67" s="14">
        <f>BD67*VLOOKUP('Données projet'!$B$11,Paramètres!$A$1:$I$89,3,0)*VLOOKUP('Données projet'!$B$11,Paramètres!$A$1:$I$89,5,0)</f>
        <v>352.22589999999991</v>
      </c>
      <c r="BF67" s="14">
        <f t="shared" si="37"/>
        <v>82.020677918982003</v>
      </c>
      <c r="BG67" s="22">
        <f t="shared" si="7"/>
        <v>756.31278987556016</v>
      </c>
      <c r="BH67" s="62">
        <f t="shared" si="8"/>
        <v>1049.6461232088934</v>
      </c>
      <c r="BI67" s="62">
        <f ca="1">AVERAGE(OFFSET($BH$3,0,0,'Données projet'!$E$11+1,1))-AVERAGE(OFFSET($H$3,0,0,'Données projet'!$E$11+1,1))</f>
        <v>415.52119746518764</v>
      </c>
      <c r="BJ67" s="62">
        <f t="shared" si="38"/>
        <v>490.11217551185604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8.7922424683275762E-6</v>
      </c>
      <c r="BS67" s="24">
        <f t="shared" si="9"/>
        <v>8.7922424683275762E-6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4.4000000000000004</v>
      </c>
      <c r="BY67" s="13">
        <f>IF('Données projet'!$A$114&gt;35,BY66+BX67-CG66,IF(A67&lt;'Données projet'!$A$114,$BV$205^A67,IF(A67='Données projet'!$A$114,'Données projet'!$B$114,BY66+BX67-CG66)))</f>
        <v>262.59999999999985</v>
      </c>
      <c r="BZ67" s="14">
        <f>BY67*VLOOKUP('Données projet'!$B$12,Paramètres!$A$1:$I$89,3,0)*VLOOKUP('Données projet'!$B$12,Paramètres!$A$1:$I$89,5,0)</f>
        <v>208.9245599999999</v>
      </c>
      <c r="CA67" s="14">
        <f t="shared" si="39"/>
        <v>51.700504821714368</v>
      </c>
      <c r="CB67" s="22">
        <f t="shared" si="10"/>
        <v>453.92198789781901</v>
      </c>
      <c r="CC67" s="62">
        <f t="shared" si="11"/>
        <v>747.25532123115227</v>
      </c>
      <c r="CD67" s="62">
        <f ca="1">AVERAGE(OFFSET($CC$3,0,0,'Données projet'!$E$12+1,1))-AVERAGE(OFFSET($H$3,0,0,'Données projet'!$E$12+1,1))</f>
        <v>232.53653575369032</v>
      </c>
      <c r="CE67" s="62">
        <f t="shared" si="40"/>
        <v>219.59799863414099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4.7435897435897401</v>
      </c>
      <c r="CT67" s="13">
        <f>IF('Données projet'!$A$140&gt;35,CT66+CS67-DB66,IF(A67&lt;'Données projet'!$A$140,$CQ$205^A67,IF(A67='Données projet'!$A$140,'Données projet'!$B$140,CT66+CS67-DB66)))</f>
        <v>231.79487179487168</v>
      </c>
      <c r="CU67" s="18">
        <f>CT67*VLOOKUP('Données projet'!$B$13,Paramètres!$A$1:$I$89,3,0)*VLOOKUP('Données projet'!$B$13,Paramètres!$A$1:$I$89,5,0)</f>
        <v>155.48799999999991</v>
      </c>
      <c r="CV67" s="14">
        <f t="shared" si="41"/>
        <v>39.823133137370327</v>
      </c>
      <c r="CW67" s="22">
        <f t="shared" si="13"/>
        <v>340.16689021425316</v>
      </c>
      <c r="CX67" s="62">
        <f t="shared" si="14"/>
        <v>633.50022354758653</v>
      </c>
      <c r="CY67" s="62">
        <f ca="1">AVERAGE(OFFSET($CX$3,0,0,'Données projet'!$E$13+1,1))-AVERAGE(OFFSET($H$3,0,0,'Données projet'!$E$13+1,1))</f>
        <v>191.58722091189202</v>
      </c>
      <c r="CZ67" s="62">
        <f t="shared" si="42"/>
        <v>140.7542783756906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14.3</v>
      </c>
      <c r="N68" s="14">
        <f>IF('Données projet'!$A$36&gt;35,N67+M68-V67,IF(A68&lt;'Données projet'!$A$36,$K$205^A68,IF(A68='Données projet'!$A$36,'Données projet'!$B$36,N67+M68-V67)))</f>
        <v>376.50000000000006</v>
      </c>
      <c r="O68" s="14">
        <f>N68*VLOOKUP('Données projet'!$B$9,Paramètres!$A$1:$I$89,3,0)*VLOOKUP('Données projet'!$B$9,Paramètres!$A$1:$I$89,5,0)</f>
        <v>225.14700000000005</v>
      </c>
      <c r="P68" s="14">
        <f t="shared" si="33"/>
        <v>55.232050634645063</v>
      </c>
      <c r="Q68" s="22">
        <f t="shared" si="54"/>
        <v>488.32684652200686</v>
      </c>
      <c r="R68" s="62">
        <f t="shared" si="55"/>
        <v>781.66017985534017</v>
      </c>
      <c r="S68" s="62">
        <f ca="1">AVERAGE(OFFSET($R$3,0,0,'Données projet'!$E$9+1,1))-AVERAGE(OFFSET($H$3,0,0,'Données projet'!$E$9+1,1))</f>
        <v>217.20547328702645</v>
      </c>
      <c r="T68" s="62">
        <f t="shared" si="34"/>
        <v>137.55906339137317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9.6856343353389756E-6</v>
      </c>
      <c r="AC68" s="24">
        <f t="shared" ref="AC68:AC131" si="57">SUM(Z68:AB68)</f>
        <v>9.6856343353389756E-6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249.99999999999986</v>
      </c>
      <c r="AJ68" s="14">
        <f>AI68*VLOOKUP('Données projet'!$B$10,Paramètres!$A$1:$I$89,3,0)*VLOOKUP('Données projet'!$B$10,Paramètres!$A$1:$I$89,5,0)</f>
        <v>226.19999999999987</v>
      </c>
      <c r="AK68" s="14">
        <f t="shared" si="35"/>
        <v>55.460237717698107</v>
      </c>
      <c r="AL68" s="22">
        <f t="shared" ref="AL68:AL131" si="58">(AJ68+AK68)*0.475*44/12</f>
        <v>490.55824735832402</v>
      </c>
      <c r="AM68" s="62">
        <f t="shared" ref="AM68:AM131" si="59">AL68+(AD68+AE68)*44/12</f>
        <v>783.89158069165728</v>
      </c>
      <c r="AN68" s="62">
        <f ca="1">AVERAGE(OFFSET($AM$3,0,0,'Données projet'!$E$10+1,1))-AVERAGE(OFFSET($H$3,0,0,'Données projet'!$E$10+1,1))</f>
        <v>305.35633273533773</v>
      </c>
      <c r="AO68" s="62">
        <f t="shared" si="36"/>
        <v>156.67965022779896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646.4</v>
      </c>
      <c r="BB68" s="13">
        <f>VLOOKUP(A68,'Données projet'!$A$87:$I$107,9,0)</f>
        <v>16.3</v>
      </c>
      <c r="BC68" s="13">
        <f t="array" ref="BC68">INDEX(BB:BB,MIN(IF(ISNUMBER(BB68:BB264),ROW(BB68:BB264),"")))</f>
        <v>16.3</v>
      </c>
      <c r="BD68" s="13">
        <f>IF('Données projet'!$A$88&gt;35,BD67+BC68-BL67,IF(A68&lt;'Données projet'!$A$88,$BA$205^A68,IF(A68='Données projet'!$A$88,'Données projet'!$B$88,BD67+BC68-BL67)))</f>
        <v>646.39999999999975</v>
      </c>
      <c r="BE68" s="14">
        <f>BD68*VLOOKUP('Données projet'!$B$11,Paramètres!$A$1:$I$89,3,0)*VLOOKUP('Données projet'!$B$11,Paramètres!$A$1:$I$89,5,0)</f>
        <v>361.33759999999984</v>
      </c>
      <c r="BF68" s="14">
        <f t="shared" si="37"/>
        <v>83.892691744521159</v>
      </c>
      <c r="BG68" s="22">
        <f t="shared" ref="BG68:BG131" si="61">(BE68+BF68)*0.475*44/12</f>
        <v>775.44275812170724</v>
      </c>
      <c r="BH68" s="62">
        <f t="shared" ref="BH68:BH131" si="62">BG68+(AY68+AZ68)*44/12</f>
        <v>1068.7760914550406</v>
      </c>
      <c r="BI68" s="62">
        <f ca="1">AVERAGE(OFFSET($BH$3,0,0,'Données projet'!$E$11+1,1))-AVERAGE(OFFSET($H$3,0,0,'Données projet'!$E$11+1,1))</f>
        <v>415.52119746518764</v>
      </c>
      <c r="BJ68" s="62">
        <f t="shared" si="38"/>
        <v>490.11217551185604</v>
      </c>
      <c r="BK68" s="16">
        <f>IF(ISNA(VLOOKUP(A68,'Données projet'!$A$87:$I$107,3,0)),0,VLOOKUP(A68,'Données projet'!$A$87:$I$107,3,0))</f>
        <v>6</v>
      </c>
      <c r="BL68" s="16">
        <f>IF(ISNA(VLOOKUP(A68,'Données projet'!$A$87:$I$107,4,0)),0,VLOOKUP(A68,'Données projet'!$A$87:$I$107,4,0))</f>
        <v>646.4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6.2170542711907781E-6</v>
      </c>
      <c r="BS68" s="24">
        <f t="shared" ref="BS68:BS131" si="63">SUM(BP68:BR68)</f>
        <v>6.2170542711907781E-6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267</v>
      </c>
      <c r="BW68" s="13">
        <f>VLOOKUP(A68,'Données projet'!$A$113:$I$133,9,0)</f>
        <v>4.4000000000000004</v>
      </c>
      <c r="BX68" s="13">
        <f t="array" ref="BX68">INDEX(BW:BW,MIN(IF(ISNUMBER(BW68:BW264),ROW(BW68:BW264),"")))</f>
        <v>4.4000000000000004</v>
      </c>
      <c r="BY68" s="13">
        <f>IF('Données projet'!$A$114&gt;35,BY67+BX68-CG67,IF(A68&lt;'Données projet'!$A$114,$BV$205^A68,IF(A68='Données projet'!$A$114,'Données projet'!$B$114,BY67+BX68-CG67)))</f>
        <v>266.99999999999983</v>
      </c>
      <c r="BZ68" s="14">
        <f>BY68*VLOOKUP('Données projet'!$B$12,Paramètres!$A$1:$I$89,3,0)*VLOOKUP('Données projet'!$B$12,Paramètres!$A$1:$I$89,5,0)</f>
        <v>212.42519999999985</v>
      </c>
      <c r="CA68" s="14">
        <f t="shared" si="39"/>
        <v>52.465198231787184</v>
      </c>
      <c r="CB68" s="22">
        <f t="shared" ref="CB68:CB131" si="64">(BZ68+CA68)*0.475*44/12</f>
        <v>461.35077692036231</v>
      </c>
      <c r="CC68" s="62">
        <f t="shared" ref="CC68:CC131" si="65">CB68+(BT68+BU68)*44/12</f>
        <v>754.68411025369562</v>
      </c>
      <c r="CD68" s="62">
        <f ca="1">AVERAGE(OFFSET($CC$3,0,0,'Données projet'!$E$12+1,1))-AVERAGE(OFFSET($H$3,0,0,'Données projet'!$E$12+1,1))</f>
        <v>232.53653575369032</v>
      </c>
      <c r="CE68" s="62">
        <f t="shared" si="40"/>
        <v>219.59799863414099</v>
      </c>
      <c r="CF68" s="16">
        <f>IF(ISNA(VLOOKUP(A68,'Données projet'!$A$113:$I$133,3,0)),0,VLOOKUP(A68,'Données projet'!$A$113:$I$133,3,0))</f>
        <v>6</v>
      </c>
      <c r="CG68" s="16">
        <f>IF(ISNA(VLOOKUP(A68,'Données projet'!$A$113:$I$133,4,0)),0,VLOOKUP(A68,'Données projet'!$A$113:$I$133,4,0))</f>
        <v>23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236.53846153846152</v>
      </c>
      <c r="CR68" s="13">
        <f>VLOOKUP(A68,'Données projet'!$A$139:$I$159,9,0)</f>
        <v>4.7435897435897401</v>
      </c>
      <c r="CS68" s="13">
        <f t="array" ref="CS68">INDEX(CR:CR,MIN(IF(ISNUMBER(CR68:CR264),ROW(CR68:CR264),"")))</f>
        <v>4.7435897435897401</v>
      </c>
      <c r="CT68" s="13">
        <f>IF('Données projet'!$A$140&gt;35,CT67+CS68-DB67,IF(A68&lt;'Données projet'!$A$140,$CQ$205^A68,IF(A68='Données projet'!$A$140,'Données projet'!$B$140,CT67+CS68-DB67)))</f>
        <v>236.53846153846143</v>
      </c>
      <c r="CU68" s="18">
        <f>CT68*VLOOKUP('Données projet'!$B$13,Paramètres!$A$1:$I$89,3,0)*VLOOKUP('Données projet'!$B$13,Paramètres!$A$1:$I$89,5,0)</f>
        <v>158.66999999999993</v>
      </c>
      <c r="CV68" s="14">
        <f t="shared" si="41"/>
        <v>40.54238461420524</v>
      </c>
      <c r="CW68" s="22">
        <f t="shared" ref="CW68:CW131" si="67">(CU68+CV68)*0.475*44/12</f>
        <v>346.96156986974069</v>
      </c>
      <c r="CX68" s="62">
        <f t="shared" ref="CX68:CX131" si="68">CW68+(CO68+CP68)*44/12</f>
        <v>640.294903203074</v>
      </c>
      <c r="CY68" s="62">
        <f ca="1">AVERAGE(OFFSET($CX$3,0,0,'Données projet'!$E$13+1,1))-AVERAGE(OFFSET($H$3,0,0,'Données projet'!$E$13+1,1))</f>
        <v>191.58722091189202</v>
      </c>
      <c r="CZ68" s="62">
        <f t="shared" si="42"/>
        <v>140.7542783756906</v>
      </c>
      <c r="DA68" s="16">
        <f>IF(ISNA(VLOOKUP(A68,'Données projet'!$A$139:$I$159,3,0)),0,VLOOKUP(A68,'Données projet'!$A$139:$I$159,3,0))</f>
        <v>6</v>
      </c>
      <c r="DB68" s="16">
        <f>IF(ISNA(VLOOKUP(A68,'Données projet'!$A$139:$I$159,4,0)),0,VLOOKUP(A68,'Données projet'!$A$139:$I$159,4,0))</f>
        <v>27.564102564102562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14.3</v>
      </c>
      <c r="N69" s="14">
        <f>IF('Données projet'!$A$36&gt;35,N68+M69-V68,IF(A69&lt;'Données projet'!$A$36,$K$205^A69,IF(A69='Données projet'!$A$36,'Données projet'!$B$36,N68+M69-V68)))</f>
        <v>390.80000000000007</v>
      </c>
      <c r="O69" s="14">
        <f>N69*VLOOKUP('Données projet'!$B$9,Paramètres!$A$1:$I$89,3,0)*VLOOKUP('Données projet'!$B$9,Paramètres!$A$1:$I$89,5,0)</f>
        <v>233.69840000000005</v>
      </c>
      <c r="P69" s="14">
        <f t="shared" ref="P69:P132" si="87">EXP(-1.0587+0.8836*LN(O69)+0.284)</f>
        <v>57.081618134454175</v>
      </c>
      <c r="Q69" s="22">
        <f t="shared" si="54"/>
        <v>506.44186491750776</v>
      </c>
      <c r="R69" s="62">
        <f t="shared" si="55"/>
        <v>799.77519825084107</v>
      </c>
      <c r="S69" s="62">
        <f ca="1">AVERAGE(OFFSET($R$3,0,0,'Données projet'!$E$9+1,1))-AVERAGE(OFFSET($H$3,0,0,'Données projet'!$E$9+1,1))</f>
        <v>217.20547328702645</v>
      </c>
      <c r="T69" s="62">
        <f t="shared" ref="T69:T132" si="88">$T$3</f>
        <v>137.55906339137317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6.8487777186114488E-6</v>
      </c>
      <c r="AC69" s="24">
        <f t="shared" si="57"/>
        <v>6.8487777186114488E-6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214.79999999999984</v>
      </c>
      <c r="AJ69" s="14">
        <f>AI69*VLOOKUP('Données projet'!$B$10,Paramètres!$A$1:$I$89,3,0)*VLOOKUP('Données projet'!$B$10,Paramètres!$A$1:$I$89,5,0)</f>
        <v>194.35103999999987</v>
      </c>
      <c r="AK69" s="14">
        <f t="shared" ref="AK69:AK132" si="89">EXP(-1.0587+0.8836*LN(AJ69)+0.284)</f>
        <v>48.500634729810116</v>
      </c>
      <c r="AL69" s="22">
        <f t="shared" si="58"/>
        <v>422.96666682108571</v>
      </c>
      <c r="AM69" s="62">
        <f t="shared" si="59"/>
        <v>716.30000015441897</v>
      </c>
      <c r="AN69" s="62">
        <f ca="1">AVERAGE(OFFSET($AM$3,0,0,'Données projet'!$E$10+1,1))-AVERAGE(OFFSET($H$3,0,0,'Données projet'!$E$10+1,1))</f>
        <v>305.35633273533773</v>
      </c>
      <c r="AO69" s="62">
        <f t="shared" ref="AO69:AO132" si="90">$AO$3</f>
        <v>156.67965022779896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-2.2737367544323206E-13</v>
      </c>
      <c r="BE69" s="14">
        <f>BD69*VLOOKUP('Données projet'!$B$11,Paramètres!$A$1:$I$89,3,0)*VLOOKUP('Données projet'!$B$11,Paramètres!$A$1:$I$89,5,0)</f>
        <v>-1.2710188457276673E-13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415.52119746518764</v>
      </c>
      <c r="BJ69" s="62">
        <f t="shared" ref="BJ69:BJ132" si="92">$BJ$3</f>
        <v>490.11217551185604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4.3961212341637881E-6</v>
      </c>
      <c r="BS69" s="24">
        <f t="shared" si="63"/>
        <v>4.3961212341637881E-6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</v>
      </c>
      <c r="BY69" s="13">
        <f>IF('Données projet'!$A$114&gt;35,BY68+BX69-CG68,IF(A69&lt;'Données projet'!$A$114,$BV$205^A69,IF(A69='Données projet'!$A$114,'Données projet'!$B$114,BY68+BX69-CG68)))</f>
        <v>247.79999999999984</v>
      </c>
      <c r="BZ69" s="14">
        <f>BY69*VLOOKUP('Données projet'!$B$12,Paramètres!$A$1:$I$89,3,0)*VLOOKUP('Données projet'!$B$12,Paramètres!$A$1:$I$89,5,0)</f>
        <v>197.14967999999988</v>
      </c>
      <c r="CA69" s="14">
        <f t="shared" ref="CA69:CA132" si="93">EXP(-1.0587+0.8836*LN(BZ69)+0.284)</f>
        <v>49.11723130862363</v>
      </c>
      <c r="CB69" s="22">
        <f t="shared" si="64"/>
        <v>428.91487052918592</v>
      </c>
      <c r="CC69" s="62">
        <f t="shared" si="65"/>
        <v>722.24820386251918</v>
      </c>
      <c r="CD69" s="62">
        <f ca="1">AVERAGE(OFFSET($CC$3,0,0,'Données projet'!$E$12+1,1))-AVERAGE(OFFSET($H$3,0,0,'Données projet'!$E$12+1,1))</f>
        <v>232.53653575369032</v>
      </c>
      <c r="CE69" s="62">
        <f t="shared" ref="CE69:CE132" si="94">$CE$3</f>
        <v>219.59799863414099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4.6153846153846185</v>
      </c>
      <c r="CT69" s="13">
        <f>IF('Données projet'!$A$140&gt;35,CT68+CS69-DB68,IF(A69&lt;'Données projet'!$A$140,$CQ$205^A69,IF(A69='Données projet'!$A$140,'Données projet'!$B$140,CT68+CS69-DB68)))</f>
        <v>213.58974358974348</v>
      </c>
      <c r="CU69" s="18">
        <f>CT69*VLOOKUP('Données projet'!$B$13,Paramètres!$A$1:$I$89,3,0)*VLOOKUP('Données projet'!$B$13,Paramètres!$A$1:$I$89,5,0)</f>
        <v>143.27599999999993</v>
      </c>
      <c r="CV69" s="14">
        <f t="shared" ref="CV69:CV132" si="95">EXP(-1.0587+0.8836*LN(CU69)+0.284)</f>
        <v>37.046477812084682</v>
      </c>
      <c r="CW69" s="22">
        <f t="shared" si="67"/>
        <v>314.06164885604733</v>
      </c>
      <c r="CX69" s="62">
        <f t="shared" si="68"/>
        <v>607.3949821893807</v>
      </c>
      <c r="CY69" s="62">
        <f ca="1">AVERAGE(OFFSET($CX$3,0,0,'Données projet'!$E$13+1,1))-AVERAGE(OFFSET($H$3,0,0,'Données projet'!$E$13+1,1))</f>
        <v>191.58722091189202</v>
      </c>
      <c r="CZ69" s="62">
        <f t="shared" ref="CZ69:CZ132" si="96">$CZ$3</f>
        <v>140.7542783756906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14.3</v>
      </c>
      <c r="N70" s="14">
        <f>IF('Données projet'!$A$36&gt;35,N69+M70-V69,IF(A70&lt;'Données projet'!$A$36,$K$205^A70,IF(A70='Données projet'!$A$36,'Données projet'!$B$36,N69+M70-V69)))</f>
        <v>405.10000000000008</v>
      </c>
      <c r="O70" s="14">
        <f>N70*VLOOKUP('Données projet'!$B$9,Paramètres!$A$1:$I$89,3,0)*VLOOKUP('Données projet'!$B$9,Paramètres!$A$1:$I$89,5,0)</f>
        <v>242.24980000000005</v>
      </c>
      <c r="P70" s="14">
        <f t="shared" si="87"/>
        <v>58.923322739321947</v>
      </c>
      <c r="Q70" s="22">
        <f t="shared" si="54"/>
        <v>524.54318877098581</v>
      </c>
      <c r="R70" s="62">
        <f t="shared" si="55"/>
        <v>817.87652210431906</v>
      </c>
      <c r="S70" s="62">
        <f ca="1">AVERAGE(OFFSET($R$3,0,0,'Données projet'!$E$9+1,1))-AVERAGE(OFFSET($H$3,0,0,'Données projet'!$E$9+1,1))</f>
        <v>217.20547328702645</v>
      </c>
      <c r="T70" s="62">
        <f t="shared" si="88"/>
        <v>137.55906339137317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4.8428171676694878E-6</v>
      </c>
      <c r="AC70" s="24">
        <f t="shared" si="57"/>
        <v>4.8428171676694878E-6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221.59999999999985</v>
      </c>
      <c r="AJ70" s="14">
        <f>AI70*VLOOKUP('Données projet'!$B$10,Paramètres!$A$1:$I$89,3,0)*VLOOKUP('Données projet'!$B$10,Paramètres!$A$1:$I$89,5,0)</f>
        <v>200.50367999999986</v>
      </c>
      <c r="AK70" s="14">
        <f t="shared" si="89"/>
        <v>49.854845135229837</v>
      </c>
      <c r="AL70" s="22">
        <f t="shared" si="58"/>
        <v>436.0410979438584</v>
      </c>
      <c r="AM70" s="62">
        <f t="shared" si="59"/>
        <v>729.37443127719166</v>
      </c>
      <c r="AN70" s="62">
        <f ca="1">AVERAGE(OFFSET($AM$3,0,0,'Données projet'!$E$10+1,1))-AVERAGE(OFFSET($H$3,0,0,'Données projet'!$E$10+1,1))</f>
        <v>305.35633273533773</v>
      </c>
      <c r="AO70" s="62">
        <f t="shared" si="90"/>
        <v>156.67965022779896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-2.2737367544323206E-13</v>
      </c>
      <c r="BE70" s="14">
        <f>BD70*VLOOKUP('Données projet'!$B$11,Paramètres!$A$1:$I$89,3,0)*VLOOKUP('Données projet'!$B$11,Paramètres!$A$1:$I$89,5,0)</f>
        <v>-1.2710188457276673E-13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415.52119746518764</v>
      </c>
      <c r="BJ70" s="62">
        <f t="shared" si="92"/>
        <v>490.11217551185604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3.108527135595389E-6</v>
      </c>
      <c r="BS70" s="24">
        <f t="shared" si="63"/>
        <v>3.108527135595389E-6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</v>
      </c>
      <c r="BY70" s="13">
        <f>IF('Données projet'!$A$114&gt;35,BY69+BX70-CG69,IF(A70&lt;'Données projet'!$A$114,$BV$205^A70,IF(A70='Données projet'!$A$114,'Données projet'!$B$114,BY69+BX70-CG69)))</f>
        <v>251.59999999999985</v>
      </c>
      <c r="BZ70" s="14">
        <f>BY70*VLOOKUP('Données projet'!$B$12,Paramètres!$A$1:$I$89,3,0)*VLOOKUP('Données projet'!$B$12,Paramètres!$A$1:$I$89,5,0)</f>
        <v>200.17295999999988</v>
      </c>
      <c r="CA70" s="14">
        <f t="shared" si="93"/>
        <v>49.782177185855986</v>
      </c>
      <c r="CB70" s="22">
        <f t="shared" si="64"/>
        <v>435.33853059869892</v>
      </c>
      <c r="CC70" s="62">
        <f t="shared" si="65"/>
        <v>728.67186393203224</v>
      </c>
      <c r="CD70" s="62">
        <f ca="1">AVERAGE(OFFSET($CC$3,0,0,'Données projet'!$E$12+1,1))-AVERAGE(OFFSET($H$3,0,0,'Données projet'!$E$12+1,1))</f>
        <v>232.53653575369032</v>
      </c>
      <c r="CE70" s="62">
        <f t="shared" si="94"/>
        <v>219.59799863414099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4.6153846153846185</v>
      </c>
      <c r="CT70" s="13">
        <f>IF('Données projet'!$A$140&gt;35,CT69+CS70-DB69,IF(A70&lt;'Données projet'!$A$140,$CQ$205^A70,IF(A70='Données projet'!$A$140,'Données projet'!$B$140,CT69+CS70-DB69)))</f>
        <v>218.20512820512809</v>
      </c>
      <c r="CU70" s="18">
        <f>CT70*VLOOKUP('Données projet'!$B$13,Paramètres!$A$1:$I$89,3,0)*VLOOKUP('Données projet'!$B$13,Paramètres!$A$1:$I$89,5,0)</f>
        <v>146.37199999999993</v>
      </c>
      <c r="CV70" s="14">
        <f t="shared" si="95"/>
        <v>37.752938435291682</v>
      </c>
      <c r="CW70" s="22">
        <f t="shared" si="67"/>
        <v>320.68426777479954</v>
      </c>
      <c r="CX70" s="62">
        <f t="shared" si="68"/>
        <v>614.01760110813279</v>
      </c>
      <c r="CY70" s="62">
        <f ca="1">AVERAGE(OFFSET($CX$3,0,0,'Données projet'!$E$13+1,1))-AVERAGE(OFFSET($H$3,0,0,'Données projet'!$E$13+1,1))</f>
        <v>191.58722091189202</v>
      </c>
      <c r="CZ70" s="62">
        <f t="shared" si="96"/>
        <v>140.7542783756906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14.3</v>
      </c>
      <c r="N71" s="14">
        <f>IF('Données projet'!$A$36&gt;35,N70+M71-V70,IF(A71&lt;'Données projet'!$A$36,$K$205^A71,IF(A71='Données projet'!$A$36,'Données projet'!$B$36,N70+M71-V70)))</f>
        <v>419.40000000000009</v>
      </c>
      <c r="O71" s="14">
        <f>N71*VLOOKUP('Données projet'!$B$9,Paramètres!$A$1:$I$89,3,0)*VLOOKUP('Données projet'!$B$9,Paramètres!$A$1:$I$89,5,0)</f>
        <v>250.80120000000008</v>
      </c>
      <c r="P71" s="14">
        <f t="shared" si="87"/>
        <v>60.757473811682686</v>
      </c>
      <c r="Q71" s="22">
        <f t="shared" si="54"/>
        <v>542.63135688868078</v>
      </c>
      <c r="R71" s="62">
        <f t="shared" si="55"/>
        <v>835.96469022201404</v>
      </c>
      <c r="S71" s="62">
        <f ca="1">AVERAGE(OFFSET($R$3,0,0,'Données projet'!$E$9+1,1))-AVERAGE(OFFSET($H$3,0,0,'Données projet'!$E$9+1,1))</f>
        <v>217.20547328702645</v>
      </c>
      <c r="T71" s="62">
        <f t="shared" si="88"/>
        <v>137.55906339137317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3.4243888593057244E-6</v>
      </c>
      <c r="AC71" s="24">
        <f t="shared" si="57"/>
        <v>3.4243888593057244E-6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228.39999999999986</v>
      </c>
      <c r="AJ71" s="14">
        <f>AI71*VLOOKUP('Données projet'!$B$10,Paramètres!$A$1:$I$89,3,0)*VLOOKUP('Données projet'!$B$10,Paramètres!$A$1:$I$89,5,0)</f>
        <v>206.65631999999988</v>
      </c>
      <c r="AK71" s="14">
        <f t="shared" si="89"/>
        <v>51.20422634371338</v>
      </c>
      <c r="AL71" s="22">
        <f t="shared" si="58"/>
        <v>449.10711821530066</v>
      </c>
      <c r="AM71" s="62">
        <f t="shared" si="59"/>
        <v>742.44045154863397</v>
      </c>
      <c r="AN71" s="62">
        <f ca="1">AVERAGE(OFFSET($AM$3,0,0,'Données projet'!$E$10+1,1))-AVERAGE(OFFSET($H$3,0,0,'Données projet'!$E$10+1,1))</f>
        <v>305.35633273533773</v>
      </c>
      <c r="AO71" s="62">
        <f t="shared" si="90"/>
        <v>156.67965022779896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-2.2737367544323206E-13</v>
      </c>
      <c r="BE71" s="14">
        <f>BD71*VLOOKUP('Données projet'!$B$11,Paramètres!$A$1:$I$89,3,0)*VLOOKUP('Données projet'!$B$11,Paramètres!$A$1:$I$89,5,0)</f>
        <v>-1.2710188457276673E-13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415.52119746518764</v>
      </c>
      <c r="BJ71" s="62">
        <f t="shared" si="92"/>
        <v>490.11217551185604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2.198060617081894E-6</v>
      </c>
      <c r="BS71" s="24">
        <f t="shared" si="63"/>
        <v>2.198060617081894E-6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</v>
      </c>
      <c r="BY71" s="13">
        <f>IF('Données projet'!$A$114&gt;35,BY70+BX71-CG70,IF(A71&lt;'Données projet'!$A$114,$BV$205^A71,IF(A71='Données projet'!$A$114,'Données projet'!$B$114,BY70+BX71-CG70)))</f>
        <v>255.39999999999986</v>
      </c>
      <c r="BZ71" s="14">
        <f>BY71*VLOOKUP('Données projet'!$B$12,Paramètres!$A$1:$I$89,3,0)*VLOOKUP('Données projet'!$B$12,Paramètres!$A$1:$I$89,5,0)</f>
        <v>203.1962399999999</v>
      </c>
      <c r="CA71" s="14">
        <f t="shared" si="93"/>
        <v>50.445955049216174</v>
      </c>
      <c r="CB71" s="22">
        <f t="shared" si="64"/>
        <v>441.76015637738465</v>
      </c>
      <c r="CC71" s="62">
        <f t="shared" si="65"/>
        <v>735.0934897107179</v>
      </c>
      <c r="CD71" s="62">
        <f ca="1">AVERAGE(OFFSET($CC$3,0,0,'Données projet'!$E$12+1,1))-AVERAGE(OFFSET($H$3,0,0,'Données projet'!$E$12+1,1))</f>
        <v>232.53653575369032</v>
      </c>
      <c r="CE71" s="62">
        <f t="shared" si="94"/>
        <v>219.59799863414099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4.6153846153846185</v>
      </c>
      <c r="CT71" s="13">
        <f>IF('Données projet'!$A$140&gt;35,CT70+CS71-DB70,IF(A71&lt;'Données projet'!$A$140,$CQ$205^A71,IF(A71='Données projet'!$A$140,'Données projet'!$B$140,CT70+CS71-DB70)))</f>
        <v>222.8205128205127</v>
      </c>
      <c r="CU71" s="18">
        <f>CT71*VLOOKUP('Données projet'!$B$13,Paramètres!$A$1:$I$89,3,0)*VLOOKUP('Données projet'!$B$13,Paramètres!$A$1:$I$89,5,0)</f>
        <v>149.46799999999993</v>
      </c>
      <c r="CV71" s="14">
        <f t="shared" si="95"/>
        <v>38.457661723375857</v>
      </c>
      <c r="CW71" s="22">
        <f t="shared" si="67"/>
        <v>327.30386083487946</v>
      </c>
      <c r="CX71" s="62">
        <f t="shared" si="68"/>
        <v>620.63719416821277</v>
      </c>
      <c r="CY71" s="62">
        <f ca="1">AVERAGE(OFFSET($CX$3,0,0,'Données projet'!$E$13+1,1))-AVERAGE(OFFSET($H$3,0,0,'Données projet'!$E$13+1,1))</f>
        <v>191.58722091189202</v>
      </c>
      <c r="CZ71" s="62">
        <f t="shared" si="96"/>
        <v>140.7542783756906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14.3</v>
      </c>
      <c r="N72" s="14">
        <f>IF('Données projet'!$A$36&gt;35,N71+M72-V71,IF(A72&lt;'Données projet'!$A$36,$K$205^A72,IF(A72='Données projet'!$A$36,'Données projet'!$B$36,N71+M72-V71)))</f>
        <v>433.7000000000001</v>
      </c>
      <c r="O72" s="14">
        <f>N72*VLOOKUP('Données projet'!$B$9,Paramètres!$A$1:$I$89,3,0)*VLOOKUP('Données projet'!$B$9,Paramètres!$A$1:$I$89,5,0)</f>
        <v>259.35260000000011</v>
      </c>
      <c r="P72" s="14">
        <f t="shared" si="87"/>
        <v>62.58435842101963</v>
      </c>
      <c r="Q72" s="22">
        <f t="shared" si="54"/>
        <v>560.70686924994277</v>
      </c>
      <c r="R72" s="62">
        <f t="shared" si="55"/>
        <v>854.04020258327614</v>
      </c>
      <c r="S72" s="62">
        <f ca="1">AVERAGE(OFFSET($R$3,0,0,'Données projet'!$E$9+1,1))-AVERAGE(OFFSET($H$3,0,0,'Données projet'!$E$9+1,1))</f>
        <v>217.20547328702645</v>
      </c>
      <c r="T72" s="62">
        <f t="shared" si="88"/>
        <v>137.55906339137317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2.4214085838347439E-6</v>
      </c>
      <c r="AC72" s="24">
        <f t="shared" si="57"/>
        <v>2.4214085838347439E-6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235.19999999999987</v>
      </c>
      <c r="AJ72" s="14">
        <f>AI72*VLOOKUP('Données projet'!$B$10,Paramètres!$A$1:$I$89,3,0)*VLOOKUP('Données projet'!$B$10,Paramètres!$A$1:$I$89,5,0)</f>
        <v>212.80895999999987</v>
      </c>
      <c r="AK72" s="14">
        <f t="shared" si="89"/>
        <v>52.548938637485847</v>
      </c>
      <c r="AL72" s="22">
        <f t="shared" si="58"/>
        <v>462.16500679362093</v>
      </c>
      <c r="AM72" s="62">
        <f t="shared" si="59"/>
        <v>755.49834012695419</v>
      </c>
      <c r="AN72" s="62">
        <f ca="1">AVERAGE(OFFSET($AM$3,0,0,'Données projet'!$E$10+1,1))-AVERAGE(OFFSET($H$3,0,0,'Données projet'!$E$10+1,1))</f>
        <v>305.35633273533773</v>
      </c>
      <c r="AO72" s="62">
        <f t="shared" si="90"/>
        <v>156.67965022779896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-2.2737367544323206E-13</v>
      </c>
      <c r="BE72" s="14">
        <f>BD72*VLOOKUP('Données projet'!$B$11,Paramètres!$A$1:$I$89,3,0)*VLOOKUP('Données projet'!$B$11,Paramètres!$A$1:$I$89,5,0)</f>
        <v>-1.2710188457276673E-13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415.52119746518764</v>
      </c>
      <c r="BJ72" s="62">
        <f t="shared" si="92"/>
        <v>490.11217551185604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1.5542635677976945E-6</v>
      </c>
      <c r="BS72" s="24">
        <f t="shared" si="63"/>
        <v>1.5542635677976945E-6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</v>
      </c>
      <c r="BY72" s="13">
        <f>IF('Données projet'!$A$114&gt;35,BY71+BX72-CG71,IF(A72&lt;'Données projet'!$A$114,$BV$205^A72,IF(A72='Données projet'!$A$114,'Données projet'!$B$114,BY71+BX72-CG71)))</f>
        <v>259.19999999999987</v>
      </c>
      <c r="BZ72" s="14">
        <f>BY72*VLOOKUP('Données projet'!$B$12,Paramètres!$A$1:$I$89,3,0)*VLOOKUP('Données projet'!$B$12,Paramètres!$A$1:$I$89,5,0)</f>
        <v>206.21951999999993</v>
      </c>
      <c r="CA72" s="14">
        <f t="shared" si="93"/>
        <v>51.10858428464028</v>
      </c>
      <c r="CB72" s="22">
        <f t="shared" si="64"/>
        <v>448.17978162908167</v>
      </c>
      <c r="CC72" s="62">
        <f t="shared" si="65"/>
        <v>741.51311496241499</v>
      </c>
      <c r="CD72" s="62">
        <f ca="1">AVERAGE(OFFSET($CC$3,0,0,'Données projet'!$E$12+1,1))-AVERAGE(OFFSET($H$3,0,0,'Données projet'!$E$12+1,1))</f>
        <v>232.53653575369032</v>
      </c>
      <c r="CE72" s="62">
        <f t="shared" si="94"/>
        <v>219.59799863414099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4.6153846153846185</v>
      </c>
      <c r="CT72" s="13">
        <f>IF('Données projet'!$A$140&gt;35,CT71+CS72-DB71,IF(A72&lt;'Données projet'!$A$140,$CQ$205^A72,IF(A72='Données projet'!$A$140,'Données projet'!$B$140,CT71+CS72-DB71)))</f>
        <v>227.43589743589732</v>
      </c>
      <c r="CU72" s="18">
        <f>CT72*VLOOKUP('Données projet'!$B$13,Paramètres!$A$1:$I$89,3,0)*VLOOKUP('Données projet'!$B$13,Paramètres!$A$1:$I$89,5,0)</f>
        <v>152.56399999999994</v>
      </c>
      <c r="CV72" s="14">
        <f t="shared" si="95"/>
        <v>39.16068780876315</v>
      </c>
      <c r="CW72" s="22">
        <f t="shared" si="67"/>
        <v>333.9204979335957</v>
      </c>
      <c r="CX72" s="62">
        <f t="shared" si="68"/>
        <v>627.25383126692896</v>
      </c>
      <c r="CY72" s="62">
        <f ca="1">AVERAGE(OFFSET($CX$3,0,0,'Données projet'!$E$13+1,1))-AVERAGE(OFFSET($H$3,0,0,'Données projet'!$E$13+1,1))</f>
        <v>191.58722091189202</v>
      </c>
      <c r="CZ72" s="62">
        <f t="shared" si="96"/>
        <v>140.7542783756906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448</v>
      </c>
      <c r="L73" s="13">
        <f>VLOOKUP(A73,'Données projet'!$A$35:$I$55,9,0)</f>
        <v>14.3</v>
      </c>
      <c r="M73" s="13">
        <f t="array" ref="M73">INDEX(L:L,MIN(IF(ISNUMBER(L73:L269),ROW(L73:L269),"")))</f>
        <v>14.3</v>
      </c>
      <c r="N73" s="14">
        <f>IF('Données projet'!$A$36&gt;35,N72+M73-V72,IF(A73&lt;'Données projet'!$A$36,$K$205^A73,IF(A73='Données projet'!$A$36,'Données projet'!$B$36,N72+M73-V72)))</f>
        <v>448.00000000000011</v>
      </c>
      <c r="O73" s="14">
        <f>N73*VLOOKUP('Données projet'!$B$9,Paramètres!$A$1:$I$89,3,0)*VLOOKUP('Données projet'!$B$9,Paramètres!$A$1:$I$89,5,0)</f>
        <v>267.90400000000011</v>
      </c>
      <c r="P73" s="14">
        <f t="shared" si="87"/>
        <v>64.404243631863267</v>
      </c>
      <c r="Q73" s="22">
        <f t="shared" si="54"/>
        <v>578.77019099216204</v>
      </c>
      <c r="R73" s="62">
        <f t="shared" si="55"/>
        <v>872.1035243254953</v>
      </c>
      <c r="S73" s="62">
        <f ca="1">AVERAGE(OFFSET($R$3,0,0,'Données projet'!$E$9+1,1))-AVERAGE(OFFSET($H$3,0,0,'Données projet'!$E$9+1,1))</f>
        <v>217.20547328702645</v>
      </c>
      <c r="T73" s="62">
        <f t="shared" si="88"/>
        <v>137.55906339137317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78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1.7121944296528622E-6</v>
      </c>
      <c r="AC73" s="24">
        <f t="shared" si="57"/>
        <v>1.7121944296528622E-6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241.99999999999989</v>
      </c>
      <c r="AJ73" s="14">
        <f>AI73*VLOOKUP('Données projet'!$B$10,Paramètres!$A$1:$I$89,3,0)*VLOOKUP('Données projet'!$B$10,Paramètres!$A$1:$I$89,5,0)</f>
        <v>218.96159999999989</v>
      </c>
      <c r="AK73" s="14">
        <f t="shared" si="89"/>
        <v>53.88913250370743</v>
      </c>
      <c r="AL73" s="22">
        <f t="shared" si="58"/>
        <v>475.21502577729029</v>
      </c>
      <c r="AM73" s="62">
        <f t="shared" si="59"/>
        <v>768.54835911062355</v>
      </c>
      <c r="AN73" s="62">
        <f ca="1">AVERAGE(OFFSET($AM$3,0,0,'Données projet'!$E$10+1,1))-AVERAGE(OFFSET($H$3,0,0,'Données projet'!$E$10+1,1))</f>
        <v>305.35633273533773</v>
      </c>
      <c r="AO73" s="62">
        <f t="shared" si="90"/>
        <v>156.67965022779896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-2.2737367544323206E-13</v>
      </c>
      <c r="BE73" s="14">
        <f>BD73*VLOOKUP('Données projet'!$B$11,Paramètres!$A$1:$I$89,3,0)*VLOOKUP('Données projet'!$B$11,Paramètres!$A$1:$I$89,5,0)</f>
        <v>-1.2710188457276673E-13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415.52119746518764</v>
      </c>
      <c r="BJ73" s="62">
        <f t="shared" si="92"/>
        <v>490.11217551185604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1.099030308540947E-6</v>
      </c>
      <c r="BS73" s="24">
        <f t="shared" si="63"/>
        <v>1.099030308540947E-6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3.8</v>
      </c>
      <c r="BX73" s="13">
        <f t="array" ref="BX73">INDEX(BW:BW,MIN(IF(ISNUMBER(BW73:BW269),ROW(BW73:BW269),"")))</f>
        <v>3.8</v>
      </c>
      <c r="BY73" s="13">
        <f>IF('Données projet'!$A$114&gt;35,BY72+BX73-CG72,IF(A73&lt;'Données projet'!$A$114,$BV$205^A73,IF(A73='Données projet'!$A$114,'Données projet'!$B$114,BY72+BX73-CG72)))</f>
        <v>262.99999999999989</v>
      </c>
      <c r="BZ73" s="14">
        <f>BY73*VLOOKUP('Données projet'!$B$12,Paramètres!$A$1:$I$89,3,0)*VLOOKUP('Données projet'!$B$12,Paramètres!$A$1:$I$89,5,0)</f>
        <v>209.2427999999999</v>
      </c>
      <c r="CA73" s="14">
        <f t="shared" si="93"/>
        <v>51.770083677016814</v>
      </c>
      <c r="CB73" s="22">
        <f t="shared" si="64"/>
        <v>454.59743907080406</v>
      </c>
      <c r="CC73" s="62">
        <f t="shared" si="65"/>
        <v>747.93077240413731</v>
      </c>
      <c r="CD73" s="62">
        <f ca="1">AVERAGE(OFFSET($CC$3,0,0,'Données projet'!$E$12+1,1))-AVERAGE(OFFSET($H$3,0,0,'Données projet'!$E$12+1,1))</f>
        <v>232.53653575369032</v>
      </c>
      <c r="CE73" s="62">
        <f t="shared" si="94"/>
        <v>219.59799863414099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232.05128205128204</v>
      </c>
      <c r="CR73" s="13">
        <f>VLOOKUP(A73,'Données projet'!$A$139:$I$159,9,0)</f>
        <v>4.6153846153846185</v>
      </c>
      <c r="CS73" s="13">
        <f t="array" ref="CS73">INDEX(CR:CR,MIN(IF(ISNUMBER(CR73:CR269),ROW(CR73:CR269),"")))</f>
        <v>4.6153846153846185</v>
      </c>
      <c r="CT73" s="13">
        <f>IF('Données projet'!$A$140&gt;35,CT72+CS73-DB72,IF(A73&lt;'Données projet'!$A$140,$CQ$205^A73,IF(A73='Données projet'!$A$140,'Données projet'!$B$140,CT72+CS73-DB72)))</f>
        <v>232.05128205128193</v>
      </c>
      <c r="CU73" s="18">
        <f>CT73*VLOOKUP('Données projet'!$B$13,Paramètres!$A$1:$I$89,3,0)*VLOOKUP('Données projet'!$B$13,Paramètres!$A$1:$I$89,5,0)</f>
        <v>155.65999999999991</v>
      </c>
      <c r="CV73" s="14">
        <f t="shared" si="95"/>
        <v>39.862055101936797</v>
      </c>
      <c r="CW73" s="22">
        <f t="shared" si="67"/>
        <v>340.53424596920644</v>
      </c>
      <c r="CX73" s="62">
        <f t="shared" si="68"/>
        <v>633.86757930253975</v>
      </c>
      <c r="CY73" s="62">
        <f ca="1">AVERAGE(OFFSET($CX$3,0,0,'Données projet'!$E$13+1,1))-AVERAGE(OFFSET($H$3,0,0,'Données projet'!$E$13+1,1))</f>
        <v>191.58722091189202</v>
      </c>
      <c r="CZ73" s="62">
        <f t="shared" si="96"/>
        <v>140.7542783756906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</v>
      </c>
      <c r="N74" s="14">
        <f>IF('Données projet'!$A$36&gt;35,N73+M74-V73,IF(A74&lt;'Données projet'!$A$36,$K$205^A74,IF(A74='Données projet'!$A$36,'Données projet'!$B$36,N73+M74-V73)))</f>
        <v>379.00000000000011</v>
      </c>
      <c r="O74" s="14">
        <f>N74*VLOOKUP('Données projet'!$B$9,Paramètres!$A$1:$I$89,3,0)*VLOOKUP('Données projet'!$B$9,Paramètres!$A$1:$I$89,5,0)</f>
        <v>226.64200000000008</v>
      </c>
      <c r="P74" s="14">
        <f t="shared" si="87"/>
        <v>55.555983079812862</v>
      </c>
      <c r="Q74" s="22">
        <f t="shared" si="54"/>
        <v>491.49482053067413</v>
      </c>
      <c r="R74" s="62">
        <f t="shared" si="55"/>
        <v>784.82815386400739</v>
      </c>
      <c r="S74" s="62">
        <f ca="1">AVERAGE(OFFSET($R$3,0,0,'Données projet'!$E$9+1,1))-AVERAGE(OFFSET($H$3,0,0,'Données projet'!$E$9+1,1))</f>
        <v>217.20547328702645</v>
      </c>
      <c r="T74" s="62">
        <f t="shared" si="88"/>
        <v>137.55906339137317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1.2107042919173719E-6</v>
      </c>
      <c r="AC74" s="24">
        <f t="shared" si="57"/>
        <v>1.2107042919173719E-6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248.19999999999987</v>
      </c>
      <c r="AJ74" s="14">
        <f>AI74*VLOOKUP('Données projet'!$B$10,Paramètres!$A$1:$I$89,3,0)*VLOOKUP('Données projet'!$B$10,Paramètres!$A$1:$I$89,5,0)</f>
        <v>224.57135999999986</v>
      </c>
      <c r="AK74" s="14">
        <f t="shared" si="89"/>
        <v>55.107255873104265</v>
      </c>
      <c r="AL74" s="22">
        <f t="shared" si="58"/>
        <v>487.10692264565631</v>
      </c>
      <c r="AM74" s="62">
        <f t="shared" si="59"/>
        <v>780.44025597898963</v>
      </c>
      <c r="AN74" s="62">
        <f ca="1">AVERAGE(OFFSET($AM$3,0,0,'Données projet'!$E$10+1,1))-AVERAGE(OFFSET($H$3,0,0,'Données projet'!$E$10+1,1))</f>
        <v>305.35633273533773</v>
      </c>
      <c r="AO74" s="62">
        <f t="shared" si="90"/>
        <v>156.67965022779896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-2.2737367544323206E-13</v>
      </c>
      <c r="BE74" s="14">
        <f>BD74*VLOOKUP('Données projet'!$B$11,Paramètres!$A$1:$I$89,3,0)*VLOOKUP('Données projet'!$B$11,Paramètres!$A$1:$I$89,5,0)</f>
        <v>-1.2710188457276673E-13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415.52119746518764</v>
      </c>
      <c r="BJ74" s="62">
        <f t="shared" si="92"/>
        <v>490.11217551185604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7.7713178389884726E-7</v>
      </c>
      <c r="BS74" s="24">
        <f t="shared" si="63"/>
        <v>7.7713178389884726E-7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266.39999999999986</v>
      </c>
      <c r="BZ74" s="14">
        <f>BY74*VLOOKUP('Données projet'!$B$12,Paramètres!$A$1:$I$89,3,0)*VLOOKUP('Données projet'!$B$12,Paramètres!$A$1:$I$89,5,0)</f>
        <v>211.94783999999987</v>
      </c>
      <c r="CA74" s="14">
        <f t="shared" si="93"/>
        <v>52.361008754780862</v>
      </c>
      <c r="CB74" s="22">
        <f t="shared" si="64"/>
        <v>460.33791158124308</v>
      </c>
      <c r="CC74" s="62">
        <f t="shared" si="65"/>
        <v>753.67124491457639</v>
      </c>
      <c r="CD74" s="62">
        <f ca="1">AVERAGE(OFFSET($CC$3,0,0,'Données projet'!$E$12+1,1))-AVERAGE(OFFSET($H$3,0,0,'Données projet'!$E$12+1,1))</f>
        <v>232.53653575369032</v>
      </c>
      <c r="CE74" s="62">
        <f t="shared" si="94"/>
        <v>219.59799863414099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4.2307692307692317</v>
      </c>
      <c r="CT74" s="13">
        <f>IF('Données projet'!$A$140&gt;35,CT73+CS74-DB73,IF(A74&lt;'Données projet'!$A$140,$CQ$205^A74,IF(A74='Données projet'!$A$140,'Données projet'!$B$140,CT73+CS74-DB73)))</f>
        <v>236.28205128205116</v>
      </c>
      <c r="CU74" s="18">
        <f>CT74*VLOOKUP('Données projet'!$B$13,Paramètres!$A$1:$I$89,3,0)*VLOOKUP('Données projet'!$B$13,Paramètres!$A$1:$I$89,5,0)</f>
        <v>158.49799999999993</v>
      </c>
      <c r="CV74" s="14">
        <f t="shared" si="95"/>
        <v>40.503549370816764</v>
      </c>
      <c r="CW74" s="22">
        <f t="shared" si="67"/>
        <v>346.59436515417241</v>
      </c>
      <c r="CX74" s="62">
        <f t="shared" si="68"/>
        <v>639.92769848750572</v>
      </c>
      <c r="CY74" s="62">
        <f ca="1">AVERAGE(OFFSET($CX$3,0,0,'Données projet'!$E$13+1,1))-AVERAGE(OFFSET($H$3,0,0,'Données projet'!$E$13+1,1))</f>
        <v>191.58722091189202</v>
      </c>
      <c r="CZ74" s="62">
        <f t="shared" si="96"/>
        <v>140.7542783756906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</v>
      </c>
      <c r="N75" s="14">
        <f>IF('Données projet'!$A$36&gt;35,N74+M75-V74,IF(A75&lt;'Données projet'!$A$36,$K$205^A75,IF(A75='Données projet'!$A$36,'Données projet'!$B$36,N74+M75-V74)))</f>
        <v>388.00000000000011</v>
      </c>
      <c r="O75" s="14">
        <f>N75*VLOOKUP('Données projet'!$B$9,Paramètres!$A$1:$I$89,3,0)*VLOOKUP('Données projet'!$B$9,Paramètres!$A$1:$I$89,5,0)</f>
        <v>232.02400000000006</v>
      </c>
      <c r="P75" s="14">
        <f t="shared" si="87"/>
        <v>56.720094243161071</v>
      </c>
      <c r="Q75" s="22">
        <f t="shared" si="54"/>
        <v>502.89596414017234</v>
      </c>
      <c r="R75" s="62">
        <f t="shared" si="55"/>
        <v>796.22929747350565</v>
      </c>
      <c r="S75" s="62">
        <f ca="1">AVERAGE(OFFSET($R$3,0,0,'Données projet'!$E$9+1,1))-AVERAGE(OFFSET($H$3,0,0,'Données projet'!$E$9+1,1))</f>
        <v>217.20547328702645</v>
      </c>
      <c r="T75" s="62">
        <f t="shared" si="88"/>
        <v>137.55906339137317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8.560972148264311E-7</v>
      </c>
      <c r="AC75" s="24">
        <f t="shared" si="57"/>
        <v>8.560972148264311E-7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254.39999999999986</v>
      </c>
      <c r="AJ75" s="14">
        <f>AI75*VLOOKUP('Données projet'!$B$10,Paramètres!$A$1:$I$89,3,0)*VLOOKUP('Données projet'!$B$10,Paramètres!$A$1:$I$89,5,0)</f>
        <v>230.18111999999985</v>
      </c>
      <c r="AK75" s="14">
        <f t="shared" si="89"/>
        <v>56.321842115392883</v>
      </c>
      <c r="AL75" s="22">
        <f t="shared" si="58"/>
        <v>498.99265901764232</v>
      </c>
      <c r="AM75" s="62">
        <f t="shared" si="59"/>
        <v>792.32599235097564</v>
      </c>
      <c r="AN75" s="62">
        <f ca="1">AVERAGE(OFFSET($AM$3,0,0,'Données projet'!$E$10+1,1))-AVERAGE(OFFSET($H$3,0,0,'Données projet'!$E$10+1,1))</f>
        <v>305.35633273533773</v>
      </c>
      <c r="AO75" s="62">
        <f t="shared" si="90"/>
        <v>156.67965022779896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-2.2737367544323206E-13</v>
      </c>
      <c r="BE75" s="14">
        <f>BD75*VLOOKUP('Données projet'!$B$11,Paramètres!$A$1:$I$89,3,0)*VLOOKUP('Données projet'!$B$11,Paramètres!$A$1:$I$89,5,0)</f>
        <v>-1.2710188457276673E-13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415.52119746518764</v>
      </c>
      <c r="BJ75" s="62">
        <f t="shared" si="92"/>
        <v>490.11217551185604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5.4951515427047351E-7</v>
      </c>
      <c r="BS75" s="24">
        <f t="shared" si="63"/>
        <v>5.4951515427047351E-7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269.79999999999984</v>
      </c>
      <c r="BZ75" s="14">
        <f>BY75*VLOOKUP('Données projet'!$B$12,Paramètres!$A$1:$I$89,3,0)*VLOOKUP('Données projet'!$B$12,Paramètres!$A$1:$I$89,5,0)</f>
        <v>214.6528799999999</v>
      </c>
      <c r="CA75" s="14">
        <f t="shared" si="93"/>
        <v>52.951056589336034</v>
      </c>
      <c r="CB75" s="22">
        <f t="shared" si="64"/>
        <v>466.0768562264268</v>
      </c>
      <c r="CC75" s="62">
        <f t="shared" si="65"/>
        <v>759.41018955976006</v>
      </c>
      <c r="CD75" s="62">
        <f ca="1">AVERAGE(OFFSET($CC$3,0,0,'Données projet'!$E$12+1,1))-AVERAGE(OFFSET($H$3,0,0,'Données projet'!$E$12+1,1))</f>
        <v>232.53653575369032</v>
      </c>
      <c r="CE75" s="62">
        <f t="shared" si="94"/>
        <v>219.59799863414099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4.2307692307692317</v>
      </c>
      <c r="CT75" s="13">
        <f>IF('Données projet'!$A$140&gt;35,CT74+CS75-DB74,IF(A75&lt;'Données projet'!$A$140,$CQ$205^A75,IF(A75='Données projet'!$A$140,'Données projet'!$B$140,CT74+CS75-DB74)))</f>
        <v>240.51282051282038</v>
      </c>
      <c r="CU75" s="18">
        <f>CT75*VLOOKUP('Données projet'!$B$13,Paramètres!$A$1:$I$89,3,0)*VLOOKUP('Données projet'!$B$13,Paramètres!$A$1:$I$89,5,0)</f>
        <v>161.33599999999993</v>
      </c>
      <c r="CV75" s="14">
        <f t="shared" si="95"/>
        <v>41.143707947471945</v>
      </c>
      <c r="CW75" s="22">
        <f t="shared" si="67"/>
        <v>352.65215800851342</v>
      </c>
      <c r="CX75" s="62">
        <f t="shared" si="68"/>
        <v>645.98549134184668</v>
      </c>
      <c r="CY75" s="62">
        <f ca="1">AVERAGE(OFFSET($CX$3,0,0,'Données projet'!$E$13+1,1))-AVERAGE(OFFSET($H$3,0,0,'Données projet'!$E$13+1,1))</f>
        <v>191.58722091189202</v>
      </c>
      <c r="CZ75" s="62">
        <f t="shared" si="96"/>
        <v>140.7542783756906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</v>
      </c>
      <c r="N76" s="14">
        <f>IF('Données projet'!$A$36&gt;35,N75+M76-V75,IF(A76&lt;'Données projet'!$A$36,$K$205^A76,IF(A76='Données projet'!$A$36,'Données projet'!$B$36,N75+M76-V75)))</f>
        <v>397.00000000000011</v>
      </c>
      <c r="O76" s="14">
        <f>N76*VLOOKUP('Données projet'!$B$9,Paramètres!$A$1:$I$89,3,0)*VLOOKUP('Données projet'!$B$9,Paramètres!$A$1:$I$89,5,0)</f>
        <v>237.40600000000009</v>
      </c>
      <c r="P76" s="14">
        <f t="shared" si="87"/>
        <v>57.881066248213493</v>
      </c>
      <c r="Q76" s="22">
        <f t="shared" si="54"/>
        <v>514.29164038230522</v>
      </c>
      <c r="R76" s="62">
        <f t="shared" si="55"/>
        <v>807.62497371563859</v>
      </c>
      <c r="S76" s="62">
        <f ca="1">AVERAGE(OFFSET($R$3,0,0,'Données projet'!$E$9+1,1))-AVERAGE(OFFSET($H$3,0,0,'Données projet'!$E$9+1,1))</f>
        <v>217.20547328702645</v>
      </c>
      <c r="T76" s="62">
        <f t="shared" si="88"/>
        <v>137.55906339137317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6.0535214595868597E-7</v>
      </c>
      <c r="AC76" s="24">
        <f t="shared" si="57"/>
        <v>6.0535214595868597E-7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260.59999999999985</v>
      </c>
      <c r="AJ76" s="14">
        <f>AI76*VLOOKUP('Données projet'!$B$10,Paramètres!$A$1:$I$89,3,0)*VLOOKUP('Données projet'!$B$10,Paramètres!$A$1:$I$89,5,0)</f>
        <v>235.79087999999987</v>
      </c>
      <c r="AK76" s="14">
        <f t="shared" si="89"/>
        <v>57.532987351107714</v>
      </c>
      <c r="AL76" s="22">
        <f t="shared" si="58"/>
        <v>510.87240230317911</v>
      </c>
      <c r="AM76" s="62">
        <f t="shared" si="59"/>
        <v>804.20573563651237</v>
      </c>
      <c r="AN76" s="62">
        <f ca="1">AVERAGE(OFFSET($AM$3,0,0,'Données projet'!$E$10+1,1))-AVERAGE(OFFSET($H$3,0,0,'Données projet'!$E$10+1,1))</f>
        <v>305.35633273533773</v>
      </c>
      <c r="AO76" s="62">
        <f t="shared" si="90"/>
        <v>156.67965022779896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-2.2737367544323206E-13</v>
      </c>
      <c r="BE76" s="14">
        <f>BD76*VLOOKUP('Données projet'!$B$11,Paramètres!$A$1:$I$89,3,0)*VLOOKUP('Données projet'!$B$11,Paramètres!$A$1:$I$89,5,0)</f>
        <v>-1.2710188457276673E-13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415.52119746518764</v>
      </c>
      <c r="BJ76" s="62">
        <f t="shared" si="92"/>
        <v>490.11217551185604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3.8856589194942363E-7</v>
      </c>
      <c r="BS76" s="24">
        <f t="shared" si="63"/>
        <v>3.8856589194942363E-7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273.19999999999982</v>
      </c>
      <c r="BZ76" s="14">
        <f>BY76*VLOOKUP('Données projet'!$B$12,Paramètres!$A$1:$I$89,3,0)*VLOOKUP('Données projet'!$B$12,Paramètres!$A$1:$I$89,5,0)</f>
        <v>217.35791999999987</v>
      </c>
      <c r="CA76" s="14">
        <f t="shared" si="93"/>
        <v>53.540239514043478</v>
      </c>
      <c r="CB76" s="22">
        <f t="shared" si="64"/>
        <v>471.81429448695877</v>
      </c>
      <c r="CC76" s="62">
        <f t="shared" si="65"/>
        <v>765.14762782029209</v>
      </c>
      <c r="CD76" s="62">
        <f ca="1">AVERAGE(OFFSET($CC$3,0,0,'Données projet'!$E$12+1,1))-AVERAGE(OFFSET($H$3,0,0,'Données projet'!$E$12+1,1))</f>
        <v>232.53653575369032</v>
      </c>
      <c r="CE76" s="62">
        <f t="shared" si="94"/>
        <v>219.59799863414099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4.2307692307692317</v>
      </c>
      <c r="CT76" s="13">
        <f>IF('Données projet'!$A$140&gt;35,CT75+CS76-DB75,IF(A76&lt;'Données projet'!$A$140,$CQ$205^A76,IF(A76='Données projet'!$A$140,'Données projet'!$B$140,CT75+CS76-DB75)))</f>
        <v>244.74358974358961</v>
      </c>
      <c r="CU76" s="18">
        <f>CT76*VLOOKUP('Données projet'!$B$13,Paramètres!$A$1:$I$89,3,0)*VLOOKUP('Données projet'!$B$13,Paramètres!$A$1:$I$89,5,0)</f>
        <v>164.17399999999989</v>
      </c>
      <c r="CV76" s="14">
        <f t="shared" si="95"/>
        <v>41.782557038337067</v>
      </c>
      <c r="CW76" s="22">
        <f t="shared" si="67"/>
        <v>358.7076701751036</v>
      </c>
      <c r="CX76" s="62">
        <f t="shared" si="68"/>
        <v>652.04100350843692</v>
      </c>
      <c r="CY76" s="62">
        <f ca="1">AVERAGE(OFFSET($CX$3,0,0,'Données projet'!$E$13+1,1))-AVERAGE(OFFSET($H$3,0,0,'Données projet'!$E$13+1,1))</f>
        <v>191.58722091189202</v>
      </c>
      <c r="CZ76" s="62">
        <f t="shared" si="96"/>
        <v>140.7542783756906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</v>
      </c>
      <c r="N77" s="14">
        <f>IF('Données projet'!$A$36&gt;35,N76+M77-V76,IF(A77&lt;'Données projet'!$A$36,$K$205^A77,IF(A77='Données projet'!$A$36,'Données projet'!$B$36,N76+M77-V76)))</f>
        <v>406.00000000000011</v>
      </c>
      <c r="O77" s="14">
        <f>N77*VLOOKUP('Données projet'!$B$9,Paramètres!$A$1:$I$89,3,0)*VLOOKUP('Données projet'!$B$9,Paramètres!$A$1:$I$89,5,0)</f>
        <v>242.78800000000007</v>
      </c>
      <c r="P77" s="14">
        <f t="shared" si="87"/>
        <v>59.038978452354563</v>
      </c>
      <c r="Q77" s="22">
        <f t="shared" si="54"/>
        <v>525.68198747118436</v>
      </c>
      <c r="R77" s="62">
        <f t="shared" si="55"/>
        <v>819.01532080451761</v>
      </c>
      <c r="S77" s="62">
        <f ca="1">AVERAGE(OFFSET($R$3,0,0,'Données projet'!$E$9+1,1))-AVERAGE(OFFSET($H$3,0,0,'Données projet'!$E$9+1,1))</f>
        <v>217.20547328702645</v>
      </c>
      <c r="T77" s="62">
        <f t="shared" si="88"/>
        <v>137.55906339137317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4.2804860741321555E-7</v>
      </c>
      <c r="AC77" s="24">
        <f t="shared" si="57"/>
        <v>4.2804860741321555E-7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266.79999999999984</v>
      </c>
      <c r="AJ77" s="14">
        <f>AI77*VLOOKUP('Données projet'!$B$10,Paramètres!$A$1:$I$89,3,0)*VLOOKUP('Données projet'!$B$10,Paramètres!$A$1:$I$89,5,0)</f>
        <v>241.40063999999984</v>
      </c>
      <c r="AK77" s="14">
        <f t="shared" si="89"/>
        <v>58.740782866262698</v>
      </c>
      <c r="AL77" s="22">
        <f t="shared" si="58"/>
        <v>522.74631149207391</v>
      </c>
      <c r="AM77" s="62">
        <f t="shared" si="59"/>
        <v>816.07964482540729</v>
      </c>
      <c r="AN77" s="62">
        <f ca="1">AVERAGE(OFFSET($AM$3,0,0,'Données projet'!$E$10+1,1))-AVERAGE(OFFSET($H$3,0,0,'Données projet'!$E$10+1,1))</f>
        <v>305.35633273533773</v>
      </c>
      <c r="AO77" s="62">
        <f t="shared" si="90"/>
        <v>156.67965022779896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-2.2737367544323206E-13</v>
      </c>
      <c r="BE77" s="14">
        <f>BD77*VLOOKUP('Données projet'!$B$11,Paramètres!$A$1:$I$89,3,0)*VLOOKUP('Données projet'!$B$11,Paramètres!$A$1:$I$89,5,0)</f>
        <v>-1.2710188457276673E-13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415.52119746518764</v>
      </c>
      <c r="BJ77" s="62">
        <f t="shared" si="92"/>
        <v>490.11217551185604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2.7475757713523676E-7</v>
      </c>
      <c r="BS77" s="24">
        <f t="shared" si="63"/>
        <v>2.7475757713523676E-7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276.5999999999998</v>
      </c>
      <c r="BZ77" s="14">
        <f>BY77*VLOOKUP('Données projet'!$B$12,Paramètres!$A$1:$I$89,3,0)*VLOOKUP('Données projet'!$B$12,Paramètres!$A$1:$I$89,5,0)</f>
        <v>220.06295999999983</v>
      </c>
      <c r="CA77" s="14">
        <f t="shared" si="93"/>
        <v>54.128569537628628</v>
      </c>
      <c r="CB77" s="22">
        <f t="shared" si="64"/>
        <v>477.5502472780363</v>
      </c>
      <c r="CC77" s="62">
        <f t="shared" si="65"/>
        <v>770.88358061136955</v>
      </c>
      <c r="CD77" s="62">
        <f ca="1">AVERAGE(OFFSET($CC$3,0,0,'Données projet'!$E$12+1,1))-AVERAGE(OFFSET($H$3,0,0,'Données projet'!$E$12+1,1))</f>
        <v>232.53653575369032</v>
      </c>
      <c r="CE77" s="62">
        <f t="shared" si="94"/>
        <v>219.59799863414099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4.2307692307692317</v>
      </c>
      <c r="CT77" s="13">
        <f>IF('Données projet'!$A$140&gt;35,CT76+CS77-DB76,IF(A77&lt;'Données projet'!$A$140,$CQ$205^A77,IF(A77='Données projet'!$A$140,'Données projet'!$B$140,CT76+CS77-DB76)))</f>
        <v>248.97435897435884</v>
      </c>
      <c r="CU77" s="18">
        <f>CT77*VLOOKUP('Données projet'!$B$13,Paramètres!$A$1:$I$89,3,0)*VLOOKUP('Données projet'!$B$13,Paramètres!$A$1:$I$89,5,0)</f>
        <v>167.01199999999992</v>
      </c>
      <c r="CV77" s="14">
        <f t="shared" si="95"/>
        <v>42.420121891899903</v>
      </c>
      <c r="CW77" s="22">
        <f t="shared" si="67"/>
        <v>364.76094562839216</v>
      </c>
      <c r="CX77" s="62">
        <f t="shared" si="68"/>
        <v>658.09427896172542</v>
      </c>
      <c r="CY77" s="62">
        <f ca="1">AVERAGE(OFFSET($CX$3,0,0,'Données projet'!$E$13+1,1))-AVERAGE(OFFSET($H$3,0,0,'Données projet'!$E$13+1,1))</f>
        <v>191.58722091189202</v>
      </c>
      <c r="CZ77" s="62">
        <f t="shared" si="96"/>
        <v>140.7542783756906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9</v>
      </c>
      <c r="N78" s="14">
        <f>IF('Données projet'!$A$36&gt;35,N77+M78-V77,IF(A78&lt;'Données projet'!$A$36,$K$205^A78,IF(A78='Données projet'!$A$36,'Données projet'!$B$36,N77+M78-V77)))</f>
        <v>415.00000000000011</v>
      </c>
      <c r="O78" s="14">
        <f>N78*VLOOKUP('Données projet'!$B$9,Paramètres!$A$1:$I$89,3,0)*VLOOKUP('Données projet'!$B$9,Paramètres!$A$1:$I$89,5,0)</f>
        <v>248.1700000000001</v>
      </c>
      <c r="P78" s="14">
        <f t="shared" si="87"/>
        <v>60.193906493778854</v>
      </c>
      <c r="Q78" s="22">
        <f t="shared" si="54"/>
        <v>537.06713714333159</v>
      </c>
      <c r="R78" s="62">
        <f t="shared" si="55"/>
        <v>830.40047047666485</v>
      </c>
      <c r="S78" s="62">
        <f ca="1">AVERAGE(OFFSET($R$3,0,0,'Données projet'!$E$9+1,1))-AVERAGE(OFFSET($H$3,0,0,'Données projet'!$E$9+1,1))</f>
        <v>217.20547328702645</v>
      </c>
      <c r="T78" s="62">
        <f t="shared" si="88"/>
        <v>137.55906339137317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3.0267607297934299E-7</v>
      </c>
      <c r="AC78" s="24">
        <f t="shared" si="57"/>
        <v>3.0267607297934299E-7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272.99999999999983</v>
      </c>
      <c r="AJ78" s="14">
        <f>AI78*VLOOKUP('Données projet'!$B$10,Paramètres!$A$1:$I$89,3,0)*VLOOKUP('Données projet'!$B$10,Paramètres!$A$1:$I$89,5,0)</f>
        <v>247.01039999999983</v>
      </c>
      <c r="AK78" s="14">
        <f t="shared" si="89"/>
        <v>59.945315462121762</v>
      </c>
      <c r="AL78" s="22">
        <f t="shared" si="58"/>
        <v>534.61453776319513</v>
      </c>
      <c r="AM78" s="62">
        <f t="shared" si="59"/>
        <v>827.94787109652839</v>
      </c>
      <c r="AN78" s="62">
        <f ca="1">AVERAGE(OFFSET($AM$3,0,0,'Données projet'!$E$10+1,1))-AVERAGE(OFFSET($H$3,0,0,'Données projet'!$E$10+1,1))</f>
        <v>305.35633273533773</v>
      </c>
      <c r="AO78" s="62">
        <f t="shared" si="90"/>
        <v>156.67965022779896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-2.2737367544323206E-13</v>
      </c>
      <c r="BE78" s="14">
        <f>BD78*VLOOKUP('Données projet'!$B$11,Paramètres!$A$1:$I$89,3,0)*VLOOKUP('Données projet'!$B$11,Paramètres!$A$1:$I$89,5,0)</f>
        <v>-1.2710188457276673E-13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415.52119746518764</v>
      </c>
      <c r="BJ78" s="62">
        <f t="shared" si="92"/>
        <v>490.11217551185604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1.9428294597471181E-7</v>
      </c>
      <c r="BS78" s="24">
        <f t="shared" si="63"/>
        <v>1.9428294597471181E-7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280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279.99999999999977</v>
      </c>
      <c r="BZ78" s="14">
        <f>BY78*VLOOKUP('Données projet'!$B$12,Paramètres!$A$1:$I$89,3,0)*VLOOKUP('Données projet'!$B$12,Paramètres!$A$1:$I$89,5,0)</f>
        <v>222.76799999999986</v>
      </c>
      <c r="CA78" s="14">
        <f t="shared" si="93"/>
        <v>54.716058356609459</v>
      </c>
      <c r="CB78" s="22">
        <f t="shared" si="64"/>
        <v>483.28473497109445</v>
      </c>
      <c r="CC78" s="62">
        <f t="shared" si="65"/>
        <v>776.61806830442777</v>
      </c>
      <c r="CD78" s="62">
        <f ca="1">AVERAGE(OFFSET($CC$3,0,0,'Données projet'!$E$12+1,1))-AVERAGE(OFFSET($H$3,0,0,'Données projet'!$E$12+1,1))</f>
        <v>232.53653575369032</v>
      </c>
      <c r="CE78" s="62">
        <f t="shared" si="94"/>
        <v>219.59799863414099</v>
      </c>
      <c r="CF78" s="16">
        <f>IF(ISNA(VLOOKUP(A78,'Données projet'!$A$113:$I$133,3,0)),0,VLOOKUP(A78,'Données projet'!$A$113:$I$133,3,0))</f>
        <v>7</v>
      </c>
      <c r="CG78" s="16">
        <f>IF(ISNA(VLOOKUP(A78,'Données projet'!$A$113:$I$133,4,0)),0,VLOOKUP(A78,'Données projet'!$A$113:$I$133,4,0))</f>
        <v>19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253.2051282051282</v>
      </c>
      <c r="CR78" s="13">
        <f>VLOOKUP(A78,'Données projet'!$A$139:$I$159,9,0)</f>
        <v>4.2307692307692317</v>
      </c>
      <c r="CS78" s="13">
        <f t="array" ref="CS78">INDEX(CR:CR,MIN(IF(ISNUMBER(CR78:CR274),ROW(CR78:CR274),"")))</f>
        <v>4.2307692307692317</v>
      </c>
      <c r="CT78" s="13">
        <f>IF('Données projet'!$A$140&gt;35,CT77+CS78-DB77,IF(A78&lt;'Données projet'!$A$140,$CQ$205^A78,IF(A78='Données projet'!$A$140,'Données projet'!$B$140,CT77+CS78-DB77)))</f>
        <v>253.20512820512806</v>
      </c>
      <c r="CU78" s="18">
        <f>CT78*VLOOKUP('Données projet'!$B$13,Paramètres!$A$1:$I$89,3,0)*VLOOKUP('Données projet'!$B$13,Paramètres!$A$1:$I$89,5,0)</f>
        <v>169.84999999999991</v>
      </c>
      <c r="CV78" s="14">
        <f t="shared" si="95"/>
        <v>43.056426849389865</v>
      </c>
      <c r="CW78" s="22">
        <f t="shared" si="67"/>
        <v>370.81202676268725</v>
      </c>
      <c r="CX78" s="62">
        <f t="shared" si="68"/>
        <v>664.14536009602057</v>
      </c>
      <c r="CY78" s="62">
        <f ca="1">AVERAGE(OFFSET($CX$3,0,0,'Données projet'!$E$13+1,1))-AVERAGE(OFFSET($H$3,0,0,'Données projet'!$E$13+1,1))</f>
        <v>191.58722091189202</v>
      </c>
      <c r="CZ78" s="62">
        <f t="shared" si="96"/>
        <v>140.7542783756906</v>
      </c>
      <c r="DA78" s="16">
        <f>IF(ISNA(VLOOKUP(A78,'Données projet'!$A$139:$I$159,3,0)),0,VLOOKUP(A78,'Données projet'!$A$139:$I$159,3,0))</f>
        <v>7</v>
      </c>
      <c r="DB78" s="16">
        <f>IF(ISNA(VLOOKUP(A78,'Données projet'!$A$139:$I$159,4,0)),0,VLOOKUP(A78,'Données projet'!$A$139:$I$159,4,0))</f>
        <v>24.358974358974358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9</v>
      </c>
      <c r="N79" s="14">
        <f>IF('Données projet'!$A$36&gt;35,N78+M79-V78,IF(A79&lt;'Données projet'!$A$36,$K$205^A79,IF(A79='Données projet'!$A$36,'Données projet'!$B$36,N78+M79-V78)))</f>
        <v>424.00000000000011</v>
      </c>
      <c r="O79" s="14">
        <f>N79*VLOOKUP('Données projet'!$B$9,Paramètres!$A$1:$I$89,3,0)*VLOOKUP('Données projet'!$B$9,Paramètres!$A$1:$I$89,5,0)</f>
        <v>253.55200000000008</v>
      </c>
      <c r="P79" s="14">
        <f t="shared" si="87"/>
        <v>61.345922542613536</v>
      </c>
      <c r="Q79" s="22">
        <f t="shared" si="54"/>
        <v>548.447215095052</v>
      </c>
      <c r="R79" s="62">
        <f t="shared" si="55"/>
        <v>841.78054842838537</v>
      </c>
      <c r="S79" s="62">
        <f ca="1">AVERAGE(OFFSET($R$3,0,0,'Données projet'!$E$9+1,1))-AVERAGE(OFFSET($H$3,0,0,'Données projet'!$E$9+1,1))</f>
        <v>217.20547328702645</v>
      </c>
      <c r="T79" s="62">
        <f t="shared" si="88"/>
        <v>137.55906339137317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2.1402430370660777E-7</v>
      </c>
      <c r="AC79" s="24">
        <f t="shared" si="57"/>
        <v>2.1402430370660777E-7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236.89999999999981</v>
      </c>
      <c r="AJ79" s="14">
        <f>AI79*VLOOKUP('Données projet'!$B$10,Paramètres!$A$1:$I$89,3,0)*VLOOKUP('Données projet'!$B$10,Paramètres!$A$1:$I$89,5,0)</f>
        <v>214.34711999999982</v>
      </c>
      <c r="AK79" s="14">
        <f t="shared" si="89"/>
        <v>52.884405030781728</v>
      </c>
      <c r="AL79" s="22">
        <f t="shared" si="58"/>
        <v>465.42823942861122</v>
      </c>
      <c r="AM79" s="62">
        <f t="shared" si="59"/>
        <v>758.76157276194454</v>
      </c>
      <c r="AN79" s="62">
        <f ca="1">AVERAGE(OFFSET($AM$3,0,0,'Données projet'!$E$10+1,1))-AVERAGE(OFFSET($H$3,0,0,'Données projet'!$E$10+1,1))</f>
        <v>305.35633273533773</v>
      </c>
      <c r="AO79" s="62">
        <f t="shared" si="90"/>
        <v>156.67965022779896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-2.2737367544323206E-13</v>
      </c>
      <c r="BE79" s="14">
        <f>BD79*VLOOKUP('Données projet'!$B$11,Paramètres!$A$1:$I$89,3,0)*VLOOKUP('Données projet'!$B$11,Paramètres!$A$1:$I$89,5,0)</f>
        <v>-1.2710188457276673E-13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415.52119746518764</v>
      </c>
      <c r="BJ79" s="62">
        <f t="shared" si="92"/>
        <v>490.11217551185604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1.3737878856761838E-7</v>
      </c>
      <c r="BS79" s="24">
        <f t="shared" si="63"/>
        <v>1.3737878856761838E-7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</v>
      </c>
      <c r="BY79" s="13">
        <f>IF('Données projet'!$A$114&gt;35,BY78+BX79-CG78,IF(A79&lt;'Données projet'!$A$114,$BV$205^A79,IF(A79='Données projet'!$A$114,'Données projet'!$B$114,BY78+BX79-CG78)))</f>
        <v>263.99999999999977</v>
      </c>
      <c r="BZ79" s="14">
        <f>BY79*VLOOKUP('Données projet'!$B$12,Paramètres!$A$1:$I$89,3,0)*VLOOKUP('Données projet'!$B$12,Paramètres!$A$1:$I$89,5,0)</f>
        <v>210.0383999999998</v>
      </c>
      <c r="CA79" s="14">
        <f t="shared" si="93"/>
        <v>51.94397697513358</v>
      </c>
      <c r="CB79" s="22">
        <f t="shared" si="64"/>
        <v>456.2859732316906</v>
      </c>
      <c r="CC79" s="62">
        <f t="shared" si="65"/>
        <v>749.61930656502386</v>
      </c>
      <c r="CD79" s="62">
        <f ca="1">AVERAGE(OFFSET($CC$3,0,0,'Données projet'!$E$12+1,1))-AVERAGE(OFFSET($H$3,0,0,'Données projet'!$E$12+1,1))</f>
        <v>232.53653575369032</v>
      </c>
      <c r="CE79" s="62">
        <f t="shared" si="94"/>
        <v>219.59799863414099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4.2307692307692317</v>
      </c>
      <c r="CT79" s="13">
        <f>IF('Données projet'!$A$140&gt;35,CT78+CS79-DB78,IF(A79&lt;'Données projet'!$A$140,$CQ$205^A79,IF(A79='Données projet'!$A$140,'Données projet'!$B$140,CT78+CS79-DB78)))</f>
        <v>233.07692307692292</v>
      </c>
      <c r="CU79" s="18">
        <f>CT79*VLOOKUP('Données projet'!$B$13,Paramètres!$A$1:$I$89,3,0)*VLOOKUP('Données projet'!$B$13,Paramètres!$A$1:$I$89,5,0)</f>
        <v>156.3479999999999</v>
      </c>
      <c r="CV79" s="14">
        <f t="shared" si="95"/>
        <v>40.017692964060089</v>
      </c>
      <c r="CW79" s="22">
        <f t="shared" si="67"/>
        <v>342.0035819124044</v>
      </c>
      <c r="CX79" s="62">
        <f t="shared" si="68"/>
        <v>635.33691524573771</v>
      </c>
      <c r="CY79" s="62">
        <f ca="1">AVERAGE(OFFSET($CX$3,0,0,'Données projet'!$E$13+1,1))-AVERAGE(OFFSET($H$3,0,0,'Données projet'!$E$13+1,1))</f>
        <v>191.58722091189202</v>
      </c>
      <c r="CZ79" s="62">
        <f t="shared" si="96"/>
        <v>140.7542783756906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9</v>
      </c>
      <c r="N80" s="14">
        <f>IF('Données projet'!$A$36&gt;35,N79+M80-V79,IF(A80&lt;'Données projet'!$A$36,$K$205^A80,IF(A80='Données projet'!$A$36,'Données projet'!$B$36,N79+M80-V79)))</f>
        <v>433.00000000000011</v>
      </c>
      <c r="O80" s="14">
        <f>N80*VLOOKUP('Données projet'!$B$9,Paramètres!$A$1:$I$89,3,0)*VLOOKUP('Données projet'!$B$9,Paramètres!$A$1:$I$89,5,0)</f>
        <v>258.93400000000008</v>
      </c>
      <c r="P80" s="14">
        <f t="shared" si="87"/>
        <v>62.495095530116075</v>
      </c>
      <c r="Q80" s="22">
        <f t="shared" si="54"/>
        <v>559.82234138161891</v>
      </c>
      <c r="R80" s="62">
        <f t="shared" si="55"/>
        <v>853.15567471495228</v>
      </c>
      <c r="S80" s="62">
        <f ca="1">AVERAGE(OFFSET($R$3,0,0,'Données projet'!$E$9+1,1))-AVERAGE(OFFSET($H$3,0,0,'Données projet'!$E$9+1,1))</f>
        <v>217.20547328702645</v>
      </c>
      <c r="T80" s="62">
        <f t="shared" si="88"/>
        <v>137.55906339137317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1.5133803648967149E-7</v>
      </c>
      <c r="AC80" s="24">
        <f t="shared" si="57"/>
        <v>1.5133803648967149E-7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242.79999999999981</v>
      </c>
      <c r="AJ80" s="14">
        <f>AI80*VLOOKUP('Données projet'!$B$10,Paramètres!$A$1:$I$89,3,0)*VLOOKUP('Données projet'!$B$10,Paramètres!$A$1:$I$89,5,0)</f>
        <v>219.6854399999998</v>
      </c>
      <c r="AK80" s="14">
        <f t="shared" si="89"/>
        <v>54.04651196646951</v>
      </c>
      <c r="AL80" s="22">
        <f t="shared" si="58"/>
        <v>476.74981634160059</v>
      </c>
      <c r="AM80" s="62">
        <f t="shared" si="59"/>
        <v>770.08314967493391</v>
      </c>
      <c r="AN80" s="62">
        <f ca="1">AVERAGE(OFFSET($AM$3,0,0,'Données projet'!$E$10+1,1))-AVERAGE(OFFSET($H$3,0,0,'Données projet'!$E$10+1,1))</f>
        <v>305.35633273533773</v>
      </c>
      <c r="AO80" s="62">
        <f t="shared" si="90"/>
        <v>156.67965022779896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-2.2737367544323206E-13</v>
      </c>
      <c r="BE80" s="14">
        <f>BD80*VLOOKUP('Données projet'!$B$11,Paramètres!$A$1:$I$89,3,0)*VLOOKUP('Données projet'!$B$11,Paramètres!$A$1:$I$89,5,0)</f>
        <v>-1.2710188457276673E-13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415.52119746518764</v>
      </c>
      <c r="BJ80" s="62">
        <f t="shared" si="92"/>
        <v>490.11217551185604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9.7141472987355907E-8</v>
      </c>
      <c r="BS80" s="24">
        <f t="shared" si="63"/>
        <v>9.7141472987355907E-8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</v>
      </c>
      <c r="BY80" s="13">
        <f>IF('Données projet'!$A$114&gt;35,BY79+BX80-CG79,IF(A80&lt;'Données projet'!$A$114,$BV$205^A80,IF(A80='Données projet'!$A$114,'Données projet'!$B$114,BY79+BX80-CG79)))</f>
        <v>266.99999999999977</v>
      </c>
      <c r="BZ80" s="14">
        <f>BY80*VLOOKUP('Données projet'!$B$12,Paramètres!$A$1:$I$89,3,0)*VLOOKUP('Données projet'!$B$12,Paramètres!$A$1:$I$89,5,0)</f>
        <v>212.42519999999982</v>
      </c>
      <c r="CA80" s="14">
        <f t="shared" si="93"/>
        <v>52.465198231787141</v>
      </c>
      <c r="CB80" s="22">
        <f t="shared" si="64"/>
        <v>461.35077692036225</v>
      </c>
      <c r="CC80" s="62">
        <f t="shared" si="65"/>
        <v>754.68411025369551</v>
      </c>
      <c r="CD80" s="62">
        <f ca="1">AVERAGE(OFFSET($CC$3,0,0,'Données projet'!$E$12+1,1))-AVERAGE(OFFSET($H$3,0,0,'Données projet'!$E$12+1,1))</f>
        <v>232.53653575369032</v>
      </c>
      <c r="CE80" s="62">
        <f t="shared" si="94"/>
        <v>219.59799863414099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4.2307692307692317</v>
      </c>
      <c r="CT80" s="13">
        <f>IF('Données projet'!$A$140&gt;35,CT79+CS80-DB79,IF(A80&lt;'Données projet'!$A$140,$CQ$205^A80,IF(A80='Données projet'!$A$140,'Données projet'!$B$140,CT79+CS80-DB79)))</f>
        <v>237.30769230769215</v>
      </c>
      <c r="CU80" s="18">
        <f>CT80*VLOOKUP('Données projet'!$B$13,Paramètres!$A$1:$I$89,3,0)*VLOOKUP('Données projet'!$B$13,Paramètres!$A$1:$I$89,5,0)</f>
        <v>159.18599999999989</v>
      </c>
      <c r="CV80" s="14">
        <f t="shared" si="95"/>
        <v>40.658860968776935</v>
      </c>
      <c r="CW80" s="22">
        <f t="shared" si="67"/>
        <v>348.06313285395299</v>
      </c>
      <c r="CX80" s="62">
        <f t="shared" si="68"/>
        <v>641.39646618728625</v>
      </c>
      <c r="CY80" s="62">
        <f ca="1">AVERAGE(OFFSET($CX$3,0,0,'Données projet'!$E$13+1,1))-AVERAGE(OFFSET($H$3,0,0,'Données projet'!$E$13+1,1))</f>
        <v>191.58722091189202</v>
      </c>
      <c r="CZ80" s="62">
        <f t="shared" si="96"/>
        <v>140.7542783756906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9</v>
      </c>
      <c r="N81" s="14">
        <f>IF('Données projet'!$A$36&gt;35,N80+M81-V80,IF(A81&lt;'Données projet'!$A$36,$K$205^A81,IF(A81='Données projet'!$A$36,'Données projet'!$B$36,N80+M81-V80)))</f>
        <v>442.00000000000011</v>
      </c>
      <c r="O81" s="14">
        <f>N81*VLOOKUP('Données projet'!$B$9,Paramètres!$A$1:$I$89,3,0)*VLOOKUP('Données projet'!$B$9,Paramètres!$A$1:$I$89,5,0)</f>
        <v>264.31600000000009</v>
      </c>
      <c r="P81" s="14">
        <f t="shared" si="87"/>
        <v>63.641491358279801</v>
      </c>
      <c r="Q81" s="22">
        <f t="shared" si="54"/>
        <v>571.19263078233746</v>
      </c>
      <c r="R81" s="62">
        <f t="shared" si="55"/>
        <v>864.52596411567083</v>
      </c>
      <c r="S81" s="62">
        <f ca="1">AVERAGE(OFFSET($R$3,0,0,'Données projet'!$E$9+1,1))-AVERAGE(OFFSET($H$3,0,0,'Données projet'!$E$9+1,1))</f>
        <v>217.20547328702645</v>
      </c>
      <c r="T81" s="62">
        <f t="shared" si="88"/>
        <v>137.55906339137317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1.0701215185330389E-7</v>
      </c>
      <c r="AC81" s="24">
        <f t="shared" si="57"/>
        <v>1.0701215185330389E-7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248.69999999999982</v>
      </c>
      <c r="AJ81" s="14">
        <f>AI81*VLOOKUP('Données projet'!$B$10,Paramètres!$A$1:$I$89,3,0)*VLOOKUP('Données projet'!$B$10,Paramètres!$A$1:$I$89,5,0)</f>
        <v>225.02375999999984</v>
      </c>
      <c r="AK81" s="14">
        <f t="shared" si="89"/>
        <v>55.205336184590408</v>
      </c>
      <c r="AL81" s="22">
        <f t="shared" si="58"/>
        <v>488.06567585482804</v>
      </c>
      <c r="AM81" s="62">
        <f t="shared" si="59"/>
        <v>781.39900918816136</v>
      </c>
      <c r="AN81" s="62">
        <f ca="1">AVERAGE(OFFSET($AM$3,0,0,'Données projet'!$E$10+1,1))-AVERAGE(OFFSET($H$3,0,0,'Données projet'!$E$10+1,1))</f>
        <v>305.35633273533773</v>
      </c>
      <c r="AO81" s="62">
        <f t="shared" si="90"/>
        <v>156.67965022779896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-2.2737367544323206E-13</v>
      </c>
      <c r="BE81" s="14">
        <f>BD81*VLOOKUP('Données projet'!$B$11,Paramètres!$A$1:$I$89,3,0)*VLOOKUP('Données projet'!$B$11,Paramètres!$A$1:$I$89,5,0)</f>
        <v>-1.2710188457276673E-13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415.52119746518764</v>
      </c>
      <c r="BJ81" s="62">
        <f t="shared" si="92"/>
        <v>490.11217551185604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6.8689394283809189E-8</v>
      </c>
      <c r="BS81" s="24">
        <f t="shared" si="63"/>
        <v>6.8689394283809189E-8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</v>
      </c>
      <c r="BY81" s="13">
        <f>IF('Données projet'!$A$114&gt;35,BY80+BX81-CG80,IF(A81&lt;'Données projet'!$A$114,$BV$205^A81,IF(A81='Données projet'!$A$114,'Données projet'!$B$114,BY80+BX81-CG80)))</f>
        <v>269.99999999999977</v>
      </c>
      <c r="BZ81" s="14">
        <f>BY81*VLOOKUP('Données projet'!$B$12,Paramètres!$A$1:$I$89,3,0)*VLOOKUP('Données projet'!$B$12,Paramètres!$A$1:$I$89,5,0)</f>
        <v>214.81199999999981</v>
      </c>
      <c r="CA81" s="14">
        <f t="shared" si="93"/>
        <v>52.985738231738011</v>
      </c>
      <c r="CB81" s="22">
        <f t="shared" si="64"/>
        <v>466.41439408694333</v>
      </c>
      <c r="CC81" s="62">
        <f t="shared" si="65"/>
        <v>759.74772742027665</v>
      </c>
      <c r="CD81" s="62">
        <f ca="1">AVERAGE(OFFSET($CC$3,0,0,'Données projet'!$E$12+1,1))-AVERAGE(OFFSET($H$3,0,0,'Données projet'!$E$12+1,1))</f>
        <v>232.53653575369032</v>
      </c>
      <c r="CE81" s="62">
        <f t="shared" si="94"/>
        <v>219.59799863414099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4.2307692307692317</v>
      </c>
      <c r="CT81" s="13">
        <f>IF('Données projet'!$A$140&gt;35,CT80+CS81-DB80,IF(A81&lt;'Données projet'!$A$140,$CQ$205^A81,IF(A81='Données projet'!$A$140,'Données projet'!$B$140,CT80+CS81-DB80)))</f>
        <v>241.53846153846138</v>
      </c>
      <c r="CU81" s="18">
        <f>CT81*VLOOKUP('Données projet'!$B$13,Paramètres!$A$1:$I$89,3,0)*VLOOKUP('Données projet'!$B$13,Paramètres!$A$1:$I$89,5,0)</f>
        <v>162.02399999999989</v>
      </c>
      <c r="CV81" s="14">
        <f t="shared" si="95"/>
        <v>41.298699725174792</v>
      </c>
      <c r="CW81" s="22">
        <f t="shared" si="67"/>
        <v>354.12036868801255</v>
      </c>
      <c r="CX81" s="62">
        <f t="shared" si="68"/>
        <v>647.45370202134586</v>
      </c>
      <c r="CY81" s="62">
        <f ca="1">AVERAGE(OFFSET($CX$3,0,0,'Données projet'!$E$13+1,1))-AVERAGE(OFFSET($H$3,0,0,'Données projet'!$E$13+1,1))</f>
        <v>191.58722091189202</v>
      </c>
      <c r="CZ81" s="62">
        <f t="shared" si="96"/>
        <v>140.7542783756906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9</v>
      </c>
      <c r="N82" s="14">
        <f>IF('Données projet'!$A$36&gt;35,N81+M82-V81,IF(A82&lt;'Données projet'!$A$36,$K$205^A82,IF(A82='Données projet'!$A$36,'Données projet'!$B$36,N81+M82-V81)))</f>
        <v>451.00000000000011</v>
      </c>
      <c r="O82" s="14">
        <f>N82*VLOOKUP('Données projet'!$B$9,Paramètres!$A$1:$I$89,3,0)*VLOOKUP('Données projet'!$B$9,Paramètres!$A$1:$I$89,5,0)</f>
        <v>269.69800000000009</v>
      </c>
      <c r="P82" s="14">
        <f t="shared" si="87"/>
        <v>64.785173091884289</v>
      </c>
      <c r="Q82" s="22">
        <f t="shared" si="54"/>
        <v>582.55819313503196</v>
      </c>
      <c r="R82" s="62">
        <f t="shared" si="55"/>
        <v>875.89152646836533</v>
      </c>
      <c r="S82" s="62">
        <f ca="1">AVERAGE(OFFSET($R$3,0,0,'Données projet'!$E$9+1,1))-AVERAGE(OFFSET($H$3,0,0,'Données projet'!$E$9+1,1))</f>
        <v>217.20547328702645</v>
      </c>
      <c r="T82" s="62">
        <f t="shared" si="88"/>
        <v>137.55906339137317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7.5669018244835747E-8</v>
      </c>
      <c r="AC82" s="24">
        <f t="shared" si="57"/>
        <v>7.5669018244835747E-8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254.59999999999982</v>
      </c>
      <c r="AJ82" s="14">
        <f>AI82*VLOOKUP('Données projet'!$B$10,Paramètres!$A$1:$I$89,3,0)*VLOOKUP('Données projet'!$B$10,Paramètres!$A$1:$I$89,5,0)</f>
        <v>230.36207999999985</v>
      </c>
      <c r="AK82" s="14">
        <f t="shared" si="89"/>
        <v>56.360964523671768</v>
      </c>
      <c r="AL82" s="22">
        <f t="shared" si="58"/>
        <v>499.37596921206136</v>
      </c>
      <c r="AM82" s="62">
        <f t="shared" si="59"/>
        <v>792.70930254539462</v>
      </c>
      <c r="AN82" s="62">
        <f ca="1">AVERAGE(OFFSET($AM$3,0,0,'Données projet'!$E$10+1,1))-AVERAGE(OFFSET($H$3,0,0,'Données projet'!$E$10+1,1))</f>
        <v>305.35633273533773</v>
      </c>
      <c r="AO82" s="62">
        <f t="shared" si="90"/>
        <v>156.67965022779896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-2.2737367544323206E-13</v>
      </c>
      <c r="BE82" s="14">
        <f>BD82*VLOOKUP('Données projet'!$B$11,Paramètres!$A$1:$I$89,3,0)*VLOOKUP('Données projet'!$B$11,Paramètres!$A$1:$I$89,5,0)</f>
        <v>-1.2710188457276673E-13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415.52119746518764</v>
      </c>
      <c r="BJ82" s="62">
        <f t="shared" si="92"/>
        <v>490.11217551185604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4.8570736493677954E-8</v>
      </c>
      <c r="BS82" s="24">
        <f t="shared" si="63"/>
        <v>4.8570736493677954E-8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</v>
      </c>
      <c r="BY82" s="13">
        <f>IF('Données projet'!$A$114&gt;35,BY81+BX82-CG81,IF(A82&lt;'Données projet'!$A$114,$BV$205^A82,IF(A82='Données projet'!$A$114,'Données projet'!$B$114,BY81+BX82-CG81)))</f>
        <v>272.99999999999977</v>
      </c>
      <c r="BZ82" s="14">
        <f>BY82*VLOOKUP('Données projet'!$B$12,Paramètres!$A$1:$I$89,3,0)*VLOOKUP('Données projet'!$B$12,Paramètres!$A$1:$I$89,5,0)</f>
        <v>217.19879999999981</v>
      </c>
      <c r="CA82" s="14">
        <f t="shared" si="93"/>
        <v>53.505605420483946</v>
      </c>
      <c r="CB82" s="22">
        <f t="shared" si="64"/>
        <v>471.47683944067586</v>
      </c>
      <c r="CC82" s="62">
        <f t="shared" si="65"/>
        <v>764.81017277400917</v>
      </c>
      <c r="CD82" s="62">
        <f ca="1">AVERAGE(OFFSET($CC$3,0,0,'Données projet'!$E$12+1,1))-AVERAGE(OFFSET($H$3,0,0,'Données projet'!$E$12+1,1))</f>
        <v>232.53653575369032</v>
      </c>
      <c r="CE82" s="62">
        <f t="shared" si="94"/>
        <v>219.59799863414099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4.2307692307692317</v>
      </c>
      <c r="CT82" s="13">
        <f>IF('Données projet'!$A$140&gt;35,CT81+CS82-DB81,IF(A82&lt;'Données projet'!$A$140,$CQ$205^A82,IF(A82='Données projet'!$A$140,'Données projet'!$B$140,CT81+CS82-DB81)))</f>
        <v>245.7692307692306</v>
      </c>
      <c r="CU82" s="18">
        <f>CT82*VLOOKUP('Données projet'!$B$13,Paramètres!$A$1:$I$89,3,0)*VLOOKUP('Données projet'!$B$13,Paramètres!$A$1:$I$89,5,0)</f>
        <v>164.86199999999988</v>
      </c>
      <c r="CV82" s="14">
        <f t="shared" si="95"/>
        <v>41.937235202605173</v>
      </c>
      <c r="CW82" s="22">
        <f t="shared" si="67"/>
        <v>360.17533464453709</v>
      </c>
      <c r="CX82" s="62">
        <f t="shared" si="68"/>
        <v>653.50866797787035</v>
      </c>
      <c r="CY82" s="62">
        <f ca="1">AVERAGE(OFFSET($CX$3,0,0,'Données projet'!$E$13+1,1))-AVERAGE(OFFSET($H$3,0,0,'Données projet'!$E$13+1,1))</f>
        <v>191.58722091189202</v>
      </c>
      <c r="CZ82" s="62">
        <f t="shared" si="96"/>
        <v>140.7542783756906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460</v>
      </c>
      <c r="L83" s="13">
        <f>VLOOKUP(A83,'Données projet'!$A$35:$I$55,9,0)</f>
        <v>9</v>
      </c>
      <c r="M83" s="13">
        <f t="array" ref="M83">INDEX(L:L,MIN(IF(ISNUMBER(L83:L279),ROW(L83:L279),"")))</f>
        <v>9</v>
      </c>
      <c r="N83" s="14">
        <f>IF('Données projet'!$A$36&gt;35,N82+M83-V82,IF(A83&lt;'Données projet'!$A$36,$K$205^A83,IF(A83='Données projet'!$A$36,'Données projet'!$B$36,N82+M83-V82)))</f>
        <v>460.00000000000011</v>
      </c>
      <c r="O83" s="14">
        <f>N83*VLOOKUP('Données projet'!$B$9,Paramètres!$A$1:$I$89,3,0)*VLOOKUP('Données projet'!$B$9,Paramètres!$A$1:$I$89,5,0)</f>
        <v>275.0800000000001</v>
      </c>
      <c r="P83" s="14">
        <f t="shared" si="87"/>
        <v>65.926201134783341</v>
      </c>
      <c r="Q83" s="22">
        <f t="shared" si="54"/>
        <v>593.91913364308118</v>
      </c>
      <c r="R83" s="62">
        <f t="shared" si="55"/>
        <v>887.25246697641455</v>
      </c>
      <c r="S83" s="62">
        <f ca="1">AVERAGE(OFFSET($R$3,0,0,'Données projet'!$E$9+1,1))-AVERAGE(OFFSET($H$3,0,0,'Données projet'!$E$9+1,1))</f>
        <v>217.20547328702645</v>
      </c>
      <c r="T83" s="62">
        <f t="shared" si="88"/>
        <v>137.55906339137317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460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5.3506075926651943E-8</v>
      </c>
      <c r="AC83" s="24">
        <f t="shared" si="57"/>
        <v>5.3506075926651943E-8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260.49999999999983</v>
      </c>
      <c r="AJ83" s="14">
        <f>AI83*VLOOKUP('Données projet'!$B$10,Paramètres!$A$1:$I$89,3,0)*VLOOKUP('Données projet'!$B$10,Paramètres!$A$1:$I$89,5,0)</f>
        <v>235.70039999999983</v>
      </c>
      <c r="AK83" s="14">
        <f t="shared" si="89"/>
        <v>57.513479567871634</v>
      </c>
      <c r="AL83" s="22">
        <f t="shared" si="58"/>
        <v>510.68084024737612</v>
      </c>
      <c r="AM83" s="62">
        <f t="shared" si="59"/>
        <v>804.01417358070944</v>
      </c>
      <c r="AN83" s="62">
        <f ca="1">AVERAGE(OFFSET($AM$3,0,0,'Données projet'!$E$10+1,1))-AVERAGE(OFFSET($H$3,0,0,'Données projet'!$E$10+1,1))</f>
        <v>305.35633273533773</v>
      </c>
      <c r="AO83" s="62">
        <f t="shared" si="90"/>
        <v>156.67965022779896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-2.2737367544323206E-13</v>
      </c>
      <c r="BE83" s="14">
        <f>BD83*VLOOKUP('Données projet'!$B$11,Paramètres!$A$1:$I$89,3,0)*VLOOKUP('Données projet'!$B$11,Paramètres!$A$1:$I$89,5,0)</f>
        <v>-1.2710188457276673E-13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415.52119746518764</v>
      </c>
      <c r="BJ83" s="62">
        <f t="shared" si="92"/>
        <v>490.11217551185604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3.4344697141904595E-8</v>
      </c>
      <c r="BS83" s="24">
        <f t="shared" si="63"/>
        <v>3.4344697141904595E-8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276</v>
      </c>
      <c r="BW83" s="13">
        <f>VLOOKUP(A83,'Données projet'!$A$113:$I$133,9,0)</f>
        <v>3</v>
      </c>
      <c r="BX83" s="13">
        <f t="array" ref="BX83">INDEX(BW:BW,MIN(IF(ISNUMBER(BW83:BW279),ROW(BW83:BW279),"")))</f>
        <v>3</v>
      </c>
      <c r="BY83" s="13">
        <f>IF('Données projet'!$A$114&gt;35,BY82+BX83-CG82,IF(A83&lt;'Données projet'!$A$114,$BV$205^A83,IF(A83='Données projet'!$A$114,'Données projet'!$B$114,BY82+BX83-CG82)))</f>
        <v>275.99999999999977</v>
      </c>
      <c r="BZ83" s="14">
        <f>BY83*VLOOKUP('Données projet'!$B$12,Paramètres!$A$1:$I$89,3,0)*VLOOKUP('Données projet'!$B$12,Paramètres!$A$1:$I$89,5,0)</f>
        <v>219.58559999999983</v>
      </c>
      <c r="CA83" s="14">
        <f t="shared" si="93"/>
        <v>54.024808047218499</v>
      </c>
      <c r="CB83" s="22">
        <f t="shared" si="64"/>
        <v>476.53812734890533</v>
      </c>
      <c r="CC83" s="62">
        <f t="shared" si="65"/>
        <v>769.87146068223865</v>
      </c>
      <c r="CD83" s="62">
        <f ca="1">AVERAGE(OFFSET($CC$3,0,0,'Données projet'!$E$12+1,1))-AVERAGE(OFFSET($H$3,0,0,'Données projet'!$E$12+1,1))</f>
        <v>232.53653575369032</v>
      </c>
      <c r="CE83" s="62">
        <f t="shared" si="94"/>
        <v>219.59799863414099</v>
      </c>
      <c r="CF83" s="16">
        <f>IF(ISNA(VLOOKUP(A83,'Données projet'!$A$113:$I$133,3,0)),0,VLOOKUP(A83,'Données projet'!$A$113:$I$133,3,0))</f>
        <v>8</v>
      </c>
      <c r="CG83" s="16">
        <f>IF(ISNA(VLOOKUP(A83,'Données projet'!$A$113:$I$133,4,0)),0,VLOOKUP(A83,'Données projet'!$A$113:$I$133,4,0))</f>
        <v>276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250</v>
      </c>
      <c r="CR83" s="13">
        <f>VLOOKUP(A83,'Données projet'!$A$139:$I$159,9,0)</f>
        <v>4.2307692307692317</v>
      </c>
      <c r="CS83" s="13">
        <f t="array" ref="CS83">INDEX(CR:CR,MIN(IF(ISNUMBER(CR83:CR279),ROW(CR83:CR279),"")))</f>
        <v>4.2307692307692317</v>
      </c>
      <c r="CT83" s="13">
        <f>IF('Données projet'!$A$140&gt;35,CT82+CS83-DB82,IF(A83&lt;'Données projet'!$A$140,$CQ$205^A83,IF(A83='Données projet'!$A$140,'Données projet'!$B$140,CT82+CS83-DB82)))</f>
        <v>249.99999999999983</v>
      </c>
      <c r="CU83" s="18">
        <f>CT83*VLOOKUP('Données projet'!$B$13,Paramètres!$A$1:$I$89,3,0)*VLOOKUP('Données projet'!$B$13,Paramètres!$A$1:$I$89,5,0)</f>
        <v>167.6999999999999</v>
      </c>
      <c r="CV83" s="14">
        <f t="shared" si="95"/>
        <v>42.57449242509739</v>
      </c>
      <c r="CW83" s="22">
        <f t="shared" si="67"/>
        <v>366.22807430704444</v>
      </c>
      <c r="CX83" s="62">
        <f t="shared" si="68"/>
        <v>659.56140764037775</v>
      </c>
      <c r="CY83" s="62">
        <f ca="1">AVERAGE(OFFSET($CX$3,0,0,'Données projet'!$E$13+1,1))-AVERAGE(OFFSET($H$3,0,0,'Données projet'!$E$13+1,1))</f>
        <v>191.58722091189202</v>
      </c>
      <c r="CZ83" s="62">
        <f t="shared" si="96"/>
        <v>140.7542783756906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217.20547328702645</v>
      </c>
      <c r="T84" s="62">
        <f t="shared" si="88"/>
        <v>137.55906339137317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3.7834509122417873E-8</v>
      </c>
      <c r="AC84" s="24">
        <f t="shared" si="57"/>
        <v>3.7834509122417873E-8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266.39999999999981</v>
      </c>
      <c r="AJ84" s="14">
        <f>AI84*VLOOKUP('Données projet'!$B$10,Paramètres!$A$1:$I$89,3,0)*VLOOKUP('Données projet'!$B$10,Paramètres!$A$1:$I$89,5,0)</f>
        <v>241.03871999999984</v>
      </c>
      <c r="AK84" s="14">
        <f t="shared" si="89"/>
        <v>58.66295994697046</v>
      </c>
      <c r="AL84" s="22">
        <f t="shared" si="58"/>
        <v>521.98042590763998</v>
      </c>
      <c r="AM84" s="62">
        <f t="shared" si="59"/>
        <v>815.31375924097324</v>
      </c>
      <c r="AN84" s="62">
        <f ca="1">AVERAGE(OFFSET($AM$3,0,0,'Données projet'!$E$10+1,1))-AVERAGE(OFFSET($H$3,0,0,'Données projet'!$E$10+1,1))</f>
        <v>305.35633273533773</v>
      </c>
      <c r="AO84" s="62">
        <f t="shared" si="90"/>
        <v>156.67965022779896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-1.2710188457276673E-13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415.52119746518764</v>
      </c>
      <c r="BJ84" s="62">
        <f t="shared" si="92"/>
        <v>490.11217551185604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2.4285368246838977E-8</v>
      </c>
      <c r="BS84" s="24">
        <f t="shared" si="63"/>
        <v>2.4285368246838977E-8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-2.2737367544323206E-13</v>
      </c>
      <c r="BZ84" s="14">
        <f>BY84*VLOOKUP('Données projet'!$B$12,Paramètres!$A$1:$I$89,3,0)*VLOOKUP('Données projet'!$B$12,Paramètres!$A$1:$I$89,5,0)</f>
        <v>-1.8089849618263545E-13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232.53653575369032</v>
      </c>
      <c r="CE84" s="62">
        <f t="shared" si="94"/>
        <v>219.59799863414099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3.8461538461538454</v>
      </c>
      <c r="CT84" s="13">
        <f>IF('Données projet'!$A$140&gt;35,CT83+CS84-DB83,IF(A84&lt;'Données projet'!$A$140,$CQ$205^A84,IF(A84='Données projet'!$A$140,'Données projet'!$B$140,CT83+CS84-DB83)))</f>
        <v>253.84615384615367</v>
      </c>
      <c r="CU84" s="18">
        <f>CT84*VLOOKUP('Données projet'!$B$13,Paramètres!$A$1:$I$89,3,0)*VLOOKUP('Données projet'!$B$13,Paramètres!$A$1:$I$89,5,0)</f>
        <v>170.27999999999989</v>
      </c>
      <c r="CV84" s="14">
        <f t="shared" si="95"/>
        <v>43.152728263239666</v>
      </c>
      <c r="CW84" s="22">
        <f t="shared" si="67"/>
        <v>371.72866839180887</v>
      </c>
      <c r="CX84" s="62">
        <f t="shared" si="68"/>
        <v>665.06200172514218</v>
      </c>
      <c r="CY84" s="62">
        <f ca="1">AVERAGE(OFFSET($CX$3,0,0,'Données projet'!$E$13+1,1))-AVERAGE(OFFSET($H$3,0,0,'Données projet'!$E$13+1,1))</f>
        <v>191.58722091189202</v>
      </c>
      <c r="CZ84" s="62">
        <f t="shared" si="96"/>
        <v>140.7542783756906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217.20547328702645</v>
      </c>
      <c r="T85" s="62">
        <f t="shared" si="88"/>
        <v>137.55906339137317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2.6753037963325972E-8</v>
      </c>
      <c r="AC85" s="24">
        <f t="shared" si="57"/>
        <v>2.6753037963325972E-8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272.29999999999978</v>
      </c>
      <c r="AJ85" s="14">
        <f>AI85*VLOOKUP('Données projet'!$B$10,Paramètres!$A$1:$I$89,3,0)*VLOOKUP('Données projet'!$B$10,Paramètres!$A$1:$I$89,5,0)</f>
        <v>246.37703999999979</v>
      </c>
      <c r="AK85" s="14">
        <f t="shared" si="89"/>
        <v>59.809480609038189</v>
      </c>
      <c r="AL85" s="22">
        <f t="shared" si="58"/>
        <v>533.27485672740784</v>
      </c>
      <c r="AM85" s="62">
        <f t="shared" si="59"/>
        <v>826.60819006074121</v>
      </c>
      <c r="AN85" s="62">
        <f ca="1">AVERAGE(OFFSET($AM$3,0,0,'Données projet'!$E$10+1,1))-AVERAGE(OFFSET($H$3,0,0,'Données projet'!$E$10+1,1))</f>
        <v>305.35633273533773</v>
      </c>
      <c r="AO85" s="62">
        <f t="shared" si="90"/>
        <v>156.67965022779896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-1.2710188457276673E-13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415.52119746518764</v>
      </c>
      <c r="BJ85" s="62">
        <f t="shared" si="92"/>
        <v>490.11217551185604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1.7172348570952297E-8</v>
      </c>
      <c r="BS85" s="24">
        <f t="shared" si="63"/>
        <v>1.7172348570952297E-8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-2.2737367544323206E-13</v>
      </c>
      <c r="BZ85" s="14">
        <f>BY85*VLOOKUP('Données projet'!$B$12,Paramètres!$A$1:$I$89,3,0)*VLOOKUP('Données projet'!$B$12,Paramètres!$A$1:$I$89,5,0)</f>
        <v>-1.8089849618263545E-13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232.53653575369032</v>
      </c>
      <c r="CE85" s="62">
        <f t="shared" si="94"/>
        <v>219.59799863414099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3.8461538461538454</v>
      </c>
      <c r="CT85" s="13">
        <f>IF('Données projet'!$A$140&gt;35,CT84+CS85-DB84,IF(A85&lt;'Données projet'!$A$140,$CQ$205^A85,IF(A85='Données projet'!$A$140,'Données projet'!$B$140,CT84+CS85-DB84)))</f>
        <v>257.69230769230751</v>
      </c>
      <c r="CU85" s="18">
        <f>CT85*VLOOKUP('Données projet'!$B$13,Paramètres!$A$1:$I$89,3,0)*VLOOKUP('Données projet'!$B$13,Paramètres!$A$1:$I$89,5,0)</f>
        <v>172.85999999999987</v>
      </c>
      <c r="CV85" s="14">
        <f t="shared" si="95"/>
        <v>43.729945161157801</v>
      </c>
      <c r="CW85" s="22">
        <f t="shared" si="67"/>
        <v>377.22748782234959</v>
      </c>
      <c r="CX85" s="62">
        <f t="shared" si="68"/>
        <v>670.5608211556829</v>
      </c>
      <c r="CY85" s="62">
        <f ca="1">AVERAGE(OFFSET($CX$3,0,0,'Données projet'!$E$13+1,1))-AVERAGE(OFFSET($H$3,0,0,'Données projet'!$E$13+1,1))</f>
        <v>191.58722091189202</v>
      </c>
      <c r="CZ85" s="62">
        <f t="shared" si="96"/>
        <v>140.7542783756906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217.20547328702645</v>
      </c>
      <c r="T86" s="62">
        <f t="shared" si="88"/>
        <v>137.55906339137317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1.8917254561208937E-8</v>
      </c>
      <c r="AC86" s="24">
        <f t="shared" si="57"/>
        <v>1.8917254561208937E-8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278.19999999999976</v>
      </c>
      <c r="AJ86" s="14">
        <f>AI86*VLOOKUP('Données projet'!$B$10,Paramètres!$A$1:$I$89,3,0)*VLOOKUP('Données projet'!$B$10,Paramètres!$A$1:$I$89,5,0)</f>
        <v>251.71535999999978</v>
      </c>
      <c r="AK86" s="14">
        <f t="shared" si="89"/>
        <v>60.953113068801763</v>
      </c>
      <c r="AL86" s="22">
        <f t="shared" si="58"/>
        <v>544.56425726149598</v>
      </c>
      <c r="AM86" s="62">
        <f t="shared" si="59"/>
        <v>837.89759059482935</v>
      </c>
      <c r="AN86" s="62">
        <f ca="1">AVERAGE(OFFSET($AM$3,0,0,'Données projet'!$E$10+1,1))-AVERAGE(OFFSET($H$3,0,0,'Données projet'!$E$10+1,1))</f>
        <v>305.35633273533773</v>
      </c>
      <c r="AO86" s="62">
        <f t="shared" si="90"/>
        <v>156.67965022779896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-1.2710188457276673E-13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415.52119746518764</v>
      </c>
      <c r="BJ86" s="62">
        <f t="shared" si="92"/>
        <v>490.11217551185604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1.2142684123419488E-8</v>
      </c>
      <c r="BS86" s="24">
        <f t="shared" si="63"/>
        <v>1.2142684123419488E-8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-2.2737367544323206E-13</v>
      </c>
      <c r="BZ86" s="14">
        <f>BY86*VLOOKUP('Données projet'!$B$12,Paramètres!$A$1:$I$89,3,0)*VLOOKUP('Données projet'!$B$12,Paramètres!$A$1:$I$89,5,0)</f>
        <v>-1.8089849618263545E-13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232.53653575369032</v>
      </c>
      <c r="CE86" s="62">
        <f t="shared" si="94"/>
        <v>219.59799863414099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3.8461538461538454</v>
      </c>
      <c r="CT86" s="13">
        <f>IF('Données projet'!$A$140&gt;35,CT85+CS86-DB85,IF(A86&lt;'Données projet'!$A$140,$CQ$205^A86,IF(A86='Données projet'!$A$140,'Données projet'!$B$140,CT85+CS86-DB85)))</f>
        <v>261.53846153846138</v>
      </c>
      <c r="CU86" s="18">
        <f>CT86*VLOOKUP('Données projet'!$B$13,Paramètres!$A$1:$I$89,3,0)*VLOOKUP('Données projet'!$B$13,Paramètres!$A$1:$I$89,5,0)</f>
        <v>175.43999999999991</v>
      </c>
      <c r="CV86" s="14">
        <f t="shared" si="95"/>
        <v>44.306160083661858</v>
      </c>
      <c r="CW86" s="22">
        <f t="shared" si="67"/>
        <v>382.72456214571093</v>
      </c>
      <c r="CX86" s="62">
        <f t="shared" si="68"/>
        <v>676.05789547904419</v>
      </c>
      <c r="CY86" s="62">
        <f ca="1">AVERAGE(OFFSET($CX$3,0,0,'Données projet'!$E$13+1,1))-AVERAGE(OFFSET($H$3,0,0,'Données projet'!$E$13+1,1))</f>
        <v>191.58722091189202</v>
      </c>
      <c r="CZ86" s="62">
        <f t="shared" si="96"/>
        <v>140.7542783756906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217.20547328702645</v>
      </c>
      <c r="T87" s="62">
        <f t="shared" si="88"/>
        <v>137.55906339137317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1.3376518981662986E-8</v>
      </c>
      <c r="AC87" s="24">
        <f t="shared" si="57"/>
        <v>1.3376518981662986E-8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284.09999999999974</v>
      </c>
      <c r="AJ87" s="14">
        <f>AI87*VLOOKUP('Données projet'!$B$10,Paramètres!$A$1:$I$89,3,0)*VLOOKUP('Données projet'!$B$10,Paramètres!$A$1:$I$89,5,0)</f>
        <v>257.05367999999976</v>
      </c>
      <c r="AK87" s="14">
        <f t="shared" si="89"/>
        <v>62.093925634350327</v>
      </c>
      <c r="AL87" s="22">
        <f t="shared" si="58"/>
        <v>555.84874647982645</v>
      </c>
      <c r="AM87" s="62">
        <f t="shared" si="59"/>
        <v>849.18207981315982</v>
      </c>
      <c r="AN87" s="62">
        <f ca="1">AVERAGE(OFFSET($AM$3,0,0,'Données projet'!$E$10+1,1))-AVERAGE(OFFSET($H$3,0,0,'Données projet'!$E$10+1,1))</f>
        <v>305.35633273533773</v>
      </c>
      <c r="AO87" s="62">
        <f t="shared" si="90"/>
        <v>156.67965022779896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-1.2710188457276673E-13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415.52119746518764</v>
      </c>
      <c r="BJ87" s="62">
        <f t="shared" si="92"/>
        <v>490.11217551185604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8.5861742854761486E-9</v>
      </c>
      <c r="BS87" s="24">
        <f t="shared" si="63"/>
        <v>8.5861742854761486E-9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-2.2737367544323206E-13</v>
      </c>
      <c r="BZ87" s="14">
        <f>BY87*VLOOKUP('Données projet'!$B$12,Paramètres!$A$1:$I$89,3,0)*VLOOKUP('Données projet'!$B$12,Paramètres!$A$1:$I$89,5,0)</f>
        <v>-1.8089849618263545E-13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232.53653575369032</v>
      </c>
      <c r="CE87" s="62">
        <f t="shared" si="94"/>
        <v>219.59799863414099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3.8461538461538454</v>
      </c>
      <c r="CT87" s="13">
        <f>IF('Données projet'!$A$140&gt;35,CT86+CS87-DB86,IF(A87&lt;'Données projet'!$A$140,$CQ$205^A87,IF(A87='Données projet'!$A$140,'Données projet'!$B$140,CT86+CS87-DB86)))</f>
        <v>265.38461538461524</v>
      </c>
      <c r="CU87" s="18">
        <f>CT87*VLOOKUP('Données projet'!$B$13,Paramètres!$A$1:$I$89,3,0)*VLOOKUP('Données projet'!$B$13,Paramètres!$A$1:$I$89,5,0)</f>
        <v>178.01999999999992</v>
      </c>
      <c r="CV87" s="14">
        <f t="shared" si="95"/>
        <v>44.881389467952083</v>
      </c>
      <c r="CW87" s="22">
        <f t="shared" si="67"/>
        <v>388.21991999001642</v>
      </c>
      <c r="CX87" s="62">
        <f t="shared" si="68"/>
        <v>681.55325332334974</v>
      </c>
      <c r="CY87" s="62">
        <f ca="1">AVERAGE(OFFSET($CX$3,0,0,'Données projet'!$E$13+1,1))-AVERAGE(OFFSET($H$3,0,0,'Données projet'!$E$13+1,1))</f>
        <v>191.58722091189202</v>
      </c>
      <c r="CZ87" s="62">
        <f t="shared" si="96"/>
        <v>140.7542783756906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217.20547328702645</v>
      </c>
      <c r="T88" s="62">
        <f t="shared" si="88"/>
        <v>137.55906339137317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9.4586272806044684E-9</v>
      </c>
      <c r="AC88" s="24">
        <f t="shared" si="57"/>
        <v>9.4586272806044684E-9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289.99999999999972</v>
      </c>
      <c r="AJ88" s="14">
        <f>AI88*VLOOKUP('Données projet'!$B$10,Paramètres!$A$1:$I$89,3,0)*VLOOKUP('Données projet'!$B$10,Paramètres!$A$1:$I$89,5,0)</f>
        <v>262.39199999999971</v>
      </c>
      <c r="AK88" s="14">
        <f t="shared" si="89"/>
        <v>63.231983614474892</v>
      </c>
      <c r="AL88" s="22">
        <f t="shared" si="58"/>
        <v>567.12843812854328</v>
      </c>
      <c r="AM88" s="62">
        <f t="shared" si="59"/>
        <v>860.46177146187665</v>
      </c>
      <c r="AN88" s="62">
        <f ca="1">AVERAGE(OFFSET($AM$3,0,0,'Données projet'!$E$10+1,1))-AVERAGE(OFFSET($H$3,0,0,'Données projet'!$E$10+1,1))</f>
        <v>305.35633273533773</v>
      </c>
      <c r="AO88" s="62">
        <f t="shared" si="90"/>
        <v>156.67965022779896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-1.2710188457276673E-13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415.52119746518764</v>
      </c>
      <c r="BJ88" s="62">
        <f t="shared" si="92"/>
        <v>490.11217551185604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6.0713420617097442E-9</v>
      </c>
      <c r="BS88" s="24">
        <f t="shared" si="63"/>
        <v>6.0713420617097442E-9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-2.2737367544323206E-13</v>
      </c>
      <c r="BZ88" s="14">
        <f>BY88*VLOOKUP('Données projet'!$B$12,Paramètres!$A$1:$I$89,3,0)*VLOOKUP('Données projet'!$B$12,Paramètres!$A$1:$I$89,5,0)</f>
        <v>-1.8089849618263545E-13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232.53653575369032</v>
      </c>
      <c r="CE88" s="62">
        <f t="shared" si="94"/>
        <v>219.59799863414099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269.23076923076923</v>
      </c>
      <c r="CR88" s="13">
        <f>VLOOKUP(A88,'Données projet'!$A$139:$I$159,9,0)</f>
        <v>3.8461538461538454</v>
      </c>
      <c r="CS88" s="13">
        <f t="array" ref="CS88">INDEX(CR:CR,MIN(IF(ISNUMBER(CR88:CR284),ROW(CR88:CR284),"")))</f>
        <v>3.8461538461538454</v>
      </c>
      <c r="CT88" s="13">
        <f>IF('Données projet'!$A$140&gt;35,CT87+CS88-DB87,IF(A88&lt;'Données projet'!$A$140,$CQ$205^A88,IF(A88='Données projet'!$A$140,'Données projet'!$B$140,CT87+CS88-DB87)))</f>
        <v>269.23076923076911</v>
      </c>
      <c r="CU88" s="18">
        <f>CT88*VLOOKUP('Données projet'!$B$13,Paramètres!$A$1:$I$89,3,0)*VLOOKUP('Données projet'!$B$13,Paramètres!$A$1:$I$89,5,0)</f>
        <v>180.59999999999994</v>
      </c>
      <c r="CV88" s="14">
        <f t="shared" si="95"/>
        <v>45.455649247431545</v>
      </c>
      <c r="CW88" s="22">
        <f t="shared" si="67"/>
        <v>393.71358910594313</v>
      </c>
      <c r="CX88" s="62">
        <f t="shared" si="68"/>
        <v>687.04692243927639</v>
      </c>
      <c r="CY88" s="62">
        <f ca="1">AVERAGE(OFFSET($CX$3,0,0,'Données projet'!$E$13+1,1))-AVERAGE(OFFSET($H$3,0,0,'Données projet'!$E$13+1,1))</f>
        <v>191.58722091189202</v>
      </c>
      <c r="CZ88" s="62">
        <f t="shared" si="96"/>
        <v>140.7542783756906</v>
      </c>
      <c r="DA88" s="16">
        <f>IF(ISNA(VLOOKUP(A88,'Données projet'!$A$139:$I$159,3,0)),0,VLOOKUP(A88,'Données projet'!$A$139:$I$159,3,0))</f>
        <v>8</v>
      </c>
      <c r="DB88" s="16">
        <f>IF(ISNA(VLOOKUP(A88,'Données projet'!$A$139:$I$159,4,0)),0,VLOOKUP(A88,'Données projet'!$A$139:$I$159,4,0))</f>
        <v>23.717948717948715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217.20547328702645</v>
      </c>
      <c r="T89" s="62">
        <f t="shared" si="88"/>
        <v>137.55906339137317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6.6882594908314929E-9</v>
      </c>
      <c r="AC89" s="24">
        <f t="shared" si="57"/>
        <v>6.6882594908314929E-9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253.1999999999997</v>
      </c>
      <c r="AJ89" s="14">
        <f>AI89*VLOOKUP('Données projet'!$B$10,Paramètres!$A$1:$I$89,3,0)*VLOOKUP('Données projet'!$B$10,Paramètres!$A$1:$I$89,5,0)</f>
        <v>229.09535999999974</v>
      </c>
      <c r="AK89" s="14">
        <f t="shared" si="89"/>
        <v>56.087032370558312</v>
      </c>
      <c r="AL89" s="22">
        <f t="shared" si="58"/>
        <v>496.6926667120552</v>
      </c>
      <c r="AM89" s="62">
        <f t="shared" si="59"/>
        <v>790.02600004538851</v>
      </c>
      <c r="AN89" s="62">
        <f ca="1">AVERAGE(OFFSET($AM$3,0,0,'Données projet'!$E$10+1,1))-AVERAGE(OFFSET($H$3,0,0,'Données projet'!$E$10+1,1))</f>
        <v>305.35633273533773</v>
      </c>
      <c r="AO89" s="62">
        <f t="shared" si="90"/>
        <v>156.67965022779896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-1.2710188457276673E-13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415.52119746518764</v>
      </c>
      <c r="BJ89" s="62">
        <f t="shared" si="92"/>
        <v>490.11217551185604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4.2930871427380743E-9</v>
      </c>
      <c r="BS89" s="24">
        <f t="shared" si="63"/>
        <v>4.2930871427380743E-9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-2.2737367544323206E-13</v>
      </c>
      <c r="BZ89" s="14">
        <f>BY89*VLOOKUP('Données projet'!$B$12,Paramètres!$A$1:$I$89,3,0)*VLOOKUP('Données projet'!$B$12,Paramètres!$A$1:$I$89,5,0)</f>
        <v>-1.8089849618263545E-13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232.53653575369032</v>
      </c>
      <c r="CE89" s="62">
        <f t="shared" si="94"/>
        <v>219.59799863414099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3.5897435897435912</v>
      </c>
      <c r="CT89" s="13">
        <f>IF('Données projet'!$A$140&gt;35,CT88+CS89-DB88,IF(A89&lt;'Données projet'!$A$140,$CQ$205^A89,IF(A89='Données projet'!$A$140,'Données projet'!$B$140,CT88+CS89-DB88)))</f>
        <v>249.10256410256397</v>
      </c>
      <c r="CU89" s="18">
        <f>CT89*VLOOKUP('Données projet'!$B$13,Paramètres!$A$1:$I$89,3,0)*VLOOKUP('Données projet'!$B$13,Paramètres!$A$1:$I$89,5,0)</f>
        <v>167.09799999999993</v>
      </c>
      <c r="CV89" s="14">
        <f t="shared" si="95"/>
        <v>42.439422250604494</v>
      </c>
      <c r="CW89" s="22">
        <f t="shared" si="67"/>
        <v>364.94434375313602</v>
      </c>
      <c r="CX89" s="62">
        <f t="shared" si="68"/>
        <v>658.27767708646934</v>
      </c>
      <c r="CY89" s="62">
        <f ca="1">AVERAGE(OFFSET($CX$3,0,0,'Données projet'!$E$13+1,1))-AVERAGE(OFFSET($H$3,0,0,'Données projet'!$E$13+1,1))</f>
        <v>191.58722091189202</v>
      </c>
      <c r="CZ89" s="62">
        <f t="shared" si="96"/>
        <v>140.7542783756906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217.20547328702645</v>
      </c>
      <c r="T90" s="62">
        <f t="shared" si="88"/>
        <v>137.55906339137317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4.7293136403022342E-9</v>
      </c>
      <c r="AC90" s="24">
        <f t="shared" si="57"/>
        <v>4.7293136403022342E-9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258.39999999999969</v>
      </c>
      <c r="AJ90" s="14">
        <f>AI90*VLOOKUP('Données projet'!$B$10,Paramètres!$A$1:$I$89,3,0)*VLOOKUP('Données projet'!$B$10,Paramètres!$A$1:$I$89,5,0)</f>
        <v>233.80031999999972</v>
      </c>
      <c r="AK90" s="14">
        <f t="shared" si="89"/>
        <v>57.103614181373779</v>
      </c>
      <c r="AL90" s="22">
        <f t="shared" si="58"/>
        <v>506.65768536589206</v>
      </c>
      <c r="AM90" s="62">
        <f t="shared" si="59"/>
        <v>799.99101869922538</v>
      </c>
      <c r="AN90" s="62">
        <f ca="1">AVERAGE(OFFSET($AM$3,0,0,'Données projet'!$E$10+1,1))-AVERAGE(OFFSET($H$3,0,0,'Données projet'!$E$10+1,1))</f>
        <v>305.35633273533773</v>
      </c>
      <c r="AO90" s="62">
        <f t="shared" si="90"/>
        <v>156.67965022779896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-1.2710188457276673E-13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415.52119746518764</v>
      </c>
      <c r="BJ90" s="62">
        <f t="shared" si="92"/>
        <v>490.11217551185604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3.0356710308548721E-9</v>
      </c>
      <c r="BS90" s="24">
        <f t="shared" si="63"/>
        <v>3.0356710308548721E-9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-2.2737367544323206E-13</v>
      </c>
      <c r="BZ90" s="14">
        <f>BY90*VLOOKUP('Données projet'!$B$12,Paramètres!$A$1:$I$89,3,0)*VLOOKUP('Données projet'!$B$12,Paramètres!$A$1:$I$89,5,0)</f>
        <v>-1.8089849618263545E-13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232.53653575369032</v>
      </c>
      <c r="CE90" s="62">
        <f t="shared" si="94"/>
        <v>219.59799863414099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3.5897435897435912</v>
      </c>
      <c r="CT90" s="13">
        <f>IF('Données projet'!$A$140&gt;35,CT89+CS90-DB89,IF(A90&lt;'Données projet'!$A$140,$CQ$205^A90,IF(A90='Données projet'!$A$140,'Données projet'!$B$140,CT89+CS90-DB89)))</f>
        <v>252.69230769230757</v>
      </c>
      <c r="CU90" s="18">
        <f>CT90*VLOOKUP('Données projet'!$B$13,Paramètres!$A$1:$I$89,3,0)*VLOOKUP('Données projet'!$B$13,Paramètres!$A$1:$I$89,5,0)</f>
        <v>169.50599999999991</v>
      </c>
      <c r="CV90" s="14">
        <f t="shared" si="95"/>
        <v>42.979365286652502</v>
      </c>
      <c r="CW90" s="22">
        <f t="shared" si="67"/>
        <v>370.07867787425289</v>
      </c>
      <c r="CX90" s="62">
        <f t="shared" si="68"/>
        <v>663.41201120758615</v>
      </c>
      <c r="CY90" s="62">
        <f ca="1">AVERAGE(OFFSET($CX$3,0,0,'Données projet'!$E$13+1,1))-AVERAGE(OFFSET($H$3,0,0,'Données projet'!$E$13+1,1))</f>
        <v>191.58722091189202</v>
      </c>
      <c r="CZ90" s="62">
        <f t="shared" si="96"/>
        <v>140.7542783756906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217.20547328702645</v>
      </c>
      <c r="T91" s="62">
        <f t="shared" si="88"/>
        <v>137.55906339137317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3.3441297454157465E-9</v>
      </c>
      <c r="AC91" s="24">
        <f t="shared" si="57"/>
        <v>3.3441297454157465E-9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263.59999999999968</v>
      </c>
      <c r="AJ91" s="14">
        <f>AI91*VLOOKUP('Données projet'!$B$10,Paramètres!$A$1:$I$89,3,0)*VLOOKUP('Données projet'!$B$10,Paramètres!$A$1:$I$89,5,0)</f>
        <v>238.50527999999971</v>
      </c>
      <c r="AK91" s="14">
        <f t="shared" si="89"/>
        <v>58.117817352909832</v>
      </c>
      <c r="AL91" s="22">
        <f t="shared" si="58"/>
        <v>516.61856122298411</v>
      </c>
      <c r="AM91" s="62">
        <f t="shared" si="59"/>
        <v>809.95189455631748</v>
      </c>
      <c r="AN91" s="62">
        <f ca="1">AVERAGE(OFFSET($AM$3,0,0,'Données projet'!$E$10+1,1))-AVERAGE(OFFSET($H$3,0,0,'Données projet'!$E$10+1,1))</f>
        <v>305.35633273533773</v>
      </c>
      <c r="AO91" s="62">
        <f t="shared" si="90"/>
        <v>156.67965022779896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-1.2710188457276673E-13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415.52119746518764</v>
      </c>
      <c r="BJ91" s="62">
        <f t="shared" si="92"/>
        <v>490.11217551185604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2.1465435713690372E-9</v>
      </c>
      <c r="BS91" s="24">
        <f t="shared" si="63"/>
        <v>2.1465435713690372E-9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-2.2737367544323206E-13</v>
      </c>
      <c r="BZ91" s="14">
        <f>BY91*VLOOKUP('Données projet'!$B$12,Paramètres!$A$1:$I$89,3,0)*VLOOKUP('Données projet'!$B$12,Paramètres!$A$1:$I$89,5,0)</f>
        <v>-1.8089849618263545E-13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232.53653575369032</v>
      </c>
      <c r="CE91" s="62">
        <f t="shared" si="94"/>
        <v>219.59799863414099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3.5897435897435912</v>
      </c>
      <c r="CT91" s="13">
        <f>IF('Données projet'!$A$140&gt;35,CT90+CS91-DB90,IF(A91&lt;'Données projet'!$A$140,$CQ$205^A91,IF(A91='Données projet'!$A$140,'Données projet'!$B$140,CT90+CS91-DB90)))</f>
        <v>256.28205128205116</v>
      </c>
      <c r="CU91" s="18">
        <f>CT91*VLOOKUP('Données projet'!$B$13,Paramètres!$A$1:$I$89,3,0)*VLOOKUP('Données projet'!$B$13,Paramètres!$A$1:$I$89,5,0)</f>
        <v>171.9139999999999</v>
      </c>
      <c r="CV91" s="14">
        <f t="shared" si="95"/>
        <v>43.518416191440188</v>
      </c>
      <c r="CW91" s="22">
        <f t="shared" si="67"/>
        <v>375.2114582000915</v>
      </c>
      <c r="CX91" s="62">
        <f t="shared" si="68"/>
        <v>668.54479153342481</v>
      </c>
      <c r="CY91" s="62">
        <f ca="1">AVERAGE(OFFSET($CX$3,0,0,'Données projet'!$E$13+1,1))-AVERAGE(OFFSET($H$3,0,0,'Données projet'!$E$13+1,1))</f>
        <v>191.58722091189202</v>
      </c>
      <c r="CZ91" s="62">
        <f t="shared" si="96"/>
        <v>140.7542783756906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217.20547328702645</v>
      </c>
      <c r="T92" s="62">
        <f t="shared" si="88"/>
        <v>137.55906339137317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2.3646568201511171E-9</v>
      </c>
      <c r="AC92" s="24">
        <f t="shared" si="57"/>
        <v>2.3646568201511171E-9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268.79999999999967</v>
      </c>
      <c r="AJ92" s="14">
        <f>AI92*VLOOKUP('Données projet'!$B$10,Paramètres!$A$1:$I$89,3,0)*VLOOKUP('Données projet'!$B$10,Paramètres!$A$1:$I$89,5,0)</f>
        <v>243.21023999999969</v>
      </c>
      <c r="AK92" s="14">
        <f t="shared" si="89"/>
        <v>59.129694216846687</v>
      </c>
      <c r="AL92" s="22">
        <f t="shared" si="58"/>
        <v>526.57538542767406</v>
      </c>
      <c r="AM92" s="62">
        <f t="shared" si="59"/>
        <v>819.90871876100732</v>
      </c>
      <c r="AN92" s="62">
        <f ca="1">AVERAGE(OFFSET($AM$3,0,0,'Données projet'!$E$10+1,1))-AVERAGE(OFFSET($H$3,0,0,'Données projet'!$E$10+1,1))</f>
        <v>305.35633273533773</v>
      </c>
      <c r="AO92" s="62">
        <f t="shared" si="90"/>
        <v>156.67965022779896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-1.2710188457276673E-13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415.52119746518764</v>
      </c>
      <c r="BJ92" s="62">
        <f t="shared" si="92"/>
        <v>490.11217551185604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1.517835515427436E-9</v>
      </c>
      <c r="BS92" s="24">
        <f t="shared" si="63"/>
        <v>1.517835515427436E-9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-2.2737367544323206E-13</v>
      </c>
      <c r="BZ92" s="14">
        <f>BY92*VLOOKUP('Données projet'!$B$12,Paramètres!$A$1:$I$89,3,0)*VLOOKUP('Données projet'!$B$12,Paramètres!$A$1:$I$89,5,0)</f>
        <v>-1.8089849618263545E-13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232.53653575369032</v>
      </c>
      <c r="CE92" s="62">
        <f t="shared" si="94"/>
        <v>219.59799863414099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3.5897435897435912</v>
      </c>
      <c r="CT92" s="13">
        <f>IF('Données projet'!$A$140&gt;35,CT91+CS92-DB91,IF(A92&lt;'Données projet'!$A$140,$CQ$205^A92,IF(A92='Données projet'!$A$140,'Données projet'!$B$140,CT91+CS92-DB91)))</f>
        <v>259.87179487179475</v>
      </c>
      <c r="CU92" s="18">
        <f>CT92*VLOOKUP('Données projet'!$B$13,Paramètres!$A$1:$I$89,3,0)*VLOOKUP('Données projet'!$B$13,Paramètres!$A$1:$I$89,5,0)</f>
        <v>174.32199999999992</v>
      </c>
      <c r="CV92" s="14">
        <f t="shared" si="95"/>
        <v>44.056588905148629</v>
      </c>
      <c r="CW92" s="22">
        <f t="shared" si="67"/>
        <v>380.34270900980033</v>
      </c>
      <c r="CX92" s="62">
        <f t="shared" si="68"/>
        <v>673.67604234313364</v>
      </c>
      <c r="CY92" s="62">
        <f ca="1">AVERAGE(OFFSET($CX$3,0,0,'Données projet'!$E$13+1,1))-AVERAGE(OFFSET($H$3,0,0,'Données projet'!$E$13+1,1))</f>
        <v>191.58722091189202</v>
      </c>
      <c r="CZ92" s="62">
        <f t="shared" si="96"/>
        <v>140.7542783756906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217.20547328702645</v>
      </c>
      <c r="T93" s="62">
        <f t="shared" si="88"/>
        <v>137.55906339137317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1.6720648727078732E-9</v>
      </c>
      <c r="AC93" s="24">
        <f t="shared" si="57"/>
        <v>1.6720648727078732E-9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273.99999999999966</v>
      </c>
      <c r="AJ93" s="14">
        <f>AI93*VLOOKUP('Données projet'!$B$10,Paramètres!$A$1:$I$89,3,0)*VLOOKUP('Données projet'!$B$10,Paramètres!$A$1:$I$89,5,0)</f>
        <v>247.91519999999969</v>
      </c>
      <c r="AK93" s="14">
        <f t="shared" si="89"/>
        <v>60.139294964297356</v>
      </c>
      <c r="AL93" s="22">
        <f t="shared" si="58"/>
        <v>536.52824539615074</v>
      </c>
      <c r="AM93" s="62">
        <f t="shared" si="59"/>
        <v>829.86157872948411</v>
      </c>
      <c r="AN93" s="62">
        <f ca="1">AVERAGE(OFFSET($AM$3,0,0,'Données projet'!$E$10+1,1))-AVERAGE(OFFSET($H$3,0,0,'Données projet'!$E$10+1,1))</f>
        <v>305.35633273533773</v>
      </c>
      <c r="AO93" s="62">
        <f t="shared" si="90"/>
        <v>156.67965022779896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-1.2710188457276673E-13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415.52119746518764</v>
      </c>
      <c r="BJ93" s="62">
        <f t="shared" si="92"/>
        <v>490.11217551185604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1.0732717856845186E-9</v>
      </c>
      <c r="BS93" s="24">
        <f t="shared" si="63"/>
        <v>1.0732717856845186E-9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-2.2737367544323206E-13</v>
      </c>
      <c r="BZ93" s="14">
        <f>BY93*VLOOKUP('Données projet'!$B$12,Paramètres!$A$1:$I$89,3,0)*VLOOKUP('Données projet'!$B$12,Paramètres!$A$1:$I$89,5,0)</f>
        <v>-1.8089849618263545E-13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232.53653575369032</v>
      </c>
      <c r="CE93" s="62">
        <f t="shared" si="94"/>
        <v>219.59799863414099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263.46153846153845</v>
      </c>
      <c r="CR93" s="13">
        <f>VLOOKUP(A93,'Données projet'!$A$139:$I$159,9,0)</f>
        <v>3.5897435897435912</v>
      </c>
      <c r="CS93" s="13">
        <f t="array" ref="CS93">INDEX(CR:CR,MIN(IF(ISNUMBER(CR93:CR289),ROW(CR93:CR289),"")))</f>
        <v>3.5897435897435912</v>
      </c>
      <c r="CT93" s="13">
        <f>IF('Données projet'!$A$140&gt;35,CT92+CS93-DB92,IF(A93&lt;'Données projet'!$A$140,$CQ$205^A93,IF(A93='Données projet'!$A$140,'Données projet'!$B$140,CT92+CS93-DB92)))</f>
        <v>263.46153846153834</v>
      </c>
      <c r="CU93" s="18">
        <f>CT93*VLOOKUP('Données projet'!$B$13,Paramètres!$A$1:$I$89,3,0)*VLOOKUP('Données projet'!$B$13,Paramètres!$A$1:$I$89,5,0)</f>
        <v>176.72999999999993</v>
      </c>
      <c r="CV93" s="14">
        <f t="shared" si="95"/>
        <v>44.593896960707511</v>
      </c>
      <c r="CW93" s="22">
        <f t="shared" si="67"/>
        <v>385.4724538732321</v>
      </c>
      <c r="CX93" s="62">
        <f t="shared" si="68"/>
        <v>678.80578720656536</v>
      </c>
      <c r="CY93" s="62">
        <f ca="1">AVERAGE(OFFSET($CX$3,0,0,'Données projet'!$E$13+1,1))-AVERAGE(OFFSET($H$3,0,0,'Données projet'!$E$13+1,1))</f>
        <v>191.58722091189202</v>
      </c>
      <c r="CZ93" s="62">
        <f t="shared" si="96"/>
        <v>140.7542783756906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217.20547328702645</v>
      </c>
      <c r="T94" s="62">
        <f t="shared" si="88"/>
        <v>137.55906339137317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1.1823284100755585E-9</v>
      </c>
      <c r="AC94" s="24">
        <f t="shared" si="57"/>
        <v>1.1823284100755585E-9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279.19999999999965</v>
      </c>
      <c r="AJ94" s="14">
        <f>AI94*VLOOKUP('Données projet'!$B$10,Paramètres!$A$1:$I$89,3,0)*VLOOKUP('Données projet'!$B$10,Paramètres!$A$1:$I$89,5,0)</f>
        <v>252.62015999999966</v>
      </c>
      <c r="AK94" s="14">
        <f t="shared" si="89"/>
        <v>61.146667772298713</v>
      </c>
      <c r="AL94" s="22">
        <f t="shared" si="58"/>
        <v>546.47722503675288</v>
      </c>
      <c r="AM94" s="62">
        <f t="shared" si="59"/>
        <v>839.81055837008626</v>
      </c>
      <c r="AN94" s="62">
        <f ca="1">AVERAGE(OFFSET($AM$3,0,0,'Données projet'!$E$10+1,1))-AVERAGE(OFFSET($H$3,0,0,'Données projet'!$E$10+1,1))</f>
        <v>305.35633273533773</v>
      </c>
      <c r="AO94" s="62">
        <f t="shared" si="90"/>
        <v>156.67965022779896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-1.2710188457276673E-13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415.52119746518764</v>
      </c>
      <c r="BJ94" s="62">
        <f t="shared" si="92"/>
        <v>490.11217551185604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7.5891775771371802E-10</v>
      </c>
      <c r="BS94" s="24">
        <f t="shared" si="63"/>
        <v>7.5891775771371802E-10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projet'!$B$12,Paramètres!$A$1:$I$89,3,0)*VLOOKUP('Données projet'!$B$12,Paramètres!$A$1:$I$89,5,0)</f>
        <v>-1.8089849618263545E-13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232.53653575369032</v>
      </c>
      <c r="CE94" s="62">
        <f t="shared" si="94"/>
        <v>219.59799863414099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3.5897435897435912</v>
      </c>
      <c r="CT94" s="13">
        <f>IF('Données projet'!$A$140&gt;35,CT93+CS94-DB93,IF(A94&lt;'Données projet'!$A$140,$CQ$205^A94,IF(A94='Données projet'!$A$140,'Données projet'!$B$140,CT93+CS94-DB93)))</f>
        <v>267.05128205128193</v>
      </c>
      <c r="CU94" s="18">
        <f>CT94*VLOOKUP('Données projet'!$B$13,Paramètres!$A$1:$I$89,3,0)*VLOOKUP('Données projet'!$B$13,Paramètres!$A$1:$I$89,5,0)</f>
        <v>179.13799999999992</v>
      </c>
      <c r="CV94" s="14">
        <f t="shared" si="95"/>
        <v>45.130353501076151</v>
      </c>
      <c r="CW94" s="22">
        <f t="shared" si="67"/>
        <v>390.60071568104081</v>
      </c>
      <c r="CX94" s="62">
        <f t="shared" si="68"/>
        <v>683.93404901437407</v>
      </c>
      <c r="CY94" s="62">
        <f ca="1">AVERAGE(OFFSET($CX$3,0,0,'Données projet'!$E$13+1,1))-AVERAGE(OFFSET($H$3,0,0,'Données projet'!$E$13+1,1))</f>
        <v>191.58722091189202</v>
      </c>
      <c r="CZ94" s="62">
        <f t="shared" si="96"/>
        <v>140.7542783756906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217.20547328702645</v>
      </c>
      <c r="T95" s="62">
        <f t="shared" si="88"/>
        <v>137.55906339137317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8.3603243635393662E-10</v>
      </c>
      <c r="AC95" s="24">
        <f t="shared" si="57"/>
        <v>8.3603243635393662E-10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284.39999999999964</v>
      </c>
      <c r="AJ95" s="14">
        <f>AI95*VLOOKUP('Données projet'!$B$10,Paramètres!$A$1:$I$89,3,0)*VLOOKUP('Données projet'!$B$10,Paramètres!$A$1:$I$89,5,0)</f>
        <v>257.32511999999963</v>
      </c>
      <c r="AK95" s="14">
        <f t="shared" si="89"/>
        <v>62.151858920612597</v>
      </c>
      <c r="AL95" s="22">
        <f t="shared" si="58"/>
        <v>556.42240495339968</v>
      </c>
      <c r="AM95" s="62">
        <f t="shared" si="59"/>
        <v>849.75573828673305</v>
      </c>
      <c r="AN95" s="62">
        <f ca="1">AVERAGE(OFFSET($AM$3,0,0,'Données projet'!$E$10+1,1))-AVERAGE(OFFSET($H$3,0,0,'Données projet'!$E$10+1,1))</f>
        <v>305.35633273533773</v>
      </c>
      <c r="AO95" s="62">
        <f t="shared" si="90"/>
        <v>156.67965022779896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-1.2710188457276673E-13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415.52119746518764</v>
      </c>
      <c r="BJ95" s="62">
        <f t="shared" si="92"/>
        <v>490.11217551185604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5.3663589284225929E-10</v>
      </c>
      <c r="BS95" s="24">
        <f t="shared" si="63"/>
        <v>5.3663589284225929E-10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projet'!$B$12,Paramètres!$A$1:$I$89,3,0)*VLOOKUP('Données projet'!$B$12,Paramètres!$A$1:$I$89,5,0)</f>
        <v>-1.8089849618263545E-13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232.53653575369032</v>
      </c>
      <c r="CE95" s="62">
        <f t="shared" si="94"/>
        <v>219.59799863414099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3.5897435897435912</v>
      </c>
      <c r="CT95" s="13">
        <f>IF('Données projet'!$A$140&gt;35,CT94+CS95-DB94,IF(A95&lt;'Données projet'!$A$140,$CQ$205^A95,IF(A95='Données projet'!$A$140,'Données projet'!$B$140,CT94+CS95-DB94)))</f>
        <v>270.64102564102552</v>
      </c>
      <c r="CU95" s="18">
        <f>CT95*VLOOKUP('Données projet'!$B$13,Paramètres!$A$1:$I$89,3,0)*VLOOKUP('Données projet'!$B$13,Paramètres!$A$1:$I$89,5,0)</f>
        <v>181.54599999999994</v>
      </c>
      <c r="CV95" s="14">
        <f t="shared" si="95"/>
        <v>45.665971295569257</v>
      </c>
      <c r="CW95" s="22">
        <f t="shared" si="67"/>
        <v>395.72751667311633</v>
      </c>
      <c r="CX95" s="62">
        <f t="shared" si="68"/>
        <v>689.06085000644964</v>
      </c>
      <c r="CY95" s="62">
        <f ca="1">AVERAGE(OFFSET($CX$3,0,0,'Données projet'!$E$13+1,1))-AVERAGE(OFFSET($H$3,0,0,'Données projet'!$E$13+1,1))</f>
        <v>191.58722091189202</v>
      </c>
      <c r="CZ95" s="62">
        <f t="shared" si="96"/>
        <v>140.7542783756906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217.20547328702645</v>
      </c>
      <c r="T96" s="62">
        <f t="shared" si="88"/>
        <v>137.55906339137317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5.9116420503777927E-10</v>
      </c>
      <c r="AC96" s="24">
        <f t="shared" si="57"/>
        <v>5.9116420503777927E-10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289.59999999999962</v>
      </c>
      <c r="AJ96" s="14">
        <f>AI96*VLOOKUP('Données projet'!$B$10,Paramètres!$A$1:$I$89,3,0)*VLOOKUP('Données projet'!$B$10,Paramètres!$A$1:$I$89,5,0)</f>
        <v>262.03007999999966</v>
      </c>
      <c r="AK96" s="14">
        <f t="shared" si="89"/>
        <v>63.154912899742527</v>
      </c>
      <c r="AL96" s="22">
        <f t="shared" si="58"/>
        <v>566.36386263371753</v>
      </c>
      <c r="AM96" s="62">
        <f t="shared" si="59"/>
        <v>859.6971959670509</v>
      </c>
      <c r="AN96" s="62">
        <f ca="1">AVERAGE(OFFSET($AM$3,0,0,'Données projet'!$E$10+1,1))-AVERAGE(OFFSET($H$3,0,0,'Données projet'!$E$10+1,1))</f>
        <v>305.35633273533773</v>
      </c>
      <c r="AO96" s="62">
        <f t="shared" si="90"/>
        <v>156.67965022779896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-1.2710188457276673E-13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415.52119746518764</v>
      </c>
      <c r="BJ96" s="62">
        <f t="shared" si="92"/>
        <v>490.11217551185604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3.7945887885685901E-10</v>
      </c>
      <c r="BS96" s="24">
        <f t="shared" si="63"/>
        <v>3.7945887885685901E-10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projet'!$B$12,Paramètres!$A$1:$I$89,3,0)*VLOOKUP('Données projet'!$B$12,Paramètres!$A$1:$I$89,5,0)</f>
        <v>-1.8089849618263545E-13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232.53653575369032</v>
      </c>
      <c r="CE96" s="62">
        <f t="shared" si="94"/>
        <v>219.59799863414099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3.5897435897435912</v>
      </c>
      <c r="CT96" s="13">
        <f>IF('Données projet'!$A$140&gt;35,CT95+CS96-DB95,IF(A96&lt;'Données projet'!$A$140,$CQ$205^A96,IF(A96='Données projet'!$A$140,'Données projet'!$B$140,CT95+CS96-DB95)))</f>
        <v>274.23076923076911</v>
      </c>
      <c r="CU96" s="18">
        <f>CT96*VLOOKUP('Données projet'!$B$13,Paramètres!$A$1:$I$89,3,0)*VLOOKUP('Données projet'!$B$13,Paramètres!$A$1:$I$89,5,0)</f>
        <v>183.95399999999992</v>
      </c>
      <c r="CV96" s="14">
        <f t="shared" si="95"/>
        <v>46.200762755291258</v>
      </c>
      <c r="CW96" s="22">
        <f t="shared" si="67"/>
        <v>400.85287846546549</v>
      </c>
      <c r="CX96" s="62">
        <f t="shared" si="68"/>
        <v>694.18621179879881</v>
      </c>
      <c r="CY96" s="62">
        <f ca="1">AVERAGE(OFFSET($CX$3,0,0,'Données projet'!$E$13+1,1))-AVERAGE(OFFSET($H$3,0,0,'Données projet'!$E$13+1,1))</f>
        <v>191.58722091189202</v>
      </c>
      <c r="CZ96" s="62">
        <f t="shared" si="96"/>
        <v>140.7542783756906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217.20547328702645</v>
      </c>
      <c r="T97" s="62">
        <f t="shared" si="88"/>
        <v>137.55906339137317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4.1801621817696831E-10</v>
      </c>
      <c r="AC97" s="24">
        <f t="shared" si="57"/>
        <v>4.1801621817696831E-10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294.79999999999961</v>
      </c>
      <c r="AJ97" s="14">
        <f>AI97*VLOOKUP('Données projet'!$B$10,Paramètres!$A$1:$I$89,3,0)*VLOOKUP('Données projet'!$B$10,Paramètres!$A$1:$I$89,5,0)</f>
        <v>266.73503999999963</v>
      </c>
      <c r="AK97" s="14">
        <f t="shared" si="89"/>
        <v>64.155872510973168</v>
      </c>
      <c r="AL97" s="22">
        <f t="shared" si="58"/>
        <v>576.30167262327757</v>
      </c>
      <c r="AM97" s="62">
        <f t="shared" si="59"/>
        <v>869.63500595661094</v>
      </c>
      <c r="AN97" s="62">
        <f ca="1">AVERAGE(OFFSET($AM$3,0,0,'Données projet'!$E$10+1,1))-AVERAGE(OFFSET($H$3,0,0,'Données projet'!$E$10+1,1))</f>
        <v>305.35633273533773</v>
      </c>
      <c r="AO97" s="62">
        <f t="shared" si="90"/>
        <v>156.67965022779896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-1.2710188457276673E-13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415.52119746518764</v>
      </c>
      <c r="BJ97" s="62">
        <f t="shared" si="92"/>
        <v>490.11217551185604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2.6831794642112964E-10</v>
      </c>
      <c r="BS97" s="24">
        <f t="shared" si="63"/>
        <v>2.6831794642112964E-10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projet'!$B$12,Paramètres!$A$1:$I$89,3,0)*VLOOKUP('Données projet'!$B$12,Paramètres!$A$1:$I$89,5,0)</f>
        <v>-1.8089849618263545E-13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232.53653575369032</v>
      </c>
      <c r="CE97" s="62">
        <f t="shared" si="94"/>
        <v>219.59799863414099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3.5897435897435912</v>
      </c>
      <c r="CT97" s="13">
        <f>IF('Données projet'!$A$140&gt;35,CT96+CS97-DB96,IF(A97&lt;'Données projet'!$A$140,$CQ$205^A97,IF(A97='Données projet'!$A$140,'Données projet'!$B$140,CT96+CS97-DB96)))</f>
        <v>277.8205128205127</v>
      </c>
      <c r="CU97" s="18">
        <f>CT97*VLOOKUP('Données projet'!$B$13,Paramètres!$A$1:$I$89,3,0)*VLOOKUP('Données projet'!$B$13,Paramètres!$A$1:$I$89,5,0)</f>
        <v>186.36199999999991</v>
      </c>
      <c r="CV97" s="14">
        <f t="shared" si="95"/>
        <v>46.734739947740024</v>
      </c>
      <c r="CW97" s="22">
        <f t="shared" si="67"/>
        <v>405.97682207564702</v>
      </c>
      <c r="CX97" s="62">
        <f t="shared" si="68"/>
        <v>699.31015540898034</v>
      </c>
      <c r="CY97" s="62">
        <f ca="1">AVERAGE(OFFSET($CX$3,0,0,'Données projet'!$E$13+1,1))-AVERAGE(OFFSET($H$3,0,0,'Données projet'!$E$13+1,1))</f>
        <v>191.58722091189202</v>
      </c>
      <c r="CZ97" s="62">
        <f t="shared" si="96"/>
        <v>140.7542783756906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217.20547328702645</v>
      </c>
      <c r="T98" s="62">
        <f t="shared" si="88"/>
        <v>137.55906339137317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2.9558210251888964E-10</v>
      </c>
      <c r="AC98" s="24">
        <f t="shared" si="57"/>
        <v>2.9558210251888964E-10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299.9999999999996</v>
      </c>
      <c r="AJ98" s="14">
        <f>AI98*VLOOKUP('Données projet'!$B$10,Paramètres!$A$1:$I$89,3,0)*VLOOKUP('Données projet'!$B$10,Paramètres!$A$1:$I$89,5,0)</f>
        <v>271.4399999999996</v>
      </c>
      <c r="AK98" s="14">
        <f t="shared" si="89"/>
        <v>65.154778959151116</v>
      </c>
      <c r="AL98" s="22">
        <f t="shared" si="58"/>
        <v>586.23590668718759</v>
      </c>
      <c r="AM98" s="62">
        <f t="shared" si="59"/>
        <v>879.56924002052097</v>
      </c>
      <c r="AN98" s="62">
        <f ca="1">AVERAGE(OFFSET($AM$3,0,0,'Données projet'!$E$10+1,1))-AVERAGE(OFFSET($H$3,0,0,'Données projet'!$E$10+1,1))</f>
        <v>305.35633273533773</v>
      </c>
      <c r="AO98" s="62">
        <f t="shared" si="90"/>
        <v>156.67965022779896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-1.2710188457276673E-13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415.52119746518764</v>
      </c>
      <c r="BJ98" s="62">
        <f t="shared" si="92"/>
        <v>490.11217551185604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1.8972943942842951E-10</v>
      </c>
      <c r="BS98" s="24">
        <f t="shared" si="63"/>
        <v>1.8972943942842951E-10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projet'!$B$12,Paramètres!$A$1:$I$89,3,0)*VLOOKUP('Données projet'!$B$12,Paramètres!$A$1:$I$89,5,0)</f>
        <v>-1.8089849618263545E-13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232.53653575369032</v>
      </c>
      <c r="CE98" s="62">
        <f t="shared" si="94"/>
        <v>219.59799863414099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281.41025641025641</v>
      </c>
      <c r="CR98" s="13">
        <f>VLOOKUP(A98,'Données projet'!$A$139:$I$159,9,0)</f>
        <v>3.5897435897435912</v>
      </c>
      <c r="CS98" s="13">
        <f t="array" ref="CS98">INDEX(CR:CR,MIN(IF(ISNUMBER(CR98:CR294),ROW(CR98:CR294),"")))</f>
        <v>3.5897435897435912</v>
      </c>
      <c r="CT98" s="13">
        <f>IF('Données projet'!$A$140&gt;35,CT97+CS98-DB97,IF(A98&lt;'Données projet'!$A$140,$CQ$205^A98,IF(A98='Données projet'!$A$140,'Données projet'!$B$140,CT97+CS98-DB97)))</f>
        <v>281.4102564102563</v>
      </c>
      <c r="CU98" s="18">
        <f>CT98*VLOOKUP('Données projet'!$B$13,Paramètres!$A$1:$I$89,3,0)*VLOOKUP('Données projet'!$B$13,Paramètres!$A$1:$I$89,5,0)</f>
        <v>188.76999999999992</v>
      </c>
      <c r="CV98" s="14">
        <f t="shared" si="95"/>
        <v>47.267914610633945</v>
      </c>
      <c r="CW98" s="22">
        <f t="shared" si="67"/>
        <v>411.09936794685399</v>
      </c>
      <c r="CX98" s="62">
        <f t="shared" si="68"/>
        <v>704.4327012801873</v>
      </c>
      <c r="CY98" s="62">
        <f ca="1">AVERAGE(OFFSET($CX$3,0,0,'Données projet'!$E$13+1,1))-AVERAGE(OFFSET($H$3,0,0,'Données projet'!$E$13+1,1))</f>
        <v>191.58722091189202</v>
      </c>
      <c r="CZ98" s="62">
        <f t="shared" si="96"/>
        <v>140.7542783756906</v>
      </c>
      <c r="DA98" s="16">
        <f>IF(ISNA(VLOOKUP(A98,'Données projet'!$A$139:$I$159,3,0)),0,VLOOKUP(A98,'Données projet'!$A$139:$I$159,3,0))</f>
        <v>9</v>
      </c>
      <c r="DB98" s="16">
        <f>IF(ISNA(VLOOKUP(A98,'Données projet'!$A$139:$I$159,4,0)),0,VLOOKUP(A98,'Données projet'!$A$139:$I$159,4,0))</f>
        <v>22.435897435897434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217.20547328702645</v>
      </c>
      <c r="T99" s="62">
        <f t="shared" si="88"/>
        <v>137.55906339137317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2.0900810908848415E-10</v>
      </c>
      <c r="AC99" s="24">
        <f t="shared" si="57"/>
        <v>2.0900810908848415E-10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262.69999999999959</v>
      </c>
      <c r="AJ99" s="14">
        <f>AI99*VLOOKUP('Données projet'!$B$10,Paramètres!$A$1:$I$89,3,0)*VLOOKUP('Données projet'!$B$10,Paramètres!$A$1:$I$89,5,0)</f>
        <v>237.69095999999962</v>
      </c>
      <c r="AK99" s="14">
        <f t="shared" si="89"/>
        <v>57.942450096949344</v>
      </c>
      <c r="AL99" s="22">
        <f t="shared" si="58"/>
        <v>514.89485591885284</v>
      </c>
      <c r="AM99" s="62">
        <f t="shared" si="59"/>
        <v>808.22818925218621</v>
      </c>
      <c r="AN99" s="62">
        <f ca="1">AVERAGE(OFFSET($AM$3,0,0,'Données projet'!$E$10+1,1))-AVERAGE(OFFSET($H$3,0,0,'Données projet'!$E$10+1,1))</f>
        <v>305.35633273533773</v>
      </c>
      <c r="AO99" s="62">
        <f t="shared" si="90"/>
        <v>156.67965022779896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-1.2710188457276673E-13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415.52119746518764</v>
      </c>
      <c r="BJ99" s="62">
        <f t="shared" si="92"/>
        <v>490.11217551185604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1.3415897321056482E-10</v>
      </c>
      <c r="BS99" s="24">
        <f t="shared" si="63"/>
        <v>1.3415897321056482E-10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projet'!$B$12,Paramètres!$A$1:$I$89,3,0)*VLOOKUP('Données projet'!$B$12,Paramètres!$A$1:$I$89,5,0)</f>
        <v>-1.8089849618263545E-13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232.53653575369032</v>
      </c>
      <c r="CE99" s="62">
        <f t="shared" si="94"/>
        <v>219.59799863414099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3.333333333333337</v>
      </c>
      <c r="CT99" s="13">
        <f>IF('Données projet'!$A$140&gt;35,CT98+CS99-DB98,IF(A99&lt;'Données projet'!$A$140,$CQ$205^A99,IF(A99='Données projet'!$A$140,'Données projet'!$B$140,CT98+CS99-DB98)))</f>
        <v>262.30769230769215</v>
      </c>
      <c r="CU99" s="18">
        <f>CT99*VLOOKUP('Données projet'!$B$13,Paramètres!$A$1:$I$89,3,0)*VLOOKUP('Données projet'!$B$13,Paramètres!$A$1:$I$89,5,0)</f>
        <v>175.95599999999988</v>
      </c>
      <c r="CV99" s="14">
        <f t="shared" si="95"/>
        <v>44.421284286599445</v>
      </c>
      <c r="CW99" s="22">
        <f t="shared" si="67"/>
        <v>383.82377013249379</v>
      </c>
      <c r="CX99" s="62">
        <f t="shared" si="68"/>
        <v>677.15710346582705</v>
      </c>
      <c r="CY99" s="62">
        <f ca="1">AVERAGE(OFFSET($CX$3,0,0,'Données projet'!$E$13+1,1))-AVERAGE(OFFSET($H$3,0,0,'Données projet'!$E$13+1,1))</f>
        <v>191.58722091189202</v>
      </c>
      <c r="CZ99" s="62">
        <f t="shared" si="96"/>
        <v>140.7542783756906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217.20547328702645</v>
      </c>
      <c r="T100" s="62">
        <f t="shared" si="88"/>
        <v>137.55906339137317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1.4779105125944482E-10</v>
      </c>
      <c r="AC100" s="24">
        <f t="shared" si="57"/>
        <v>1.4779105125944482E-10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267.39999999999958</v>
      </c>
      <c r="AJ100" s="14">
        <f>AI100*VLOOKUP('Données projet'!$B$10,Paramètres!$A$1:$I$89,3,0)*VLOOKUP('Données projet'!$B$10,Paramètres!$A$1:$I$89,5,0)</f>
        <v>241.94351999999964</v>
      </c>
      <c r="AK100" s="14">
        <f t="shared" si="89"/>
        <v>58.857491789961337</v>
      </c>
      <c r="AL100" s="22">
        <f t="shared" si="58"/>
        <v>523.89509553418202</v>
      </c>
      <c r="AM100" s="62">
        <f t="shared" si="59"/>
        <v>817.22842886751528</v>
      </c>
      <c r="AN100" s="62">
        <f ca="1">AVERAGE(OFFSET($AM$3,0,0,'Données projet'!$E$10+1,1))-AVERAGE(OFFSET($H$3,0,0,'Données projet'!$E$10+1,1))</f>
        <v>305.35633273533773</v>
      </c>
      <c r="AO100" s="62">
        <f t="shared" si="90"/>
        <v>156.67965022779896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-1.2710188457276673E-13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415.52119746518764</v>
      </c>
      <c r="BJ100" s="62">
        <f t="shared" si="92"/>
        <v>490.11217551185604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9.4864719714214753E-11</v>
      </c>
      <c r="BS100" s="24">
        <f t="shared" si="63"/>
        <v>9.4864719714214753E-11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projet'!$B$12,Paramètres!$A$1:$I$89,3,0)*VLOOKUP('Données projet'!$B$12,Paramètres!$A$1:$I$89,5,0)</f>
        <v>-1.8089849618263545E-13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232.53653575369032</v>
      </c>
      <c r="CE100" s="62">
        <f t="shared" si="94"/>
        <v>219.59799863414099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3.333333333333337</v>
      </c>
      <c r="CT100" s="13">
        <f>IF('Données projet'!$A$140&gt;35,CT99+CS100-DB99,IF(A100&lt;'Données projet'!$A$140,$CQ$205^A100,IF(A100='Données projet'!$A$140,'Données projet'!$B$140,CT99+CS100-DB99)))</f>
        <v>265.64102564102546</v>
      </c>
      <c r="CU100" s="18">
        <f>CT100*VLOOKUP('Données projet'!$B$13,Paramètres!$A$1:$I$89,3,0)*VLOOKUP('Données projet'!$B$13,Paramètres!$A$1:$I$89,5,0)</f>
        <v>178.19199999999989</v>
      </c>
      <c r="CV100" s="14">
        <f t="shared" si="95"/>
        <v>44.919703445281939</v>
      </c>
      <c r="CW100" s="22">
        <f t="shared" si="67"/>
        <v>388.58621683386582</v>
      </c>
      <c r="CX100" s="62">
        <f t="shared" si="68"/>
        <v>681.91955016719908</v>
      </c>
      <c r="CY100" s="62">
        <f ca="1">AVERAGE(OFFSET($CX$3,0,0,'Données projet'!$E$13+1,1))-AVERAGE(OFFSET($H$3,0,0,'Données projet'!$E$13+1,1))</f>
        <v>191.58722091189202</v>
      </c>
      <c r="CZ100" s="62">
        <f t="shared" si="96"/>
        <v>140.7542783756906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217.20547328702645</v>
      </c>
      <c r="T101" s="62">
        <f t="shared" si="88"/>
        <v>137.55906339137317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1.0450405454424208E-10</v>
      </c>
      <c r="AC101" s="24">
        <f t="shared" si="57"/>
        <v>1.0450405454424208E-10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272.09999999999957</v>
      </c>
      <c r="AJ101" s="14">
        <f>AI101*VLOOKUP('Données projet'!$B$10,Paramètres!$A$1:$I$89,3,0)*VLOOKUP('Données projet'!$B$10,Paramètres!$A$1:$I$89,5,0)</f>
        <v>246.1960799999996</v>
      </c>
      <c r="AK101" s="14">
        <f t="shared" si="89"/>
        <v>59.770663189456016</v>
      </c>
      <c r="AL101" s="22">
        <f t="shared" si="58"/>
        <v>532.89207772163513</v>
      </c>
      <c r="AM101" s="62">
        <f t="shared" si="59"/>
        <v>826.22541105496839</v>
      </c>
      <c r="AN101" s="62">
        <f ca="1">AVERAGE(OFFSET($AM$3,0,0,'Données projet'!$E$10+1,1))-AVERAGE(OFFSET($H$3,0,0,'Données projet'!$E$10+1,1))</f>
        <v>305.35633273533773</v>
      </c>
      <c r="AO101" s="62">
        <f t="shared" si="90"/>
        <v>156.67965022779896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-1.2710188457276673E-13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415.52119746518764</v>
      </c>
      <c r="BJ101" s="62">
        <f t="shared" si="92"/>
        <v>490.11217551185604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6.7079486605282411E-11</v>
      </c>
      <c r="BS101" s="24">
        <f t="shared" si="63"/>
        <v>6.7079486605282411E-11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projet'!$B$12,Paramètres!$A$1:$I$89,3,0)*VLOOKUP('Données projet'!$B$12,Paramètres!$A$1:$I$89,5,0)</f>
        <v>-1.8089849618263545E-13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232.53653575369032</v>
      </c>
      <c r="CE101" s="62">
        <f t="shared" si="94"/>
        <v>219.59799863414099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3.333333333333337</v>
      </c>
      <c r="CT101" s="13">
        <f>IF('Données projet'!$A$140&gt;35,CT100+CS101-DB100,IF(A101&lt;'Données projet'!$A$140,$CQ$205^A101,IF(A101='Données projet'!$A$140,'Données projet'!$B$140,CT100+CS101-DB100)))</f>
        <v>268.97435897435878</v>
      </c>
      <c r="CU101" s="18">
        <f>CT101*VLOOKUP('Données projet'!$B$13,Paramètres!$A$1:$I$89,3,0)*VLOOKUP('Données projet'!$B$13,Paramètres!$A$1:$I$89,5,0)</f>
        <v>180.42799999999988</v>
      </c>
      <c r="CV101" s="14">
        <f t="shared" si="95"/>
        <v>45.417395115306284</v>
      </c>
      <c r="CW101" s="22">
        <f t="shared" si="67"/>
        <v>393.34739649249155</v>
      </c>
      <c r="CX101" s="62">
        <f t="shared" si="68"/>
        <v>686.68072982582487</v>
      </c>
      <c r="CY101" s="62">
        <f ca="1">AVERAGE(OFFSET($CX$3,0,0,'Données projet'!$E$13+1,1))-AVERAGE(OFFSET($H$3,0,0,'Données projet'!$E$13+1,1))</f>
        <v>191.58722091189202</v>
      </c>
      <c r="CZ101" s="62">
        <f t="shared" si="96"/>
        <v>140.7542783756906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217.20547328702645</v>
      </c>
      <c r="T102" s="62">
        <f t="shared" si="88"/>
        <v>137.55906339137317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7.3895525629722409E-11</v>
      </c>
      <c r="AC102" s="24">
        <f t="shared" si="57"/>
        <v>7.3895525629722409E-11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276.79999999999956</v>
      </c>
      <c r="AJ102" s="14">
        <f>AI102*VLOOKUP('Données projet'!$B$10,Paramètres!$A$1:$I$89,3,0)*VLOOKUP('Données projet'!$B$10,Paramètres!$A$1:$I$89,5,0)</f>
        <v>250.44863999999959</v>
      </c>
      <c r="AK102" s="14">
        <f t="shared" si="89"/>
        <v>60.682000328889949</v>
      </c>
      <c r="AL102" s="22">
        <f t="shared" si="58"/>
        <v>541.88586523948254</v>
      </c>
      <c r="AM102" s="62">
        <f t="shared" si="59"/>
        <v>835.21919857281591</v>
      </c>
      <c r="AN102" s="62">
        <f ca="1">AVERAGE(OFFSET($AM$3,0,0,'Données projet'!$E$10+1,1))-AVERAGE(OFFSET($H$3,0,0,'Données projet'!$E$10+1,1))</f>
        <v>305.35633273533773</v>
      </c>
      <c r="AO102" s="62">
        <f t="shared" si="90"/>
        <v>156.67965022779896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-1.2710188457276673E-13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415.52119746518764</v>
      </c>
      <c r="BJ102" s="62">
        <f t="shared" si="92"/>
        <v>490.11217551185604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4.7432359857107377E-11</v>
      </c>
      <c r="BS102" s="24">
        <f t="shared" si="63"/>
        <v>4.7432359857107377E-11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projet'!$B$12,Paramètres!$A$1:$I$89,3,0)*VLOOKUP('Données projet'!$B$12,Paramètres!$A$1:$I$89,5,0)</f>
        <v>-1.8089849618263545E-13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232.53653575369032</v>
      </c>
      <c r="CE102" s="62">
        <f t="shared" si="94"/>
        <v>219.59799863414099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3.333333333333337</v>
      </c>
      <c r="CT102" s="13">
        <f>IF('Données projet'!$A$140&gt;35,CT101+CS102-DB101,IF(A102&lt;'Données projet'!$A$140,$CQ$205^A102,IF(A102='Données projet'!$A$140,'Données projet'!$B$140,CT101+CS102-DB101)))</f>
        <v>272.30769230769209</v>
      </c>
      <c r="CU102" s="18">
        <f>CT102*VLOOKUP('Données projet'!$B$13,Paramètres!$A$1:$I$89,3,0)*VLOOKUP('Données projet'!$B$13,Paramètres!$A$1:$I$89,5,0)</f>
        <v>182.66399999999987</v>
      </c>
      <c r="CV102" s="14">
        <f t="shared" si="95"/>
        <v>45.914369354937548</v>
      </c>
      <c r="CW102" s="22">
        <f t="shared" si="67"/>
        <v>398.107326626516</v>
      </c>
      <c r="CX102" s="62">
        <f t="shared" si="68"/>
        <v>691.44065995984931</v>
      </c>
      <c r="CY102" s="62">
        <f ca="1">AVERAGE(OFFSET($CX$3,0,0,'Données projet'!$E$13+1,1))-AVERAGE(OFFSET($H$3,0,0,'Données projet'!$E$13+1,1))</f>
        <v>191.58722091189202</v>
      </c>
      <c r="CZ102" s="62">
        <f t="shared" si="96"/>
        <v>140.7542783756906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217.20547328702645</v>
      </c>
      <c r="T103" s="62">
        <f t="shared" si="88"/>
        <v>137.55906339137317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5.2252027272121039E-11</v>
      </c>
      <c r="AC103" s="24">
        <f t="shared" si="57"/>
        <v>5.2252027272121039E-11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281.49999999999955</v>
      </c>
      <c r="AJ103" s="14">
        <f>AI103*VLOOKUP('Données projet'!$B$10,Paramètres!$A$1:$I$89,3,0)*VLOOKUP('Données projet'!$B$10,Paramètres!$A$1:$I$89,5,0)</f>
        <v>254.70119999999957</v>
      </c>
      <c r="AK103" s="14">
        <f t="shared" si="89"/>
        <v>61.591537947915114</v>
      </c>
      <c r="AL103" s="22">
        <f t="shared" si="58"/>
        <v>550.87651859261803</v>
      </c>
      <c r="AM103" s="62">
        <f t="shared" si="59"/>
        <v>844.2098519259514</v>
      </c>
      <c r="AN103" s="62">
        <f ca="1">AVERAGE(OFFSET($AM$3,0,0,'Données projet'!$E$10+1,1))-AVERAGE(OFFSET($H$3,0,0,'Données projet'!$E$10+1,1))</f>
        <v>305.35633273533773</v>
      </c>
      <c r="AO103" s="62">
        <f t="shared" si="90"/>
        <v>156.67965022779896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-1.2710188457276673E-13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415.52119746518764</v>
      </c>
      <c r="BJ103" s="62">
        <f t="shared" si="92"/>
        <v>490.11217551185604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3.3539743302641206E-11</v>
      </c>
      <c r="BS103" s="24">
        <f t="shared" si="63"/>
        <v>3.3539743302641206E-11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projet'!$B$12,Paramètres!$A$1:$I$89,3,0)*VLOOKUP('Données projet'!$B$12,Paramètres!$A$1:$I$89,5,0)</f>
        <v>-1.8089849618263545E-13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232.53653575369032</v>
      </c>
      <c r="CE103" s="62">
        <f t="shared" si="94"/>
        <v>219.59799863414099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275.64102564102564</v>
      </c>
      <c r="CR103" s="13">
        <f>VLOOKUP(A103,'Données projet'!$A$139:$I$159,9,0)</f>
        <v>3.333333333333337</v>
      </c>
      <c r="CS103" s="13">
        <f t="array" ref="CS103">INDEX(CR:CR,MIN(IF(ISNUMBER(CR103:CR299),ROW(CR103:CR299),"")))</f>
        <v>3.333333333333337</v>
      </c>
      <c r="CT103" s="13">
        <f>IF('Données projet'!$A$140&gt;35,CT102+CS103-DB102,IF(A103&lt;'Données projet'!$A$140,$CQ$205^A103,IF(A103='Données projet'!$A$140,'Données projet'!$B$140,CT102+CS103-DB102)))</f>
        <v>275.64102564102541</v>
      </c>
      <c r="CU103" s="18">
        <f>CT103*VLOOKUP('Données projet'!$B$13,Paramètres!$A$1:$I$89,3,0)*VLOOKUP('Données projet'!$B$13,Paramètres!$A$1:$I$89,5,0)</f>
        <v>184.89999999999984</v>
      </c>
      <c r="CV103" s="14">
        <f t="shared" si="95"/>
        <v>46.410635962027825</v>
      </c>
      <c r="CW103" s="22">
        <f t="shared" si="67"/>
        <v>402.86602430053154</v>
      </c>
      <c r="CX103" s="62">
        <f t="shared" si="68"/>
        <v>696.19935763386479</v>
      </c>
      <c r="CY103" s="62">
        <f ca="1">AVERAGE(OFFSET($CX$3,0,0,'Données projet'!$E$13+1,1))-AVERAGE(OFFSET($H$3,0,0,'Données projet'!$E$13+1,1))</f>
        <v>191.58722091189202</v>
      </c>
      <c r="CZ103" s="62">
        <f t="shared" si="96"/>
        <v>140.7542783756906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217.20547328702645</v>
      </c>
      <c r="T104" s="62">
        <f t="shared" si="88"/>
        <v>137.55906339137317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3.6947762814861205E-11</v>
      </c>
      <c r="AC104" s="24">
        <f t="shared" si="57"/>
        <v>3.6947762814861205E-11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286.19999999999953</v>
      </c>
      <c r="AJ104" s="14">
        <f>AI104*VLOOKUP('Données projet'!$B$10,Paramètres!$A$1:$I$89,3,0)*VLOOKUP('Données projet'!$B$10,Paramètres!$A$1:$I$89,5,0)</f>
        <v>258.95375999999959</v>
      </c>
      <c r="AK104" s="14">
        <f t="shared" si="89"/>
        <v>62.499309559645205</v>
      </c>
      <c r="AL104" s="22">
        <f t="shared" si="58"/>
        <v>559.86409614971467</v>
      </c>
      <c r="AM104" s="62">
        <f t="shared" si="59"/>
        <v>853.19742948304793</v>
      </c>
      <c r="AN104" s="62">
        <f ca="1">AVERAGE(OFFSET($AM$3,0,0,'Données projet'!$E$10+1,1))-AVERAGE(OFFSET($H$3,0,0,'Données projet'!$E$10+1,1))</f>
        <v>305.35633273533773</v>
      </c>
      <c r="AO104" s="62">
        <f t="shared" si="90"/>
        <v>156.67965022779896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-1.2710188457276673E-13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415.52119746518764</v>
      </c>
      <c r="BJ104" s="62">
        <f t="shared" si="92"/>
        <v>490.11217551185604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2.3716179928553688E-11</v>
      </c>
      <c r="BS104" s="24">
        <f t="shared" si="63"/>
        <v>2.3716179928553688E-11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projet'!$B$12,Paramètres!$A$1:$I$89,3,0)*VLOOKUP('Données projet'!$B$12,Paramètres!$A$1:$I$89,5,0)</f>
        <v>-1.8089849618263545E-13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232.53653575369032</v>
      </c>
      <c r="CE104" s="62">
        <f t="shared" si="94"/>
        <v>219.59799863414099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3.0769230769230718</v>
      </c>
      <c r="CT104" s="13">
        <f>IF('Données projet'!$A$140&gt;35,CT103+CS104-DB103,IF(A104&lt;'Données projet'!$A$140,$CQ$205^A104,IF(A104='Données projet'!$A$140,'Données projet'!$B$140,CT103+CS104-DB103)))</f>
        <v>278.7179487179485</v>
      </c>
      <c r="CU104" s="18">
        <f>CT104*VLOOKUP('Données projet'!$B$13,Paramètres!$A$1:$I$89,3,0)*VLOOKUP('Données projet'!$B$13,Paramètres!$A$1:$I$89,5,0)</f>
        <v>186.96399999999986</v>
      </c>
      <c r="CV104" s="14">
        <f t="shared" si="95"/>
        <v>46.868108399160732</v>
      </c>
      <c r="CW104" s="22">
        <f t="shared" si="67"/>
        <v>407.25758879520464</v>
      </c>
      <c r="CX104" s="62">
        <f t="shared" si="68"/>
        <v>700.59092212853795</v>
      </c>
      <c r="CY104" s="62">
        <f ca="1">AVERAGE(OFFSET($CX$3,0,0,'Données projet'!$E$13+1,1))-AVERAGE(OFFSET($H$3,0,0,'Données projet'!$E$13+1,1))</f>
        <v>191.58722091189202</v>
      </c>
      <c r="CZ104" s="62">
        <f t="shared" si="96"/>
        <v>140.7542783756906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217.20547328702645</v>
      </c>
      <c r="T105" s="62">
        <f t="shared" si="88"/>
        <v>137.55906339137317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2.6126013636060519E-11</v>
      </c>
      <c r="AC105" s="24">
        <f t="shared" si="57"/>
        <v>2.6126013636060519E-11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290.89999999999952</v>
      </c>
      <c r="AJ105" s="14">
        <f>AI105*VLOOKUP('Données projet'!$B$10,Paramètres!$A$1:$I$89,3,0)*VLOOKUP('Données projet'!$B$10,Paramètres!$A$1:$I$89,5,0)</f>
        <v>263.20631999999955</v>
      </c>
      <c r="AK105" s="14">
        <f t="shared" si="89"/>
        <v>63.405347513378501</v>
      </c>
      <c r="AL105" s="22">
        <f t="shared" si="58"/>
        <v>568.84865425246664</v>
      </c>
      <c r="AM105" s="62">
        <f t="shared" si="59"/>
        <v>862.18198758580002</v>
      </c>
      <c r="AN105" s="62">
        <f ca="1">AVERAGE(OFFSET($AM$3,0,0,'Données projet'!$E$10+1,1))-AVERAGE(OFFSET($H$3,0,0,'Données projet'!$E$10+1,1))</f>
        <v>305.35633273533773</v>
      </c>
      <c r="AO105" s="62">
        <f t="shared" si="90"/>
        <v>156.67965022779896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-1.2710188457276673E-13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415.52119746518764</v>
      </c>
      <c r="BJ105" s="62">
        <f t="shared" si="92"/>
        <v>490.11217551185604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1.6769871651320603E-11</v>
      </c>
      <c r="BS105" s="24">
        <f t="shared" si="63"/>
        <v>1.6769871651320603E-11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projet'!$B$12,Paramètres!$A$1:$I$89,3,0)*VLOOKUP('Données projet'!$B$12,Paramètres!$A$1:$I$89,5,0)</f>
        <v>-1.8089849618263545E-13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232.53653575369032</v>
      </c>
      <c r="CE105" s="62">
        <f t="shared" si="94"/>
        <v>219.59799863414099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3.0769230769230718</v>
      </c>
      <c r="CT105" s="13">
        <f>IF('Données projet'!$A$140&gt;35,CT104+CS105-DB104,IF(A105&lt;'Données projet'!$A$140,$CQ$205^A105,IF(A105='Données projet'!$A$140,'Données projet'!$B$140,CT104+CS105-DB104)))</f>
        <v>281.7948717948716</v>
      </c>
      <c r="CU105" s="18">
        <f>CT105*VLOOKUP('Données projet'!$B$13,Paramètres!$A$1:$I$89,3,0)*VLOOKUP('Données projet'!$B$13,Paramètres!$A$1:$I$89,5,0)</f>
        <v>189.02799999999988</v>
      </c>
      <c r="CV105" s="14">
        <f t="shared" si="95"/>
        <v>47.324993347023778</v>
      </c>
      <c r="CW105" s="22">
        <f t="shared" si="67"/>
        <v>411.64813007939955</v>
      </c>
      <c r="CX105" s="62">
        <f t="shared" si="68"/>
        <v>704.98146341273286</v>
      </c>
      <c r="CY105" s="62">
        <f ca="1">AVERAGE(OFFSET($CX$3,0,0,'Données projet'!$E$13+1,1))-AVERAGE(OFFSET($H$3,0,0,'Données projet'!$E$13+1,1))</f>
        <v>191.58722091189202</v>
      </c>
      <c r="CZ105" s="62">
        <f t="shared" si="96"/>
        <v>140.7542783756906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217.20547328702645</v>
      </c>
      <c r="T106" s="62">
        <f t="shared" si="88"/>
        <v>137.55906339137317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1.8473881407430602E-11</v>
      </c>
      <c r="AC106" s="24">
        <f t="shared" si="57"/>
        <v>1.8473881407430602E-11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295.59999999999951</v>
      </c>
      <c r="AJ106" s="14">
        <f>AI106*VLOOKUP('Données projet'!$B$10,Paramètres!$A$1:$I$89,3,0)*VLOOKUP('Données projet'!$B$10,Paramètres!$A$1:$I$89,5,0)</f>
        <v>267.45887999999951</v>
      </c>
      <c r="AK106" s="14">
        <f t="shared" si="89"/>
        <v>64.309683053152327</v>
      </c>
      <c r="AL106" s="22">
        <f t="shared" si="58"/>
        <v>577.8302473175728</v>
      </c>
      <c r="AM106" s="62">
        <f t="shared" si="59"/>
        <v>871.16358065090617</v>
      </c>
      <c r="AN106" s="62">
        <f ca="1">AVERAGE(OFFSET($AM$3,0,0,'Données projet'!$E$10+1,1))-AVERAGE(OFFSET($H$3,0,0,'Données projet'!$E$10+1,1))</f>
        <v>305.35633273533773</v>
      </c>
      <c r="AO106" s="62">
        <f t="shared" si="90"/>
        <v>156.67965022779896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-1.2710188457276673E-13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415.52119746518764</v>
      </c>
      <c r="BJ106" s="62">
        <f t="shared" si="92"/>
        <v>490.11217551185604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1.1858089964276844E-11</v>
      </c>
      <c r="BS106" s="24">
        <f t="shared" si="63"/>
        <v>1.1858089964276844E-11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projet'!$B$12,Paramètres!$A$1:$I$89,3,0)*VLOOKUP('Données projet'!$B$12,Paramètres!$A$1:$I$89,5,0)</f>
        <v>-1.8089849618263545E-13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232.53653575369032</v>
      </c>
      <c r="CE106" s="62">
        <f t="shared" si="94"/>
        <v>219.59799863414099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3.0769230769230718</v>
      </c>
      <c r="CT106" s="13">
        <f>IF('Données projet'!$A$140&gt;35,CT105+CS106-DB105,IF(A106&lt;'Données projet'!$A$140,$CQ$205^A106,IF(A106='Données projet'!$A$140,'Données projet'!$B$140,CT105+CS106-DB105)))</f>
        <v>284.87179487179469</v>
      </c>
      <c r="CU106" s="18">
        <f>CT106*VLOOKUP('Données projet'!$B$13,Paramètres!$A$1:$I$89,3,0)*VLOOKUP('Données projet'!$B$13,Paramètres!$A$1:$I$89,5,0)</f>
        <v>191.09199999999987</v>
      </c>
      <c r="CV106" s="14">
        <f t="shared" si="95"/>
        <v>47.781297962842437</v>
      </c>
      <c r="CW106" s="22">
        <f t="shared" si="67"/>
        <v>416.03766061861705</v>
      </c>
      <c r="CX106" s="62">
        <f t="shared" si="68"/>
        <v>709.37099395195037</v>
      </c>
      <c r="CY106" s="62">
        <f ca="1">AVERAGE(OFFSET($CX$3,0,0,'Données projet'!$E$13+1,1))-AVERAGE(OFFSET($H$3,0,0,'Données projet'!$E$13+1,1))</f>
        <v>191.58722091189202</v>
      </c>
      <c r="CZ106" s="62">
        <f t="shared" si="96"/>
        <v>140.7542783756906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217.20547328702645</v>
      </c>
      <c r="T107" s="62">
        <f t="shared" si="88"/>
        <v>137.55906339137317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1.306300681803026E-11</v>
      </c>
      <c r="AC107" s="24">
        <f t="shared" si="57"/>
        <v>1.306300681803026E-11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300.2999999999995</v>
      </c>
      <c r="AJ107" s="14">
        <f>AI107*VLOOKUP('Données projet'!$B$10,Paramètres!$A$1:$I$89,3,0)*VLOOKUP('Données projet'!$B$10,Paramètres!$A$1:$I$89,5,0)</f>
        <v>271.71143999999953</v>
      </c>
      <c r="AK107" s="14">
        <f t="shared" si="89"/>
        <v>65.212346372467209</v>
      </c>
      <c r="AL107" s="22">
        <f t="shared" si="58"/>
        <v>586.80892793204623</v>
      </c>
      <c r="AM107" s="62">
        <f t="shared" si="59"/>
        <v>880.1422612653796</v>
      </c>
      <c r="AN107" s="62">
        <f ca="1">AVERAGE(OFFSET($AM$3,0,0,'Données projet'!$E$10+1,1))-AVERAGE(OFFSET($H$3,0,0,'Données projet'!$E$10+1,1))</f>
        <v>305.35633273533773</v>
      </c>
      <c r="AO107" s="62">
        <f t="shared" si="90"/>
        <v>156.67965022779896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-1.2710188457276673E-13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415.52119746518764</v>
      </c>
      <c r="BJ107" s="62">
        <f t="shared" si="92"/>
        <v>490.11217551185604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8.3849358256603014E-12</v>
      </c>
      <c r="BS107" s="24">
        <f t="shared" si="63"/>
        <v>8.3849358256603014E-12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projet'!$B$12,Paramètres!$A$1:$I$89,3,0)*VLOOKUP('Données projet'!$B$12,Paramètres!$A$1:$I$89,5,0)</f>
        <v>-1.8089849618263545E-13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232.53653575369032</v>
      </c>
      <c r="CE107" s="62">
        <f t="shared" si="94"/>
        <v>219.59799863414099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3.0769230769230718</v>
      </c>
      <c r="CT107" s="13">
        <f>IF('Données projet'!$A$140&gt;35,CT106+CS107-DB106,IF(A107&lt;'Données projet'!$A$140,$CQ$205^A107,IF(A107='Données projet'!$A$140,'Données projet'!$B$140,CT106+CS107-DB106)))</f>
        <v>287.94871794871779</v>
      </c>
      <c r="CU107" s="18">
        <f>CT107*VLOOKUP('Données projet'!$B$13,Paramètres!$A$1:$I$89,3,0)*VLOOKUP('Données projet'!$B$13,Paramètres!$A$1:$I$89,5,0)</f>
        <v>193.15599999999989</v>
      </c>
      <c r="CV107" s="14">
        <f t="shared" si="95"/>
        <v>48.237029240325811</v>
      </c>
      <c r="CW107" s="22">
        <f t="shared" si="67"/>
        <v>420.42619259356724</v>
      </c>
      <c r="CX107" s="62">
        <f t="shared" si="68"/>
        <v>713.75952592690055</v>
      </c>
      <c r="CY107" s="62">
        <f ca="1">AVERAGE(OFFSET($CX$3,0,0,'Données projet'!$E$13+1,1))-AVERAGE(OFFSET($H$3,0,0,'Données projet'!$E$13+1,1))</f>
        <v>191.58722091189202</v>
      </c>
      <c r="CZ107" s="62">
        <f t="shared" si="96"/>
        <v>140.7542783756906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217.20547328702645</v>
      </c>
      <c r="T108" s="62">
        <f t="shared" si="88"/>
        <v>137.55906339137317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9.2369407037153011E-12</v>
      </c>
      <c r="AC108" s="24">
        <f t="shared" si="57"/>
        <v>9.2369407037153011E-12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304.99999999999949</v>
      </c>
      <c r="AJ108" s="14">
        <f>AI108*VLOOKUP('Données projet'!$B$10,Paramètres!$A$1:$I$89,3,0)*VLOOKUP('Données projet'!$B$10,Paramètres!$A$1:$I$89,5,0)</f>
        <v>275.96399999999954</v>
      </c>
      <c r="AK108" s="14">
        <f t="shared" si="89"/>
        <v>66.113366665488797</v>
      </c>
      <c r="AL108" s="22">
        <f t="shared" si="58"/>
        <v>595.78474694239219</v>
      </c>
      <c r="AM108" s="62">
        <f t="shared" si="59"/>
        <v>889.11808027572556</v>
      </c>
      <c r="AN108" s="62">
        <f ca="1">AVERAGE(OFFSET($AM$3,0,0,'Données projet'!$E$10+1,1))-AVERAGE(OFFSET($H$3,0,0,'Données projet'!$E$10+1,1))</f>
        <v>305.35633273533773</v>
      </c>
      <c r="AO108" s="62">
        <f t="shared" si="90"/>
        <v>156.67965022779896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-1.2710188457276673E-13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415.52119746518764</v>
      </c>
      <c r="BJ108" s="62">
        <f t="shared" si="92"/>
        <v>490.11217551185604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5.9290449821384221E-12</v>
      </c>
      <c r="BS108" s="24">
        <f t="shared" si="63"/>
        <v>5.9290449821384221E-12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projet'!$B$12,Paramètres!$A$1:$I$89,3,0)*VLOOKUP('Données projet'!$B$12,Paramètres!$A$1:$I$89,5,0)</f>
        <v>-1.8089849618263545E-13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232.53653575369032</v>
      </c>
      <c r="CE108" s="62">
        <f t="shared" si="94"/>
        <v>219.59799863414099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291.02564102564099</v>
      </c>
      <c r="CR108" s="13">
        <f>VLOOKUP(A108,'Données projet'!$A$139:$I$159,9,0)</f>
        <v>3.0769230769230718</v>
      </c>
      <c r="CS108" s="13">
        <f t="array" ref="CS108">INDEX(CR:CR,MIN(IF(ISNUMBER(CR108:CR304),ROW(CR108:CR304),"")))</f>
        <v>3.0769230769230718</v>
      </c>
      <c r="CT108" s="13">
        <f>IF('Données projet'!$A$140&gt;35,CT107+CS108-DB107,IF(A108&lt;'Données projet'!$A$140,$CQ$205^A108,IF(A108='Données projet'!$A$140,'Données projet'!$B$140,CT107+CS108-DB107)))</f>
        <v>291.02564102564088</v>
      </c>
      <c r="CU108" s="18">
        <f>CT108*VLOOKUP('Données projet'!$B$13,Paramètres!$A$1:$I$89,3,0)*VLOOKUP('Données projet'!$B$13,Paramètres!$A$1:$I$89,5,0)</f>
        <v>195.21999999999991</v>
      </c>
      <c r="CV108" s="14">
        <f t="shared" si="95"/>
        <v>48.692194015108576</v>
      </c>
      <c r="CW108" s="22">
        <f t="shared" si="67"/>
        <v>424.81373790964727</v>
      </c>
      <c r="CX108" s="62">
        <f t="shared" si="68"/>
        <v>718.14707124298059</v>
      </c>
      <c r="CY108" s="62">
        <f ca="1">AVERAGE(OFFSET($CX$3,0,0,'Données projet'!$E$13+1,1))-AVERAGE(OFFSET($H$3,0,0,'Données projet'!$E$13+1,1))</f>
        <v>191.58722091189202</v>
      </c>
      <c r="CZ108" s="62">
        <f t="shared" si="96"/>
        <v>140.7542783756906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217.20547328702645</v>
      </c>
      <c r="T109" s="62">
        <f t="shared" si="88"/>
        <v>137.55906339137317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6.5315034090151298E-12</v>
      </c>
      <c r="AC109" s="24">
        <f t="shared" si="57"/>
        <v>6.5315034090151298E-12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267.99999999999949</v>
      </c>
      <c r="AJ109" s="14">
        <f>AI109*VLOOKUP('Données projet'!$B$10,Paramètres!$A$1:$I$89,3,0)*VLOOKUP('Données projet'!$B$10,Paramètres!$A$1:$I$89,5,0)</f>
        <v>242.48639999999952</v>
      </c>
      <c r="AK109" s="14">
        <f t="shared" si="89"/>
        <v>58.97417023537232</v>
      </c>
      <c r="AL109" s="22">
        <f t="shared" si="58"/>
        <v>525.0438264932726</v>
      </c>
      <c r="AM109" s="62">
        <f t="shared" si="59"/>
        <v>818.37715982660598</v>
      </c>
      <c r="AN109" s="62">
        <f ca="1">AVERAGE(OFFSET($AM$3,0,0,'Données projet'!$E$10+1,1))-AVERAGE(OFFSET($H$3,0,0,'Données projet'!$E$10+1,1))</f>
        <v>305.35633273533773</v>
      </c>
      <c r="AO109" s="62">
        <f t="shared" si="90"/>
        <v>156.67965022779896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-1.2710188457276673E-13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415.52119746518764</v>
      </c>
      <c r="BJ109" s="62">
        <f t="shared" si="92"/>
        <v>490.11217551185604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4.1924679128301507E-12</v>
      </c>
      <c r="BS109" s="24">
        <f t="shared" si="63"/>
        <v>4.1924679128301507E-12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projet'!$B$12,Paramètres!$A$1:$I$89,3,0)*VLOOKUP('Données projet'!$B$12,Paramètres!$A$1:$I$89,5,0)</f>
        <v>-1.8089849618263545E-13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232.53653575369032</v>
      </c>
      <c r="CE109" s="62">
        <f t="shared" si="94"/>
        <v>219.59799863414099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3.0769230769230829</v>
      </c>
      <c r="CT109" s="13">
        <f>IF('Données projet'!$A$140&gt;35,CT108+CS109-DB108,IF(A109&lt;'Données projet'!$A$140,$CQ$205^A109,IF(A109='Données projet'!$A$140,'Données projet'!$B$140,CT108+CS109-DB108)))</f>
        <v>294.10256410256397</v>
      </c>
      <c r="CU109" s="18">
        <f>CT109*VLOOKUP('Données projet'!$B$13,Paramètres!$A$1:$I$89,3,0)*VLOOKUP('Données projet'!$B$13,Paramètres!$A$1:$I$89,5,0)</f>
        <v>197.28399999999991</v>
      </c>
      <c r="CV109" s="14">
        <f t="shared" si="95"/>
        <v>49.14679896995667</v>
      </c>
      <c r="CW109" s="22">
        <f t="shared" si="67"/>
        <v>429.20030820600772</v>
      </c>
      <c r="CX109" s="62">
        <f t="shared" si="68"/>
        <v>722.53364153934103</v>
      </c>
      <c r="CY109" s="62">
        <f ca="1">AVERAGE(OFFSET($CX$3,0,0,'Données projet'!$E$13+1,1))-AVERAGE(OFFSET($H$3,0,0,'Données projet'!$E$13+1,1))</f>
        <v>191.58722091189202</v>
      </c>
      <c r="CZ109" s="62">
        <f t="shared" si="96"/>
        <v>140.7542783756906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217.20547328702645</v>
      </c>
      <c r="T110" s="62">
        <f t="shared" si="88"/>
        <v>137.55906339137317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4.6184703518576506E-12</v>
      </c>
      <c r="AC110" s="24">
        <f t="shared" si="57"/>
        <v>4.6184703518576506E-12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271.99999999999949</v>
      </c>
      <c r="AJ110" s="14">
        <f>AI110*VLOOKUP('Données projet'!$B$10,Paramètres!$A$1:$I$89,3,0)*VLOOKUP('Données projet'!$B$10,Paramètres!$A$1:$I$89,5,0)</f>
        <v>246.1055999999995</v>
      </c>
      <c r="AK110" s="14">
        <f t="shared" si="89"/>
        <v>59.751253234371823</v>
      </c>
      <c r="AL110" s="22">
        <f t="shared" si="58"/>
        <v>532.70068604986341</v>
      </c>
      <c r="AM110" s="62">
        <f t="shared" si="59"/>
        <v>826.03401938319666</v>
      </c>
      <c r="AN110" s="62">
        <f ca="1">AVERAGE(OFFSET($AM$3,0,0,'Données projet'!$E$10+1,1))-AVERAGE(OFFSET($H$3,0,0,'Données projet'!$E$10+1,1))</f>
        <v>305.35633273533773</v>
      </c>
      <c r="AO110" s="62">
        <f t="shared" si="90"/>
        <v>156.67965022779896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-1.2710188457276673E-13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415.52119746518764</v>
      </c>
      <c r="BJ110" s="62">
        <f t="shared" si="92"/>
        <v>490.11217551185604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2.964522491069211E-12</v>
      </c>
      <c r="BS110" s="24">
        <f t="shared" si="63"/>
        <v>2.964522491069211E-12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projet'!$B$12,Paramètres!$A$1:$I$89,3,0)*VLOOKUP('Données projet'!$B$12,Paramètres!$A$1:$I$89,5,0)</f>
        <v>-1.8089849618263545E-13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232.53653575369032</v>
      </c>
      <c r="CE110" s="62">
        <f t="shared" si="94"/>
        <v>219.59799863414099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3.0769230769230829</v>
      </c>
      <c r="CT110" s="13">
        <f>IF('Données projet'!$A$140&gt;35,CT109+CS110-DB109,IF(A110&lt;'Données projet'!$A$140,$CQ$205^A110,IF(A110='Données projet'!$A$140,'Données projet'!$B$140,CT109+CS110-DB109)))</f>
        <v>297.17948717948707</v>
      </c>
      <c r="CU110" s="18">
        <f>CT110*VLOOKUP('Données projet'!$B$13,Paramètres!$A$1:$I$89,3,0)*VLOOKUP('Données projet'!$B$13,Paramètres!$A$1:$I$89,5,0)</f>
        <v>199.34799999999993</v>
      </c>
      <c r="CV110" s="14">
        <f t="shared" si="95"/>
        <v>49.600850639748678</v>
      </c>
      <c r="CW110" s="22">
        <f t="shared" si="67"/>
        <v>433.58591486422876</v>
      </c>
      <c r="CX110" s="62">
        <f t="shared" si="68"/>
        <v>726.91924819756207</v>
      </c>
      <c r="CY110" s="62">
        <f ca="1">AVERAGE(OFFSET($CX$3,0,0,'Données projet'!$E$13+1,1))-AVERAGE(OFFSET($H$3,0,0,'Données projet'!$E$13+1,1))</f>
        <v>191.58722091189202</v>
      </c>
      <c r="CZ110" s="62">
        <f t="shared" si="96"/>
        <v>140.7542783756906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217.20547328702645</v>
      </c>
      <c r="T111" s="62">
        <f t="shared" si="88"/>
        <v>137.55906339137317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3.2657517045075649E-12</v>
      </c>
      <c r="AC111" s="24">
        <f t="shared" si="57"/>
        <v>3.2657517045075649E-12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275.99999999999949</v>
      </c>
      <c r="AJ111" s="14">
        <f>AI111*VLOOKUP('Données projet'!$B$10,Paramètres!$A$1:$I$89,3,0)*VLOOKUP('Données projet'!$B$10,Paramètres!$A$1:$I$89,5,0)</f>
        <v>249.72479999999953</v>
      </c>
      <c r="AK111" s="14">
        <f t="shared" si="89"/>
        <v>60.527007137298092</v>
      </c>
      <c r="AL111" s="22">
        <f t="shared" si="58"/>
        <v>540.35523076412676</v>
      </c>
      <c r="AM111" s="62">
        <f t="shared" si="59"/>
        <v>833.68856409746013</v>
      </c>
      <c r="AN111" s="62">
        <f ca="1">AVERAGE(OFFSET($AM$3,0,0,'Données projet'!$E$10+1,1))-AVERAGE(OFFSET($H$3,0,0,'Données projet'!$E$10+1,1))</f>
        <v>305.35633273533773</v>
      </c>
      <c r="AO111" s="62">
        <f t="shared" si="90"/>
        <v>156.67965022779896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-1.2710188457276673E-13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415.52119746518764</v>
      </c>
      <c r="BJ111" s="62">
        <f t="shared" si="92"/>
        <v>490.11217551185604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2.0962339564150753E-12</v>
      </c>
      <c r="BS111" s="24">
        <f t="shared" si="63"/>
        <v>2.0962339564150753E-12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projet'!$B$12,Paramètres!$A$1:$I$89,3,0)*VLOOKUP('Données projet'!$B$12,Paramètres!$A$1:$I$89,5,0)</f>
        <v>-1.8089849618263545E-13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232.53653575369032</v>
      </c>
      <c r="CE111" s="62">
        <f t="shared" si="94"/>
        <v>219.59799863414099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3.0769230769230829</v>
      </c>
      <c r="CT111" s="13">
        <f>IF('Données projet'!$A$140&gt;35,CT110+CS111-DB110,IF(A111&lt;'Données projet'!$A$140,$CQ$205^A111,IF(A111='Données projet'!$A$140,'Données projet'!$B$140,CT110+CS111-DB110)))</f>
        <v>300.25641025641016</v>
      </c>
      <c r="CU111" s="18">
        <f>CT111*VLOOKUP('Données projet'!$B$13,Paramètres!$A$1:$I$89,3,0)*VLOOKUP('Données projet'!$B$13,Paramètres!$A$1:$I$89,5,0)</f>
        <v>201.41199999999995</v>
      </c>
      <c r="CV111" s="14">
        <f t="shared" si="95"/>
        <v>50.05435541624508</v>
      </c>
      <c r="CW111" s="22">
        <f t="shared" si="67"/>
        <v>437.97056901662677</v>
      </c>
      <c r="CX111" s="62">
        <f t="shared" si="68"/>
        <v>731.30390234996003</v>
      </c>
      <c r="CY111" s="62">
        <f ca="1">AVERAGE(OFFSET($CX$3,0,0,'Données projet'!$E$13+1,1))-AVERAGE(OFFSET($H$3,0,0,'Données projet'!$E$13+1,1))</f>
        <v>191.58722091189202</v>
      </c>
      <c r="CZ111" s="62">
        <f t="shared" si="96"/>
        <v>140.7542783756906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217.20547328702645</v>
      </c>
      <c r="T112" s="62">
        <f t="shared" si="88"/>
        <v>137.55906339137317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2.3092351759288253E-12</v>
      </c>
      <c r="AC112" s="24">
        <f t="shared" si="57"/>
        <v>2.3092351759288253E-12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279.99999999999949</v>
      </c>
      <c r="AJ112" s="14">
        <f>AI112*VLOOKUP('Données projet'!$B$10,Paramètres!$A$1:$I$89,3,0)*VLOOKUP('Données projet'!$B$10,Paramètres!$A$1:$I$89,5,0)</f>
        <v>253.34399999999954</v>
      </c>
      <c r="AK112" s="14">
        <f t="shared" si="89"/>
        <v>61.301453431926198</v>
      </c>
      <c r="AL112" s="22">
        <f t="shared" si="58"/>
        <v>548.00749806060389</v>
      </c>
      <c r="AM112" s="62">
        <f t="shared" si="59"/>
        <v>841.34083139393715</v>
      </c>
      <c r="AN112" s="62">
        <f ca="1">AVERAGE(OFFSET($AM$3,0,0,'Données projet'!$E$10+1,1))-AVERAGE(OFFSET($H$3,0,0,'Données projet'!$E$10+1,1))</f>
        <v>305.35633273533773</v>
      </c>
      <c r="AO112" s="62">
        <f t="shared" si="90"/>
        <v>156.67965022779896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-1.2710188457276673E-13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415.52119746518764</v>
      </c>
      <c r="BJ112" s="62">
        <f t="shared" si="92"/>
        <v>490.11217551185604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1.4822612455346055E-12</v>
      </c>
      <c r="BS112" s="24">
        <f t="shared" si="63"/>
        <v>1.4822612455346055E-12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projet'!$B$12,Paramètres!$A$1:$I$89,3,0)*VLOOKUP('Données projet'!$B$12,Paramètres!$A$1:$I$89,5,0)</f>
        <v>-1.8089849618263545E-13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232.53653575369032</v>
      </c>
      <c r="CE112" s="62">
        <f t="shared" si="94"/>
        <v>219.59799863414099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3.0769230769230829</v>
      </c>
      <c r="CT112" s="13">
        <f>IF('Données projet'!$A$140&gt;35,CT111+CS112-DB111,IF(A112&lt;'Données projet'!$A$140,$CQ$205^A112,IF(A112='Données projet'!$A$140,'Données projet'!$B$140,CT111+CS112-DB111)))</f>
        <v>303.33333333333326</v>
      </c>
      <c r="CU112" s="18">
        <f>CT112*VLOOKUP('Données projet'!$B$13,Paramètres!$A$1:$I$89,3,0)*VLOOKUP('Données projet'!$B$13,Paramètres!$A$1:$I$89,5,0)</f>
        <v>203.47599999999997</v>
      </c>
      <c r="CV112" s="14">
        <f t="shared" si="95"/>
        <v>50.507319552656575</v>
      </c>
      <c r="CW112" s="22">
        <f t="shared" si="67"/>
        <v>442.3542815542101</v>
      </c>
      <c r="CX112" s="62">
        <f t="shared" si="68"/>
        <v>735.68761488754342</v>
      </c>
      <c r="CY112" s="62">
        <f ca="1">AVERAGE(OFFSET($CX$3,0,0,'Données projet'!$E$13+1,1))-AVERAGE(OFFSET($H$3,0,0,'Données projet'!$E$13+1,1))</f>
        <v>191.58722091189202</v>
      </c>
      <c r="CZ112" s="62">
        <f t="shared" si="96"/>
        <v>140.7542783756906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217.20547328702645</v>
      </c>
      <c r="T113" s="62">
        <f t="shared" si="88"/>
        <v>137.55906339137317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1.6328758522537825E-12</v>
      </c>
      <c r="AC113" s="24">
        <f t="shared" si="57"/>
        <v>1.6328758522537825E-12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283.99999999999949</v>
      </c>
      <c r="AJ113" s="14">
        <f>AI113*VLOOKUP('Données projet'!$B$10,Paramètres!$A$1:$I$89,3,0)*VLOOKUP('Données projet'!$B$10,Paramètres!$A$1:$I$89,5,0)</f>
        <v>256.96319999999952</v>
      </c>
      <c r="AK113" s="14">
        <f t="shared" si="89"/>
        <v>62.07461295683791</v>
      </c>
      <c r="AL113" s="22">
        <f t="shared" si="58"/>
        <v>555.6575242331586</v>
      </c>
      <c r="AM113" s="62">
        <f t="shared" si="59"/>
        <v>848.99085756649197</v>
      </c>
      <c r="AN113" s="62">
        <f ca="1">AVERAGE(OFFSET($AM$3,0,0,'Données projet'!$E$10+1,1))-AVERAGE(OFFSET($H$3,0,0,'Données projet'!$E$10+1,1))</f>
        <v>305.35633273533773</v>
      </c>
      <c r="AO113" s="62">
        <f t="shared" si="90"/>
        <v>156.67965022779896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-1.2710188457276673E-13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415.52119746518764</v>
      </c>
      <c r="BJ113" s="62">
        <f t="shared" si="92"/>
        <v>490.11217551185604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1.0481169782075377E-12</v>
      </c>
      <c r="BS113" s="24">
        <f t="shared" si="63"/>
        <v>1.0481169782075377E-12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projet'!$B$12,Paramètres!$A$1:$I$89,3,0)*VLOOKUP('Données projet'!$B$12,Paramètres!$A$1:$I$89,5,0)</f>
        <v>-1.8089849618263545E-13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232.53653575369032</v>
      </c>
      <c r="CE113" s="62">
        <f t="shared" si="94"/>
        <v>219.59799863414099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306.41025641025641</v>
      </c>
      <c r="CR113" s="13">
        <f>VLOOKUP(A113,'Données projet'!$A$139:$I$159,9,0)</f>
        <v>3.0769230769230829</v>
      </c>
      <c r="CS113" s="13">
        <f t="array" ref="CS113">INDEX(CR:CR,MIN(IF(ISNUMBER(CR113:CR309),ROW(CR113:CR309),"")))</f>
        <v>3.0769230769230829</v>
      </c>
      <c r="CT113" s="13">
        <f>IF('Données projet'!$A$140&gt;35,CT112+CS113-DB112,IF(A113&lt;'Données projet'!$A$140,$CQ$205^A113,IF(A113='Données projet'!$A$140,'Données projet'!$B$140,CT112+CS113-DB112)))</f>
        <v>306.41025641025635</v>
      </c>
      <c r="CU113" s="18">
        <f>CT113*VLOOKUP('Données projet'!$B$13,Paramètres!$A$1:$I$89,3,0)*VLOOKUP('Données projet'!$B$13,Paramètres!$A$1:$I$89,5,0)</f>
        <v>205.53999999999996</v>
      </c>
      <c r="CV113" s="14">
        <f t="shared" si="95"/>
        <v>50.95974916802129</v>
      </c>
      <c r="CW113" s="22">
        <f t="shared" si="67"/>
        <v>446.7370631343037</v>
      </c>
      <c r="CX113" s="62">
        <f t="shared" si="68"/>
        <v>740.07039646763701</v>
      </c>
      <c r="CY113" s="62">
        <f ca="1">AVERAGE(OFFSET($CX$3,0,0,'Données projet'!$E$13+1,1))-AVERAGE(OFFSET($H$3,0,0,'Données projet'!$E$13+1,1))</f>
        <v>191.58722091189202</v>
      </c>
      <c r="CZ113" s="62">
        <f t="shared" si="96"/>
        <v>140.7542783756906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306.41025641025641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217.20547328702645</v>
      </c>
      <c r="T114" s="62">
        <f t="shared" si="88"/>
        <v>137.55906339137317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1.1546175879644126E-12</v>
      </c>
      <c r="AC114" s="24">
        <f t="shared" si="57"/>
        <v>1.1546175879644126E-12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287.99999999999949</v>
      </c>
      <c r="AJ114" s="14">
        <f>AI114*VLOOKUP('Données projet'!$B$10,Paramètres!$A$1:$I$89,3,0)*VLOOKUP('Données projet'!$B$10,Paramètres!$A$1:$I$89,5,0)</f>
        <v>260.5823999999995</v>
      </c>
      <c r="AK114" s="14">
        <f t="shared" si="89"/>
        <v>62.846505929896793</v>
      </c>
      <c r="AL114" s="22">
        <f t="shared" si="58"/>
        <v>563.30534449456934</v>
      </c>
      <c r="AM114" s="62">
        <f t="shared" si="59"/>
        <v>856.63867782790271</v>
      </c>
      <c r="AN114" s="62">
        <f ca="1">AVERAGE(OFFSET($AM$3,0,0,'Données projet'!$E$10+1,1))-AVERAGE(OFFSET($H$3,0,0,'Données projet'!$E$10+1,1))</f>
        <v>305.35633273533773</v>
      </c>
      <c r="AO114" s="62">
        <f t="shared" si="90"/>
        <v>156.67965022779896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-1.2710188457276673E-13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415.52119746518764</v>
      </c>
      <c r="BJ114" s="62">
        <f t="shared" si="92"/>
        <v>490.11217551185604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7.4113062276730276E-13</v>
      </c>
      <c r="BS114" s="24">
        <f t="shared" si="63"/>
        <v>7.4113062276730276E-13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projet'!$B$12,Paramètres!$A$1:$I$89,3,0)*VLOOKUP('Données projet'!$B$12,Paramètres!$A$1:$I$89,5,0)</f>
        <v>-1.8089849618263545E-13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232.53653575369032</v>
      </c>
      <c r="CE114" s="62">
        <f t="shared" si="94"/>
        <v>219.59799863414099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-3.813056537183002E-14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191.58722091189202</v>
      </c>
      <c r="CZ114" s="62">
        <f t="shared" si="96"/>
        <v>140.7542783756906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217.20547328702645</v>
      </c>
      <c r="T115" s="62">
        <f t="shared" si="88"/>
        <v>137.55906339137317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8.1643792612689123E-13</v>
      </c>
      <c r="AC115" s="24">
        <f t="shared" si="57"/>
        <v>8.1643792612689123E-13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291.99999999999949</v>
      </c>
      <c r="AJ115" s="14">
        <f>AI115*VLOOKUP('Données projet'!$B$10,Paramètres!$A$1:$I$89,3,0)*VLOOKUP('Données projet'!$B$10,Paramètres!$A$1:$I$89,5,0)</f>
        <v>264.20159999999953</v>
      </c>
      <c r="AK115" s="14">
        <f t="shared" si="89"/>
        <v>63.617151975096654</v>
      </c>
      <c r="AL115" s="22">
        <f t="shared" si="58"/>
        <v>570.95099302329243</v>
      </c>
      <c r="AM115" s="62">
        <f t="shared" si="59"/>
        <v>864.2843263566258</v>
      </c>
      <c r="AN115" s="62">
        <f ca="1">AVERAGE(OFFSET($AM$3,0,0,'Données projet'!$E$10+1,1))-AVERAGE(OFFSET($H$3,0,0,'Données projet'!$E$10+1,1))</f>
        <v>305.35633273533773</v>
      </c>
      <c r="AO115" s="62">
        <f t="shared" si="90"/>
        <v>156.67965022779896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-1.2710188457276673E-13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415.52119746518764</v>
      </c>
      <c r="BJ115" s="62">
        <f t="shared" si="92"/>
        <v>490.11217551185604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5.2405848910376884E-13</v>
      </c>
      <c r="BS115" s="24">
        <f t="shared" si="63"/>
        <v>5.2405848910376884E-13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projet'!$B$12,Paramètres!$A$1:$I$89,3,0)*VLOOKUP('Données projet'!$B$12,Paramètres!$A$1:$I$89,5,0)</f>
        <v>-1.8089849618263545E-13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232.53653575369032</v>
      </c>
      <c r="CE115" s="62">
        <f t="shared" si="94"/>
        <v>219.59799863414099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-3.813056537183002E-14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191.58722091189202</v>
      </c>
      <c r="CZ115" s="62">
        <f t="shared" si="96"/>
        <v>140.7542783756906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217.20547328702645</v>
      </c>
      <c r="T116" s="62">
        <f t="shared" si="88"/>
        <v>137.55906339137317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5.7730879398220632E-13</v>
      </c>
      <c r="AC116" s="24">
        <f t="shared" si="57"/>
        <v>5.7730879398220632E-13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295.99999999999949</v>
      </c>
      <c r="AJ116" s="14">
        <f>AI116*VLOOKUP('Données projet'!$B$10,Paramètres!$A$1:$I$89,3,0)*VLOOKUP('Données projet'!$B$10,Paramètres!$A$1:$I$89,5,0)</f>
        <v>267.82079999999951</v>
      </c>
      <c r="AK116" s="14">
        <f t="shared" si="89"/>
        <v>64.386570147897245</v>
      </c>
      <c r="AL116" s="22">
        <f t="shared" si="58"/>
        <v>578.59450300758681</v>
      </c>
      <c r="AM116" s="62">
        <f t="shared" si="59"/>
        <v>871.92783634092007</v>
      </c>
      <c r="AN116" s="62">
        <f ca="1">AVERAGE(OFFSET($AM$3,0,0,'Données projet'!$E$10+1,1))-AVERAGE(OFFSET($H$3,0,0,'Données projet'!$E$10+1,1))</f>
        <v>305.35633273533773</v>
      </c>
      <c r="AO116" s="62">
        <f t="shared" si="90"/>
        <v>156.67965022779896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-1.2710188457276673E-13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415.52119746518764</v>
      </c>
      <c r="BJ116" s="62">
        <f t="shared" si="92"/>
        <v>490.11217551185604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3.7056531138365138E-13</v>
      </c>
      <c r="BS116" s="24">
        <f t="shared" si="63"/>
        <v>3.7056531138365138E-13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projet'!$B$12,Paramètres!$A$1:$I$89,3,0)*VLOOKUP('Données projet'!$B$12,Paramètres!$A$1:$I$89,5,0)</f>
        <v>-1.8089849618263545E-13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232.53653575369032</v>
      </c>
      <c r="CE116" s="62">
        <f t="shared" si="94"/>
        <v>219.59799863414099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-3.813056537183002E-14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191.58722091189202</v>
      </c>
      <c r="CZ116" s="62">
        <f t="shared" si="96"/>
        <v>140.7542783756906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217.20547328702645</v>
      </c>
      <c r="T117" s="62">
        <f t="shared" si="88"/>
        <v>137.55906339137317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4.0821896306344561E-13</v>
      </c>
      <c r="AC117" s="24">
        <f t="shared" si="57"/>
        <v>4.0821896306344561E-13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299.99999999999949</v>
      </c>
      <c r="AJ117" s="14">
        <f>AI117*VLOOKUP('Données projet'!$B$10,Paramètres!$A$1:$I$89,3,0)*VLOOKUP('Données projet'!$B$10,Paramètres!$A$1:$I$89,5,0)</f>
        <v>271.43999999999954</v>
      </c>
      <c r="AK117" s="14">
        <f t="shared" si="89"/>
        <v>65.154778959151116</v>
      </c>
      <c r="AL117" s="22">
        <f t="shared" si="58"/>
        <v>586.23590668718737</v>
      </c>
      <c r="AM117" s="62">
        <f t="shared" si="59"/>
        <v>879.56924002052074</v>
      </c>
      <c r="AN117" s="62">
        <f ca="1">AVERAGE(OFFSET($AM$3,0,0,'Données projet'!$E$10+1,1))-AVERAGE(OFFSET($H$3,0,0,'Données projet'!$E$10+1,1))</f>
        <v>305.35633273533773</v>
      </c>
      <c r="AO117" s="62">
        <f t="shared" si="90"/>
        <v>156.67965022779896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-1.2710188457276673E-13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415.52119746518764</v>
      </c>
      <c r="BJ117" s="62">
        <f t="shared" si="92"/>
        <v>490.11217551185604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2.6202924455188442E-13</v>
      </c>
      <c r="BS117" s="24">
        <f t="shared" si="63"/>
        <v>2.6202924455188442E-13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projet'!$B$12,Paramètres!$A$1:$I$89,3,0)*VLOOKUP('Données projet'!$B$12,Paramètres!$A$1:$I$89,5,0)</f>
        <v>-1.8089849618263545E-13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232.53653575369032</v>
      </c>
      <c r="CE117" s="62">
        <f t="shared" si="94"/>
        <v>219.59799863414099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-3.813056537183002E-14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191.58722091189202</v>
      </c>
      <c r="CZ117" s="62">
        <f t="shared" si="96"/>
        <v>140.7542783756906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217.20547328702645</v>
      </c>
      <c r="T118" s="62">
        <f t="shared" si="88"/>
        <v>137.55906339137317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2.8865439699110316E-13</v>
      </c>
      <c r="AC118" s="24">
        <f t="shared" si="57"/>
        <v>2.8865439699110316E-13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303.99999999999949</v>
      </c>
      <c r="AJ118" s="14">
        <f>AI118*VLOOKUP('Données projet'!$B$10,Paramètres!$A$1:$I$89,3,0)*VLOOKUP('Données projet'!$B$10,Paramètres!$A$1:$I$89,5,0)</f>
        <v>275.05919999999952</v>
      </c>
      <c r="AK118" s="14">
        <f t="shared" si="89"/>
        <v>65.921796397718268</v>
      </c>
      <c r="AL118" s="22">
        <f t="shared" si="58"/>
        <v>593.87523539269171</v>
      </c>
      <c r="AM118" s="62">
        <f t="shared" si="59"/>
        <v>887.20856872602508</v>
      </c>
      <c r="AN118" s="62">
        <f ca="1">AVERAGE(OFFSET($AM$3,0,0,'Données projet'!$E$10+1,1))-AVERAGE(OFFSET($H$3,0,0,'Données projet'!$E$10+1,1))</f>
        <v>305.35633273533773</v>
      </c>
      <c r="AO118" s="62">
        <f t="shared" si="90"/>
        <v>156.67965022779896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-1.2710188457276673E-13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415.52119746518764</v>
      </c>
      <c r="BJ118" s="62">
        <f t="shared" si="92"/>
        <v>490.11217551185604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1.8528265569182569E-13</v>
      </c>
      <c r="BS118" s="24">
        <f t="shared" si="63"/>
        <v>1.8528265569182569E-13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projet'!$B$12,Paramètres!$A$1:$I$89,3,0)*VLOOKUP('Données projet'!$B$12,Paramètres!$A$1:$I$89,5,0)</f>
        <v>-1.8089849618263545E-13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232.53653575369032</v>
      </c>
      <c r="CE118" s="62">
        <f t="shared" si="94"/>
        <v>219.59799863414099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-3.813056537183002E-14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191.58722091189202</v>
      </c>
      <c r="CZ118" s="62">
        <f t="shared" si="96"/>
        <v>140.7542783756906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217.20547328702645</v>
      </c>
      <c r="T119" s="62">
        <f t="shared" si="88"/>
        <v>137.55906339137317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2.0410948153172281E-13</v>
      </c>
      <c r="AC119" s="24">
        <f t="shared" si="57"/>
        <v>2.0410948153172281E-13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270.39999999999947</v>
      </c>
      <c r="AJ119" s="14">
        <f>AI119*VLOOKUP('Données projet'!$B$10,Paramètres!$A$1:$I$89,3,0)*VLOOKUP('Données projet'!$B$10,Paramètres!$A$1:$I$89,5,0)</f>
        <v>244.65791999999951</v>
      </c>
      <c r="AK119" s="14">
        <f t="shared" si="89"/>
        <v>59.44058075210858</v>
      </c>
      <c r="AL119" s="22">
        <f t="shared" si="58"/>
        <v>529.63822214325489</v>
      </c>
      <c r="AM119" s="62">
        <f t="shared" si="59"/>
        <v>822.97155547658826</v>
      </c>
      <c r="AN119" s="62">
        <f ca="1">AVERAGE(OFFSET($AM$3,0,0,'Données projet'!$E$10+1,1))-AVERAGE(OFFSET($H$3,0,0,'Données projet'!$E$10+1,1))</f>
        <v>305.35633273533773</v>
      </c>
      <c r="AO119" s="62">
        <f t="shared" si="90"/>
        <v>156.67965022779896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-1.2710188457276673E-13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415.52119746518764</v>
      </c>
      <c r="BJ119" s="62">
        <f t="shared" si="92"/>
        <v>490.11217551185604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1.3101462227594221E-13</v>
      </c>
      <c r="BS119" s="24">
        <f t="shared" si="63"/>
        <v>1.3101462227594221E-13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projet'!$B$12,Paramètres!$A$1:$I$89,3,0)*VLOOKUP('Données projet'!$B$12,Paramètres!$A$1:$I$89,5,0)</f>
        <v>-1.8089849618263545E-13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232.53653575369032</v>
      </c>
      <c r="CE119" s="62">
        <f t="shared" si="94"/>
        <v>219.59799863414099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-3.813056537183002E-14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191.58722091189202</v>
      </c>
      <c r="CZ119" s="62">
        <f t="shared" si="96"/>
        <v>140.7542783756906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217.20547328702645</v>
      </c>
      <c r="T120" s="62">
        <f t="shared" si="88"/>
        <v>137.55906339137317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1.4432719849555158E-13</v>
      </c>
      <c r="AC120" s="24">
        <f t="shared" si="57"/>
        <v>1.4432719849555158E-13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273.79999999999944</v>
      </c>
      <c r="AJ120" s="14">
        <f>AI120*VLOOKUP('Données projet'!$B$10,Paramètres!$A$1:$I$89,3,0)*VLOOKUP('Données projet'!$B$10,Paramètres!$A$1:$I$89,5,0)</f>
        <v>247.73423999999949</v>
      </c>
      <c r="AK120" s="14">
        <f t="shared" si="89"/>
        <v>60.100505665695003</v>
      </c>
      <c r="AL120" s="22">
        <f t="shared" si="58"/>
        <v>536.14551536775116</v>
      </c>
      <c r="AM120" s="62">
        <f t="shared" si="59"/>
        <v>829.47884870108442</v>
      </c>
      <c r="AN120" s="62">
        <f ca="1">AVERAGE(OFFSET($AM$3,0,0,'Données projet'!$E$10+1,1))-AVERAGE(OFFSET($H$3,0,0,'Données projet'!$E$10+1,1))</f>
        <v>305.35633273533773</v>
      </c>
      <c r="AO120" s="62">
        <f t="shared" si="90"/>
        <v>156.67965022779896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-1.2710188457276673E-13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415.52119746518764</v>
      </c>
      <c r="BJ120" s="62">
        <f t="shared" si="92"/>
        <v>490.11217551185604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9.2641327845912845E-14</v>
      </c>
      <c r="BS120" s="24">
        <f t="shared" si="63"/>
        <v>9.2641327845912845E-14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projet'!$B$12,Paramètres!$A$1:$I$89,3,0)*VLOOKUP('Données projet'!$B$12,Paramètres!$A$1:$I$89,5,0)</f>
        <v>-1.8089849618263545E-13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232.53653575369032</v>
      </c>
      <c r="CE120" s="62">
        <f t="shared" si="94"/>
        <v>219.59799863414099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-3.813056537183002E-14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191.58722091189202</v>
      </c>
      <c r="CZ120" s="62">
        <f t="shared" si="96"/>
        <v>140.7542783756906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217.20547328702645</v>
      </c>
      <c r="T121" s="62">
        <f t="shared" si="88"/>
        <v>137.55906339137317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1.020547407658614E-13</v>
      </c>
      <c r="AC121" s="24">
        <f t="shared" si="57"/>
        <v>1.020547407658614E-13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277.19999999999942</v>
      </c>
      <c r="AJ121" s="14">
        <f>AI121*VLOOKUP('Données projet'!$B$10,Paramètres!$A$1:$I$89,3,0)*VLOOKUP('Données projet'!$B$10,Paramètres!$A$1:$I$89,5,0)</f>
        <v>250.81055999999944</v>
      </c>
      <c r="AK121" s="14">
        <f t="shared" si="89"/>
        <v>60.759477364108577</v>
      </c>
      <c r="AL121" s="22">
        <f t="shared" si="58"/>
        <v>542.65114840915476</v>
      </c>
      <c r="AM121" s="62">
        <f t="shared" si="59"/>
        <v>835.98448174248801</v>
      </c>
      <c r="AN121" s="62">
        <f ca="1">AVERAGE(OFFSET($AM$3,0,0,'Données projet'!$E$10+1,1))-AVERAGE(OFFSET($H$3,0,0,'Données projet'!$E$10+1,1))</f>
        <v>305.35633273533773</v>
      </c>
      <c r="AO121" s="62">
        <f t="shared" si="90"/>
        <v>156.67965022779896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-1.2710188457276673E-13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415.52119746518764</v>
      </c>
      <c r="BJ121" s="62">
        <f t="shared" si="92"/>
        <v>490.11217551185604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6.5507311137971105E-14</v>
      </c>
      <c r="BS121" s="24">
        <f t="shared" si="63"/>
        <v>6.5507311137971105E-14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projet'!$B$12,Paramètres!$A$1:$I$89,3,0)*VLOOKUP('Données projet'!$B$12,Paramètres!$A$1:$I$89,5,0)</f>
        <v>-1.8089849618263545E-13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232.53653575369032</v>
      </c>
      <c r="CE121" s="62">
        <f t="shared" si="94"/>
        <v>219.59799863414099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-3.813056537183002E-14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191.58722091189202</v>
      </c>
      <c r="CZ121" s="62">
        <f t="shared" si="96"/>
        <v>140.7542783756906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217.20547328702645</v>
      </c>
      <c r="T122" s="62">
        <f t="shared" si="88"/>
        <v>137.55906339137317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7.216359924777579E-14</v>
      </c>
      <c r="AC122" s="24">
        <f t="shared" si="57"/>
        <v>7.216359924777579E-14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280.5999999999994</v>
      </c>
      <c r="AJ122" s="14">
        <f>AI122*VLOOKUP('Données projet'!$B$10,Paramètres!$A$1:$I$89,3,0)*VLOOKUP('Données projet'!$B$10,Paramètres!$A$1:$I$89,5,0)</f>
        <v>253.88687999999945</v>
      </c>
      <c r="AK122" s="14">
        <f t="shared" si="89"/>
        <v>61.41750889127686</v>
      </c>
      <c r="AL122" s="22">
        <f t="shared" si="58"/>
        <v>549.15514398563948</v>
      </c>
      <c r="AM122" s="62">
        <f t="shared" si="59"/>
        <v>842.48847731897285</v>
      </c>
      <c r="AN122" s="62">
        <f ca="1">AVERAGE(OFFSET($AM$3,0,0,'Données projet'!$E$10+1,1))-AVERAGE(OFFSET($H$3,0,0,'Données projet'!$E$10+1,1))</f>
        <v>305.35633273533773</v>
      </c>
      <c r="AO122" s="62">
        <f t="shared" si="90"/>
        <v>156.67965022779896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-1.2710188457276673E-13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415.52119746518764</v>
      </c>
      <c r="BJ122" s="62">
        <f t="shared" si="92"/>
        <v>490.11217551185604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4.6320663922956422E-14</v>
      </c>
      <c r="BS122" s="24">
        <f t="shared" si="63"/>
        <v>4.6320663922956422E-14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projet'!$B$12,Paramètres!$A$1:$I$89,3,0)*VLOOKUP('Données projet'!$B$12,Paramètres!$A$1:$I$89,5,0)</f>
        <v>-1.8089849618263545E-13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232.53653575369032</v>
      </c>
      <c r="CE122" s="62">
        <f t="shared" si="94"/>
        <v>219.59799863414099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-3.813056537183002E-14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191.58722091189202</v>
      </c>
      <c r="CZ122" s="62">
        <f t="shared" si="96"/>
        <v>140.7542783756906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217.20547328702645</v>
      </c>
      <c r="T123" s="62">
        <f t="shared" si="88"/>
        <v>137.55906339137317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5.1027370382930702E-14</v>
      </c>
      <c r="AC123" s="24">
        <f t="shared" si="57"/>
        <v>5.1027370382930702E-14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283.99999999999937</v>
      </c>
      <c r="AJ123" s="14">
        <f>AI123*VLOOKUP('Données projet'!$B$10,Paramètres!$A$1:$I$89,3,0)*VLOOKUP('Données projet'!$B$10,Paramètres!$A$1:$I$89,5,0)</f>
        <v>256.9631999999994</v>
      </c>
      <c r="AK123" s="14">
        <f t="shared" si="89"/>
        <v>62.074612956837854</v>
      </c>
      <c r="AL123" s="22">
        <f t="shared" si="58"/>
        <v>555.65752423315814</v>
      </c>
      <c r="AM123" s="62">
        <f t="shared" si="59"/>
        <v>848.99085756649151</v>
      </c>
      <c r="AN123" s="62">
        <f ca="1">AVERAGE(OFFSET($AM$3,0,0,'Données projet'!$E$10+1,1))-AVERAGE(OFFSET($H$3,0,0,'Données projet'!$E$10+1,1))</f>
        <v>305.35633273533773</v>
      </c>
      <c r="AO123" s="62">
        <f t="shared" si="90"/>
        <v>156.67965022779896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-1.2710188457276673E-13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415.52119746518764</v>
      </c>
      <c r="BJ123" s="62">
        <f t="shared" si="92"/>
        <v>490.11217551185604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3.2753655568985552E-14</v>
      </c>
      <c r="BS123" s="24">
        <f t="shared" si="63"/>
        <v>3.2753655568985552E-14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projet'!$B$12,Paramètres!$A$1:$I$89,3,0)*VLOOKUP('Données projet'!$B$12,Paramètres!$A$1:$I$89,5,0)</f>
        <v>-1.8089849618263545E-13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232.53653575369032</v>
      </c>
      <c r="CE123" s="62">
        <f t="shared" si="94"/>
        <v>219.59799863414099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-3.813056537183002E-14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191.58722091189202</v>
      </c>
      <c r="CZ123" s="62">
        <f t="shared" si="96"/>
        <v>140.7542783756906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217.20547328702645</v>
      </c>
      <c r="T124" s="62">
        <f t="shared" si="88"/>
        <v>137.55906339137317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3.6081799623887895E-14</v>
      </c>
      <c r="AC124" s="24">
        <f t="shared" si="57"/>
        <v>3.6081799623887895E-14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287.39999999999935</v>
      </c>
      <c r="AJ124" s="14">
        <f>AI124*VLOOKUP('Données projet'!$B$10,Paramètres!$A$1:$I$89,3,0)*VLOOKUP('Données projet'!$B$10,Paramètres!$A$1:$I$89,5,0)</f>
        <v>260.03951999999941</v>
      </c>
      <c r="AK124" s="14">
        <f t="shared" si="89"/>
        <v>62.730801948604764</v>
      </c>
      <c r="AL124" s="22">
        <f t="shared" si="58"/>
        <v>562.1583107271523</v>
      </c>
      <c r="AM124" s="62">
        <f t="shared" si="59"/>
        <v>855.49164406048567</v>
      </c>
      <c r="AN124" s="62">
        <f ca="1">AVERAGE(OFFSET($AM$3,0,0,'Données projet'!$E$10+1,1))-AVERAGE(OFFSET($H$3,0,0,'Données projet'!$E$10+1,1))</f>
        <v>305.35633273533773</v>
      </c>
      <c r="AO124" s="62">
        <f t="shared" si="90"/>
        <v>156.67965022779896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-1.2710188457276673E-13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415.52119746518764</v>
      </c>
      <c r="BJ124" s="62">
        <f t="shared" si="92"/>
        <v>490.11217551185604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2.3160331961478211E-14</v>
      </c>
      <c r="BS124" s="24">
        <f t="shared" si="63"/>
        <v>2.3160331961478211E-14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projet'!$B$12,Paramètres!$A$1:$I$89,3,0)*VLOOKUP('Données projet'!$B$12,Paramètres!$A$1:$I$89,5,0)</f>
        <v>-1.8089849618263545E-13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232.53653575369032</v>
      </c>
      <c r="CE124" s="62">
        <f t="shared" si="94"/>
        <v>219.59799863414099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-3.813056537183002E-14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191.58722091189202</v>
      </c>
      <c r="CZ124" s="62">
        <f t="shared" si="96"/>
        <v>140.7542783756906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217.20547328702645</v>
      </c>
      <c r="T125" s="62">
        <f t="shared" si="88"/>
        <v>137.55906339137317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2.5513685191465351E-14</v>
      </c>
      <c r="AC125" s="24">
        <f t="shared" si="57"/>
        <v>2.5513685191465351E-14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290.79999999999933</v>
      </c>
      <c r="AJ125" s="14">
        <f>AI125*VLOOKUP('Données projet'!$B$10,Paramètres!$A$1:$I$89,3,0)*VLOOKUP('Données projet'!$B$10,Paramètres!$A$1:$I$89,5,0)</f>
        <v>263.11583999999937</v>
      </c>
      <c r="AK125" s="14">
        <f t="shared" si="89"/>
        <v>63.386087944423274</v>
      </c>
      <c r="AL125" s="22">
        <f t="shared" si="58"/>
        <v>568.65752450320269</v>
      </c>
      <c r="AM125" s="62">
        <f t="shared" si="59"/>
        <v>861.99085783653595</v>
      </c>
      <c r="AN125" s="62">
        <f ca="1">AVERAGE(OFFSET($AM$3,0,0,'Données projet'!$E$10+1,1))-AVERAGE(OFFSET($H$3,0,0,'Données projet'!$E$10+1,1))</f>
        <v>305.35633273533773</v>
      </c>
      <c r="AO125" s="62">
        <f t="shared" si="90"/>
        <v>156.67965022779896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-1.2710188457276673E-13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415.52119746518764</v>
      </c>
      <c r="BJ125" s="62">
        <f t="shared" si="92"/>
        <v>490.11217551185604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1.6376827784492776E-14</v>
      </c>
      <c r="BS125" s="24">
        <f t="shared" si="63"/>
        <v>1.6376827784492776E-14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projet'!$B$12,Paramètres!$A$1:$I$89,3,0)*VLOOKUP('Données projet'!$B$12,Paramètres!$A$1:$I$89,5,0)</f>
        <v>-1.8089849618263545E-13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232.53653575369032</v>
      </c>
      <c r="CE125" s="62">
        <f t="shared" si="94"/>
        <v>219.59799863414099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-3.813056537183002E-14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191.58722091189202</v>
      </c>
      <c r="CZ125" s="62">
        <f t="shared" si="96"/>
        <v>140.7542783756906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217.20547328702645</v>
      </c>
      <c r="T126" s="62">
        <f t="shared" si="88"/>
        <v>137.55906339137317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1.8040899811943948E-14</v>
      </c>
      <c r="AC126" s="24">
        <f t="shared" si="57"/>
        <v>1.8040899811943948E-14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294.19999999999931</v>
      </c>
      <c r="AJ126" s="14">
        <f>AI126*VLOOKUP('Données projet'!$B$10,Paramètres!$A$1:$I$89,3,0)*VLOOKUP('Données projet'!$B$10,Paramètres!$A$1:$I$89,5,0)</f>
        <v>266.19215999999938</v>
      </c>
      <c r="AK126" s="14">
        <f t="shared" si="89"/>
        <v>64.04048272345959</v>
      </c>
      <c r="AL126" s="22">
        <f t="shared" si="58"/>
        <v>575.15518607669094</v>
      </c>
      <c r="AM126" s="62">
        <f t="shared" si="59"/>
        <v>868.48851941002431</v>
      </c>
      <c r="AN126" s="62">
        <f ca="1">AVERAGE(OFFSET($AM$3,0,0,'Données projet'!$E$10+1,1))-AVERAGE(OFFSET($H$3,0,0,'Données projet'!$E$10+1,1))</f>
        <v>305.35633273533773</v>
      </c>
      <c r="AO126" s="62">
        <f t="shared" si="90"/>
        <v>156.67965022779896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-1.2710188457276673E-13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415.52119746518764</v>
      </c>
      <c r="BJ126" s="62">
        <f t="shared" si="92"/>
        <v>490.11217551185604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1.1580165980739106E-14</v>
      </c>
      <c r="BS126" s="24">
        <f t="shared" si="63"/>
        <v>1.1580165980739106E-14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projet'!$B$12,Paramètres!$A$1:$I$89,3,0)*VLOOKUP('Données projet'!$B$12,Paramètres!$A$1:$I$89,5,0)</f>
        <v>-1.8089849618263545E-13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232.53653575369032</v>
      </c>
      <c r="CE126" s="62">
        <f t="shared" si="94"/>
        <v>219.59799863414099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-3.813056537183002E-14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191.58722091189202</v>
      </c>
      <c r="CZ126" s="62">
        <f t="shared" si="96"/>
        <v>140.7542783756906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217.20547328702645</v>
      </c>
      <c r="T127" s="62">
        <f t="shared" si="88"/>
        <v>137.55906339137317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1.2756842595732675E-14</v>
      </c>
      <c r="AC127" s="24">
        <f t="shared" si="57"/>
        <v>1.2756842595732675E-14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297.59999999999928</v>
      </c>
      <c r="AJ127" s="14">
        <f>AI127*VLOOKUP('Données projet'!$B$10,Paramètres!$A$1:$I$89,3,0)*VLOOKUP('Données projet'!$B$10,Paramètres!$A$1:$I$89,5,0)</f>
        <v>269.26847999999933</v>
      </c>
      <c r="AK127" s="14">
        <f t="shared" si="89"/>
        <v>64.693997776951065</v>
      </c>
      <c r="AL127" s="22">
        <f t="shared" si="58"/>
        <v>581.6513154615219</v>
      </c>
      <c r="AM127" s="62">
        <f t="shared" si="59"/>
        <v>874.98464879485527</v>
      </c>
      <c r="AN127" s="62">
        <f ca="1">AVERAGE(OFFSET($AM$3,0,0,'Données projet'!$E$10+1,1))-AVERAGE(OFFSET($H$3,0,0,'Données projet'!$E$10+1,1))</f>
        <v>305.35633273533773</v>
      </c>
      <c r="AO127" s="62">
        <f t="shared" si="90"/>
        <v>156.67965022779896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-1.2710188457276673E-13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415.52119746518764</v>
      </c>
      <c r="BJ127" s="62">
        <f t="shared" si="92"/>
        <v>490.11217551185604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8.1884138922463881E-15</v>
      </c>
      <c r="BS127" s="24">
        <f t="shared" si="63"/>
        <v>8.1884138922463881E-15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projet'!$B$12,Paramètres!$A$1:$I$89,3,0)*VLOOKUP('Données projet'!$B$12,Paramètres!$A$1:$I$89,5,0)</f>
        <v>-1.8089849618263545E-13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232.53653575369032</v>
      </c>
      <c r="CE127" s="62">
        <f t="shared" si="94"/>
        <v>219.59799863414099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-3.813056537183002E-14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191.58722091189202</v>
      </c>
      <c r="CZ127" s="62">
        <f t="shared" si="96"/>
        <v>140.7542783756906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217.20547328702645</v>
      </c>
      <c r="T128" s="62">
        <f t="shared" si="88"/>
        <v>137.55906339137317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9.0204499059719738E-15</v>
      </c>
      <c r="AC128" s="24">
        <f t="shared" si="57"/>
        <v>9.0204499059719738E-15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300.99999999999926</v>
      </c>
      <c r="AJ128" s="14">
        <f>AI128*VLOOKUP('Données projet'!$B$10,Paramètres!$A$1:$I$89,3,0)*VLOOKUP('Données projet'!$B$10,Paramètres!$A$1:$I$89,5,0)</f>
        <v>272.34479999999934</v>
      </c>
      <c r="AK128" s="14">
        <f t="shared" si="89"/>
        <v>65.346644318451595</v>
      </c>
      <c r="AL128" s="22">
        <f t="shared" si="58"/>
        <v>588.1459321879687</v>
      </c>
      <c r="AM128" s="62">
        <f t="shared" si="59"/>
        <v>881.47926552130207</v>
      </c>
      <c r="AN128" s="62">
        <f ca="1">AVERAGE(OFFSET($AM$3,0,0,'Données projet'!$E$10+1,1))-AVERAGE(OFFSET($H$3,0,0,'Données projet'!$E$10+1,1))</f>
        <v>305.35633273533773</v>
      </c>
      <c r="AO128" s="62">
        <f t="shared" si="90"/>
        <v>156.67965022779896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-1.2710188457276673E-13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415.52119746518764</v>
      </c>
      <c r="BJ128" s="62">
        <f t="shared" si="92"/>
        <v>490.11217551185604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5.7900829903695528E-15</v>
      </c>
      <c r="BS128" s="24">
        <f t="shared" si="63"/>
        <v>5.7900829903695528E-15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projet'!$B$12,Paramètres!$A$1:$I$89,3,0)*VLOOKUP('Données projet'!$B$12,Paramètres!$A$1:$I$89,5,0)</f>
        <v>-1.8089849618263545E-13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232.53653575369032</v>
      </c>
      <c r="CE128" s="62">
        <f t="shared" si="94"/>
        <v>219.59799863414099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-3.813056537183002E-14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191.58722091189202</v>
      </c>
      <c r="CZ128" s="62">
        <f t="shared" si="96"/>
        <v>140.7542783756906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217.20547328702645</v>
      </c>
      <c r="T129" s="62">
        <f t="shared" si="88"/>
        <v>137.55906339137317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6.3784212978663377E-15</v>
      </c>
      <c r="AC129" s="24">
        <f t="shared" si="57"/>
        <v>6.3784212978663377E-15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270.99999999999926</v>
      </c>
      <c r="AJ129" s="14">
        <f>AI129*VLOOKUP('Données projet'!$B$10,Paramètres!$A$1:$I$89,3,0)*VLOOKUP('Données projet'!$B$10,Paramètres!$A$1:$I$89,5,0)</f>
        <v>245.2007999999993</v>
      </c>
      <c r="AK129" s="14">
        <f t="shared" si="89"/>
        <v>59.557107941433571</v>
      </c>
      <c r="AL129" s="22">
        <f t="shared" si="58"/>
        <v>530.78668966466228</v>
      </c>
      <c r="AM129" s="62">
        <f t="shared" si="59"/>
        <v>824.12002299799565</v>
      </c>
      <c r="AN129" s="62">
        <f ca="1">AVERAGE(OFFSET($AM$3,0,0,'Données projet'!$E$10+1,1))-AVERAGE(OFFSET($H$3,0,0,'Données projet'!$E$10+1,1))</f>
        <v>305.35633273533773</v>
      </c>
      <c r="AO129" s="62">
        <f t="shared" si="90"/>
        <v>156.67965022779896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-1.2710188457276673E-13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415.52119746518764</v>
      </c>
      <c r="BJ129" s="62">
        <f t="shared" si="92"/>
        <v>490.11217551185604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4.094206946123194E-15</v>
      </c>
      <c r="BS129" s="24">
        <f t="shared" si="63"/>
        <v>4.094206946123194E-15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projet'!$B$12,Paramètres!$A$1:$I$89,3,0)*VLOOKUP('Données projet'!$B$12,Paramètres!$A$1:$I$89,5,0)</f>
        <v>-1.8089849618263545E-13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232.53653575369032</v>
      </c>
      <c r="CE129" s="62">
        <f t="shared" si="94"/>
        <v>219.59799863414099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-3.813056537183002E-14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191.58722091189202</v>
      </c>
      <c r="CZ129" s="62">
        <f t="shared" si="96"/>
        <v>140.7542783756906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217.20547328702645</v>
      </c>
      <c r="T130" s="62">
        <f t="shared" si="88"/>
        <v>137.55906339137317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4.5102249529859869E-15</v>
      </c>
      <c r="AC130" s="24">
        <f t="shared" si="57"/>
        <v>4.5102249529859869E-15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273.99999999999926</v>
      </c>
      <c r="AJ130" s="14">
        <f>AI130*VLOOKUP('Données projet'!$B$10,Paramètres!$A$1:$I$89,3,0)*VLOOKUP('Données projet'!$B$10,Paramètres!$A$1:$I$89,5,0)</f>
        <v>247.91519999999932</v>
      </c>
      <c r="AK130" s="14">
        <f t="shared" si="89"/>
        <v>60.139294964297299</v>
      </c>
      <c r="AL130" s="22">
        <f t="shared" si="58"/>
        <v>536.52824539614994</v>
      </c>
      <c r="AM130" s="62">
        <f t="shared" si="59"/>
        <v>829.8615787294832</v>
      </c>
      <c r="AN130" s="62">
        <f ca="1">AVERAGE(OFFSET($AM$3,0,0,'Données projet'!$E$10+1,1))-AVERAGE(OFFSET($H$3,0,0,'Données projet'!$E$10+1,1))</f>
        <v>305.35633273533773</v>
      </c>
      <c r="AO130" s="62">
        <f t="shared" si="90"/>
        <v>156.67965022779896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-1.2710188457276673E-13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415.52119746518764</v>
      </c>
      <c r="BJ130" s="62">
        <f t="shared" si="92"/>
        <v>490.11217551185604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2.8950414951847764E-15</v>
      </c>
      <c r="BS130" s="24">
        <f t="shared" si="63"/>
        <v>2.8950414951847764E-15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projet'!$B$12,Paramètres!$A$1:$I$89,3,0)*VLOOKUP('Données projet'!$B$12,Paramètres!$A$1:$I$89,5,0)</f>
        <v>-1.8089849618263545E-13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232.53653575369032</v>
      </c>
      <c r="CE130" s="62">
        <f t="shared" si="94"/>
        <v>219.59799863414099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-3.813056537183002E-14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191.58722091189202</v>
      </c>
      <c r="CZ130" s="62">
        <f t="shared" si="96"/>
        <v>140.7542783756906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217.20547328702645</v>
      </c>
      <c r="T131" s="62">
        <f t="shared" si="88"/>
        <v>137.55906339137317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3.1892106489331689E-15</v>
      </c>
      <c r="AC131" s="24">
        <f t="shared" si="57"/>
        <v>3.1892106489331689E-15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276.99999999999926</v>
      </c>
      <c r="AJ131" s="14">
        <f>AI131*VLOOKUP('Données projet'!$B$10,Paramètres!$A$1:$I$89,3,0)*VLOOKUP('Données projet'!$B$10,Paramètres!$A$1:$I$89,5,0)</f>
        <v>250.62959999999933</v>
      </c>
      <c r="AK131" s="14">
        <f t="shared" si="89"/>
        <v>60.720740474356212</v>
      </c>
      <c r="AL131" s="22">
        <f t="shared" si="58"/>
        <v>542.26850965950257</v>
      </c>
      <c r="AM131" s="62">
        <f t="shared" si="59"/>
        <v>835.60184299283583</v>
      </c>
      <c r="AN131" s="62">
        <f ca="1">AVERAGE(OFFSET($AM$3,0,0,'Données projet'!$E$10+1,1))-AVERAGE(OFFSET($H$3,0,0,'Données projet'!$E$10+1,1))</f>
        <v>305.35633273533773</v>
      </c>
      <c r="AO131" s="62">
        <f t="shared" si="90"/>
        <v>156.67965022779896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-1.2710188457276673E-13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415.52119746518764</v>
      </c>
      <c r="BJ131" s="62">
        <f t="shared" si="92"/>
        <v>490.11217551185604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2.047103473061597E-15</v>
      </c>
      <c r="BS131" s="24">
        <f t="shared" si="63"/>
        <v>2.047103473061597E-15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projet'!$B$12,Paramètres!$A$1:$I$89,3,0)*VLOOKUP('Données projet'!$B$12,Paramètres!$A$1:$I$89,5,0)</f>
        <v>-1.8089849618263545E-13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232.53653575369032</v>
      </c>
      <c r="CE131" s="62">
        <f t="shared" si="94"/>
        <v>219.59799863414099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-3.813056537183002E-14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191.58722091189202</v>
      </c>
      <c r="CZ131" s="62">
        <f t="shared" si="96"/>
        <v>140.7542783756906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217.20547328702645</v>
      </c>
      <c r="T132" s="62">
        <f t="shared" si="88"/>
        <v>137.55906339137317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2.2551124764929934E-15</v>
      </c>
      <c r="AC132" s="24">
        <f t="shared" ref="AC132:AC153" si="111">SUM(Z132:AB132)</f>
        <v>2.2551124764929934E-15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279.99999999999926</v>
      </c>
      <c r="AJ132" s="14">
        <f>AI132*VLOOKUP('Données projet'!$B$10,Paramètres!$A$1:$I$89,3,0)*VLOOKUP('Données projet'!$B$10,Paramètres!$A$1:$I$89,5,0)</f>
        <v>253.34399999999931</v>
      </c>
      <c r="AK132" s="14">
        <f t="shared" si="89"/>
        <v>61.301453431926141</v>
      </c>
      <c r="AL132" s="22">
        <f t="shared" ref="AL132:AL153" si="112">(AJ132+AK132)*0.475*44/12</f>
        <v>548.00749806060355</v>
      </c>
      <c r="AM132" s="62">
        <f t="shared" ref="AM132:AM195" si="113">AL132+(AD132+AE132)*44/12</f>
        <v>841.34083139393692</v>
      </c>
      <c r="AN132" s="62">
        <f ca="1">AVERAGE(OFFSET($AM$3,0,0,'Données projet'!$E$10+1,1))-AVERAGE(OFFSET($H$3,0,0,'Données projet'!$E$10+1,1))</f>
        <v>305.35633273533773</v>
      </c>
      <c r="AO132" s="62">
        <f t="shared" si="90"/>
        <v>156.67965022779896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-1.2710188457276673E-13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415.52119746518764</v>
      </c>
      <c r="BJ132" s="62">
        <f t="shared" si="92"/>
        <v>490.11217551185604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1.4475207475923882E-15</v>
      </c>
      <c r="BS132" s="24">
        <f t="shared" ref="BS132:BS153" si="117">SUM(BP132:BR132)</f>
        <v>1.4475207475923882E-15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projet'!$B$12,Paramètres!$A$1:$I$89,3,0)*VLOOKUP('Données projet'!$B$12,Paramètres!$A$1:$I$89,5,0)</f>
        <v>-1.8089849618263545E-13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232.53653575369032</v>
      </c>
      <c r="CE132" s="62">
        <f t="shared" si="94"/>
        <v>219.59799863414099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-3.813056537183002E-14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191.58722091189202</v>
      </c>
      <c r="CZ132" s="62">
        <f t="shared" si="96"/>
        <v>140.7542783756906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217.20547328702645</v>
      </c>
      <c r="T133" s="62">
        <f t="shared" ref="T133:T196" si="142">$T$3</f>
        <v>137.55906339137317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1.5946053244665844E-15</v>
      </c>
      <c r="AC133" s="24">
        <f t="shared" si="111"/>
        <v>1.5946053244665844E-15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282.99999999999926</v>
      </c>
      <c r="AJ133" s="14">
        <f>AI133*VLOOKUP('Données projet'!$B$10,Paramètres!$A$1:$I$89,3,0)*VLOOKUP('Données projet'!$B$10,Paramètres!$A$1:$I$89,5,0)</f>
        <v>256.05839999999932</v>
      </c>
      <c r="AK133" s="14">
        <f t="shared" ref="AK133:AK153" si="143">EXP(-1.0587+0.8836*LN(AJ133)+0.284)</f>
        <v>61.88144259425632</v>
      </c>
      <c r="AL133" s="22">
        <f t="shared" si="112"/>
        <v>553.74522585166198</v>
      </c>
      <c r="AM133" s="62">
        <f t="shared" si="113"/>
        <v>847.07855918499536</v>
      </c>
      <c r="AN133" s="62">
        <f ca="1">AVERAGE(OFFSET($AM$3,0,0,'Données projet'!$E$10+1,1))-AVERAGE(OFFSET($H$3,0,0,'Données projet'!$E$10+1,1))</f>
        <v>305.35633273533773</v>
      </c>
      <c r="AO133" s="62">
        <f t="shared" ref="AO133:AO196" si="144">$AO$3</f>
        <v>156.67965022779896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-1.2710188457276673E-13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415.52119746518764</v>
      </c>
      <c r="BJ133" s="62">
        <f t="shared" ref="BJ133:BJ196" si="146">$BJ$3</f>
        <v>490.11217551185604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1.0235517365307985E-15</v>
      </c>
      <c r="BS133" s="24">
        <f t="shared" si="117"/>
        <v>1.0235517365307985E-15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projet'!$B$12,Paramètres!$A$1:$I$89,3,0)*VLOOKUP('Données projet'!$B$12,Paramètres!$A$1:$I$89,5,0)</f>
        <v>-1.8089849618263545E-13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232.53653575369032</v>
      </c>
      <c r="CE133" s="62">
        <f t="shared" ref="CE133:CE196" si="148">$CE$3</f>
        <v>219.59799863414099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-3.813056537183002E-14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191.58722091189202</v>
      </c>
      <c r="CZ133" s="62">
        <f t="shared" ref="CZ133:CZ196" si="150">$CZ$3</f>
        <v>140.7542783756906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217.20547328702645</v>
      </c>
      <c r="T134" s="62">
        <f t="shared" si="142"/>
        <v>137.55906339137317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1.1275562382464967E-15</v>
      </c>
      <c r="AC134" s="24">
        <f t="shared" si="111"/>
        <v>1.1275562382464967E-15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285.99999999999926</v>
      </c>
      <c r="AJ134" s="14">
        <f>AI134*VLOOKUP('Données projet'!$B$10,Paramètres!$A$1:$I$89,3,0)*VLOOKUP('Données projet'!$B$10,Paramètres!$A$1:$I$89,5,0)</f>
        <v>258.77279999999934</v>
      </c>
      <c r="AK134" s="14">
        <f t="shared" si="143"/>
        <v>62.460716522234527</v>
      </c>
      <c r="AL134" s="22">
        <f t="shared" si="112"/>
        <v>559.48170794289069</v>
      </c>
      <c r="AM134" s="62">
        <f t="shared" si="113"/>
        <v>852.81504127622406</v>
      </c>
      <c r="AN134" s="62">
        <f ca="1">AVERAGE(OFFSET($AM$3,0,0,'Données projet'!$E$10+1,1))-AVERAGE(OFFSET($H$3,0,0,'Données projet'!$E$10+1,1))</f>
        <v>305.35633273533773</v>
      </c>
      <c r="AO134" s="62">
        <f t="shared" si="144"/>
        <v>156.67965022779896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-1.2710188457276673E-13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415.52119746518764</v>
      </c>
      <c r="BJ134" s="62">
        <f t="shared" si="146"/>
        <v>490.11217551185604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7.237603737961941E-16</v>
      </c>
      <c r="BS134" s="24">
        <f t="shared" si="117"/>
        <v>7.237603737961941E-16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projet'!$B$12,Paramètres!$A$1:$I$89,3,0)*VLOOKUP('Données projet'!$B$12,Paramètres!$A$1:$I$89,5,0)</f>
        <v>-1.8089849618263545E-13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232.53653575369032</v>
      </c>
      <c r="CE134" s="62">
        <f t="shared" si="148"/>
        <v>219.59799863414099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-3.813056537183002E-14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191.58722091189202</v>
      </c>
      <c r="CZ134" s="62">
        <f t="shared" si="150"/>
        <v>140.7542783756906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217.20547328702645</v>
      </c>
      <c r="T135" s="62">
        <f t="shared" si="142"/>
        <v>137.55906339137317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7.9730266223329221E-16</v>
      </c>
      <c r="AC135" s="24">
        <f t="shared" si="111"/>
        <v>7.9730266223329221E-16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288.99999999999926</v>
      </c>
      <c r="AJ135" s="14">
        <f>AI135*VLOOKUP('Données projet'!$B$10,Paramètres!$A$1:$I$89,3,0)*VLOOKUP('Données projet'!$B$10,Paramètres!$A$1:$I$89,5,0)</f>
        <v>261.48719999999929</v>
      </c>
      <c r="AK135" s="14">
        <f t="shared" si="143"/>
        <v>63.03928358680222</v>
      </c>
      <c r="AL135" s="22">
        <f t="shared" si="112"/>
        <v>565.21695891367926</v>
      </c>
      <c r="AM135" s="62">
        <f t="shared" si="113"/>
        <v>858.55029224701252</v>
      </c>
      <c r="AN135" s="62">
        <f ca="1">AVERAGE(OFFSET($AM$3,0,0,'Données projet'!$E$10+1,1))-AVERAGE(OFFSET($H$3,0,0,'Données projet'!$E$10+1,1))</f>
        <v>305.35633273533773</v>
      </c>
      <c r="AO135" s="62">
        <f t="shared" si="144"/>
        <v>156.67965022779896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-1.2710188457276673E-13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415.52119746518764</v>
      </c>
      <c r="BJ135" s="62">
        <f t="shared" si="146"/>
        <v>490.11217551185604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5.1177586826539926E-16</v>
      </c>
      <c r="BS135" s="24">
        <f t="shared" si="117"/>
        <v>5.1177586826539926E-16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projet'!$B$12,Paramètres!$A$1:$I$89,3,0)*VLOOKUP('Données projet'!$B$12,Paramètres!$A$1:$I$89,5,0)</f>
        <v>-1.8089849618263545E-13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232.53653575369032</v>
      </c>
      <c r="CE135" s="62">
        <f t="shared" si="148"/>
        <v>219.59799863414099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-3.813056537183002E-14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191.58722091189202</v>
      </c>
      <c r="CZ135" s="62">
        <f t="shared" si="150"/>
        <v>140.7542783756906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217.20547328702645</v>
      </c>
      <c r="T136" s="62">
        <f t="shared" si="142"/>
        <v>137.55906339137317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5.6377811912324836E-16</v>
      </c>
      <c r="AC136" s="24">
        <f t="shared" si="111"/>
        <v>5.6377811912324836E-16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291.99999999999926</v>
      </c>
      <c r="AJ136" s="14">
        <f>AI136*VLOOKUP('Données projet'!$B$10,Paramètres!$A$1:$I$89,3,0)*VLOOKUP('Données projet'!$B$10,Paramètres!$A$1:$I$89,5,0)</f>
        <v>264.2015999999993</v>
      </c>
      <c r="AK136" s="14">
        <f t="shared" si="143"/>
        <v>63.617151975096597</v>
      </c>
      <c r="AL136" s="22">
        <f t="shared" si="112"/>
        <v>570.95099302329197</v>
      </c>
      <c r="AM136" s="62">
        <f t="shared" si="113"/>
        <v>864.28432635662534</v>
      </c>
      <c r="AN136" s="62">
        <f ca="1">AVERAGE(OFFSET($AM$3,0,0,'Données projet'!$E$10+1,1))-AVERAGE(OFFSET($H$3,0,0,'Données projet'!$E$10+1,1))</f>
        <v>305.35633273533773</v>
      </c>
      <c r="AO136" s="62">
        <f t="shared" si="144"/>
        <v>156.67965022779896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-1.2710188457276673E-13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415.52119746518764</v>
      </c>
      <c r="BJ136" s="62">
        <f t="shared" si="146"/>
        <v>490.11217551185604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3.6188018689809705E-16</v>
      </c>
      <c r="BS136" s="24">
        <f t="shared" si="117"/>
        <v>3.6188018689809705E-16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projet'!$B$12,Paramètres!$A$1:$I$89,3,0)*VLOOKUP('Données projet'!$B$12,Paramètres!$A$1:$I$89,5,0)</f>
        <v>-1.8089849618263545E-13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232.53653575369032</v>
      </c>
      <c r="CE136" s="62">
        <f t="shared" si="148"/>
        <v>219.59799863414099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-3.813056537183002E-14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191.58722091189202</v>
      </c>
      <c r="CZ136" s="62">
        <f t="shared" si="150"/>
        <v>140.7542783756906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217.20547328702645</v>
      </c>
      <c r="T137" s="62">
        <f t="shared" si="142"/>
        <v>137.55906339137317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3.9865133111664611E-16</v>
      </c>
      <c r="AC137" s="24">
        <f t="shared" si="111"/>
        <v>3.9865133111664611E-16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294.99999999999926</v>
      </c>
      <c r="AJ137" s="14">
        <f>AI137*VLOOKUP('Données projet'!$B$10,Paramètres!$A$1:$I$89,3,0)*VLOOKUP('Données projet'!$B$10,Paramètres!$A$1:$I$89,5,0)</f>
        <v>266.91599999999931</v>
      </c>
      <c r="AK137" s="14">
        <f t="shared" si="143"/>
        <v>64.194329696332005</v>
      </c>
      <c r="AL137" s="22">
        <f t="shared" si="112"/>
        <v>576.68382422111029</v>
      </c>
      <c r="AM137" s="62">
        <f t="shared" si="113"/>
        <v>870.01715755444366</v>
      </c>
      <c r="AN137" s="62">
        <f ca="1">AVERAGE(OFFSET($AM$3,0,0,'Données projet'!$E$10+1,1))-AVERAGE(OFFSET($H$3,0,0,'Données projet'!$E$10+1,1))</f>
        <v>305.35633273533773</v>
      </c>
      <c r="AO137" s="62">
        <f t="shared" si="144"/>
        <v>156.67965022779896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-1.2710188457276673E-13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415.52119746518764</v>
      </c>
      <c r="BJ137" s="62">
        <f t="shared" si="146"/>
        <v>490.11217551185604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2.5588793413269963E-16</v>
      </c>
      <c r="BS137" s="24">
        <f t="shared" si="117"/>
        <v>2.5588793413269963E-16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projet'!$B$12,Paramètres!$A$1:$I$89,3,0)*VLOOKUP('Données projet'!$B$12,Paramètres!$A$1:$I$89,5,0)</f>
        <v>-1.8089849618263545E-13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232.53653575369032</v>
      </c>
      <c r="CE137" s="62">
        <f t="shared" si="148"/>
        <v>219.59799863414099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-3.813056537183002E-14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191.58722091189202</v>
      </c>
      <c r="CZ137" s="62">
        <f t="shared" si="150"/>
        <v>140.7542783756906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217.20547328702645</v>
      </c>
      <c r="T138" s="62">
        <f t="shared" si="142"/>
        <v>137.55906339137317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2.8188905956162418E-16</v>
      </c>
      <c r="AC138" s="24">
        <f t="shared" si="111"/>
        <v>2.8188905956162418E-16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297.99999999999926</v>
      </c>
      <c r="AJ138" s="14">
        <f>AI138*VLOOKUP('Données projet'!$B$10,Paramètres!$A$1:$I$89,3,0)*VLOOKUP('Données projet'!$B$10,Paramètres!$A$1:$I$89,5,0)</f>
        <v>269.63039999999933</v>
      </c>
      <c r="AK138" s="14">
        <f t="shared" si="143"/>
        <v>64.770824587435968</v>
      </c>
      <c r="AL138" s="22">
        <f t="shared" si="112"/>
        <v>582.41546615644984</v>
      </c>
      <c r="AM138" s="62">
        <f t="shared" si="113"/>
        <v>875.7487994897831</v>
      </c>
      <c r="AN138" s="62">
        <f ca="1">AVERAGE(OFFSET($AM$3,0,0,'Données projet'!$E$10+1,1))-AVERAGE(OFFSET($H$3,0,0,'Données projet'!$E$10+1,1))</f>
        <v>305.35633273533773</v>
      </c>
      <c r="AO138" s="62">
        <f t="shared" si="144"/>
        <v>156.67965022779896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-1.2710188457276673E-13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415.52119746518764</v>
      </c>
      <c r="BJ138" s="62">
        <f t="shared" si="146"/>
        <v>490.11217551185604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1.8094009344904852E-16</v>
      </c>
      <c r="BS138" s="24">
        <f t="shared" si="117"/>
        <v>1.8094009344904852E-16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projet'!$B$12,Paramètres!$A$1:$I$89,3,0)*VLOOKUP('Données projet'!$B$12,Paramètres!$A$1:$I$89,5,0)</f>
        <v>-1.8089849618263545E-13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232.53653575369032</v>
      </c>
      <c r="CE138" s="62">
        <f t="shared" si="148"/>
        <v>219.59799863414099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-3.813056537183002E-14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191.58722091189202</v>
      </c>
      <c r="CZ138" s="62">
        <f t="shared" si="150"/>
        <v>140.7542783756906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217.20547328702645</v>
      </c>
      <c r="T139" s="62">
        <f t="shared" si="142"/>
        <v>137.55906339137317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1.9932566555832305E-16</v>
      </c>
      <c r="AC139" s="24">
        <f t="shared" si="111"/>
        <v>1.9932566555832305E-16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IF('Données projet'!$A$62&gt;35,AI138+AH139-AQ138,IF(A139&lt;'Données projet'!$A$62,$AF$205^A139,IF(A139='Données projet'!$A$62,'Données projet'!$B$62,AI138+AH139-AQ138)))</f>
        <v>271.59999999999928</v>
      </c>
      <c r="AJ139" s="14">
        <f>AI139*VLOOKUP('Données projet'!$B$10,Paramètres!$A$1:$I$89,3,0)*VLOOKUP('Données projet'!$B$10,Paramètres!$A$1:$I$89,5,0)</f>
        <v>245.74367999999933</v>
      </c>
      <c r="AK139" s="14">
        <f t="shared" si="143"/>
        <v>59.673605104126288</v>
      </c>
      <c r="AL139" s="22">
        <f t="shared" si="112"/>
        <v>531.93510488968548</v>
      </c>
      <c r="AM139" s="62">
        <f t="shared" si="113"/>
        <v>825.26843822301885</v>
      </c>
      <c r="AN139" s="62">
        <f ca="1">AVERAGE(OFFSET($AM$3,0,0,'Données projet'!$E$10+1,1))-AVERAGE(OFFSET($H$3,0,0,'Données projet'!$E$10+1,1))</f>
        <v>305.35633273533773</v>
      </c>
      <c r="AO139" s="62">
        <f t="shared" si="144"/>
        <v>156.67965022779896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-1.2710188457276673E-13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415.52119746518764</v>
      </c>
      <c r="BJ139" s="62">
        <f t="shared" si="146"/>
        <v>490.11217551185604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1.2794396706634981E-16</v>
      </c>
      <c r="BS139" s="24">
        <f t="shared" si="117"/>
        <v>1.2794396706634981E-16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projet'!$B$12,Paramètres!$A$1:$I$89,3,0)*VLOOKUP('Données projet'!$B$12,Paramètres!$A$1:$I$89,5,0)</f>
        <v>-1.8089849618263545E-13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232.53653575369032</v>
      </c>
      <c r="CE139" s="62">
        <f t="shared" si="148"/>
        <v>219.59799863414099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-3.813056537183002E-14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191.58722091189202</v>
      </c>
      <c r="CZ139" s="62">
        <f t="shared" si="150"/>
        <v>140.7542783756906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217.20547328702645</v>
      </c>
      <c r="T140" s="62">
        <f t="shared" si="142"/>
        <v>137.55906339137317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1.4094452978081209E-16</v>
      </c>
      <c r="AC140" s="24">
        <f t="shared" si="111"/>
        <v>1.4094452978081209E-16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IF('Données projet'!$A$62&gt;35,AI139+AH140-AQ139,IF(A140&lt;'Données projet'!$A$62,$AF$205^A140,IF(A140='Données projet'!$A$62,'Données projet'!$B$62,AI139+AH140-AQ139)))</f>
        <v>274.19999999999931</v>
      </c>
      <c r="AJ140" s="14">
        <f>AI140*VLOOKUP('Données projet'!$B$10,Paramètres!$A$1:$I$89,3,0)*VLOOKUP('Données projet'!$B$10,Paramètres!$A$1:$I$89,5,0)</f>
        <v>248.09615999999934</v>
      </c>
      <c r="AK140" s="14">
        <f t="shared" si="143"/>
        <v>60.178080967364579</v>
      </c>
      <c r="AL140" s="22">
        <f t="shared" si="112"/>
        <v>536.91096968482555</v>
      </c>
      <c r="AM140" s="62">
        <f t="shared" si="113"/>
        <v>830.24430301815892</v>
      </c>
      <c r="AN140" s="62">
        <f ca="1">AVERAGE(OFFSET($AM$3,0,0,'Données projet'!$E$10+1,1))-AVERAGE(OFFSET($H$3,0,0,'Données projet'!$E$10+1,1))</f>
        <v>305.35633273533773</v>
      </c>
      <c r="AO140" s="62">
        <f t="shared" si="144"/>
        <v>156.67965022779896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-1.2710188457276673E-13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415.52119746518764</v>
      </c>
      <c r="BJ140" s="62">
        <f t="shared" si="146"/>
        <v>490.11217551185604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9.0470046724524262E-17</v>
      </c>
      <c r="BS140" s="24">
        <f t="shared" si="117"/>
        <v>9.0470046724524262E-17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projet'!$B$12,Paramètres!$A$1:$I$89,3,0)*VLOOKUP('Données projet'!$B$12,Paramètres!$A$1:$I$89,5,0)</f>
        <v>-1.8089849618263545E-13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232.53653575369032</v>
      </c>
      <c r="CE140" s="62">
        <f t="shared" si="148"/>
        <v>219.59799863414099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-3.813056537183002E-14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191.58722091189202</v>
      </c>
      <c r="CZ140" s="62">
        <f t="shared" si="150"/>
        <v>140.7542783756906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217.20547328702645</v>
      </c>
      <c r="T141" s="62">
        <f t="shared" si="142"/>
        <v>137.55906339137317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9.9662832779161527E-17</v>
      </c>
      <c r="AC141" s="24">
        <f t="shared" si="111"/>
        <v>9.9662832779161527E-17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IF('Données projet'!$A$62&gt;35,AI140+AH141-AQ140,IF(A141&lt;'Données projet'!$A$62,$AF$205^A141,IF(A141='Données projet'!$A$62,'Données projet'!$B$62,AI140+AH141-AQ140)))</f>
        <v>276.79999999999933</v>
      </c>
      <c r="AJ141" s="14">
        <f>AI141*VLOOKUP('Données projet'!$B$10,Paramètres!$A$1:$I$89,3,0)*VLOOKUP('Données projet'!$B$10,Paramètres!$A$1:$I$89,5,0)</f>
        <v>250.44863999999941</v>
      </c>
      <c r="AK141" s="14">
        <f t="shared" si="143"/>
        <v>60.682000328889892</v>
      </c>
      <c r="AL141" s="22">
        <f t="shared" si="112"/>
        <v>541.8858652394822</v>
      </c>
      <c r="AM141" s="62">
        <f t="shared" si="113"/>
        <v>835.21919857281546</v>
      </c>
      <c r="AN141" s="62">
        <f ca="1">AVERAGE(OFFSET($AM$3,0,0,'Données projet'!$E$10+1,1))-AVERAGE(OFFSET($H$3,0,0,'Données projet'!$E$10+1,1))</f>
        <v>305.35633273533773</v>
      </c>
      <c r="AO141" s="62">
        <f t="shared" si="144"/>
        <v>156.67965022779896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-1.2710188457276673E-13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415.52119746518764</v>
      </c>
      <c r="BJ141" s="62">
        <f t="shared" si="146"/>
        <v>490.11217551185604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6.3971983533174907E-17</v>
      </c>
      <c r="BS141" s="24">
        <f t="shared" si="117"/>
        <v>6.3971983533174907E-17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projet'!$B$12,Paramètres!$A$1:$I$89,3,0)*VLOOKUP('Données projet'!$B$12,Paramètres!$A$1:$I$89,5,0)</f>
        <v>-1.8089849618263545E-13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232.53653575369032</v>
      </c>
      <c r="CE141" s="62">
        <f t="shared" si="148"/>
        <v>219.59799863414099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-3.813056537183002E-14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191.58722091189202</v>
      </c>
      <c r="CZ141" s="62">
        <f t="shared" si="150"/>
        <v>140.7542783756906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217.20547328702645</v>
      </c>
      <c r="T142" s="62">
        <f t="shared" si="142"/>
        <v>137.55906339137317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7.0472264890406045E-17</v>
      </c>
      <c r="AC142" s="24">
        <f t="shared" si="111"/>
        <v>7.0472264890406045E-17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IF('Données projet'!$A$62&gt;35,AI141+AH142-AQ141,IF(A142&lt;'Données projet'!$A$62,$AF$205^A142,IF(A142='Données projet'!$A$62,'Données projet'!$B$62,AI141+AH142-AQ141)))</f>
        <v>279.39999999999935</v>
      </c>
      <c r="AJ142" s="14">
        <f>AI142*VLOOKUP('Données projet'!$B$10,Paramètres!$A$1:$I$89,3,0)*VLOOKUP('Données projet'!$B$10,Paramètres!$A$1:$I$89,5,0)</f>
        <v>252.80111999999943</v>
      </c>
      <c r="AK142" s="14">
        <f t="shared" si="143"/>
        <v>61.185369021394152</v>
      </c>
      <c r="AL142" s="22">
        <f t="shared" si="112"/>
        <v>546.85980171226049</v>
      </c>
      <c r="AM142" s="62">
        <f t="shared" si="113"/>
        <v>840.19313504559386</v>
      </c>
      <c r="AN142" s="62">
        <f ca="1">AVERAGE(OFFSET($AM$3,0,0,'Données projet'!$E$10+1,1))-AVERAGE(OFFSET($H$3,0,0,'Données projet'!$E$10+1,1))</f>
        <v>305.35633273533773</v>
      </c>
      <c r="AO142" s="62">
        <f t="shared" si="144"/>
        <v>156.67965022779896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-1.2710188457276673E-13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415.52119746518764</v>
      </c>
      <c r="BJ142" s="62">
        <f t="shared" si="146"/>
        <v>490.11217551185604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4.5235023362262131E-17</v>
      </c>
      <c r="BS142" s="24">
        <f t="shared" si="117"/>
        <v>4.5235023362262131E-17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projet'!$B$12,Paramètres!$A$1:$I$89,3,0)*VLOOKUP('Données projet'!$B$12,Paramètres!$A$1:$I$89,5,0)</f>
        <v>-1.8089849618263545E-13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232.53653575369032</v>
      </c>
      <c r="CE142" s="62">
        <f t="shared" si="148"/>
        <v>219.59799863414099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-3.813056537183002E-14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191.58722091189202</v>
      </c>
      <c r="CZ142" s="62">
        <f t="shared" si="150"/>
        <v>140.7542783756906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217.20547328702645</v>
      </c>
      <c r="T143" s="62">
        <f t="shared" si="142"/>
        <v>137.55906339137317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4.9831416389580763E-17</v>
      </c>
      <c r="AC143" s="24">
        <f t="shared" si="111"/>
        <v>4.9831416389580763E-17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IF('Données projet'!$A$62&gt;35,AI142+AH143-AQ142,IF(A143&lt;'Données projet'!$A$62,$AF$205^A143,IF(A143='Données projet'!$A$62,'Données projet'!$B$62,AI142+AH143-AQ142)))</f>
        <v>281.99999999999937</v>
      </c>
      <c r="AJ143" s="14">
        <f>AI143*VLOOKUP('Données projet'!$B$10,Paramètres!$A$1:$I$89,3,0)*VLOOKUP('Données projet'!$B$10,Paramètres!$A$1:$I$89,5,0)</f>
        <v>255.15359999999944</v>
      </c>
      <c r="AK143" s="14">
        <f t="shared" si="143"/>
        <v>61.688192762754319</v>
      </c>
      <c r="AL143" s="22">
        <f t="shared" si="112"/>
        <v>551.83278906179612</v>
      </c>
      <c r="AM143" s="62">
        <f t="shared" si="113"/>
        <v>845.16612239512938</v>
      </c>
      <c r="AN143" s="62">
        <f ca="1">AVERAGE(OFFSET($AM$3,0,0,'Données projet'!$E$10+1,1))-AVERAGE(OFFSET($H$3,0,0,'Données projet'!$E$10+1,1))</f>
        <v>305.35633273533773</v>
      </c>
      <c r="AO143" s="62">
        <f t="shared" si="144"/>
        <v>156.67965022779896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-1.2710188457276673E-13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415.52119746518764</v>
      </c>
      <c r="BJ143" s="62">
        <f t="shared" si="146"/>
        <v>490.11217551185604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3.1985991766587453E-17</v>
      </c>
      <c r="BS143" s="24">
        <f t="shared" si="117"/>
        <v>3.1985991766587453E-17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projet'!$B$12,Paramètres!$A$1:$I$89,3,0)*VLOOKUP('Données projet'!$B$12,Paramètres!$A$1:$I$89,5,0)</f>
        <v>-1.8089849618263545E-13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232.53653575369032</v>
      </c>
      <c r="CE143" s="62">
        <f t="shared" si="148"/>
        <v>219.59799863414099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-3.813056537183002E-14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191.58722091189202</v>
      </c>
      <c r="CZ143" s="62">
        <f t="shared" si="150"/>
        <v>140.7542783756906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217.20547328702645</v>
      </c>
      <c r="T144" s="62">
        <f t="shared" si="142"/>
        <v>137.55906339137317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3.5236132445203022E-17</v>
      </c>
      <c r="AC144" s="24">
        <f t="shared" si="111"/>
        <v>3.5236132445203022E-17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IF('Données projet'!$A$62&gt;35,AI143+AH144-AQ143,IF(A144&lt;'Données projet'!$A$62,$AF$205^A144,IF(A144='Données projet'!$A$62,'Données projet'!$B$62,AI143+AH144-AQ143)))</f>
        <v>284.5999999999994</v>
      </c>
      <c r="AJ144" s="14">
        <f>AI144*VLOOKUP('Données projet'!$B$10,Paramètres!$A$1:$I$89,3,0)*VLOOKUP('Données projet'!$B$10,Paramètres!$A$1:$I$89,5,0)</f>
        <v>257.50607999999943</v>
      </c>
      <c r="AK144" s="14">
        <f t="shared" si="143"/>
        <v>62.190477159330406</v>
      </c>
      <c r="AL144" s="22">
        <f t="shared" si="112"/>
        <v>556.80483705249947</v>
      </c>
      <c r="AM144" s="62">
        <f t="shared" si="113"/>
        <v>850.13817038583284</v>
      </c>
      <c r="AN144" s="62">
        <f ca="1">AVERAGE(OFFSET($AM$3,0,0,'Données projet'!$E$10+1,1))-AVERAGE(OFFSET($H$3,0,0,'Données projet'!$E$10+1,1))</f>
        <v>305.35633273533773</v>
      </c>
      <c r="AO144" s="62">
        <f t="shared" si="144"/>
        <v>156.67965022779896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-1.2710188457276673E-13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415.52119746518764</v>
      </c>
      <c r="BJ144" s="62">
        <f t="shared" si="146"/>
        <v>490.11217551185604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2.2617511681131066E-17</v>
      </c>
      <c r="BS144" s="24">
        <f t="shared" si="117"/>
        <v>2.2617511681131066E-17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projet'!$B$12,Paramètres!$A$1:$I$89,3,0)*VLOOKUP('Données projet'!$B$12,Paramètres!$A$1:$I$89,5,0)</f>
        <v>-1.8089849618263545E-13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232.53653575369032</v>
      </c>
      <c r="CE144" s="62">
        <f t="shared" si="148"/>
        <v>219.59799863414099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-3.813056537183002E-14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191.58722091189202</v>
      </c>
      <c r="CZ144" s="62">
        <f t="shared" si="150"/>
        <v>140.7542783756906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217.20547328702645</v>
      </c>
      <c r="T145" s="62">
        <f t="shared" si="142"/>
        <v>137.55906339137317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2.4915708194790382E-17</v>
      </c>
      <c r="AC145" s="24">
        <f t="shared" si="111"/>
        <v>2.4915708194790382E-17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IF('Données projet'!$A$62&gt;35,AI144+AH145-AQ144,IF(A145&lt;'Données projet'!$A$62,$AF$205^A145,IF(A145='Données projet'!$A$62,'Données projet'!$B$62,AI144+AH145-AQ144)))</f>
        <v>287.19999999999942</v>
      </c>
      <c r="AJ145" s="14">
        <f>AI145*VLOOKUP('Données projet'!$B$10,Paramètres!$A$1:$I$89,3,0)*VLOOKUP('Données projet'!$B$10,Paramètres!$A$1:$I$89,5,0)</f>
        <v>259.85855999999944</v>
      </c>
      <c r="AK145" s="14">
        <f t="shared" si="143"/>
        <v>62.692227709138365</v>
      </c>
      <c r="AL145" s="22">
        <f t="shared" si="112"/>
        <v>561.77595526008167</v>
      </c>
      <c r="AM145" s="62">
        <f t="shared" si="113"/>
        <v>855.10928859341493</v>
      </c>
      <c r="AN145" s="62">
        <f ca="1">AVERAGE(OFFSET($AM$3,0,0,'Données projet'!$E$10+1,1))-AVERAGE(OFFSET($H$3,0,0,'Données projet'!$E$10+1,1))</f>
        <v>305.35633273533773</v>
      </c>
      <c r="AO145" s="62">
        <f t="shared" si="144"/>
        <v>156.67965022779896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-1.2710188457276673E-13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415.52119746518764</v>
      </c>
      <c r="BJ145" s="62">
        <f t="shared" si="146"/>
        <v>490.11217551185604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1.5992995883293727E-17</v>
      </c>
      <c r="BS145" s="24">
        <f t="shared" si="117"/>
        <v>1.5992995883293727E-17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projet'!$B$12,Paramètres!$A$1:$I$89,3,0)*VLOOKUP('Données projet'!$B$12,Paramètres!$A$1:$I$89,5,0)</f>
        <v>-1.8089849618263545E-13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232.53653575369032</v>
      </c>
      <c r="CE145" s="62">
        <f t="shared" si="148"/>
        <v>219.59799863414099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-3.813056537183002E-14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191.58722091189202</v>
      </c>
      <c r="CZ145" s="62">
        <f t="shared" si="150"/>
        <v>140.7542783756906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217.20547328702645</v>
      </c>
      <c r="T146" s="62">
        <f t="shared" si="142"/>
        <v>137.55906339137317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1.7618066222601511E-17</v>
      </c>
      <c r="AC146" s="24">
        <f t="shared" si="111"/>
        <v>1.7618066222601511E-17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IF('Données projet'!$A$62&gt;35,AI145+AH146-AQ145,IF(A146&lt;'Données projet'!$A$62,$AF$205^A146,IF(A146='Données projet'!$A$62,'Données projet'!$B$62,AI145+AH146-AQ145)))</f>
        <v>289.79999999999944</v>
      </c>
      <c r="AJ146" s="14">
        <f>AI146*VLOOKUP('Données projet'!$B$10,Paramètres!$A$1:$I$89,3,0)*VLOOKUP('Données projet'!$B$10,Paramètres!$A$1:$I$89,5,0)</f>
        <v>262.21103999999946</v>
      </c>
      <c r="AK146" s="14">
        <f t="shared" si="143"/>
        <v>63.19344980490574</v>
      </c>
      <c r="AL146" s="22">
        <f t="shared" si="112"/>
        <v>566.74615307687657</v>
      </c>
      <c r="AM146" s="62">
        <f t="shared" si="113"/>
        <v>860.07948641020994</v>
      </c>
      <c r="AN146" s="62">
        <f ca="1">AVERAGE(OFFSET($AM$3,0,0,'Données projet'!$E$10+1,1))-AVERAGE(OFFSET($H$3,0,0,'Données projet'!$E$10+1,1))</f>
        <v>305.35633273533773</v>
      </c>
      <c r="AO146" s="62">
        <f t="shared" si="144"/>
        <v>156.67965022779896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-1.2710188457276673E-13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415.52119746518764</v>
      </c>
      <c r="BJ146" s="62">
        <f t="shared" si="146"/>
        <v>490.11217551185604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1.1308755840565533E-17</v>
      </c>
      <c r="BS146" s="24">
        <f t="shared" si="117"/>
        <v>1.1308755840565533E-17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projet'!$B$12,Paramètres!$A$1:$I$89,3,0)*VLOOKUP('Données projet'!$B$12,Paramètres!$A$1:$I$89,5,0)</f>
        <v>-1.8089849618263545E-13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232.53653575369032</v>
      </c>
      <c r="CE146" s="62">
        <f t="shared" si="148"/>
        <v>219.59799863414099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-3.813056537183002E-14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191.58722091189202</v>
      </c>
      <c r="CZ146" s="62">
        <f t="shared" si="150"/>
        <v>140.7542783756906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217.20547328702645</v>
      </c>
      <c r="T147" s="62">
        <f t="shared" si="142"/>
        <v>137.55906339137317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1.2457854097395191E-17</v>
      </c>
      <c r="AC147" s="24">
        <f t="shared" si="111"/>
        <v>1.2457854097395191E-17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IF('Données projet'!$A$62&gt;35,AI146+AH147-AQ146,IF(A147&lt;'Données projet'!$A$62,$AF$205^A147,IF(A147='Données projet'!$A$62,'Données projet'!$B$62,AI146+AH147-AQ146)))</f>
        <v>292.39999999999947</v>
      </c>
      <c r="AJ147" s="14">
        <f>AI147*VLOOKUP('Données projet'!$B$10,Paramètres!$A$1:$I$89,3,0)*VLOOKUP('Données projet'!$B$10,Paramètres!$A$1:$I$89,5,0)</f>
        <v>264.56351999999947</v>
      </c>
      <c r="AK147" s="14">
        <f t="shared" si="143"/>
        <v>63.694148737013691</v>
      </c>
      <c r="AL147" s="22">
        <f t="shared" si="112"/>
        <v>571.71543971696451</v>
      </c>
      <c r="AM147" s="62">
        <f t="shared" si="113"/>
        <v>865.04877305029777</v>
      </c>
      <c r="AN147" s="62">
        <f ca="1">AVERAGE(OFFSET($AM$3,0,0,'Données projet'!$E$10+1,1))-AVERAGE(OFFSET($H$3,0,0,'Données projet'!$E$10+1,1))</f>
        <v>305.35633273533773</v>
      </c>
      <c r="AO147" s="62">
        <f t="shared" si="144"/>
        <v>156.67965022779896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-1.2710188457276673E-13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415.52119746518764</v>
      </c>
      <c r="BJ147" s="62">
        <f t="shared" si="146"/>
        <v>490.11217551185604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7.9964979416468634E-18</v>
      </c>
      <c r="BS147" s="24">
        <f t="shared" si="117"/>
        <v>7.9964979416468634E-18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projet'!$B$12,Paramètres!$A$1:$I$89,3,0)*VLOOKUP('Données projet'!$B$12,Paramètres!$A$1:$I$89,5,0)</f>
        <v>-1.8089849618263545E-13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232.53653575369032</v>
      </c>
      <c r="CE147" s="62">
        <f t="shared" si="148"/>
        <v>219.59799863414099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-3.813056537183002E-14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191.58722091189202</v>
      </c>
      <c r="CZ147" s="62">
        <f t="shared" si="150"/>
        <v>140.7542783756906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217.20547328702645</v>
      </c>
      <c r="T148" s="62">
        <f t="shared" si="142"/>
        <v>137.55906339137317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8.8090331113007556E-18</v>
      </c>
      <c r="AC148" s="24">
        <f t="shared" si="111"/>
        <v>8.8090331113007556E-18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IF('Données projet'!$A$62&gt;35,AI147+AH148-AQ147,IF(A148&lt;'Données projet'!$A$62,$AF$205^A148,IF(A148='Données projet'!$A$62,'Données projet'!$B$62,AI147+AH148-AQ147)))</f>
        <v>294.99999999999949</v>
      </c>
      <c r="AJ148" s="14">
        <f>AI148*VLOOKUP('Données projet'!$B$10,Paramètres!$A$1:$I$89,3,0)*VLOOKUP('Données projet'!$B$10,Paramètres!$A$1:$I$89,5,0)</f>
        <v>266.91599999999949</v>
      </c>
      <c r="AK148" s="14">
        <f t="shared" si="143"/>
        <v>64.194329696332062</v>
      </c>
      <c r="AL148" s="22">
        <f t="shared" si="112"/>
        <v>576.68382422111074</v>
      </c>
      <c r="AM148" s="62">
        <f t="shared" si="113"/>
        <v>870.01715755444411</v>
      </c>
      <c r="AN148" s="62">
        <f ca="1">AVERAGE(OFFSET($AM$3,0,0,'Données projet'!$E$10+1,1))-AVERAGE(OFFSET($H$3,0,0,'Données projet'!$E$10+1,1))</f>
        <v>305.35633273533773</v>
      </c>
      <c r="AO148" s="62">
        <f t="shared" si="144"/>
        <v>156.67965022779896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-1.2710188457276673E-13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415.52119746518764</v>
      </c>
      <c r="BJ148" s="62">
        <f t="shared" si="146"/>
        <v>490.11217551185604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5.6543779202827664E-18</v>
      </c>
      <c r="BS148" s="24">
        <f t="shared" si="117"/>
        <v>5.6543779202827664E-18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projet'!$B$12,Paramètres!$A$1:$I$89,3,0)*VLOOKUP('Données projet'!$B$12,Paramètres!$A$1:$I$89,5,0)</f>
        <v>-1.8089849618263545E-13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232.53653575369032</v>
      </c>
      <c r="CE148" s="62">
        <f t="shared" si="148"/>
        <v>219.59799863414099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-3.813056537183002E-14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191.58722091189202</v>
      </c>
      <c r="CZ148" s="62">
        <f t="shared" si="150"/>
        <v>140.7542783756906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217.20547328702645</v>
      </c>
      <c r="T149" s="62">
        <f t="shared" si="142"/>
        <v>137.55906339137317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6.2289270486975954E-18</v>
      </c>
      <c r="AC149" s="24">
        <f t="shared" si="111"/>
        <v>6.2289270486975954E-18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IF('Données projet'!$A$62&gt;35,AI148+AH149-AQ148,IF(A149&lt;'Données projet'!$A$62,$AF$205^A149,IF(A149='Données projet'!$A$62,'Données projet'!$B$62,AI148+AH149-AQ148)))</f>
        <v>297.19999999999948</v>
      </c>
      <c r="AJ149" s="14">
        <f>AI149*VLOOKUP('Données projet'!$B$10,Paramètres!$A$1:$I$89,3,0)*VLOOKUP('Données projet'!$B$10,Paramètres!$A$1:$I$89,5,0)</f>
        <v>268.9065599999995</v>
      </c>
      <c r="AK149" s="14">
        <f t="shared" si="143"/>
        <v>64.617158945843656</v>
      </c>
      <c r="AL149" s="22">
        <f t="shared" si="112"/>
        <v>580.88714383067679</v>
      </c>
      <c r="AM149" s="62">
        <f t="shared" si="113"/>
        <v>874.22047716401016</v>
      </c>
      <c r="AN149" s="62">
        <f ca="1">AVERAGE(OFFSET($AM$3,0,0,'Données projet'!$E$10+1,1))-AVERAGE(OFFSET($H$3,0,0,'Données projet'!$E$10+1,1))</f>
        <v>305.35633273533773</v>
      </c>
      <c r="AO149" s="62">
        <f t="shared" si="144"/>
        <v>156.67965022779896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-1.2710188457276673E-13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415.52119746518764</v>
      </c>
      <c r="BJ149" s="62">
        <f t="shared" si="146"/>
        <v>490.11217551185604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3.9982489708234317E-18</v>
      </c>
      <c r="BS149" s="24">
        <f t="shared" si="117"/>
        <v>3.9982489708234317E-18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projet'!$B$12,Paramètres!$A$1:$I$89,3,0)*VLOOKUP('Données projet'!$B$12,Paramètres!$A$1:$I$89,5,0)</f>
        <v>-1.8089849618263545E-13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232.53653575369032</v>
      </c>
      <c r="CE149" s="62">
        <f t="shared" si="148"/>
        <v>219.59799863414099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-3.813056537183002E-14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191.58722091189202</v>
      </c>
      <c r="CZ149" s="62">
        <f t="shared" si="150"/>
        <v>140.7542783756906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217.20547328702645</v>
      </c>
      <c r="T150" s="62">
        <f t="shared" si="142"/>
        <v>137.55906339137317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4.4045165556503778E-18</v>
      </c>
      <c r="AC150" s="24">
        <f t="shared" si="111"/>
        <v>4.4045165556503778E-18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IF('Données projet'!$A$62&gt;35,AI149+AH150-AQ149,IF(A150&lt;'Données projet'!$A$62,$AF$205^A150,IF(A150='Données projet'!$A$62,'Données projet'!$B$62,AI149+AH150-AQ149)))</f>
        <v>299.39999999999947</v>
      </c>
      <c r="AJ150" s="14">
        <f>AI150*VLOOKUP('Données projet'!$B$10,Paramètres!$A$1:$I$89,3,0)*VLOOKUP('Données projet'!$B$10,Paramètres!$A$1:$I$89,5,0)</f>
        <v>270.89711999999952</v>
      </c>
      <c r="AK150" s="14">
        <f t="shared" si="143"/>
        <v>65.039624021315362</v>
      </c>
      <c r="AL150" s="22">
        <f t="shared" si="112"/>
        <v>585.08982917045671</v>
      </c>
      <c r="AM150" s="62">
        <f t="shared" si="113"/>
        <v>878.42316250379008</v>
      </c>
      <c r="AN150" s="62">
        <f ca="1">AVERAGE(OFFSET($AM$3,0,0,'Données projet'!$E$10+1,1))-AVERAGE(OFFSET($H$3,0,0,'Données projet'!$E$10+1,1))</f>
        <v>305.35633273533773</v>
      </c>
      <c r="AO150" s="62">
        <f t="shared" si="144"/>
        <v>156.67965022779896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-1.2710188457276673E-13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415.52119746518764</v>
      </c>
      <c r="BJ150" s="62">
        <f t="shared" si="146"/>
        <v>490.11217551185604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2.8271889601413832E-18</v>
      </c>
      <c r="BS150" s="24">
        <f t="shared" si="117"/>
        <v>2.8271889601413832E-18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projet'!$B$12,Paramètres!$A$1:$I$89,3,0)*VLOOKUP('Données projet'!$B$12,Paramètres!$A$1:$I$89,5,0)</f>
        <v>-1.8089849618263545E-13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232.53653575369032</v>
      </c>
      <c r="CE150" s="62">
        <f t="shared" si="148"/>
        <v>219.59799863414099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-3.813056537183002E-14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191.58722091189202</v>
      </c>
      <c r="CZ150" s="62">
        <f t="shared" si="150"/>
        <v>140.7542783756906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217.20547328702645</v>
      </c>
      <c r="T151" s="62">
        <f t="shared" si="142"/>
        <v>137.55906339137317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3.1144635243487977E-18</v>
      </c>
      <c r="AC151" s="24">
        <f t="shared" si="111"/>
        <v>3.1144635243487977E-18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IF('Données projet'!$A$62&gt;35,AI150+AH151-AQ150,IF(A151&lt;'Données projet'!$A$62,$AF$205^A151,IF(A151='Données projet'!$A$62,'Données projet'!$B$62,AI150+AH151-AQ150)))</f>
        <v>301.59999999999945</v>
      </c>
      <c r="AJ151" s="14">
        <f>AI151*VLOOKUP('Données projet'!$B$10,Paramètres!$A$1:$I$89,3,0)*VLOOKUP('Données projet'!$B$10,Paramètres!$A$1:$I$89,5,0)</f>
        <v>272.88767999999953</v>
      </c>
      <c r="AK151" s="14">
        <f t="shared" si="143"/>
        <v>65.461727908967305</v>
      </c>
      <c r="AL151" s="22">
        <f t="shared" si="112"/>
        <v>589.29188544145063</v>
      </c>
      <c r="AM151" s="62">
        <f t="shared" si="113"/>
        <v>882.62521877478389</v>
      </c>
      <c r="AN151" s="62">
        <f ca="1">AVERAGE(OFFSET($AM$3,0,0,'Données projet'!$E$10+1,1))-AVERAGE(OFFSET($H$3,0,0,'Données projet'!$E$10+1,1))</f>
        <v>305.35633273533773</v>
      </c>
      <c r="AO151" s="62">
        <f t="shared" si="144"/>
        <v>156.67965022779896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-1.2710188457276673E-13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415.52119746518764</v>
      </c>
      <c r="BJ151" s="62">
        <f t="shared" si="146"/>
        <v>490.11217551185604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1.9991244854117158E-18</v>
      </c>
      <c r="BS151" s="24">
        <f t="shared" si="117"/>
        <v>1.9991244854117158E-18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projet'!$B$12,Paramètres!$A$1:$I$89,3,0)*VLOOKUP('Données projet'!$B$12,Paramètres!$A$1:$I$89,5,0)</f>
        <v>-1.8089849618263545E-13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232.53653575369032</v>
      </c>
      <c r="CE151" s="62">
        <f t="shared" si="148"/>
        <v>219.59799863414099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-3.813056537183002E-14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191.58722091189202</v>
      </c>
      <c r="CZ151" s="62">
        <f t="shared" si="150"/>
        <v>140.7542783756906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217.20547328702645</v>
      </c>
      <c r="T152" s="62">
        <f t="shared" si="142"/>
        <v>137.55906339137317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2.2022582778251889E-18</v>
      </c>
      <c r="AC152" s="24">
        <f t="shared" si="111"/>
        <v>2.2022582778251889E-18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IF('Données projet'!$A$62&gt;35,AI151+AH152-AQ151,IF(A152&lt;'Données projet'!$A$62,$AF$205^A152,IF(A152='Données projet'!$A$62,'Données projet'!$B$62,AI151+AH152-AQ151)))</f>
        <v>303.79999999999944</v>
      </c>
      <c r="AJ152" s="14">
        <f>AI152*VLOOKUP('Données projet'!$B$10,Paramètres!$A$1:$I$89,3,0)*VLOOKUP('Données projet'!$B$10,Paramètres!$A$1:$I$89,5,0)</f>
        <v>274.87823999999949</v>
      </c>
      <c r="AK152" s="14">
        <f t="shared" si="143"/>
        <v>65.883473548936905</v>
      </c>
      <c r="AL152" s="22">
        <f t="shared" si="112"/>
        <v>593.4933177643976</v>
      </c>
      <c r="AM152" s="62">
        <f t="shared" si="113"/>
        <v>886.82665109773097</v>
      </c>
      <c r="AN152" s="62">
        <f ca="1">AVERAGE(OFFSET($AM$3,0,0,'Données projet'!$E$10+1,1))-AVERAGE(OFFSET($H$3,0,0,'Données projet'!$E$10+1,1))</f>
        <v>305.35633273533773</v>
      </c>
      <c r="AO152" s="62">
        <f t="shared" si="144"/>
        <v>156.67965022779896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-1.2710188457276673E-13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415.52119746518764</v>
      </c>
      <c r="BJ152" s="62">
        <f t="shared" si="146"/>
        <v>490.11217551185604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1.4135944800706916E-18</v>
      </c>
      <c r="BS152" s="24">
        <f t="shared" si="117"/>
        <v>1.4135944800706916E-18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projet'!$B$12,Paramètres!$A$1:$I$89,3,0)*VLOOKUP('Données projet'!$B$12,Paramètres!$A$1:$I$89,5,0)</f>
        <v>-1.8089849618263545E-13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232.53653575369032</v>
      </c>
      <c r="CE152" s="62">
        <f t="shared" si="148"/>
        <v>219.59799863414099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-3.813056537183002E-14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191.58722091189202</v>
      </c>
      <c r="CZ152" s="62">
        <f t="shared" si="150"/>
        <v>140.7542783756906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217.20547328702645</v>
      </c>
      <c r="T153" s="62">
        <f t="shared" si="142"/>
        <v>137.55906339137317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1.5572317621743989E-18</v>
      </c>
      <c r="AC153" s="24">
        <f t="shared" si="111"/>
        <v>1.5572317621743989E-18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IF('Données projet'!$A$62&gt;35,AI152+AH153-AQ152,IF(A153&lt;'Données projet'!$A$62,$AF$205^A153,IF(A153='Données projet'!$A$62,'Données projet'!$B$62,AI152+AH153-AQ152)))</f>
        <v>305.99999999999943</v>
      </c>
      <c r="AJ153" s="14">
        <f>AI153*VLOOKUP('Données projet'!$B$10,Paramètres!$A$1:$I$89,3,0)*VLOOKUP('Données projet'!$B$10,Paramètres!$A$1:$I$89,5,0)</f>
        <v>276.86879999999945</v>
      </c>
      <c r="AK153" s="14">
        <f t="shared" si="143"/>
        <v>66.304863836318546</v>
      </c>
      <c r="AL153" s="22">
        <f t="shared" si="112"/>
        <v>597.69413118158718</v>
      </c>
      <c r="AM153" s="62">
        <f t="shared" si="113"/>
        <v>891.02746451492044</v>
      </c>
      <c r="AN153" s="62">
        <f ca="1">AVERAGE(OFFSET($AM$3,0,0,'Données projet'!$E$10+1,1))-AVERAGE(OFFSET($H$3,0,0,'Données projet'!$E$10+1,1))</f>
        <v>305.35633273533773</v>
      </c>
      <c r="AO153" s="62">
        <f t="shared" si="144"/>
        <v>156.67965022779896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-1.2710188457276673E-13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415.52119746518764</v>
      </c>
      <c r="BJ153" s="62">
        <f t="shared" si="146"/>
        <v>490.11217551185604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9.9956224270585792E-19</v>
      </c>
      <c r="BS153" s="24">
        <f t="shared" si="117"/>
        <v>9.9956224270585792E-19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projet'!$B$12,Paramètres!$A$1:$I$89,3,0)*VLOOKUP('Données projet'!$B$12,Paramètres!$A$1:$I$89,5,0)</f>
        <v>-1.8089849618263545E-13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232.53653575369032</v>
      </c>
      <c r="CE153" s="62">
        <f t="shared" si="148"/>
        <v>219.59799863414099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-3.813056537183002E-14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191.58722091189202</v>
      </c>
      <c r="CZ153" s="62">
        <f t="shared" si="150"/>
        <v>140.7542783756906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217.20547328702645</v>
      </c>
      <c r="T154" s="62">
        <f t="shared" si="142"/>
        <v>137.55906339137317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1.1011291389125945E-18</v>
      </c>
      <c r="AC154" s="24">
        <f t="shared" ref="AC154:AC203" si="163">SUM(Z154:AB154)</f>
        <v>1.1011291389125945E-18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-5.6843418860808015E-13</v>
      </c>
      <c r="AJ154" s="14">
        <f>AI154*VLOOKUP('Données projet'!$B$10,Paramètres!$A$1:$I$89,3,0)*VLOOKUP('Données projet'!$B$10,Paramètres!$A$1:$I$89,5,0)</f>
        <v>-5.1431925385259092E-13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305.35633273533773</v>
      </c>
      <c r="AO154" s="62">
        <f t="shared" si="144"/>
        <v>156.67965022779896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-1.2710188457276673E-13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415.52119746518764</v>
      </c>
      <c r="BJ154" s="62">
        <f t="shared" si="146"/>
        <v>490.11217551185604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7.067972400353458E-19</v>
      </c>
      <c r="BS154" s="24">
        <f t="shared" ref="BS154:BS203" si="169">SUM(BP154:BR154)</f>
        <v>7.067972400353458E-19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projet'!$B$12,Paramètres!$A$1:$I$89,3,0)*VLOOKUP('Données projet'!$B$12,Paramètres!$A$1:$I$89,5,0)</f>
        <v>-1.8089849618263545E-13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232.53653575369032</v>
      </c>
      <c r="CE154" s="62">
        <f t="shared" si="148"/>
        <v>219.59799863414099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-3.813056537183002E-14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191.58722091189202</v>
      </c>
      <c r="CZ154" s="62">
        <f t="shared" si="150"/>
        <v>140.7542783756906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217.20547328702645</v>
      </c>
      <c r="T155" s="62">
        <f t="shared" si="142"/>
        <v>137.55906339137317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7.7861588108719943E-19</v>
      </c>
      <c r="AC155" s="24">
        <f t="shared" si="163"/>
        <v>7.7861588108719943E-19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-5.6843418860808015E-13</v>
      </c>
      <c r="AJ155" s="14">
        <f>AI155*VLOOKUP('Données projet'!$B$10,Paramètres!$A$1:$I$89,3,0)*VLOOKUP('Données projet'!$B$10,Paramètres!$A$1:$I$89,5,0)</f>
        <v>-5.1431925385259092E-13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305.35633273533773</v>
      </c>
      <c r="AO155" s="62">
        <f t="shared" si="144"/>
        <v>156.67965022779896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-1.2710188457276673E-13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415.52119746518764</v>
      </c>
      <c r="BJ155" s="62">
        <f t="shared" si="146"/>
        <v>490.11217551185604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4.9978112135292896E-19</v>
      </c>
      <c r="BS155" s="24">
        <f t="shared" si="169"/>
        <v>4.9978112135292896E-19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projet'!$B$12,Paramètres!$A$1:$I$89,3,0)*VLOOKUP('Données projet'!$B$12,Paramètres!$A$1:$I$89,5,0)</f>
        <v>-1.8089849618263545E-13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232.53653575369032</v>
      </c>
      <c r="CE155" s="62">
        <f t="shared" si="148"/>
        <v>219.59799863414099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-3.813056537183002E-14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191.58722091189202</v>
      </c>
      <c r="CZ155" s="62">
        <f t="shared" si="150"/>
        <v>140.7542783756906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217.20547328702645</v>
      </c>
      <c r="T156" s="62">
        <f t="shared" si="142"/>
        <v>137.55906339137317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5.5056456945629723E-19</v>
      </c>
      <c r="AC156" s="24">
        <f t="shared" si="163"/>
        <v>5.5056456945629723E-19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-5.6843418860808015E-13</v>
      </c>
      <c r="AJ156" s="14">
        <f>AI156*VLOOKUP('Données projet'!$B$10,Paramètres!$A$1:$I$89,3,0)*VLOOKUP('Données projet'!$B$10,Paramètres!$A$1:$I$89,5,0)</f>
        <v>-5.1431925385259092E-13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305.35633273533773</v>
      </c>
      <c r="AO156" s="62">
        <f t="shared" si="144"/>
        <v>156.67965022779896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-1.2710188457276673E-13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415.52119746518764</v>
      </c>
      <c r="BJ156" s="62">
        <f t="shared" si="146"/>
        <v>490.11217551185604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3.533986200176729E-19</v>
      </c>
      <c r="BS156" s="24">
        <f t="shared" si="169"/>
        <v>3.533986200176729E-19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projet'!$B$12,Paramètres!$A$1:$I$89,3,0)*VLOOKUP('Données projet'!$B$12,Paramètres!$A$1:$I$89,5,0)</f>
        <v>-1.8089849618263545E-13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232.53653575369032</v>
      </c>
      <c r="CE156" s="62">
        <f t="shared" si="148"/>
        <v>219.59799863414099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-3.813056537183002E-14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191.58722091189202</v>
      </c>
      <c r="CZ156" s="62">
        <f t="shared" si="150"/>
        <v>140.7542783756906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217.20547328702645</v>
      </c>
      <c r="T157" s="62">
        <f t="shared" si="142"/>
        <v>137.55906339137317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3.8930794054359971E-19</v>
      </c>
      <c r="AC157" s="24">
        <f t="shared" si="163"/>
        <v>3.8930794054359971E-19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-5.6843418860808015E-13</v>
      </c>
      <c r="AJ157" s="14">
        <f>AI157*VLOOKUP('Données projet'!$B$10,Paramètres!$A$1:$I$89,3,0)*VLOOKUP('Données projet'!$B$10,Paramètres!$A$1:$I$89,5,0)</f>
        <v>-5.1431925385259092E-13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305.35633273533773</v>
      </c>
      <c r="AO157" s="62">
        <f t="shared" si="144"/>
        <v>156.67965022779896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-1.2710188457276673E-13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415.52119746518764</v>
      </c>
      <c r="BJ157" s="62">
        <f t="shared" si="146"/>
        <v>490.11217551185604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2.4989056067646448E-19</v>
      </c>
      <c r="BS157" s="24">
        <f t="shared" si="169"/>
        <v>2.4989056067646448E-19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projet'!$B$12,Paramètres!$A$1:$I$89,3,0)*VLOOKUP('Données projet'!$B$12,Paramètres!$A$1:$I$89,5,0)</f>
        <v>-1.8089849618263545E-13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232.53653575369032</v>
      </c>
      <c r="CE157" s="62">
        <f t="shared" si="148"/>
        <v>219.59799863414099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-3.813056537183002E-14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191.58722091189202</v>
      </c>
      <c r="CZ157" s="62">
        <f t="shared" si="150"/>
        <v>140.7542783756906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217.20547328702645</v>
      </c>
      <c r="T158" s="62">
        <f t="shared" si="142"/>
        <v>137.55906339137317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2.7528228472814861E-19</v>
      </c>
      <c r="AC158" s="24">
        <f t="shared" si="163"/>
        <v>2.7528228472814861E-19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-5.6843418860808015E-13</v>
      </c>
      <c r="AJ158" s="14">
        <f>AI158*VLOOKUP('Données projet'!$B$10,Paramètres!$A$1:$I$89,3,0)*VLOOKUP('Données projet'!$B$10,Paramètres!$A$1:$I$89,5,0)</f>
        <v>-5.1431925385259092E-13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305.35633273533773</v>
      </c>
      <c r="AO158" s="62">
        <f t="shared" si="144"/>
        <v>156.67965022779896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-1.2710188457276673E-13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415.52119746518764</v>
      </c>
      <c r="BJ158" s="62">
        <f t="shared" si="146"/>
        <v>490.11217551185604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1.7669931000883645E-19</v>
      </c>
      <c r="BS158" s="24">
        <f t="shared" si="169"/>
        <v>1.7669931000883645E-19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projet'!$B$12,Paramètres!$A$1:$I$89,3,0)*VLOOKUP('Données projet'!$B$12,Paramètres!$A$1:$I$89,5,0)</f>
        <v>-1.8089849618263545E-13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232.53653575369032</v>
      </c>
      <c r="CE158" s="62">
        <f t="shared" si="148"/>
        <v>219.59799863414099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-3.813056537183002E-14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191.58722091189202</v>
      </c>
      <c r="CZ158" s="62">
        <f t="shared" si="150"/>
        <v>140.7542783756906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217.20547328702645</v>
      </c>
      <c r="T159" s="62">
        <f t="shared" si="142"/>
        <v>137.55906339137317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1.9465397027179986E-19</v>
      </c>
      <c r="AC159" s="24">
        <f t="shared" si="163"/>
        <v>1.9465397027179986E-19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-5.6843418860808015E-13</v>
      </c>
      <c r="AJ159" s="14">
        <f>AI159*VLOOKUP('Données projet'!$B$10,Paramètres!$A$1:$I$89,3,0)*VLOOKUP('Données projet'!$B$10,Paramètres!$A$1:$I$89,5,0)</f>
        <v>-5.1431925385259092E-13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305.35633273533773</v>
      </c>
      <c r="AO159" s="62">
        <f t="shared" si="144"/>
        <v>156.67965022779896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-1.2710188457276673E-13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415.52119746518764</v>
      </c>
      <c r="BJ159" s="62">
        <f t="shared" si="146"/>
        <v>490.11217551185604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1.2494528033823224E-19</v>
      </c>
      <c r="BS159" s="24">
        <f t="shared" si="169"/>
        <v>1.2494528033823224E-19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projet'!$B$12,Paramètres!$A$1:$I$89,3,0)*VLOOKUP('Données projet'!$B$12,Paramètres!$A$1:$I$89,5,0)</f>
        <v>-1.8089849618263545E-13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232.53653575369032</v>
      </c>
      <c r="CE159" s="62">
        <f t="shared" si="148"/>
        <v>219.59799863414099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-3.813056537183002E-14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191.58722091189202</v>
      </c>
      <c r="CZ159" s="62">
        <f t="shared" si="150"/>
        <v>140.7542783756906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217.20547328702645</v>
      </c>
      <c r="T160" s="62">
        <f t="shared" si="142"/>
        <v>137.55906339137317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1.3764114236407431E-19</v>
      </c>
      <c r="AC160" s="24">
        <f t="shared" si="163"/>
        <v>1.3764114236407431E-19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-5.6843418860808015E-13</v>
      </c>
      <c r="AJ160" s="14">
        <f>AI160*VLOOKUP('Données projet'!$B$10,Paramètres!$A$1:$I$89,3,0)*VLOOKUP('Données projet'!$B$10,Paramètres!$A$1:$I$89,5,0)</f>
        <v>-5.1431925385259092E-13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305.35633273533773</v>
      </c>
      <c r="AO160" s="62">
        <f t="shared" si="144"/>
        <v>156.67965022779896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-1.2710188457276673E-13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415.52119746518764</v>
      </c>
      <c r="BJ160" s="62">
        <f t="shared" si="146"/>
        <v>490.11217551185604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8.8349655004418225E-20</v>
      </c>
      <c r="BS160" s="24">
        <f t="shared" si="169"/>
        <v>8.8349655004418225E-20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projet'!$B$12,Paramètres!$A$1:$I$89,3,0)*VLOOKUP('Données projet'!$B$12,Paramètres!$A$1:$I$89,5,0)</f>
        <v>-1.8089849618263545E-13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232.53653575369032</v>
      </c>
      <c r="CE160" s="62">
        <f t="shared" si="148"/>
        <v>219.59799863414099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-3.813056537183002E-14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191.58722091189202</v>
      </c>
      <c r="CZ160" s="62">
        <f t="shared" si="150"/>
        <v>140.7542783756906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217.20547328702645</v>
      </c>
      <c r="T161" s="62">
        <f t="shared" si="142"/>
        <v>137.55906339137317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9.7326985135899929E-20</v>
      </c>
      <c r="AC161" s="24">
        <f t="shared" si="163"/>
        <v>9.7326985135899929E-20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-5.6843418860808015E-13</v>
      </c>
      <c r="AJ161" s="14">
        <f>AI161*VLOOKUP('Données projet'!$B$10,Paramètres!$A$1:$I$89,3,0)*VLOOKUP('Données projet'!$B$10,Paramètres!$A$1:$I$89,5,0)</f>
        <v>-5.1431925385259092E-13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305.35633273533773</v>
      </c>
      <c r="AO161" s="62">
        <f t="shared" si="144"/>
        <v>156.67965022779896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-1.2710188457276673E-13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415.52119746518764</v>
      </c>
      <c r="BJ161" s="62">
        <f t="shared" si="146"/>
        <v>490.11217551185604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6.247264016911612E-20</v>
      </c>
      <c r="BS161" s="24">
        <f t="shared" si="169"/>
        <v>6.247264016911612E-20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projet'!$B$12,Paramètres!$A$1:$I$89,3,0)*VLOOKUP('Données projet'!$B$12,Paramètres!$A$1:$I$89,5,0)</f>
        <v>-1.8089849618263545E-13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232.53653575369032</v>
      </c>
      <c r="CE161" s="62">
        <f t="shared" si="148"/>
        <v>219.59799863414099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-3.813056537183002E-14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191.58722091189202</v>
      </c>
      <c r="CZ161" s="62">
        <f t="shared" si="150"/>
        <v>140.7542783756906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217.20547328702645</v>
      </c>
      <c r="T162" s="62">
        <f t="shared" si="142"/>
        <v>137.55906339137317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6.8820571182037153E-20</v>
      </c>
      <c r="AC162" s="24">
        <f t="shared" si="163"/>
        <v>6.8820571182037153E-20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-5.6843418860808015E-13</v>
      </c>
      <c r="AJ162" s="14">
        <f>AI162*VLOOKUP('Données projet'!$B$10,Paramètres!$A$1:$I$89,3,0)*VLOOKUP('Données projet'!$B$10,Paramètres!$A$1:$I$89,5,0)</f>
        <v>-5.1431925385259092E-13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305.35633273533773</v>
      </c>
      <c r="AO162" s="62">
        <f t="shared" si="144"/>
        <v>156.67965022779896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-1.2710188457276673E-13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415.52119746518764</v>
      </c>
      <c r="BJ162" s="62">
        <f t="shared" si="146"/>
        <v>490.11217551185604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4.4174827502209113E-20</v>
      </c>
      <c r="BS162" s="24">
        <f t="shared" si="169"/>
        <v>4.4174827502209113E-20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projet'!$B$12,Paramètres!$A$1:$I$89,3,0)*VLOOKUP('Données projet'!$B$12,Paramètres!$A$1:$I$89,5,0)</f>
        <v>-1.8089849618263545E-13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232.53653575369032</v>
      </c>
      <c r="CE162" s="62">
        <f t="shared" si="148"/>
        <v>219.59799863414099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-3.813056537183002E-14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191.58722091189202</v>
      </c>
      <c r="CZ162" s="62">
        <f t="shared" si="150"/>
        <v>140.7542783756906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217.20547328702645</v>
      </c>
      <c r="T163" s="62">
        <f t="shared" si="142"/>
        <v>137.55906339137317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4.8663492567949964E-20</v>
      </c>
      <c r="AC163" s="24">
        <f t="shared" si="163"/>
        <v>4.8663492567949964E-20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-5.6843418860808015E-13</v>
      </c>
      <c r="AJ163" s="14">
        <f>AI163*VLOOKUP('Données projet'!$B$10,Paramètres!$A$1:$I$89,3,0)*VLOOKUP('Données projet'!$B$10,Paramètres!$A$1:$I$89,5,0)</f>
        <v>-5.1431925385259092E-13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305.35633273533773</v>
      </c>
      <c r="AO163" s="62">
        <f t="shared" si="144"/>
        <v>156.67965022779896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-1.2710188457276673E-13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415.52119746518764</v>
      </c>
      <c r="BJ163" s="62">
        <f t="shared" si="146"/>
        <v>490.11217551185604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3.123632008455806E-20</v>
      </c>
      <c r="BS163" s="24">
        <f t="shared" si="169"/>
        <v>3.123632008455806E-20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projet'!$B$12,Paramètres!$A$1:$I$89,3,0)*VLOOKUP('Données projet'!$B$12,Paramètres!$A$1:$I$89,5,0)</f>
        <v>-1.8089849618263545E-13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232.53653575369032</v>
      </c>
      <c r="CE163" s="62">
        <f t="shared" si="148"/>
        <v>219.59799863414099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-3.813056537183002E-14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191.58722091189202</v>
      </c>
      <c r="CZ163" s="62">
        <f t="shared" si="150"/>
        <v>140.7542783756906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217.20547328702645</v>
      </c>
      <c r="T164" s="62">
        <f t="shared" si="142"/>
        <v>137.55906339137317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3.4410285591018577E-20</v>
      </c>
      <c r="AC164" s="24">
        <f t="shared" si="163"/>
        <v>3.4410285591018577E-20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-5.6843418860808015E-13</v>
      </c>
      <c r="AJ164" s="14">
        <f>AI164*VLOOKUP('Données projet'!$B$10,Paramètres!$A$1:$I$89,3,0)*VLOOKUP('Données projet'!$B$10,Paramètres!$A$1:$I$89,5,0)</f>
        <v>-5.1431925385259092E-13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305.35633273533773</v>
      </c>
      <c r="AO164" s="62">
        <f t="shared" si="144"/>
        <v>156.67965022779896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-1.2710188457276673E-13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415.52119746518764</v>
      </c>
      <c r="BJ164" s="62">
        <f t="shared" si="146"/>
        <v>490.11217551185604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2.2087413751104556E-20</v>
      </c>
      <c r="BS164" s="24">
        <f t="shared" si="169"/>
        <v>2.2087413751104556E-20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projet'!$B$12,Paramètres!$A$1:$I$89,3,0)*VLOOKUP('Données projet'!$B$12,Paramètres!$A$1:$I$89,5,0)</f>
        <v>-1.8089849618263545E-13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232.53653575369032</v>
      </c>
      <c r="CE164" s="62">
        <f t="shared" si="148"/>
        <v>219.59799863414099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-3.813056537183002E-14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191.58722091189202</v>
      </c>
      <c r="CZ164" s="62">
        <f t="shared" si="150"/>
        <v>140.7542783756906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217.20547328702645</v>
      </c>
      <c r="T165" s="62">
        <f t="shared" si="142"/>
        <v>137.55906339137317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2.4331746283974982E-20</v>
      </c>
      <c r="AC165" s="24">
        <f t="shared" si="163"/>
        <v>2.4331746283974982E-20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-5.6843418860808015E-13</v>
      </c>
      <c r="AJ165" s="14">
        <f>AI165*VLOOKUP('Données projet'!$B$10,Paramètres!$A$1:$I$89,3,0)*VLOOKUP('Données projet'!$B$10,Paramètres!$A$1:$I$89,5,0)</f>
        <v>-5.1431925385259092E-13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305.35633273533773</v>
      </c>
      <c r="AO165" s="62">
        <f t="shared" si="144"/>
        <v>156.67965022779896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-1.2710188457276673E-13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415.52119746518764</v>
      </c>
      <c r="BJ165" s="62">
        <f t="shared" si="146"/>
        <v>490.11217551185604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1.561816004227903E-20</v>
      </c>
      <c r="BS165" s="24">
        <f t="shared" si="169"/>
        <v>1.561816004227903E-20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projet'!$B$12,Paramètres!$A$1:$I$89,3,0)*VLOOKUP('Données projet'!$B$12,Paramètres!$A$1:$I$89,5,0)</f>
        <v>-1.8089849618263545E-13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232.53653575369032</v>
      </c>
      <c r="CE165" s="62">
        <f t="shared" si="148"/>
        <v>219.59799863414099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-3.813056537183002E-14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191.58722091189202</v>
      </c>
      <c r="CZ165" s="62">
        <f t="shared" si="150"/>
        <v>140.7542783756906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217.20547328702645</v>
      </c>
      <c r="T166" s="62">
        <f t="shared" si="142"/>
        <v>137.55906339137317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1.7205142795509288E-20</v>
      </c>
      <c r="AC166" s="24">
        <f t="shared" si="163"/>
        <v>1.7205142795509288E-20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-5.6843418860808015E-13</v>
      </c>
      <c r="AJ166" s="14">
        <f>AI166*VLOOKUP('Données projet'!$B$10,Paramètres!$A$1:$I$89,3,0)*VLOOKUP('Données projet'!$B$10,Paramètres!$A$1:$I$89,5,0)</f>
        <v>-5.1431925385259092E-13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305.35633273533773</v>
      </c>
      <c r="AO166" s="62">
        <f t="shared" si="144"/>
        <v>156.67965022779896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-1.2710188457276673E-13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415.52119746518764</v>
      </c>
      <c r="BJ166" s="62">
        <f t="shared" si="146"/>
        <v>490.11217551185604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1.1043706875552278E-20</v>
      </c>
      <c r="BS166" s="24">
        <f t="shared" si="169"/>
        <v>1.1043706875552278E-20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projet'!$B$12,Paramètres!$A$1:$I$89,3,0)*VLOOKUP('Données projet'!$B$12,Paramètres!$A$1:$I$89,5,0)</f>
        <v>-1.8089849618263545E-13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232.53653575369032</v>
      </c>
      <c r="CE166" s="62">
        <f t="shared" si="148"/>
        <v>219.59799863414099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-3.813056537183002E-14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191.58722091189202</v>
      </c>
      <c r="CZ166" s="62">
        <f t="shared" si="150"/>
        <v>140.7542783756906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217.20547328702645</v>
      </c>
      <c r="T167" s="62">
        <f t="shared" si="142"/>
        <v>137.55906339137317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1.2165873141987491E-20</v>
      </c>
      <c r="AC167" s="24">
        <f t="shared" si="163"/>
        <v>1.2165873141987491E-20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-5.6843418860808015E-13</v>
      </c>
      <c r="AJ167" s="14">
        <f>AI167*VLOOKUP('Données projet'!$B$10,Paramètres!$A$1:$I$89,3,0)*VLOOKUP('Données projet'!$B$10,Paramètres!$A$1:$I$89,5,0)</f>
        <v>-5.1431925385259092E-13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305.35633273533773</v>
      </c>
      <c r="AO167" s="62">
        <f t="shared" si="144"/>
        <v>156.67965022779896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-1.2710188457276673E-13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415.52119746518764</v>
      </c>
      <c r="BJ167" s="62">
        <f t="shared" si="146"/>
        <v>490.11217551185604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7.809080021139515E-21</v>
      </c>
      <c r="BS167" s="24">
        <f t="shared" si="169"/>
        <v>7.809080021139515E-21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projet'!$B$12,Paramètres!$A$1:$I$89,3,0)*VLOOKUP('Données projet'!$B$12,Paramètres!$A$1:$I$89,5,0)</f>
        <v>-1.8089849618263545E-13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232.53653575369032</v>
      </c>
      <c r="CE167" s="62">
        <f t="shared" si="148"/>
        <v>219.59799863414099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-3.813056537183002E-14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191.58722091189202</v>
      </c>
      <c r="CZ167" s="62">
        <f t="shared" si="150"/>
        <v>140.7542783756906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217.20547328702645</v>
      </c>
      <c r="T168" s="62">
        <f t="shared" si="142"/>
        <v>137.55906339137317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8.6025713977546442E-21</v>
      </c>
      <c r="AC168" s="24">
        <f t="shared" si="163"/>
        <v>8.6025713977546442E-21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-5.6843418860808015E-13</v>
      </c>
      <c r="AJ168" s="14">
        <f>AI168*VLOOKUP('Données projet'!$B$10,Paramètres!$A$1:$I$89,3,0)*VLOOKUP('Données projet'!$B$10,Paramètres!$A$1:$I$89,5,0)</f>
        <v>-5.1431925385259092E-13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305.35633273533773</v>
      </c>
      <c r="AO168" s="62">
        <f t="shared" si="144"/>
        <v>156.67965022779896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-1.2710188457276673E-13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415.52119746518764</v>
      </c>
      <c r="BJ168" s="62">
        <f t="shared" si="146"/>
        <v>490.11217551185604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5.5218534377761391E-21</v>
      </c>
      <c r="BS168" s="24">
        <f t="shared" si="169"/>
        <v>5.5218534377761391E-21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projet'!$B$12,Paramètres!$A$1:$I$89,3,0)*VLOOKUP('Données projet'!$B$12,Paramètres!$A$1:$I$89,5,0)</f>
        <v>-1.8089849618263545E-13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232.53653575369032</v>
      </c>
      <c r="CE168" s="62">
        <f t="shared" si="148"/>
        <v>219.59799863414099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-3.813056537183002E-14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191.58722091189202</v>
      </c>
      <c r="CZ168" s="62">
        <f t="shared" si="150"/>
        <v>140.7542783756906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217.20547328702645</v>
      </c>
      <c r="T169" s="62">
        <f t="shared" si="142"/>
        <v>137.55906339137317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6.0829365709937455E-21</v>
      </c>
      <c r="AC169" s="24">
        <f t="shared" si="163"/>
        <v>6.0829365709937455E-21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-5.6843418860808015E-13</v>
      </c>
      <c r="AJ169" s="14">
        <f>AI169*VLOOKUP('Données projet'!$B$10,Paramètres!$A$1:$I$89,3,0)*VLOOKUP('Données projet'!$B$10,Paramètres!$A$1:$I$89,5,0)</f>
        <v>-5.1431925385259092E-13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305.35633273533773</v>
      </c>
      <c r="AO169" s="62">
        <f t="shared" si="144"/>
        <v>156.67965022779896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-1.2710188457276673E-13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415.52119746518764</v>
      </c>
      <c r="BJ169" s="62">
        <f t="shared" si="146"/>
        <v>490.11217551185604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3.9045400105697575E-21</v>
      </c>
      <c r="BS169" s="24">
        <f t="shared" si="169"/>
        <v>3.9045400105697575E-21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projet'!$B$12,Paramètres!$A$1:$I$89,3,0)*VLOOKUP('Données projet'!$B$12,Paramètres!$A$1:$I$89,5,0)</f>
        <v>-1.8089849618263545E-13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232.53653575369032</v>
      </c>
      <c r="CE169" s="62">
        <f t="shared" si="148"/>
        <v>219.59799863414099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-3.813056537183002E-14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191.58722091189202</v>
      </c>
      <c r="CZ169" s="62">
        <f t="shared" si="150"/>
        <v>140.7542783756906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217.20547328702645</v>
      </c>
      <c r="T170" s="62">
        <f t="shared" si="142"/>
        <v>137.55906339137317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4.3012856988773221E-21</v>
      </c>
      <c r="AC170" s="24">
        <f t="shared" si="163"/>
        <v>4.3012856988773221E-21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-5.6843418860808015E-13</v>
      </c>
      <c r="AJ170" s="14">
        <f>AI170*VLOOKUP('Données projet'!$B$10,Paramètres!$A$1:$I$89,3,0)*VLOOKUP('Données projet'!$B$10,Paramètres!$A$1:$I$89,5,0)</f>
        <v>-5.1431925385259092E-13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305.35633273533773</v>
      </c>
      <c r="AO170" s="62">
        <f t="shared" si="144"/>
        <v>156.67965022779896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-1.2710188457276673E-13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415.52119746518764</v>
      </c>
      <c r="BJ170" s="62">
        <f t="shared" si="146"/>
        <v>490.11217551185604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2.7609267188880695E-21</v>
      </c>
      <c r="BS170" s="24">
        <f t="shared" si="169"/>
        <v>2.7609267188880695E-21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projet'!$B$12,Paramètres!$A$1:$I$89,3,0)*VLOOKUP('Données projet'!$B$12,Paramètres!$A$1:$I$89,5,0)</f>
        <v>-1.8089849618263545E-13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232.53653575369032</v>
      </c>
      <c r="CE170" s="62">
        <f t="shared" si="148"/>
        <v>219.59799863414099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-3.813056537183002E-14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191.58722091189202</v>
      </c>
      <c r="CZ170" s="62">
        <f t="shared" si="150"/>
        <v>140.7542783756906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217.20547328702645</v>
      </c>
      <c r="T171" s="62">
        <f t="shared" si="142"/>
        <v>137.55906339137317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3.0414682854968728E-21</v>
      </c>
      <c r="AC171" s="24">
        <f t="shared" si="163"/>
        <v>3.0414682854968728E-21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-5.6843418860808015E-13</v>
      </c>
      <c r="AJ171" s="14">
        <f>AI171*VLOOKUP('Données projet'!$B$10,Paramètres!$A$1:$I$89,3,0)*VLOOKUP('Données projet'!$B$10,Paramètres!$A$1:$I$89,5,0)</f>
        <v>-5.1431925385259092E-13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305.35633273533773</v>
      </c>
      <c r="AO171" s="62">
        <f t="shared" si="144"/>
        <v>156.67965022779896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-1.2710188457276673E-13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415.52119746518764</v>
      </c>
      <c r="BJ171" s="62">
        <f t="shared" si="146"/>
        <v>490.11217551185604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1.9522700052848787E-21</v>
      </c>
      <c r="BS171" s="24">
        <f t="shared" si="169"/>
        <v>1.9522700052848787E-21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projet'!$B$12,Paramètres!$A$1:$I$89,3,0)*VLOOKUP('Données projet'!$B$12,Paramètres!$A$1:$I$89,5,0)</f>
        <v>-1.8089849618263545E-13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232.53653575369032</v>
      </c>
      <c r="CE171" s="62">
        <f t="shared" si="148"/>
        <v>219.59799863414099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-3.813056537183002E-14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191.58722091189202</v>
      </c>
      <c r="CZ171" s="62">
        <f t="shared" si="150"/>
        <v>140.7542783756906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217.20547328702645</v>
      </c>
      <c r="T172" s="62">
        <f t="shared" si="142"/>
        <v>137.55906339137317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2.150642849438661E-21</v>
      </c>
      <c r="AC172" s="24">
        <f t="shared" si="163"/>
        <v>2.150642849438661E-21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-5.6843418860808015E-13</v>
      </c>
      <c r="AJ172" s="14">
        <f>AI172*VLOOKUP('Données projet'!$B$10,Paramètres!$A$1:$I$89,3,0)*VLOOKUP('Données projet'!$B$10,Paramètres!$A$1:$I$89,5,0)</f>
        <v>-5.1431925385259092E-13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305.35633273533773</v>
      </c>
      <c r="AO172" s="62">
        <f t="shared" si="144"/>
        <v>156.67965022779896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-1.2710188457276673E-13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415.52119746518764</v>
      </c>
      <c r="BJ172" s="62">
        <f t="shared" si="146"/>
        <v>490.11217551185604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1.3804633594440348E-21</v>
      </c>
      <c r="BS172" s="24">
        <f t="shared" si="169"/>
        <v>1.3804633594440348E-21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projet'!$B$12,Paramètres!$A$1:$I$89,3,0)*VLOOKUP('Données projet'!$B$12,Paramètres!$A$1:$I$89,5,0)</f>
        <v>-1.8089849618263545E-13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232.53653575369032</v>
      </c>
      <c r="CE172" s="62">
        <f t="shared" si="148"/>
        <v>219.59799863414099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-3.813056537183002E-14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191.58722091189202</v>
      </c>
      <c r="CZ172" s="62">
        <f t="shared" si="150"/>
        <v>140.7542783756906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217.20547328702645</v>
      </c>
      <c r="T173" s="62">
        <f t="shared" si="142"/>
        <v>137.55906339137317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1.5207341427484364E-21</v>
      </c>
      <c r="AC173" s="24">
        <f t="shared" si="163"/>
        <v>1.5207341427484364E-21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-5.6843418860808015E-13</v>
      </c>
      <c r="AJ173" s="14">
        <f>AI173*VLOOKUP('Données projet'!$B$10,Paramètres!$A$1:$I$89,3,0)*VLOOKUP('Données projet'!$B$10,Paramètres!$A$1:$I$89,5,0)</f>
        <v>-5.1431925385259092E-13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305.35633273533773</v>
      </c>
      <c r="AO173" s="62">
        <f t="shared" si="144"/>
        <v>156.67965022779896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-1.2710188457276673E-13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415.52119746518764</v>
      </c>
      <c r="BJ173" s="62">
        <f t="shared" si="146"/>
        <v>490.11217551185604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9.7613500264243937E-22</v>
      </c>
      <c r="BS173" s="24">
        <f t="shared" si="169"/>
        <v>9.7613500264243937E-22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projet'!$B$12,Paramètres!$A$1:$I$89,3,0)*VLOOKUP('Données projet'!$B$12,Paramètres!$A$1:$I$89,5,0)</f>
        <v>-1.8089849618263545E-13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232.53653575369032</v>
      </c>
      <c r="CE173" s="62">
        <f t="shared" si="148"/>
        <v>219.59799863414099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-3.813056537183002E-14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191.58722091189202</v>
      </c>
      <c r="CZ173" s="62">
        <f t="shared" si="150"/>
        <v>140.7542783756906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217.20547328702645</v>
      </c>
      <c r="T174" s="62">
        <f t="shared" si="142"/>
        <v>137.55906339137317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1.0753214247193305E-21</v>
      </c>
      <c r="AC174" s="24">
        <f t="shared" si="163"/>
        <v>1.0753214247193305E-21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-5.6843418860808015E-13</v>
      </c>
      <c r="AJ174" s="14">
        <f>AI174*VLOOKUP('Données projet'!$B$10,Paramètres!$A$1:$I$89,3,0)*VLOOKUP('Données projet'!$B$10,Paramètres!$A$1:$I$89,5,0)</f>
        <v>-5.1431925385259092E-13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305.35633273533773</v>
      </c>
      <c r="AO174" s="62">
        <f t="shared" si="144"/>
        <v>156.67965022779896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-1.2710188457276673E-13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415.52119746518764</v>
      </c>
      <c r="BJ174" s="62">
        <f t="shared" si="146"/>
        <v>490.11217551185604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6.9023167972201738E-22</v>
      </c>
      <c r="BS174" s="24">
        <f t="shared" si="169"/>
        <v>6.9023167972201738E-22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projet'!$B$12,Paramètres!$A$1:$I$89,3,0)*VLOOKUP('Données projet'!$B$12,Paramètres!$A$1:$I$89,5,0)</f>
        <v>-1.8089849618263545E-13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232.53653575369032</v>
      </c>
      <c r="CE174" s="62">
        <f t="shared" si="148"/>
        <v>219.59799863414099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-3.813056537183002E-14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191.58722091189202</v>
      </c>
      <c r="CZ174" s="62">
        <f t="shared" si="150"/>
        <v>140.7542783756906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217.20547328702645</v>
      </c>
      <c r="T175" s="62">
        <f t="shared" si="142"/>
        <v>137.55906339137317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7.6036707137421819E-22</v>
      </c>
      <c r="AC175" s="24">
        <f t="shared" si="163"/>
        <v>7.6036707137421819E-22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-5.6843418860808015E-13</v>
      </c>
      <c r="AJ175" s="14">
        <f>AI175*VLOOKUP('Données projet'!$B$10,Paramètres!$A$1:$I$89,3,0)*VLOOKUP('Données projet'!$B$10,Paramètres!$A$1:$I$89,5,0)</f>
        <v>-5.1431925385259092E-13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305.35633273533773</v>
      </c>
      <c r="AO175" s="62">
        <f t="shared" si="144"/>
        <v>156.67965022779896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-1.2710188457276673E-13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415.52119746518764</v>
      </c>
      <c r="BJ175" s="62">
        <f t="shared" si="146"/>
        <v>490.11217551185604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4.8806750132121969E-22</v>
      </c>
      <c r="BS175" s="24">
        <f t="shared" si="169"/>
        <v>4.8806750132121969E-22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projet'!$B$12,Paramètres!$A$1:$I$89,3,0)*VLOOKUP('Données projet'!$B$12,Paramètres!$A$1:$I$89,5,0)</f>
        <v>-1.8089849618263545E-13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232.53653575369032</v>
      </c>
      <c r="CE175" s="62">
        <f t="shared" si="148"/>
        <v>219.59799863414099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-3.813056537183002E-14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191.58722091189202</v>
      </c>
      <c r="CZ175" s="62">
        <f t="shared" si="150"/>
        <v>140.7542783756906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217.20547328702645</v>
      </c>
      <c r="T176" s="62">
        <f t="shared" si="142"/>
        <v>137.55906339137317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5.3766071235966526E-22</v>
      </c>
      <c r="AC176" s="24">
        <f t="shared" si="163"/>
        <v>5.3766071235966526E-22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-5.6843418860808015E-13</v>
      </c>
      <c r="AJ176" s="14">
        <f>AI176*VLOOKUP('Données projet'!$B$10,Paramètres!$A$1:$I$89,3,0)*VLOOKUP('Données projet'!$B$10,Paramètres!$A$1:$I$89,5,0)</f>
        <v>-5.1431925385259092E-13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305.35633273533773</v>
      </c>
      <c r="AO176" s="62">
        <f t="shared" si="144"/>
        <v>156.67965022779896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-1.2710188457276673E-13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415.52119746518764</v>
      </c>
      <c r="BJ176" s="62">
        <f t="shared" si="146"/>
        <v>490.11217551185604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3.4511583986100869E-22</v>
      </c>
      <c r="BS176" s="24">
        <f t="shared" si="169"/>
        <v>3.4511583986100869E-22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projet'!$B$12,Paramètres!$A$1:$I$89,3,0)*VLOOKUP('Données projet'!$B$12,Paramètres!$A$1:$I$89,5,0)</f>
        <v>-1.8089849618263545E-13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232.53653575369032</v>
      </c>
      <c r="CE176" s="62">
        <f t="shared" si="148"/>
        <v>219.59799863414099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-3.813056537183002E-14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191.58722091189202</v>
      </c>
      <c r="CZ176" s="62">
        <f t="shared" si="150"/>
        <v>140.7542783756906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217.20547328702645</v>
      </c>
      <c r="T177" s="62">
        <f t="shared" si="142"/>
        <v>137.55906339137317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3.801835356871091E-22</v>
      </c>
      <c r="AC177" s="24">
        <f t="shared" si="163"/>
        <v>3.801835356871091E-22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-5.6843418860808015E-13</v>
      </c>
      <c r="AJ177" s="14">
        <f>AI177*VLOOKUP('Données projet'!$B$10,Paramètres!$A$1:$I$89,3,0)*VLOOKUP('Données projet'!$B$10,Paramètres!$A$1:$I$89,5,0)</f>
        <v>-5.1431925385259092E-13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305.35633273533773</v>
      </c>
      <c r="AO177" s="62">
        <f t="shared" si="144"/>
        <v>156.67965022779896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-1.2710188457276673E-13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415.52119746518764</v>
      </c>
      <c r="BJ177" s="62">
        <f t="shared" si="146"/>
        <v>490.11217551185604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2.4403375066060984E-22</v>
      </c>
      <c r="BS177" s="24">
        <f t="shared" si="169"/>
        <v>2.4403375066060984E-22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projet'!$B$12,Paramètres!$A$1:$I$89,3,0)*VLOOKUP('Données projet'!$B$12,Paramètres!$A$1:$I$89,5,0)</f>
        <v>-1.8089849618263545E-13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232.53653575369032</v>
      </c>
      <c r="CE177" s="62">
        <f t="shared" si="148"/>
        <v>219.59799863414099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-3.813056537183002E-14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191.58722091189202</v>
      </c>
      <c r="CZ177" s="62">
        <f t="shared" si="150"/>
        <v>140.7542783756906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217.20547328702645</v>
      </c>
      <c r="T178" s="62">
        <f t="shared" si="142"/>
        <v>137.55906339137317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2.6883035617983263E-22</v>
      </c>
      <c r="AC178" s="24">
        <f t="shared" si="163"/>
        <v>2.6883035617983263E-22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-5.6843418860808015E-13</v>
      </c>
      <c r="AJ178" s="14">
        <f>AI178*VLOOKUP('Données projet'!$B$10,Paramètres!$A$1:$I$89,3,0)*VLOOKUP('Données projet'!$B$10,Paramètres!$A$1:$I$89,5,0)</f>
        <v>-5.1431925385259092E-13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305.35633273533773</v>
      </c>
      <c r="AO178" s="62">
        <f t="shared" si="144"/>
        <v>156.67965022779896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-1.2710188457276673E-13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415.52119746518764</v>
      </c>
      <c r="BJ178" s="62">
        <f t="shared" si="146"/>
        <v>490.11217551185604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1.7255791993050435E-22</v>
      </c>
      <c r="BS178" s="24">
        <f t="shared" si="169"/>
        <v>1.7255791993050435E-22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projet'!$B$12,Paramètres!$A$1:$I$89,3,0)*VLOOKUP('Données projet'!$B$12,Paramètres!$A$1:$I$89,5,0)</f>
        <v>-1.8089849618263545E-13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232.53653575369032</v>
      </c>
      <c r="CE178" s="62">
        <f t="shared" si="148"/>
        <v>219.59799863414099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-3.813056537183002E-14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191.58722091189202</v>
      </c>
      <c r="CZ178" s="62">
        <f t="shared" si="150"/>
        <v>140.7542783756906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217.20547328702645</v>
      </c>
      <c r="T179" s="62">
        <f t="shared" si="142"/>
        <v>137.55906339137317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1.9009176784355455E-22</v>
      </c>
      <c r="AC179" s="24">
        <f t="shared" si="163"/>
        <v>1.9009176784355455E-22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-5.6843418860808015E-13</v>
      </c>
      <c r="AJ179" s="14">
        <f>AI179*VLOOKUP('Données projet'!$B$10,Paramètres!$A$1:$I$89,3,0)*VLOOKUP('Données projet'!$B$10,Paramètres!$A$1:$I$89,5,0)</f>
        <v>-5.1431925385259092E-13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305.35633273533773</v>
      </c>
      <c r="AO179" s="62">
        <f t="shared" si="144"/>
        <v>156.67965022779896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-1.2710188457276673E-13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415.52119746518764</v>
      </c>
      <c r="BJ179" s="62">
        <f t="shared" si="146"/>
        <v>490.11217551185604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1.2201687533030492E-22</v>
      </c>
      <c r="BS179" s="24">
        <f t="shared" si="169"/>
        <v>1.2201687533030492E-22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projet'!$B$12,Paramètres!$A$1:$I$89,3,0)*VLOOKUP('Données projet'!$B$12,Paramètres!$A$1:$I$89,5,0)</f>
        <v>-1.8089849618263545E-13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232.53653575369032</v>
      </c>
      <c r="CE179" s="62">
        <f t="shared" si="148"/>
        <v>219.59799863414099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-3.813056537183002E-14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191.58722091189202</v>
      </c>
      <c r="CZ179" s="62">
        <f t="shared" si="150"/>
        <v>140.7542783756906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217.20547328702645</v>
      </c>
      <c r="T180" s="62">
        <f t="shared" si="142"/>
        <v>137.55906339137317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1.3441517808991632E-22</v>
      </c>
      <c r="AC180" s="24">
        <f t="shared" si="163"/>
        <v>1.3441517808991632E-22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-5.6843418860808015E-13</v>
      </c>
      <c r="AJ180" s="14">
        <f>AI180*VLOOKUP('Données projet'!$B$10,Paramètres!$A$1:$I$89,3,0)*VLOOKUP('Données projet'!$B$10,Paramètres!$A$1:$I$89,5,0)</f>
        <v>-5.1431925385259092E-13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305.35633273533773</v>
      </c>
      <c r="AO180" s="62">
        <f t="shared" si="144"/>
        <v>156.67965022779896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-1.2710188457276673E-13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415.52119746518764</v>
      </c>
      <c r="BJ180" s="62">
        <f t="shared" si="146"/>
        <v>490.11217551185604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8.6278959965252173E-23</v>
      </c>
      <c r="BS180" s="24">
        <f t="shared" si="169"/>
        <v>8.6278959965252173E-23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projet'!$B$12,Paramètres!$A$1:$I$89,3,0)*VLOOKUP('Données projet'!$B$12,Paramètres!$A$1:$I$89,5,0)</f>
        <v>-1.8089849618263545E-13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232.53653575369032</v>
      </c>
      <c r="CE180" s="62">
        <f t="shared" si="148"/>
        <v>219.59799863414099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-3.813056537183002E-14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191.58722091189202</v>
      </c>
      <c r="CZ180" s="62">
        <f t="shared" si="150"/>
        <v>140.7542783756906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217.20547328702645</v>
      </c>
      <c r="T181" s="62">
        <f t="shared" si="142"/>
        <v>137.55906339137317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9.5045883921777274E-23</v>
      </c>
      <c r="AC181" s="24">
        <f t="shared" si="163"/>
        <v>9.5045883921777274E-23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-5.6843418860808015E-13</v>
      </c>
      <c r="AJ181" s="14">
        <f>AI181*VLOOKUP('Données projet'!$B$10,Paramètres!$A$1:$I$89,3,0)*VLOOKUP('Données projet'!$B$10,Paramètres!$A$1:$I$89,5,0)</f>
        <v>-5.1431925385259092E-13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305.35633273533773</v>
      </c>
      <c r="AO181" s="62">
        <f t="shared" si="144"/>
        <v>156.67965022779896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-1.2710188457276673E-13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415.52119746518764</v>
      </c>
      <c r="BJ181" s="62">
        <f t="shared" si="146"/>
        <v>490.11217551185604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6.1008437665152461E-23</v>
      </c>
      <c r="BS181" s="24">
        <f t="shared" si="169"/>
        <v>6.1008437665152461E-23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projet'!$B$12,Paramètres!$A$1:$I$89,3,0)*VLOOKUP('Données projet'!$B$12,Paramètres!$A$1:$I$89,5,0)</f>
        <v>-1.8089849618263545E-13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232.53653575369032</v>
      </c>
      <c r="CE181" s="62">
        <f t="shared" si="148"/>
        <v>219.59799863414099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-3.813056537183002E-14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191.58722091189202</v>
      </c>
      <c r="CZ181" s="62">
        <f t="shared" si="150"/>
        <v>140.7542783756906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217.20547328702645</v>
      </c>
      <c r="T182" s="62">
        <f t="shared" si="142"/>
        <v>137.55906339137317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6.7207589044958158E-23</v>
      </c>
      <c r="AC182" s="24">
        <f t="shared" si="163"/>
        <v>6.7207589044958158E-23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-5.6843418860808015E-13</v>
      </c>
      <c r="AJ182" s="14">
        <f>AI182*VLOOKUP('Données projet'!$B$10,Paramètres!$A$1:$I$89,3,0)*VLOOKUP('Données projet'!$B$10,Paramètres!$A$1:$I$89,5,0)</f>
        <v>-5.1431925385259092E-13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305.35633273533773</v>
      </c>
      <c r="AO182" s="62">
        <f t="shared" si="144"/>
        <v>156.67965022779896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-1.2710188457276673E-13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415.52119746518764</v>
      </c>
      <c r="BJ182" s="62">
        <f t="shared" si="146"/>
        <v>490.11217551185604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4.3139479982626086E-23</v>
      </c>
      <c r="BS182" s="24">
        <f t="shared" si="169"/>
        <v>4.3139479982626086E-23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projet'!$B$12,Paramètres!$A$1:$I$89,3,0)*VLOOKUP('Données projet'!$B$12,Paramètres!$A$1:$I$89,5,0)</f>
        <v>-1.8089849618263545E-13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232.53653575369032</v>
      </c>
      <c r="CE182" s="62">
        <f t="shared" si="148"/>
        <v>219.59799863414099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-3.813056537183002E-14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191.58722091189202</v>
      </c>
      <c r="CZ182" s="62">
        <f t="shared" si="150"/>
        <v>140.7542783756906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217.20547328702645</v>
      </c>
      <c r="T183" s="62">
        <f t="shared" si="142"/>
        <v>137.55906339137317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4.7522941960888637E-23</v>
      </c>
      <c r="AC183" s="24">
        <f t="shared" si="163"/>
        <v>4.7522941960888637E-23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-5.6843418860808015E-13</v>
      </c>
      <c r="AJ183" s="14">
        <f>AI183*VLOOKUP('Données projet'!$B$10,Paramètres!$A$1:$I$89,3,0)*VLOOKUP('Données projet'!$B$10,Paramètres!$A$1:$I$89,5,0)</f>
        <v>-5.1431925385259092E-13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305.35633273533773</v>
      </c>
      <c r="AO183" s="62">
        <f t="shared" si="144"/>
        <v>156.67965022779896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-1.2710188457276673E-13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415.52119746518764</v>
      </c>
      <c r="BJ183" s="62">
        <f t="shared" si="146"/>
        <v>490.11217551185604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3.050421883257623E-23</v>
      </c>
      <c r="BS183" s="24">
        <f t="shared" si="169"/>
        <v>3.050421883257623E-23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projet'!$B$12,Paramètres!$A$1:$I$89,3,0)*VLOOKUP('Données projet'!$B$12,Paramètres!$A$1:$I$89,5,0)</f>
        <v>-1.8089849618263545E-13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232.53653575369032</v>
      </c>
      <c r="CE183" s="62">
        <f t="shared" si="148"/>
        <v>219.59799863414099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-3.813056537183002E-14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191.58722091189202</v>
      </c>
      <c r="CZ183" s="62">
        <f t="shared" si="150"/>
        <v>140.7542783756906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217.20547328702645</v>
      </c>
      <c r="T184" s="62">
        <f t="shared" si="142"/>
        <v>137.55906339137317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3.3603794522479079E-23</v>
      </c>
      <c r="AC184" s="24">
        <f t="shared" si="163"/>
        <v>3.3603794522479079E-23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-5.6843418860808015E-13</v>
      </c>
      <c r="AJ184" s="14">
        <f>AI184*VLOOKUP('Données projet'!$B$10,Paramètres!$A$1:$I$89,3,0)*VLOOKUP('Données projet'!$B$10,Paramètres!$A$1:$I$89,5,0)</f>
        <v>-5.1431925385259092E-13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305.35633273533773</v>
      </c>
      <c r="AO184" s="62">
        <f t="shared" si="144"/>
        <v>156.67965022779896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-1.2710188457276673E-13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415.52119746518764</v>
      </c>
      <c r="BJ184" s="62">
        <f t="shared" si="146"/>
        <v>490.11217551185604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2.1569739991313043E-23</v>
      </c>
      <c r="BS184" s="24">
        <f t="shared" si="169"/>
        <v>2.1569739991313043E-23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projet'!$B$12,Paramètres!$A$1:$I$89,3,0)*VLOOKUP('Données projet'!$B$12,Paramètres!$A$1:$I$89,5,0)</f>
        <v>-1.8089849618263545E-13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232.53653575369032</v>
      </c>
      <c r="CE184" s="62">
        <f t="shared" si="148"/>
        <v>219.59799863414099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-3.813056537183002E-14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191.58722091189202</v>
      </c>
      <c r="CZ184" s="62">
        <f t="shared" si="150"/>
        <v>140.7542783756906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217.20547328702645</v>
      </c>
      <c r="T185" s="62">
        <f t="shared" si="142"/>
        <v>137.55906339137317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2.3761470980444318E-23</v>
      </c>
      <c r="AC185" s="24">
        <f t="shared" si="163"/>
        <v>2.3761470980444318E-23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-5.6843418860808015E-13</v>
      </c>
      <c r="AJ185" s="14">
        <f>AI185*VLOOKUP('Données projet'!$B$10,Paramètres!$A$1:$I$89,3,0)*VLOOKUP('Données projet'!$B$10,Paramètres!$A$1:$I$89,5,0)</f>
        <v>-5.1431925385259092E-13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305.35633273533773</v>
      </c>
      <c r="AO185" s="62">
        <f t="shared" si="144"/>
        <v>156.67965022779896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-1.2710188457276673E-13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415.52119746518764</v>
      </c>
      <c r="BJ185" s="62">
        <f t="shared" si="146"/>
        <v>490.11217551185604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1.5252109416288115E-23</v>
      </c>
      <c r="BS185" s="24">
        <f t="shared" si="169"/>
        <v>1.5252109416288115E-23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projet'!$B$12,Paramètres!$A$1:$I$89,3,0)*VLOOKUP('Données projet'!$B$12,Paramètres!$A$1:$I$89,5,0)</f>
        <v>-1.8089849618263545E-13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232.53653575369032</v>
      </c>
      <c r="CE185" s="62">
        <f t="shared" si="148"/>
        <v>219.59799863414099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-3.813056537183002E-14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191.58722091189202</v>
      </c>
      <c r="CZ185" s="62">
        <f t="shared" si="150"/>
        <v>140.7542783756906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217.20547328702645</v>
      </c>
      <c r="T186" s="62">
        <f t="shared" si="142"/>
        <v>137.55906339137317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1.6801897261239539E-23</v>
      </c>
      <c r="AC186" s="24">
        <f t="shared" si="163"/>
        <v>1.6801897261239539E-23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-5.6843418860808015E-13</v>
      </c>
      <c r="AJ186" s="14">
        <f>AI186*VLOOKUP('Données projet'!$B$10,Paramètres!$A$1:$I$89,3,0)*VLOOKUP('Données projet'!$B$10,Paramètres!$A$1:$I$89,5,0)</f>
        <v>-5.1431925385259092E-13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305.35633273533773</v>
      </c>
      <c r="AO186" s="62">
        <f t="shared" si="144"/>
        <v>156.67965022779896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-1.2710188457276673E-13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415.52119746518764</v>
      </c>
      <c r="BJ186" s="62">
        <f t="shared" si="146"/>
        <v>490.11217551185604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1.0784869995656522E-23</v>
      </c>
      <c r="BS186" s="24">
        <f t="shared" si="169"/>
        <v>1.0784869995656522E-23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projet'!$B$12,Paramètres!$A$1:$I$89,3,0)*VLOOKUP('Données projet'!$B$12,Paramètres!$A$1:$I$89,5,0)</f>
        <v>-1.8089849618263545E-13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232.53653575369032</v>
      </c>
      <c r="CE186" s="62">
        <f t="shared" si="148"/>
        <v>219.59799863414099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-3.813056537183002E-14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191.58722091189202</v>
      </c>
      <c r="CZ186" s="62">
        <f t="shared" si="150"/>
        <v>140.7542783756906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217.20547328702645</v>
      </c>
      <c r="T187" s="62">
        <f t="shared" si="142"/>
        <v>137.55906339137317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1.1880735490222159E-23</v>
      </c>
      <c r="AC187" s="24">
        <f t="shared" si="163"/>
        <v>1.1880735490222159E-23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-5.6843418860808015E-13</v>
      </c>
      <c r="AJ187" s="14">
        <f>AI187*VLOOKUP('Données projet'!$B$10,Paramètres!$A$1:$I$89,3,0)*VLOOKUP('Données projet'!$B$10,Paramètres!$A$1:$I$89,5,0)</f>
        <v>-5.1431925385259092E-13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305.35633273533773</v>
      </c>
      <c r="AO187" s="62">
        <f t="shared" si="144"/>
        <v>156.67965022779896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-1.2710188457276673E-13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415.52119746518764</v>
      </c>
      <c r="BJ187" s="62">
        <f t="shared" si="146"/>
        <v>490.11217551185604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7.6260547081440576E-24</v>
      </c>
      <c r="BS187" s="24">
        <f t="shared" si="169"/>
        <v>7.6260547081440576E-24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projet'!$B$12,Paramètres!$A$1:$I$89,3,0)*VLOOKUP('Données projet'!$B$12,Paramètres!$A$1:$I$89,5,0)</f>
        <v>-1.8089849618263545E-13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232.53653575369032</v>
      </c>
      <c r="CE187" s="62">
        <f t="shared" si="148"/>
        <v>219.59799863414099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-3.813056537183002E-14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191.58722091189202</v>
      </c>
      <c r="CZ187" s="62">
        <f t="shared" si="150"/>
        <v>140.7542783756906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217.20547328702645</v>
      </c>
      <c r="T188" s="62">
        <f t="shared" si="142"/>
        <v>137.55906339137317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8.4009486306197697E-24</v>
      </c>
      <c r="AC188" s="24">
        <f t="shared" si="163"/>
        <v>8.4009486306197697E-24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-5.6843418860808015E-13</v>
      </c>
      <c r="AJ188" s="14">
        <f>AI188*VLOOKUP('Données projet'!$B$10,Paramètres!$A$1:$I$89,3,0)*VLOOKUP('Données projet'!$B$10,Paramètres!$A$1:$I$89,5,0)</f>
        <v>-5.1431925385259092E-13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305.35633273533773</v>
      </c>
      <c r="AO188" s="62">
        <f t="shared" si="144"/>
        <v>156.67965022779896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-1.2710188457276673E-13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415.52119746518764</v>
      </c>
      <c r="BJ188" s="62">
        <f t="shared" si="146"/>
        <v>490.11217551185604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5.3924349978282608E-24</v>
      </c>
      <c r="BS188" s="24">
        <f t="shared" si="169"/>
        <v>5.3924349978282608E-24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projet'!$B$12,Paramètres!$A$1:$I$89,3,0)*VLOOKUP('Données projet'!$B$12,Paramètres!$A$1:$I$89,5,0)</f>
        <v>-1.8089849618263545E-13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232.53653575369032</v>
      </c>
      <c r="CE188" s="62">
        <f t="shared" si="148"/>
        <v>219.59799863414099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-3.813056537183002E-14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191.58722091189202</v>
      </c>
      <c r="CZ188" s="62">
        <f t="shared" si="150"/>
        <v>140.7542783756906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217.20547328702645</v>
      </c>
      <c r="T189" s="62">
        <f t="shared" si="142"/>
        <v>137.55906339137317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5.9403677451110796E-24</v>
      </c>
      <c r="AC189" s="24">
        <f t="shared" si="163"/>
        <v>5.9403677451110796E-24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-5.6843418860808015E-13</v>
      </c>
      <c r="AJ189" s="14">
        <f>AI189*VLOOKUP('Données projet'!$B$10,Paramètres!$A$1:$I$89,3,0)*VLOOKUP('Données projet'!$B$10,Paramètres!$A$1:$I$89,5,0)</f>
        <v>-5.1431925385259092E-13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305.35633273533773</v>
      </c>
      <c r="AO189" s="62">
        <f t="shared" si="144"/>
        <v>156.67965022779896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-1.2710188457276673E-13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415.52119746518764</v>
      </c>
      <c r="BJ189" s="62">
        <f t="shared" si="146"/>
        <v>490.11217551185604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3.8130273540720288E-24</v>
      </c>
      <c r="BS189" s="24">
        <f t="shared" si="169"/>
        <v>3.8130273540720288E-24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projet'!$B$12,Paramètres!$A$1:$I$89,3,0)*VLOOKUP('Données projet'!$B$12,Paramètres!$A$1:$I$89,5,0)</f>
        <v>-1.8089849618263545E-13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232.53653575369032</v>
      </c>
      <c r="CE189" s="62">
        <f t="shared" si="148"/>
        <v>219.59799863414099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-3.813056537183002E-14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191.58722091189202</v>
      </c>
      <c r="CZ189" s="62">
        <f t="shared" si="150"/>
        <v>140.7542783756906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217.20547328702645</v>
      </c>
      <c r="T190" s="62">
        <f t="shared" si="142"/>
        <v>137.55906339137317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4.2004743153098848E-24</v>
      </c>
      <c r="AC190" s="24">
        <f t="shared" si="163"/>
        <v>4.2004743153098848E-24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-5.6843418860808015E-13</v>
      </c>
      <c r="AJ190" s="14">
        <f>AI190*VLOOKUP('Données projet'!$B$10,Paramètres!$A$1:$I$89,3,0)*VLOOKUP('Données projet'!$B$10,Paramètres!$A$1:$I$89,5,0)</f>
        <v>-5.1431925385259092E-13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305.35633273533773</v>
      </c>
      <c r="AO190" s="62">
        <f t="shared" si="144"/>
        <v>156.67965022779896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-1.2710188457276673E-13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415.52119746518764</v>
      </c>
      <c r="BJ190" s="62">
        <f t="shared" si="146"/>
        <v>490.11217551185604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2.6962174989141304E-24</v>
      </c>
      <c r="BS190" s="24">
        <f t="shared" si="169"/>
        <v>2.6962174989141304E-24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projet'!$B$12,Paramètres!$A$1:$I$89,3,0)*VLOOKUP('Données projet'!$B$12,Paramètres!$A$1:$I$89,5,0)</f>
        <v>-1.8089849618263545E-13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232.53653575369032</v>
      </c>
      <c r="CE190" s="62">
        <f t="shared" si="148"/>
        <v>219.59799863414099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-3.813056537183002E-14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191.58722091189202</v>
      </c>
      <c r="CZ190" s="62">
        <f t="shared" si="150"/>
        <v>140.7542783756906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217.20547328702645</v>
      </c>
      <c r="T191" s="62">
        <f t="shared" si="142"/>
        <v>137.55906339137317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2.9701838725555398E-24</v>
      </c>
      <c r="AC191" s="24">
        <f t="shared" si="163"/>
        <v>2.9701838725555398E-24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-5.6843418860808015E-13</v>
      </c>
      <c r="AJ191" s="14">
        <f>AI191*VLOOKUP('Données projet'!$B$10,Paramètres!$A$1:$I$89,3,0)*VLOOKUP('Données projet'!$B$10,Paramètres!$A$1:$I$89,5,0)</f>
        <v>-5.1431925385259092E-13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305.35633273533773</v>
      </c>
      <c r="AO191" s="62">
        <f t="shared" si="144"/>
        <v>156.67965022779896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-1.2710188457276673E-13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415.52119746518764</v>
      </c>
      <c r="BJ191" s="62">
        <f t="shared" si="146"/>
        <v>490.11217551185604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1.9065136770360144E-24</v>
      </c>
      <c r="BS191" s="24">
        <f t="shared" si="169"/>
        <v>1.9065136770360144E-24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projet'!$B$12,Paramètres!$A$1:$I$89,3,0)*VLOOKUP('Données projet'!$B$12,Paramètres!$A$1:$I$89,5,0)</f>
        <v>-1.8089849618263545E-13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232.53653575369032</v>
      </c>
      <c r="CE191" s="62">
        <f t="shared" si="148"/>
        <v>219.59799863414099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-3.813056537183002E-14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191.58722091189202</v>
      </c>
      <c r="CZ191" s="62">
        <f t="shared" si="150"/>
        <v>140.7542783756906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217.20547328702645</v>
      </c>
      <c r="T192" s="62">
        <f t="shared" si="142"/>
        <v>137.55906339137317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2.1002371576549424E-24</v>
      </c>
      <c r="AC192" s="24">
        <f t="shared" si="163"/>
        <v>2.1002371576549424E-24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-5.6843418860808015E-13</v>
      </c>
      <c r="AJ192" s="14">
        <f>AI192*VLOOKUP('Données projet'!$B$10,Paramètres!$A$1:$I$89,3,0)*VLOOKUP('Données projet'!$B$10,Paramètres!$A$1:$I$89,5,0)</f>
        <v>-5.1431925385259092E-13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305.35633273533773</v>
      </c>
      <c r="AO192" s="62">
        <f t="shared" si="144"/>
        <v>156.67965022779896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-1.2710188457276673E-13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415.52119746518764</v>
      </c>
      <c r="BJ192" s="62">
        <f t="shared" si="146"/>
        <v>490.11217551185604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1.3481087494570652E-24</v>
      </c>
      <c r="BS192" s="24">
        <f t="shared" si="169"/>
        <v>1.3481087494570652E-24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projet'!$B$12,Paramètres!$A$1:$I$89,3,0)*VLOOKUP('Données projet'!$B$12,Paramètres!$A$1:$I$89,5,0)</f>
        <v>-1.8089849618263545E-13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232.53653575369032</v>
      </c>
      <c r="CE192" s="62">
        <f t="shared" si="148"/>
        <v>219.59799863414099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-3.813056537183002E-14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191.58722091189202</v>
      </c>
      <c r="CZ192" s="62">
        <f t="shared" si="150"/>
        <v>140.7542783756906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217.20547328702645</v>
      </c>
      <c r="T193" s="62">
        <f t="shared" si="142"/>
        <v>137.55906339137317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1.4850919362777699E-24</v>
      </c>
      <c r="AC193" s="24">
        <f t="shared" si="163"/>
        <v>1.4850919362777699E-24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-5.6843418860808015E-13</v>
      </c>
      <c r="AJ193" s="14">
        <f>AI193*VLOOKUP('Données projet'!$B$10,Paramètres!$A$1:$I$89,3,0)*VLOOKUP('Données projet'!$B$10,Paramètres!$A$1:$I$89,5,0)</f>
        <v>-5.1431925385259092E-13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305.35633273533773</v>
      </c>
      <c r="AO193" s="62">
        <f t="shared" si="144"/>
        <v>156.67965022779896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-1.2710188457276673E-13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415.52119746518764</v>
      </c>
      <c r="BJ193" s="62">
        <f t="shared" si="146"/>
        <v>490.11217551185604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9.532568385180072E-25</v>
      </c>
      <c r="BS193" s="24">
        <f t="shared" si="169"/>
        <v>9.532568385180072E-25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projet'!$B$12,Paramètres!$A$1:$I$89,3,0)*VLOOKUP('Données projet'!$B$12,Paramètres!$A$1:$I$89,5,0)</f>
        <v>-1.8089849618263545E-13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232.53653575369032</v>
      </c>
      <c r="CE193" s="62">
        <f t="shared" si="148"/>
        <v>219.59799863414099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-3.813056537183002E-14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191.58722091189202</v>
      </c>
      <c r="CZ193" s="62">
        <f t="shared" si="150"/>
        <v>140.7542783756906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217.20547328702645</v>
      </c>
      <c r="T194" s="62">
        <f t="shared" si="142"/>
        <v>137.55906339137317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1.0501185788274712E-24</v>
      </c>
      <c r="AC194" s="24">
        <f t="shared" si="163"/>
        <v>1.0501185788274712E-24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-5.6843418860808015E-13</v>
      </c>
      <c r="AJ194" s="14">
        <f>AI194*VLOOKUP('Données projet'!$B$10,Paramètres!$A$1:$I$89,3,0)*VLOOKUP('Données projet'!$B$10,Paramètres!$A$1:$I$89,5,0)</f>
        <v>-5.1431925385259092E-13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305.35633273533773</v>
      </c>
      <c r="AO194" s="62">
        <f t="shared" si="144"/>
        <v>156.67965022779896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-1.2710188457276673E-13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415.52119746518764</v>
      </c>
      <c r="BJ194" s="62">
        <f t="shared" si="146"/>
        <v>490.11217551185604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6.740543747285326E-25</v>
      </c>
      <c r="BS194" s="24">
        <f t="shared" si="169"/>
        <v>6.740543747285326E-25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projet'!$B$12,Paramètres!$A$1:$I$89,3,0)*VLOOKUP('Données projet'!$B$12,Paramètres!$A$1:$I$89,5,0)</f>
        <v>-1.8089849618263545E-13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232.53653575369032</v>
      </c>
      <c r="CE194" s="62">
        <f t="shared" si="148"/>
        <v>219.59799863414099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-3.813056537183002E-14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191.58722091189202</v>
      </c>
      <c r="CZ194" s="62">
        <f t="shared" si="150"/>
        <v>140.7542783756906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217.20547328702645</v>
      </c>
      <c r="T195" s="62">
        <f t="shared" si="142"/>
        <v>137.55906339137317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7.4254596813888495E-25</v>
      </c>
      <c r="AC195" s="24">
        <f t="shared" si="163"/>
        <v>7.4254596813888495E-25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-5.6843418860808015E-13</v>
      </c>
      <c r="AJ195" s="14">
        <f>AI195*VLOOKUP('Données projet'!$B$10,Paramètres!$A$1:$I$89,3,0)*VLOOKUP('Données projet'!$B$10,Paramètres!$A$1:$I$89,5,0)</f>
        <v>-5.1431925385259092E-13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305.35633273533773</v>
      </c>
      <c r="AO195" s="62">
        <f t="shared" si="144"/>
        <v>156.67965022779896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-1.2710188457276673E-13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415.52119746518764</v>
      </c>
      <c r="BJ195" s="62">
        <f t="shared" si="146"/>
        <v>490.11217551185604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4.766284192590036E-25</v>
      </c>
      <c r="BS195" s="24">
        <f t="shared" si="169"/>
        <v>4.766284192590036E-25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projet'!$B$12,Paramètres!$A$1:$I$89,3,0)*VLOOKUP('Données projet'!$B$12,Paramètres!$A$1:$I$89,5,0)</f>
        <v>-1.8089849618263545E-13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232.53653575369032</v>
      </c>
      <c r="CE195" s="62">
        <f t="shared" si="148"/>
        <v>219.59799863414099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-3.813056537183002E-14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191.58722091189202</v>
      </c>
      <c r="CZ195" s="62">
        <f t="shared" si="150"/>
        <v>140.7542783756906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217.20547328702645</v>
      </c>
      <c r="T196" s="62">
        <f t="shared" si="142"/>
        <v>137.55906339137317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5.2505928941373561E-25</v>
      </c>
      <c r="AC196" s="24">
        <f t="shared" si="163"/>
        <v>5.2505928941373561E-25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-5.6843418860808015E-13</v>
      </c>
      <c r="AJ196" s="14">
        <f>AI196*VLOOKUP('Données projet'!$B$10,Paramètres!$A$1:$I$89,3,0)*VLOOKUP('Données projet'!$B$10,Paramètres!$A$1:$I$89,5,0)</f>
        <v>-5.1431925385259092E-13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305.35633273533773</v>
      </c>
      <c r="AO196" s="62">
        <f t="shared" si="144"/>
        <v>156.67965022779896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-1.2710188457276673E-13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415.52119746518764</v>
      </c>
      <c r="BJ196" s="62">
        <f t="shared" si="146"/>
        <v>490.11217551185604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3.370271873642663E-25</v>
      </c>
      <c r="BS196" s="24">
        <f t="shared" si="169"/>
        <v>3.370271873642663E-25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projet'!$B$12,Paramètres!$A$1:$I$89,3,0)*VLOOKUP('Données projet'!$B$12,Paramètres!$A$1:$I$89,5,0)</f>
        <v>-1.8089849618263545E-13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232.53653575369032</v>
      </c>
      <c r="CE196" s="62">
        <f t="shared" si="148"/>
        <v>219.59799863414099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-3.813056537183002E-14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191.58722091189202</v>
      </c>
      <c r="CZ196" s="62">
        <f t="shared" si="150"/>
        <v>140.7542783756906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217.20547328702645</v>
      </c>
      <c r="T197" s="62">
        <f t="shared" ref="T197:T203" si="204">$T$3</f>
        <v>137.55906339137317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3.7127298406944248E-25</v>
      </c>
      <c r="AC197" s="24">
        <f t="shared" si="163"/>
        <v>3.7127298406944248E-25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-5.6843418860808015E-13</v>
      </c>
      <c r="AJ197" s="14">
        <f>AI197*VLOOKUP('Données projet'!$B$10,Paramètres!$A$1:$I$89,3,0)*VLOOKUP('Données projet'!$B$10,Paramètres!$A$1:$I$89,5,0)</f>
        <v>-5.1431925385259092E-13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305.35633273533773</v>
      </c>
      <c r="AO197" s="62">
        <f t="shared" ref="AO197:AO203" si="205">$AO$3</f>
        <v>156.67965022779896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-1.2710188457276673E-13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415.52119746518764</v>
      </c>
      <c r="BJ197" s="62">
        <f t="shared" ref="BJ197:BJ203" si="206">$BJ$3</f>
        <v>490.11217551185604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2.383142096295018E-25</v>
      </c>
      <c r="BS197" s="24">
        <f t="shared" si="169"/>
        <v>2.383142096295018E-25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projet'!$B$12,Paramètres!$A$1:$I$89,3,0)*VLOOKUP('Données projet'!$B$12,Paramètres!$A$1:$I$89,5,0)</f>
        <v>-1.8089849618263545E-13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232.53653575369032</v>
      </c>
      <c r="CE197" s="62">
        <f t="shared" ref="CE197:CE203" si="207">$CE$3</f>
        <v>219.59799863414099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-3.813056537183002E-14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191.58722091189202</v>
      </c>
      <c r="CZ197" s="62">
        <f t="shared" ref="CZ197:CZ203" si="208">$CZ$3</f>
        <v>140.7542783756906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217.20547328702645</v>
      </c>
      <c r="T198" s="62">
        <f t="shared" si="204"/>
        <v>137.55906339137317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2.625296447068678E-25</v>
      </c>
      <c r="AC198" s="24">
        <f t="shared" si="163"/>
        <v>2.625296447068678E-25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-5.6843418860808015E-13</v>
      </c>
      <c r="AJ198" s="14">
        <f>AI198*VLOOKUP('Données projet'!$B$10,Paramètres!$A$1:$I$89,3,0)*VLOOKUP('Données projet'!$B$10,Paramètres!$A$1:$I$89,5,0)</f>
        <v>-5.1431925385259092E-13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305.35633273533773</v>
      </c>
      <c r="AO198" s="62">
        <f t="shared" si="205"/>
        <v>156.67965022779896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-1.2710188457276673E-13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415.52119746518764</v>
      </c>
      <c r="BJ198" s="62">
        <f t="shared" si="206"/>
        <v>490.11217551185604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1.6851359368213315E-25</v>
      </c>
      <c r="BS198" s="24">
        <f t="shared" si="169"/>
        <v>1.6851359368213315E-25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projet'!$B$12,Paramètres!$A$1:$I$89,3,0)*VLOOKUP('Données projet'!$B$12,Paramètres!$A$1:$I$89,5,0)</f>
        <v>-1.8089849618263545E-13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232.53653575369032</v>
      </c>
      <c r="CE198" s="62">
        <f t="shared" si="207"/>
        <v>219.59799863414099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-3.813056537183002E-14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191.58722091189202</v>
      </c>
      <c r="CZ198" s="62">
        <f t="shared" si="208"/>
        <v>140.7542783756906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217.20547328702645</v>
      </c>
      <c r="T199" s="62">
        <f t="shared" si="204"/>
        <v>137.55906339137317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1.8563649203472124E-25</v>
      </c>
      <c r="AC199" s="24">
        <f t="shared" si="163"/>
        <v>1.8563649203472124E-25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-5.6843418860808015E-13</v>
      </c>
      <c r="AJ199" s="14">
        <f>AI199*VLOOKUP('Données projet'!$B$10,Paramètres!$A$1:$I$89,3,0)*VLOOKUP('Données projet'!$B$10,Paramètres!$A$1:$I$89,5,0)</f>
        <v>-5.1431925385259092E-13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305.35633273533773</v>
      </c>
      <c r="AO199" s="62">
        <f t="shared" si="205"/>
        <v>156.67965022779896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-1.2710188457276673E-13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415.52119746518764</v>
      </c>
      <c r="BJ199" s="62">
        <f t="shared" si="206"/>
        <v>490.11217551185604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1.191571048147509E-25</v>
      </c>
      <c r="BS199" s="24">
        <f t="shared" si="169"/>
        <v>1.191571048147509E-25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projet'!$B$12,Paramètres!$A$1:$I$89,3,0)*VLOOKUP('Données projet'!$B$12,Paramètres!$A$1:$I$89,5,0)</f>
        <v>-1.8089849618263545E-13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232.53653575369032</v>
      </c>
      <c r="CE199" s="62">
        <f t="shared" si="207"/>
        <v>219.59799863414099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-3.813056537183002E-14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191.58722091189202</v>
      </c>
      <c r="CZ199" s="62">
        <f t="shared" si="208"/>
        <v>140.7542783756906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217.20547328702645</v>
      </c>
      <c r="T200" s="62">
        <f t="shared" si="204"/>
        <v>137.55906339137317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1.312648223534339E-25</v>
      </c>
      <c r="AC200" s="24">
        <f t="shared" si="163"/>
        <v>1.312648223534339E-25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-5.6843418860808015E-13</v>
      </c>
      <c r="AJ200" s="14">
        <f>AI200*VLOOKUP('Données projet'!$B$10,Paramètres!$A$1:$I$89,3,0)*VLOOKUP('Données projet'!$B$10,Paramètres!$A$1:$I$89,5,0)</f>
        <v>-5.1431925385259092E-13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305.35633273533773</v>
      </c>
      <c r="AO200" s="62">
        <f t="shared" si="205"/>
        <v>156.67965022779896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-1.2710188457276673E-13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415.52119746518764</v>
      </c>
      <c r="BJ200" s="62">
        <f t="shared" si="206"/>
        <v>490.11217551185604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8.4256796841066575E-26</v>
      </c>
      <c r="BS200" s="24">
        <f t="shared" si="169"/>
        <v>8.4256796841066575E-26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projet'!$B$12,Paramètres!$A$1:$I$89,3,0)*VLOOKUP('Données projet'!$B$12,Paramètres!$A$1:$I$89,5,0)</f>
        <v>-1.8089849618263545E-13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232.53653575369032</v>
      </c>
      <c r="CE200" s="62">
        <f t="shared" si="207"/>
        <v>219.59799863414099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-3.813056537183002E-14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191.58722091189202</v>
      </c>
      <c r="CZ200" s="62">
        <f t="shared" si="208"/>
        <v>140.7542783756906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217.20547328702645</v>
      </c>
      <c r="T201" s="62">
        <f t="shared" si="204"/>
        <v>137.55906339137317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9.2818246017360619E-26</v>
      </c>
      <c r="AC201" s="24">
        <f t="shared" si="163"/>
        <v>9.2818246017360619E-26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-5.6843418860808015E-13</v>
      </c>
      <c r="AJ201" s="14">
        <f>AI201*VLOOKUP('Données projet'!$B$10,Paramètres!$A$1:$I$89,3,0)*VLOOKUP('Données projet'!$B$10,Paramètres!$A$1:$I$89,5,0)</f>
        <v>-5.1431925385259092E-13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305.35633273533773</v>
      </c>
      <c r="AO201" s="62">
        <f t="shared" si="205"/>
        <v>156.67965022779896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-1.2710188457276673E-13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415.52119746518764</v>
      </c>
      <c r="BJ201" s="62">
        <f t="shared" si="206"/>
        <v>490.11217551185604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5.957855240737545E-26</v>
      </c>
      <c r="BS201" s="24">
        <f t="shared" si="169"/>
        <v>5.957855240737545E-26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projet'!$B$12,Paramètres!$A$1:$I$89,3,0)*VLOOKUP('Données projet'!$B$12,Paramètres!$A$1:$I$89,5,0)</f>
        <v>-1.8089849618263545E-13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232.53653575369032</v>
      </c>
      <c r="CE201" s="62">
        <f t="shared" si="207"/>
        <v>219.59799863414099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-3.813056537183002E-14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191.58722091189202</v>
      </c>
      <c r="CZ201" s="62">
        <f t="shared" si="208"/>
        <v>140.7542783756906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217.20547328702645</v>
      </c>
      <c r="T202" s="62">
        <f t="shared" si="204"/>
        <v>137.55906339137317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6.5632411176716951E-26</v>
      </c>
      <c r="AC202" s="24">
        <f t="shared" si="163"/>
        <v>6.5632411176716951E-26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-5.6843418860808015E-13</v>
      </c>
      <c r="AJ202" s="14">
        <f>AI202*VLOOKUP('Données projet'!$B$10,Paramètres!$A$1:$I$89,3,0)*VLOOKUP('Données projet'!$B$10,Paramètres!$A$1:$I$89,5,0)</f>
        <v>-5.1431925385259092E-13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305.35633273533773</v>
      </c>
      <c r="AO202" s="62">
        <f t="shared" si="205"/>
        <v>156.67965022779896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-1.2710188457276673E-13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415.52119746518764</v>
      </c>
      <c r="BJ202" s="62">
        <f t="shared" si="206"/>
        <v>490.11217551185604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4.2128398420533288E-26</v>
      </c>
      <c r="BS202" s="24">
        <f t="shared" si="169"/>
        <v>4.2128398420533288E-26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projet'!$B$12,Paramètres!$A$1:$I$89,3,0)*VLOOKUP('Données projet'!$B$12,Paramètres!$A$1:$I$89,5,0)</f>
        <v>-1.8089849618263545E-13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232.53653575369032</v>
      </c>
      <c r="CE202" s="62">
        <f t="shared" si="207"/>
        <v>219.59799863414099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-3.813056537183002E-14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191.58722091189202</v>
      </c>
      <c r="CZ202" s="62">
        <f t="shared" si="208"/>
        <v>140.7542783756906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217.20547328702645</v>
      </c>
      <c r="T203" s="62">
        <f t="shared" si="204"/>
        <v>137.55906339137317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4.640912300868031E-26</v>
      </c>
      <c r="AC203" s="24">
        <f t="shared" si="163"/>
        <v>4.640912300868031E-26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-5.6843418860808015E-13</v>
      </c>
      <c r="AJ203" s="14">
        <f>AI203*VLOOKUP('Données projet'!$B$10,Paramètres!$A$1:$I$89,3,0)*VLOOKUP('Données projet'!$B$10,Paramètres!$A$1:$I$89,5,0)</f>
        <v>-5.1431925385259092E-13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305.35633273533773</v>
      </c>
      <c r="AO203" s="62">
        <f t="shared" si="205"/>
        <v>156.67965022779896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-1.2710188457276673E-13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415.52119746518764</v>
      </c>
      <c r="BJ203" s="62">
        <f t="shared" si="206"/>
        <v>490.11217551185604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2.9789276203687725E-26</v>
      </c>
      <c r="BS203" s="24">
        <f t="shared" si="169"/>
        <v>2.9789276203687725E-26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projet'!$B$12,Paramètres!$A$1:$I$89,3,0)*VLOOKUP('Données projet'!$B$12,Paramètres!$A$1:$I$89,5,0)</f>
        <v>-1.8089849618263545E-13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232.53653575369032</v>
      </c>
      <c r="CE203" s="62">
        <f t="shared" si="207"/>
        <v>219.59799863414099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-3.813056537183002E-14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191.58722091189202</v>
      </c>
      <c r="CZ203" s="62">
        <f t="shared" si="208"/>
        <v>140.7542783756906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1.1932635389591795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1.3807545136538468</v>
      </c>
      <c r="BV205" s="88">
        <f>EXP(LN('Données projet'!B114)/'Données projet'!A114)</f>
        <v>1.2721747796233518</v>
      </c>
      <c r="CQ205" s="88">
        <f>EXP(LN('Données projet'!B140)/'Données projet'!A140)</f>
        <v>1.2822890014514785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25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18" t="s">
        <v>238</v>
      </c>
      <c r="P2" s="129">
        <v>0</v>
      </c>
    </row>
    <row r="3" spans="1:16" ht="15.75" thickBot="1" x14ac:dyDescent="0.3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19"/>
      <c r="P3" s="136">
        <v>0.2</v>
      </c>
    </row>
    <row r="4" spans="1:16" ht="15.75" thickBot="1" x14ac:dyDescent="0.3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25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18" t="s">
        <v>237</v>
      </c>
      <c r="P5" s="129">
        <v>0</v>
      </c>
    </row>
    <row r="6" spans="1:16" x14ac:dyDescent="0.25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20"/>
      <c r="P6" s="137">
        <v>0.05</v>
      </c>
    </row>
    <row r="7" spans="1:16" x14ac:dyDescent="0.25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20"/>
      <c r="P7" s="137">
        <v>0.1</v>
      </c>
    </row>
    <row r="8" spans="1:16" ht="15.75" thickBot="1" x14ac:dyDescent="0.3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19"/>
      <c r="P8" s="136">
        <v>0.15</v>
      </c>
    </row>
    <row r="9" spans="1:16" ht="15.75" thickBot="1" x14ac:dyDescent="0.3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25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18" t="s">
        <v>236</v>
      </c>
      <c r="P10" s="129">
        <v>0</v>
      </c>
    </row>
    <row r="11" spans="1:16" ht="15.75" thickBot="1" x14ac:dyDescent="0.3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19"/>
      <c r="P11" s="136">
        <v>0.1</v>
      </c>
    </row>
    <row r="12" spans="1:16" x14ac:dyDescent="0.25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25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25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25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25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25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25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25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25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25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25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25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25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25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25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25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25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25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25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25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25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25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25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25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25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25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25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25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25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25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25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25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25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25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25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25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25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25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25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25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25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25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25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25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25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25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25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25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25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25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25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25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25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25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25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25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25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25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25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25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25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25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25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25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25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25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25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25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25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25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25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25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25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25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25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99"/>
      <c r="K87" s="99"/>
      <c r="L87" s="99"/>
      <c r="M87" s="99"/>
      <c r="N87" s="99"/>
    </row>
    <row r="88" spans="1:14" x14ac:dyDescent="0.25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5.75" thickBot="1" x14ac:dyDescent="0.3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25">
      <c r="A93" s="130" t="s">
        <v>208</v>
      </c>
    </row>
    <row r="94" spans="1:14" x14ac:dyDescent="0.25">
      <c r="A94" s="130" t="s">
        <v>209</v>
      </c>
    </row>
    <row r="95" spans="1:14" x14ac:dyDescent="0.25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F5" sqref="F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3" t="str">
        <f>IF('Données projet'!$B$9="","",'Données projet'!$B$9)</f>
        <v>Pin laricio</v>
      </c>
      <c r="B6" s="154">
        <f>'Données projet'!D9</f>
        <v>0.9</v>
      </c>
      <c r="C6" s="155">
        <f ca="1">IF(OR('Données projet'!B9="",'Données projet'!C9="",'Données projet'!C9=0%),0,Calculateur!S3)</f>
        <v>217.20547328702645</v>
      </c>
      <c r="D6" s="155">
        <f>IF(OR('Données projet'!B9="",'Données projet'!C9="",'Données projet'!C9=0%),0,Calculateur!T3)</f>
        <v>137.55906339137317</v>
      </c>
      <c r="E6" s="155">
        <f ca="1">MIN(C6,D6)</f>
        <v>137.55906339137317</v>
      </c>
      <c r="F6" s="155">
        <f ca="1">E6*B6</f>
        <v>123.80315705223586</v>
      </c>
      <c r="G6" s="155">
        <f ca="1">F6*(100%-'Données projet'!$C$24)*(100%-'Données projet'!$C$25)*(100%-'Données projet'!$C$26)*(100%-'Données projet'!$C$27)</f>
        <v>111.42284134701228</v>
      </c>
      <c r="H6" s="156">
        <f>IF(OR('Données projet'!B9="",'Données projet'!C9="",'Données projet'!C9=0%),0,AVERAGE(Calculateur!$AC$3:$AC$33)*B6)</f>
        <v>0.37751198923777757</v>
      </c>
      <c r="I6" s="157">
        <f>H6*(100%-'Données projet'!$C$24)*(100%-'Données projet'!$C$25)*(100%-'Données projet'!$C$26)*(100%-'Données projet'!$C$27)</f>
        <v>0.33976079031399981</v>
      </c>
      <c r="J6" s="158">
        <f>IF(OR('Données projet'!B9="",'Données projet'!C9="",'Données projet'!C9=0%),0,SUM(Calculateur!$V$3:$V$33)*VLOOKUP('Données projet'!$B$9,Paramètres!$A$1:$I$89,9,0)*B6)</f>
        <v>5.8050000000000006</v>
      </c>
      <c r="K6" s="159">
        <f>J6*(100%-'Données projet'!$C$24)*(100%-'Données projet'!$C$25)*(100%-'Données projet'!$C$26)*(100%-'Données projet'!$C$27)</f>
        <v>5.2245000000000008</v>
      </c>
      <c r="L6" s="160">
        <f ca="1">G6+I6+K6</f>
        <v>116.98710213732629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1" t="str">
        <f>IF('Données projet'!$B$10="","",'Données projet'!$B$10)</f>
        <v>Chêne sessile</v>
      </c>
      <c r="B7" s="162">
        <f>'Données projet'!D10</f>
        <v>0.2</v>
      </c>
      <c r="C7" s="155">
        <f ca="1">IF(OR('Données projet'!B10="",'Données projet'!C10="",'Données projet'!C10=0%),0,Calculateur!AN3)</f>
        <v>305.35633273533773</v>
      </c>
      <c r="D7" s="155">
        <f>IF(OR('Données projet'!B10="",'Données projet'!C10="",'Données projet'!C10=0%),0,Calculateur!AO3)</f>
        <v>156.67965022779896</v>
      </c>
      <c r="E7" s="155">
        <f t="shared" ref="E7:E15" ca="1" si="0">MIN(C7,D7)</f>
        <v>156.67965022779896</v>
      </c>
      <c r="F7" s="155">
        <f t="shared" ref="F7:F15" ca="1" si="1">E7*B7</f>
        <v>31.335930045559792</v>
      </c>
      <c r="G7" s="155">
        <f ca="1">F7*(100%-'Données projet'!$C$24)*(100%-'Données projet'!$C$25)*(100%-'Données projet'!$C$26)*(100%-'Données projet'!$C$27)</f>
        <v>28.202337041003812</v>
      </c>
      <c r="H7" s="163">
        <f>IF(OR('Données projet'!B10="",'Données projet'!C10="",'Données projet'!C10=0%),0,AVERAGE(Calculateur!$AX$3:$AX$33)*B7)</f>
        <v>0</v>
      </c>
      <c r="I7" s="157">
        <f>H7*(100%-'Données projet'!$C$24)*(100%-'Données projet'!$C$25)*(100%-'Données projet'!$C$26)*(100%-'Données projet'!$C$27)</f>
        <v>0</v>
      </c>
      <c r="J7" s="158">
        <f>IF(OR('Données projet'!B10="",'Données projet'!C10="",'Données projet'!C10=0%),0,SUM(Calculateur!$AQ$3:$AQ$33)*VLOOKUP('Données projet'!$B$10,Paramètres!$A$1:$I$89,9,0)*B7)</f>
        <v>0.4</v>
      </c>
      <c r="K7" s="159">
        <f>J7*(100%-'Données projet'!$C$24)*(100%-'Données projet'!$C$25)*(100%-'Données projet'!$C$26)*(100%-'Données projet'!$C$27)</f>
        <v>0.36000000000000004</v>
      </c>
      <c r="L7" s="160">
        <f t="shared" ref="L7:L15" ca="1" si="2">G7+I7+K7</f>
        <v>28.562337041003811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1" t="str">
        <f>IF('Données projet'!$B$11="","",'Données projet'!$B$11)</f>
        <v>Douglas</v>
      </c>
      <c r="B8" s="162">
        <f>'Données projet'!D11</f>
        <v>0.1</v>
      </c>
      <c r="C8" s="155">
        <f ca="1">IF(OR('Données projet'!B11="",'Données projet'!C11="",'Données projet'!C11=0%),0,Calculateur!BI3)</f>
        <v>415.52119746518764</v>
      </c>
      <c r="D8" s="155">
        <f>IF(OR('Données projet'!B11="",'Données projet'!C11="",'Données projet'!C11=0%),0,Calculateur!BJ3)</f>
        <v>490.11217551185604</v>
      </c>
      <c r="E8" s="155">
        <f t="shared" ca="1" si="0"/>
        <v>415.52119746518764</v>
      </c>
      <c r="F8" s="155">
        <f t="shared" ca="1" si="1"/>
        <v>41.55211974651877</v>
      </c>
      <c r="G8" s="155">
        <f ca="1">F8*(100%-'Données projet'!$C$24)*(100%-'Données projet'!$C$25)*(100%-'Données projet'!$C$26)*(100%-'Données projet'!$C$27)</f>
        <v>37.396907771866893</v>
      </c>
      <c r="H8" s="163">
        <f>IF(OR('Données projet'!B11="",'Données projet'!C11="",'Données projet'!C11=0%),0,AVERAGE(Calculateur!$BS$3:$BS$33)*B8)</f>
        <v>6.2823425670095648E-2</v>
      </c>
      <c r="I8" s="157">
        <f>H8*(100%-'Données projet'!$C$24)*(100%-'Données projet'!$C$25)*(100%-'Données projet'!$C$26)*(100%-'Données projet'!$C$27)</f>
        <v>5.6541083103086087E-2</v>
      </c>
      <c r="J8" s="158">
        <f>IF(OR('Données projet'!B11="",'Données projet'!C11="",'Données projet'!C11=0%),0,SUM(Calculateur!$BL$3:$BL$33)*VLOOKUP('Données projet'!$B$11,Paramètres!$A$1:$I$89,9,0)*B8)</f>
        <v>0.88580000000000014</v>
      </c>
      <c r="K8" s="159">
        <f>J8*(100%-'Données projet'!$C$24)*(100%-'Données projet'!$C$25)*(100%-'Données projet'!$C$26)*(100%-'Données projet'!$C$27)</f>
        <v>0.79722000000000015</v>
      </c>
      <c r="L8" s="160">
        <f t="shared" ca="1" si="2"/>
        <v>38.25066885496998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1" t="str">
        <f>IF('Données projet'!$B$12="","",'Données projet'!$B$12)</f>
        <v>Erable sycomore</v>
      </c>
      <c r="B9" s="162">
        <f>'Données projet'!D12</f>
        <v>0.4</v>
      </c>
      <c r="C9" s="155">
        <f ca="1">IF(OR('Données projet'!B12="",'Données projet'!C12="",'Données projet'!C12=0%),0,Calculateur!CD3)</f>
        <v>232.53653575369032</v>
      </c>
      <c r="D9" s="155">
        <f>IF(OR('Données projet'!B12="",'Données projet'!C12="",'Données projet'!C12=0%),0,Calculateur!CE3)</f>
        <v>219.59799863414099</v>
      </c>
      <c r="E9" s="155">
        <f t="shared" ca="1" si="0"/>
        <v>219.59799863414099</v>
      </c>
      <c r="F9" s="155">
        <f t="shared" ca="1" si="1"/>
        <v>87.839199453656406</v>
      </c>
      <c r="G9" s="155">
        <f ca="1">F9*(100%-'Données projet'!$C$24)*(100%-'Données projet'!$C$25)*(100%-'Données projet'!$C$26)*(100%-'Données projet'!$C$27)</f>
        <v>79.055279508290766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7.1000000000000005</v>
      </c>
      <c r="K9" s="159">
        <f>J9*(100%-'Données projet'!$C$24)*(100%-'Données projet'!$C$25)*(100%-'Données projet'!$C$26)*(100%-'Données projet'!$C$27)</f>
        <v>6.3900000000000006</v>
      </c>
      <c r="L9" s="160">
        <f t="shared" ca="1" si="2"/>
        <v>85.445279508290767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1" t="str">
        <f>IF('Données projet'!$B$13="","",'Données projet'!$B$13)</f>
        <v>Tilleul</v>
      </c>
      <c r="B10" s="162">
        <f>'Données projet'!D13</f>
        <v>0.2</v>
      </c>
      <c r="C10" s="155">
        <f ca="1">IF(OR('Données projet'!B13="",'Données projet'!C13="",'Données projet'!C13=0%),0,Calculateur!CY3)</f>
        <v>191.58722091189202</v>
      </c>
      <c r="D10" s="155">
        <f>IF(OR('Données projet'!B13="",'Données projet'!C13="",'Données projet'!C13=0%),0,Calculateur!CZ3)</f>
        <v>140.7542783756906</v>
      </c>
      <c r="E10" s="155">
        <f t="shared" ca="1" si="0"/>
        <v>140.7542783756906</v>
      </c>
      <c r="F10" s="155">
        <f t="shared" ca="1" si="1"/>
        <v>28.150855675138121</v>
      </c>
      <c r="G10" s="155">
        <f ca="1">F10*(100%-'Données projet'!$C$24)*(100%-'Données projet'!$C$25)*(100%-'Données projet'!$C$26)*(100%-'Données projet'!$C$27)</f>
        <v>25.33577010762431</v>
      </c>
      <c r="H10" s="163">
        <f>IF(OR('Données projet'!B13="",'Données projet'!C13="",'Données projet'!C13=0%),0,AVERAGE(Calculateur!$DI$3:$DI$33)*B10)</f>
        <v>0</v>
      </c>
      <c r="I10" s="157">
        <f>H10*(100%-'Données projet'!$C$24)*(100%-'Données projet'!$C$25)*(100%-'Données projet'!$C$26)*(100%-'Données projet'!$C$27)</f>
        <v>0</v>
      </c>
      <c r="J10" s="158">
        <f>IF(OR('Données projet'!B13="",'Données projet'!C13="",'Données projet'!C13=0%),0,SUM(Calculateur!$DB$3:$DB$33)*VLOOKUP('Données projet'!$B$13,Paramètres!$A$1:$I$89,9,0)*B10)</f>
        <v>1.8269230769230766</v>
      </c>
      <c r="K10" s="159">
        <f>J10*(100%-'Données projet'!$C$24)*(100%-'Données projet'!$C$25)*(100%-'Données projet'!$C$26)*(100%-'Données projet'!$C$27)</f>
        <v>1.6442307692307689</v>
      </c>
      <c r="L10" s="160">
        <f t="shared" ca="1" si="2"/>
        <v>26.98000087685508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1" t="str">
        <f>IF('Données projet'!$B$14="","",'Données projet'!$B$14)</f>
        <v/>
      </c>
      <c r="B11" s="162">
        <f>'Données projet'!D14</f>
        <v>0</v>
      </c>
      <c r="C11" s="155">
        <f>IF(OR('Données projet'!B14="",'Données projet'!C14="",'Données projet'!C14=0%),0,Calculateur!DT3)</f>
        <v>0</v>
      </c>
      <c r="D11" s="155">
        <f>IF(OR('Données projet'!B14="",'Données projet'!C14="",'Données projet'!C14=0%),0,Calculateur!DU3)</f>
        <v>0</v>
      </c>
      <c r="E11" s="155">
        <f t="shared" si="0"/>
        <v>0</v>
      </c>
      <c r="F11" s="155">
        <f t="shared" si="1"/>
        <v>0</v>
      </c>
      <c r="G11" s="155">
        <f>F11*(100%-'Données projet'!$C$24)*(100%-'Données projet'!$C$25)*(100%-'Données projet'!$C$26)*(100%-'Données projet'!$C$27)</f>
        <v>0</v>
      </c>
      <c r="H11" s="163">
        <f>IF(OR('Données projet'!B14="",'Données projet'!C14="",'Données projet'!C14=0%),0,AVERAGE(Calculateur!$ED$3:$ED$33)*B11)</f>
        <v>0</v>
      </c>
      <c r="I11" s="157">
        <f>H11*(100%-'Données projet'!$C$24)*(100%-'Données projet'!$C$25)*(100%-'Données projet'!$C$26)*(100%-'Données projet'!$C$27)</f>
        <v>0</v>
      </c>
      <c r="J11" s="158">
        <f>IF(OR('Données projet'!B14="",'Données projet'!C14="",'Données projet'!C14=0%),0,SUM(Calculateur!$DW$3:$DW$33)*VLOOKUP('Données projet'!$B$14,Paramètres!$A$1:$I$89,9,0)*B11)</f>
        <v>0</v>
      </c>
      <c r="K11" s="159">
        <f>J11*(100%-'Données projet'!$C$24)*(100%-'Données projet'!$C$25)*(100%-'Données projet'!$C$26)*(100%-'Données projet'!$C$27)</f>
        <v>0</v>
      </c>
      <c r="L11" s="160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1" t="str">
        <f>IF('Données projet'!$B$15="","",'Données projet'!$B$15)</f>
        <v/>
      </c>
      <c r="B12" s="162">
        <f>'Données projet'!D15</f>
        <v>0</v>
      </c>
      <c r="C12" s="155">
        <f>IF(OR('Données projet'!B15="",'Données projet'!C15="",'Données projet'!C15=0%),0,Calculateur!EO3)</f>
        <v>0</v>
      </c>
      <c r="D12" s="155">
        <f>IF(OR('Données projet'!B15="",'Données projet'!C15="",'Données projet'!C15=0%),0,Calculateur!EP3)</f>
        <v>0</v>
      </c>
      <c r="E12" s="155">
        <f t="shared" si="0"/>
        <v>0</v>
      </c>
      <c r="F12" s="155">
        <f t="shared" si="1"/>
        <v>0</v>
      </c>
      <c r="G12" s="155">
        <f>F12*(100%-'Données projet'!$C$24)*(100%-'Données projet'!$C$25)*(100%-'Données projet'!$C$26)*(100%-'Données projet'!$C$27)</f>
        <v>0</v>
      </c>
      <c r="H12" s="163">
        <f>IF(OR('Données projet'!B15="",'Données projet'!C15="",'Données projet'!C15=0%),0,AVERAGE(Calculateur!$EY$3:$EY$33)*B12)</f>
        <v>0</v>
      </c>
      <c r="I12" s="157">
        <f>H12*(100%-'Données projet'!$C$24)*(100%-'Données projet'!$C$25)*(100%-'Données projet'!$C$26)*(100%-'Données projet'!$C$27)</f>
        <v>0</v>
      </c>
      <c r="J12" s="158">
        <f>IF(OR('Données projet'!B15="",'Données projet'!C15="",'Données projet'!C15=0%),0,SUM(Calculateur!$ER$3:$ER$33)*VLOOKUP('Données projet'!$B$15,Paramètres!$A$1:$I$89,9,0)*B12)</f>
        <v>0</v>
      </c>
      <c r="K12" s="159">
        <f>J12*(100%-'Données projet'!$C$24)*(100%-'Données projet'!$C$25)*(100%-'Données projet'!$C$26)*(100%-'Données projet'!$C$27)</f>
        <v>0</v>
      </c>
      <c r="L12" s="160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1" t="str">
        <f>IF('Données projet'!$B$16="","",'Données projet'!$B$16)</f>
        <v/>
      </c>
      <c r="B13" s="162">
        <f>'Données projet'!D16</f>
        <v>0</v>
      </c>
      <c r="C13" s="155">
        <f>IF(OR('Données projet'!B16="",'Données projet'!C16="",'Données projet'!C16=0%),0,Calculateur!FJ3)</f>
        <v>0</v>
      </c>
      <c r="D13" s="155">
        <f>IF(OR('Données projet'!B16="",'Données projet'!C16="",'Données projet'!C16=0%),0,Calculateur!FK3)</f>
        <v>0</v>
      </c>
      <c r="E13" s="155">
        <f t="shared" si="0"/>
        <v>0</v>
      </c>
      <c r="F13" s="155">
        <f t="shared" si="1"/>
        <v>0</v>
      </c>
      <c r="G13" s="155">
        <f>F13*(100%-'Données projet'!$C$24)*(100%-'Données projet'!$C$25)*(100%-'Données projet'!$C$26)*(100%-'Données projet'!$C$27)</f>
        <v>0</v>
      </c>
      <c r="H13" s="163">
        <f>IF(OR('Données projet'!B16="",'Données projet'!C16="",'Données projet'!C16=0%),0,AVERAGE(Calculateur!$FT$3:$FT$33)*B13)</f>
        <v>0</v>
      </c>
      <c r="I13" s="157">
        <f>H13*(100%-'Données projet'!$C$24)*(100%-'Données projet'!$C$25)*(100%-'Données projet'!$C$26)*(100%-'Données projet'!$C$27)</f>
        <v>0</v>
      </c>
      <c r="J13" s="158">
        <f>IF(OR('Données projet'!C16="",'Données projet'!C16=0%),0,SUM(Calculateur!$FM$3:$FM$33)*VLOOKUP('Données projet'!$B$16,Paramètres!$A$1:$I$89,9,0)*B13)</f>
        <v>0</v>
      </c>
      <c r="K13" s="159">
        <f>J13*(100%-'Données projet'!$C$24)*(100%-'Données projet'!$C$25)*(100%-'Données projet'!$C$26)*(100%-'Données projet'!$C$27)</f>
        <v>0</v>
      </c>
      <c r="L13" s="160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1" t="str">
        <f>IF('Données projet'!$B$17="","",'Données projet'!$B$17)</f>
        <v/>
      </c>
      <c r="B14" s="162">
        <f>'Données projet'!D17</f>
        <v>0</v>
      </c>
      <c r="C14" s="155">
        <f>IF(OR('Données projet'!B17="",'Données projet'!C17="",'Données projet'!C17=0%),0,Calculateur!GE3)</f>
        <v>0</v>
      </c>
      <c r="D14" s="155">
        <f>IF(OR('Données projet'!B17="",'Données projet'!C17="",'Données projet'!C17=0%),0,Calculateur!GF3)</f>
        <v>0</v>
      </c>
      <c r="E14" s="155">
        <f t="shared" si="0"/>
        <v>0</v>
      </c>
      <c r="F14" s="155">
        <f t="shared" si="1"/>
        <v>0</v>
      </c>
      <c r="G14" s="155">
        <f>F14*(100%-'Données projet'!$C$24)*(100%-'Données projet'!$C$25)*(100%-'Données projet'!$C$26)*(100%-'Données projet'!$C$27)</f>
        <v>0</v>
      </c>
      <c r="H14" s="163">
        <f>IF(OR('Données projet'!B17="",'Données projet'!C17="",'Données projet'!C17=0%),0,AVERAGE(Calculateur!$GO$3:$GO$33)*B14)</f>
        <v>0</v>
      </c>
      <c r="I14" s="157">
        <f>H14*(100%-'Données projet'!$C$24)*(100%-'Données projet'!$C$25)*(100%-'Données projet'!$C$26)*(100%-'Données projet'!$C$27)</f>
        <v>0</v>
      </c>
      <c r="J14" s="158">
        <f>IF(OR('Données projet'!B17="",'Données projet'!C17="",'Données projet'!C17=0%),0,SUM(Calculateur!$GH$3:$GH$33)*VLOOKUP('Données projet'!$B$17,Paramètres!$A$1:$I$89,9,0)*B14)</f>
        <v>0</v>
      </c>
      <c r="K14" s="159">
        <f>J14*(100%-'Données projet'!$C$24)*(100%-'Données projet'!$C$25)*(100%-'Données projet'!$C$26)*(100%-'Données projet'!$C$27)</f>
        <v>0</v>
      </c>
      <c r="L14" s="160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4" t="str">
        <f>IF('Données projet'!B18="","",'Données projet'!B18)</f>
        <v/>
      </c>
      <c r="B15" s="165">
        <f>'Données projet'!D18</f>
        <v>0</v>
      </c>
      <c r="C15" s="166">
        <f>IF(OR('Données projet'!B18="",'Données projet'!C18="",'Données projet'!C18=0%),0,Calculateur!GZ3)</f>
        <v>0</v>
      </c>
      <c r="D15" s="166">
        <f>IF(OR('Données projet'!B18="",'Données projet'!C18="",'Données projet'!C18=0%),0,Calculateur!HA3)</f>
        <v>0</v>
      </c>
      <c r="E15" s="166">
        <f t="shared" si="0"/>
        <v>0</v>
      </c>
      <c r="F15" s="167">
        <f t="shared" si="1"/>
        <v>0</v>
      </c>
      <c r="G15" s="167">
        <f>F15*(100%-'Données projet'!$C$24)*(100%-'Données projet'!$C$25)*(100%-'Données projet'!$C$26)*(100%-'Données projet'!$C$27)</f>
        <v>0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0</v>
      </c>
      <c r="K15" s="171">
        <f>J15*(100%-'Données projet'!$C$24)*(100%-'Données projet'!$C$25)*(100%-'Données projet'!$C$26)*(100%-'Données projet'!$C$27)</f>
        <v>0</v>
      </c>
      <c r="L15" s="172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5"/>
      <c r="B16" s="232"/>
      <c r="C16" s="233"/>
      <c r="D16" s="25"/>
      <c r="E16" s="25"/>
      <c r="F16" s="173">
        <f t="shared" ref="F16:L16" ca="1" si="3">SUM(F6:F15)</f>
        <v>312.68126197310897</v>
      </c>
      <c r="G16" s="174">
        <f t="shared" ca="1" si="3"/>
        <v>281.41313577579803</v>
      </c>
      <c r="H16" s="175">
        <f t="shared" si="3"/>
        <v>0.4403354149078732</v>
      </c>
      <c r="I16" s="175">
        <f t="shared" si="3"/>
        <v>0.39630187341708589</v>
      </c>
      <c r="J16" s="176">
        <f t="shared" si="3"/>
        <v>16.01772307692308</v>
      </c>
      <c r="K16" s="176">
        <f t="shared" si="3"/>
        <v>14.41595076923077</v>
      </c>
      <c r="L16" s="177">
        <f t="shared" ca="1" si="3"/>
        <v>296.2253884184459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5"/>
      <c r="B17" s="232"/>
      <c r="C17" s="233"/>
      <c r="D17" s="230"/>
      <c r="E17" s="230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5"/>
      <c r="B18" s="232"/>
      <c r="C18" s="233"/>
      <c r="D18" s="230"/>
      <c r="E18" s="230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8" t="str">
        <f>A6</f>
        <v>Pin laricio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8" t="str">
        <f>A7</f>
        <v>Chêne sessile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8" t="str">
        <f>A8</f>
        <v>Douglas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8" t="str">
        <f>A9</f>
        <v>Erable sycomore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8" t="str">
        <f>A10</f>
        <v>Tilleul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8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8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8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8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8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K7" zoomScale="90" zoomScaleNormal="90" workbookViewId="0">
      <selection activeCell="N16" sqref="N1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25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25">
      <c r="A4" s="98"/>
      <c r="B4" s="98"/>
      <c r="C4" s="98"/>
      <c r="D4" s="98"/>
      <c r="E4" s="98"/>
      <c r="G4" s="179"/>
      <c r="H4" s="327" t="s">
        <v>315</v>
      </c>
      <c r="I4" s="327"/>
      <c r="K4" s="324" t="s">
        <v>253</v>
      </c>
      <c r="L4" s="325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25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5.75" thickBot="1" x14ac:dyDescent="0.3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4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5" t="s">
        <v>310</v>
      </c>
      <c r="S7" s="336"/>
      <c r="T7" s="336"/>
      <c r="U7" s="336"/>
      <c r="V7" s="337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25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Pin laricio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-242.91823283692293</v>
      </c>
      <c r="U10" s="189">
        <f>'Données projet'!D9</f>
        <v>0.9</v>
      </c>
      <c r="V10" s="188">
        <f>U10*T10</f>
        <v>-218.62640955323064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Chêne sessile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-1858.914806731379</v>
      </c>
      <c r="U11" s="189">
        <f>'Données projet'!D10</f>
        <v>0.2</v>
      </c>
      <c r="V11" s="188">
        <f t="shared" ref="V11" si="0">U11*T11</f>
        <v>-371.78296134627584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Douglas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2579.1877973093519</v>
      </c>
      <c r="U12" s="189">
        <f>'Données projet'!D11</f>
        <v>0.1</v>
      </c>
      <c r="V12" s="188">
        <f t="shared" ref="V12:V19" si="1">U12*T12</f>
        <v>257.91877973093523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Erable sycomore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-779.35661972744037</v>
      </c>
      <c r="U13" s="189">
        <f>'Données projet'!D12</f>
        <v>0.4</v>
      </c>
      <c r="V13" s="188">
        <f t="shared" si="1"/>
        <v>-311.74264789097617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5" t="str">
        <f>IF('Données projet'!$B$9="","",'Données projet'!$B$9)</f>
        <v>Pin laricio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>Tilleul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-1543.8413214468414</v>
      </c>
      <c r="U14" s="189">
        <f>'Données projet'!D13</f>
        <v>0.2</v>
      </c>
      <c r="V14" s="188">
        <f t="shared" si="1"/>
        <v>-308.76826428936829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0"/>
      <c r="G15" s="328" t="s">
        <v>318</v>
      </c>
      <c r="H15" s="202">
        <v>1</v>
      </c>
      <c r="I15" s="203">
        <v>1300</v>
      </c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9">
        <f>'Données projet'!D14</f>
        <v>0</v>
      </c>
      <c r="V15" s="188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8"/>
      <c r="H16" s="202"/>
      <c r="I16" s="203"/>
      <c r="J16" s="215"/>
      <c r="K16" s="224"/>
      <c r="L16" s="324" t="s">
        <v>254</v>
      </c>
      <c r="M16" s="325"/>
      <c r="N16" s="2">
        <v>50</v>
      </c>
      <c r="O16" s="25"/>
      <c r="P16" s="25"/>
      <c r="Q16" s="264"/>
      <c r="R16" s="25"/>
      <c r="S16" s="184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9">
        <f>'Données projet'!D15</f>
        <v>0</v>
      </c>
      <c r="V16" s="188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9">
        <v>0</v>
      </c>
      <c r="B17" s="212" t="s">
        <v>132</v>
      </c>
      <c r="C17" s="211" t="s">
        <v>132</v>
      </c>
      <c r="D17" s="210" t="s">
        <v>132</v>
      </c>
      <c r="E17" s="205">
        <v>2000</v>
      </c>
      <c r="F17" s="260"/>
      <c r="G17" s="328"/>
      <c r="J17" s="215"/>
      <c r="K17" s="224"/>
      <c r="L17" s="295" t="s">
        <v>289</v>
      </c>
      <c r="M17" s="297"/>
      <c r="N17" s="186">
        <f>VLOOKUP(N16,Calculateur!$A$2:$H$153,3,0)/VLOOKUP('Scénario référence'!$G$15,Paramètres!A1:I89,3,0)/VLOOKUP('Scénario référence'!$G$15,Paramètres!A1:I89,5,0)</f>
        <v>49.999999999999964</v>
      </c>
      <c r="O17" s="25"/>
      <c r="P17" s="25"/>
      <c r="Q17" s="264"/>
      <c r="R17" s="25"/>
      <c r="S17" s="184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9">
        <f>'Données projet'!D16</f>
        <v>0</v>
      </c>
      <c r="V17" s="188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9">
        <v>1</v>
      </c>
      <c r="B18" s="212" t="s">
        <v>132</v>
      </c>
      <c r="C18" s="211" t="s">
        <v>132</v>
      </c>
      <c r="D18" s="210" t="s">
        <v>132</v>
      </c>
      <c r="E18" s="205"/>
      <c r="F18" s="260"/>
      <c r="G18" s="328"/>
      <c r="J18" s="215"/>
      <c r="K18" s="224"/>
      <c r="L18" s="295" t="s">
        <v>255</v>
      </c>
      <c r="M18" s="297"/>
      <c r="N18" s="204">
        <v>10</v>
      </c>
      <c r="O18" s="25"/>
      <c r="P18" s="25"/>
      <c r="Q18" s="264"/>
      <c r="R18" s="25"/>
      <c r="S18" s="184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9">
        <f>'Données projet'!D17</f>
        <v>0</v>
      </c>
      <c r="V18" s="188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9">
        <v>2</v>
      </c>
      <c r="B19" s="212" t="s">
        <v>132</v>
      </c>
      <c r="C19" s="211" t="s">
        <v>132</v>
      </c>
      <c r="D19" s="210" t="s">
        <v>132</v>
      </c>
      <c r="E19" s="205"/>
      <c r="F19" s="260"/>
      <c r="G19" s="328"/>
      <c r="H19" s="231" t="s">
        <v>178</v>
      </c>
      <c r="I19" s="231" t="s">
        <v>287</v>
      </c>
      <c r="J19" s="259"/>
      <c r="K19" s="182"/>
      <c r="L19" s="324" t="s">
        <v>288</v>
      </c>
      <c r="M19" s="325"/>
      <c r="N19" s="190">
        <f>N17*N18</f>
        <v>499.99999999999966</v>
      </c>
      <c r="O19" s="25"/>
      <c r="P19" s="5"/>
      <c r="Q19" s="265"/>
      <c r="R19" s="5"/>
      <c r="S19" s="184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9">
        <f>'Données projet'!D18</f>
        <v>0</v>
      </c>
      <c r="V19" s="188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9">
        <v>3</v>
      </c>
      <c r="B20" s="212" t="s">
        <v>132</v>
      </c>
      <c r="C20" s="211" t="s">
        <v>132</v>
      </c>
      <c r="D20" s="210" t="s">
        <v>132</v>
      </c>
      <c r="E20" s="205"/>
      <c r="F20" s="260"/>
      <c r="G20" s="328"/>
      <c r="H20" s="202">
        <v>1</v>
      </c>
      <c r="I20" s="203">
        <v>2000</v>
      </c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9">
        <v>4</v>
      </c>
      <c r="B21" s="212" t="s">
        <v>132</v>
      </c>
      <c r="C21" s="211" t="s">
        <v>132</v>
      </c>
      <c r="D21" s="210" t="s">
        <v>132</v>
      </c>
      <c r="E21" s="205"/>
      <c r="F21" s="260"/>
      <c r="H21" s="202">
        <v>2</v>
      </c>
      <c r="I21" s="203">
        <v>500</v>
      </c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9">
        <v>5</v>
      </c>
      <c r="B22" s="212" t="s">
        <v>132</v>
      </c>
      <c r="C22" s="211" t="s">
        <v>132</v>
      </c>
      <c r="D22" s="210" t="s">
        <v>132</v>
      </c>
      <c r="E22" s="205"/>
      <c r="F22" s="260"/>
      <c r="H22" s="202">
        <v>3</v>
      </c>
      <c r="I22" s="203"/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1">
        <f>'Données projet'!A36</f>
        <v>27</v>
      </c>
      <c r="B23" s="192">
        <f>'Données projet'!D36</f>
        <v>15</v>
      </c>
      <c r="C23" s="291">
        <v>10</v>
      </c>
      <c r="D23" s="193">
        <f>B23*C23</f>
        <v>150</v>
      </c>
      <c r="E23" s="205"/>
      <c r="F23" s="260"/>
      <c r="H23" s="202">
        <v>4</v>
      </c>
      <c r="I23" s="203">
        <v>500</v>
      </c>
      <c r="K23" s="224"/>
      <c r="L23" s="326" t="s">
        <v>260</v>
      </c>
      <c r="M23" s="326"/>
      <c r="N23" s="326"/>
      <c r="O23" s="25"/>
      <c r="P23" s="25"/>
      <c r="Q23" s="264"/>
      <c r="R23" s="25"/>
      <c r="S23" s="184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-4047.005716839798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1">
        <f>'Données projet'!A37</f>
        <v>30</v>
      </c>
      <c r="B24" s="192">
        <f>'Données projet'!D37</f>
        <v>0</v>
      </c>
      <c r="C24" s="291"/>
      <c r="D24" s="193">
        <f t="shared" ref="D24:D42" si="2">B24*C24</f>
        <v>0</v>
      </c>
      <c r="E24" s="205"/>
      <c r="F24" s="263"/>
      <c r="H24" s="202"/>
      <c r="I24" s="203"/>
      <c r="K24" s="224"/>
      <c r="O24" s="25"/>
      <c r="P24" s="25"/>
      <c r="Q24" s="264"/>
      <c r="R24" s="25"/>
      <c r="S24" s="184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110.70964996565208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1">
        <f>'Données projet'!A38</f>
        <v>35</v>
      </c>
      <c r="B25" s="192">
        <f>'Données projet'!D38</f>
        <v>36</v>
      </c>
      <c r="C25" s="291">
        <v>20</v>
      </c>
      <c r="D25" s="193">
        <f t="shared" si="2"/>
        <v>720</v>
      </c>
      <c r="E25" s="205"/>
      <c r="F25" s="263"/>
      <c r="G25" s="1"/>
      <c r="H25" s="202"/>
      <c r="I25" s="203"/>
      <c r="K25" s="224"/>
      <c r="L25" s="270" t="s">
        <v>285</v>
      </c>
      <c r="M25" s="270"/>
      <c r="N25" s="270"/>
      <c r="O25" s="270"/>
      <c r="P25" s="204"/>
      <c r="Q25" s="264"/>
      <c r="R25" s="25"/>
      <c r="S25" s="197" t="s">
        <v>266</v>
      </c>
      <c r="T25" s="342">
        <f ca="1">T23-T24</f>
        <v>-4157.7153668054498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1">
        <f>'Données projet'!A39</f>
        <v>40</v>
      </c>
      <c r="B26" s="192">
        <f>'Données projet'!D39</f>
        <v>34</v>
      </c>
      <c r="C26" s="291">
        <v>20</v>
      </c>
      <c r="D26" s="193">
        <f t="shared" si="2"/>
        <v>680</v>
      </c>
      <c r="E26" s="205"/>
      <c r="F26" s="263"/>
      <c r="G26" s="258"/>
      <c r="H26" s="202"/>
      <c r="I26" s="203"/>
      <c r="K26" s="224"/>
      <c r="L26" s="329" t="s">
        <v>258</v>
      </c>
      <c r="M26" s="330"/>
      <c r="N26" s="330"/>
      <c r="O26" s="330"/>
      <c r="P26" s="331"/>
      <c r="Q26" s="264"/>
      <c r="R26" s="25"/>
      <c r="S26" s="197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1">
        <f>'Données projet'!A40</f>
        <v>50</v>
      </c>
      <c r="B27" s="192">
        <f>'Données projet'!D40</f>
        <v>79</v>
      </c>
      <c r="C27" s="291">
        <v>30</v>
      </c>
      <c r="D27" s="193">
        <f t="shared" si="2"/>
        <v>2370</v>
      </c>
      <c r="E27" s="205"/>
      <c r="F27" s="263"/>
      <c r="G27" s="258"/>
      <c r="H27" s="202"/>
      <c r="I27" s="203"/>
      <c r="K27" s="224"/>
      <c r="L27" s="332"/>
      <c r="M27" s="333"/>
      <c r="N27" s="333"/>
      <c r="O27" s="333"/>
      <c r="P27" s="334"/>
      <c r="Q27" s="264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1">
        <f>'Données projet'!A41</f>
        <v>60</v>
      </c>
      <c r="B28" s="192">
        <f>'Données projet'!D41</f>
        <v>88</v>
      </c>
      <c r="C28" s="291">
        <v>40</v>
      </c>
      <c r="D28" s="193">
        <f t="shared" si="2"/>
        <v>3520</v>
      </c>
      <c r="E28" s="205"/>
      <c r="F28" s="263"/>
      <c r="G28" s="221"/>
      <c r="H28" s="202"/>
      <c r="I28" s="203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1">
        <f>'Données projet'!A42</f>
        <v>70</v>
      </c>
      <c r="B29" s="192">
        <f>'Données projet'!D42</f>
        <v>78</v>
      </c>
      <c r="C29" s="291">
        <v>50</v>
      </c>
      <c r="D29" s="193">
        <f t="shared" si="2"/>
        <v>3900</v>
      </c>
      <c r="E29" s="205"/>
      <c r="F29" s="263"/>
      <c r="G29" s="217"/>
      <c r="H29" s="202"/>
      <c r="I29" s="203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1">
        <f>'Données projet'!A43</f>
        <v>80</v>
      </c>
      <c r="B30" s="192">
        <f>'Données projet'!D43</f>
        <v>460</v>
      </c>
      <c r="C30" s="291">
        <v>55</v>
      </c>
      <c r="D30" s="193">
        <f t="shared" si="2"/>
        <v>25300</v>
      </c>
      <c r="E30" s="205"/>
      <c r="F30" s="263"/>
      <c r="G30" s="217"/>
      <c r="H30" s="202"/>
      <c r="I30" s="203"/>
      <c r="K30" s="194"/>
      <c r="L30" s="184" t="s">
        <v>259</v>
      </c>
      <c r="M30" s="195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1">
        <f>'Données projet'!A44</f>
        <v>0</v>
      </c>
      <c r="B31" s="192">
        <f>'Données projet'!D44</f>
        <v>0</v>
      </c>
      <c r="C31" s="291"/>
      <c r="D31" s="193">
        <f t="shared" si="2"/>
        <v>0</v>
      </c>
      <c r="E31" s="205"/>
      <c r="F31" s="263"/>
      <c r="G31" s="217"/>
      <c r="H31" s="202"/>
      <c r="I31" s="203"/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1">
        <f>'Données projet'!A45</f>
        <v>0</v>
      </c>
      <c r="B32" s="192">
        <f>'Données projet'!D45</f>
        <v>0</v>
      </c>
      <c r="C32" s="291"/>
      <c r="D32" s="193">
        <f t="shared" si="2"/>
        <v>0</v>
      </c>
      <c r="E32" s="205"/>
      <c r="F32" s="263"/>
      <c r="G32" s="217"/>
      <c r="H32" s="202"/>
      <c r="I32" s="203"/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1">
        <f>'Données projet'!A46</f>
        <v>0</v>
      </c>
      <c r="B33" s="192">
        <f>'Données projet'!D46</f>
        <v>0</v>
      </c>
      <c r="C33" s="291"/>
      <c r="D33" s="193">
        <f t="shared" si="2"/>
        <v>0</v>
      </c>
      <c r="E33" s="205"/>
      <c r="F33" s="263"/>
      <c r="G33" s="217"/>
      <c r="H33" s="202"/>
      <c r="I33" s="203"/>
      <c r="K33" s="182"/>
      <c r="L33" s="5"/>
      <c r="M33" s="5"/>
      <c r="N33" s="5"/>
      <c r="O33" s="206">
        <v>0</v>
      </c>
      <c r="P33" s="196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1">
        <f>'Données projet'!A47</f>
        <v>0</v>
      </c>
      <c r="B34" s="192">
        <f>'Données projet'!D47</f>
        <v>0</v>
      </c>
      <c r="C34" s="205"/>
      <c r="D34" s="193">
        <f t="shared" si="2"/>
        <v>0</v>
      </c>
      <c r="E34" s="205"/>
      <c r="F34" s="263"/>
      <c r="G34" s="217"/>
      <c r="H34" s="202"/>
      <c r="I34" s="203"/>
      <c r="K34" s="182"/>
      <c r="L34" s="283"/>
      <c r="M34" s="283"/>
      <c r="N34" s="284"/>
      <c r="O34" s="206">
        <f>IF(O33+1&lt;=MIN('Données projet'!$E$9:$E$18),O33+1,"STOP")</f>
        <v>1</v>
      </c>
      <c r="P34" s="196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1">
        <f>'Données projet'!A48</f>
        <v>0</v>
      </c>
      <c r="B35" s="192">
        <f>'Données projet'!D48</f>
        <v>0</v>
      </c>
      <c r="C35" s="205"/>
      <c r="D35" s="193">
        <f t="shared" si="2"/>
        <v>0</v>
      </c>
      <c r="E35" s="205"/>
      <c r="F35" s="263"/>
      <c r="G35" s="217"/>
      <c r="H35" s="202"/>
      <c r="I35" s="203"/>
      <c r="K35" s="182"/>
      <c r="L35" s="283"/>
      <c r="M35" s="283"/>
      <c r="N35" s="284"/>
      <c r="O35" s="206">
        <f>IF(O34+1&lt;=MIN('Données projet'!$E$9:$E$18),O34+1,"STOP")</f>
        <v>2</v>
      </c>
      <c r="P35" s="196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1">
        <f>'Données projet'!A49</f>
        <v>0</v>
      </c>
      <c r="B36" s="192">
        <f>'Données projet'!D49</f>
        <v>0</v>
      </c>
      <c r="C36" s="205"/>
      <c r="D36" s="193">
        <f t="shared" si="2"/>
        <v>0</v>
      </c>
      <c r="E36" s="205"/>
      <c r="F36" s="263"/>
      <c r="G36" s="217"/>
      <c r="H36" s="202"/>
      <c r="I36" s="203"/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1">
        <f>'Données projet'!A50</f>
        <v>0</v>
      </c>
      <c r="B37" s="192">
        <f>'Données projet'!D50</f>
        <v>0</v>
      </c>
      <c r="C37" s="205"/>
      <c r="D37" s="193">
        <f t="shared" si="2"/>
        <v>0</v>
      </c>
      <c r="E37" s="205"/>
      <c r="F37" s="263"/>
      <c r="G37" s="217"/>
      <c r="H37" s="202"/>
      <c r="I37" s="203"/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1">
        <f>'Données projet'!A51</f>
        <v>0</v>
      </c>
      <c r="B38" s="192">
        <f>'Données projet'!D51</f>
        <v>0</v>
      </c>
      <c r="C38" s="205"/>
      <c r="D38" s="193">
        <f t="shared" si="2"/>
        <v>0</v>
      </c>
      <c r="E38" s="205"/>
      <c r="F38" s="263"/>
      <c r="G38" s="217"/>
      <c r="H38" s="202"/>
      <c r="I38" s="203"/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1">
        <f>'Données projet'!A52</f>
        <v>0</v>
      </c>
      <c r="B39" s="192">
        <f>'Données projet'!D52</f>
        <v>0</v>
      </c>
      <c r="C39" s="205"/>
      <c r="D39" s="193">
        <f t="shared" si="2"/>
        <v>0</v>
      </c>
      <c r="E39" s="205"/>
      <c r="F39" s="263"/>
      <c r="G39" s="217"/>
      <c r="H39" s="202"/>
      <c r="I39" s="203"/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1">
        <f>'Données projet'!A53</f>
        <v>0</v>
      </c>
      <c r="B40" s="192">
        <f>'Données projet'!D53</f>
        <v>0</v>
      </c>
      <c r="C40" s="205"/>
      <c r="D40" s="193">
        <f t="shared" si="2"/>
        <v>0</v>
      </c>
      <c r="E40" s="205"/>
      <c r="F40" s="263"/>
      <c r="G40" s="217"/>
      <c r="H40" s="202"/>
      <c r="I40" s="203"/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1">
        <f>'Données projet'!A54</f>
        <v>0</v>
      </c>
      <c r="B41" s="192">
        <f>'Données projet'!D54</f>
        <v>0</v>
      </c>
      <c r="C41" s="205"/>
      <c r="D41" s="193">
        <f t="shared" si="2"/>
        <v>0</v>
      </c>
      <c r="E41" s="205"/>
      <c r="F41" s="263"/>
      <c r="G41" s="217"/>
      <c r="H41" s="202"/>
      <c r="I41" s="203"/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1">
        <f>'Données projet'!A55</f>
        <v>0</v>
      </c>
      <c r="B42" s="192">
        <f>'Données projet'!D55</f>
        <v>0</v>
      </c>
      <c r="C42" s="205"/>
      <c r="D42" s="193">
        <f t="shared" si="2"/>
        <v>0</v>
      </c>
      <c r="E42" s="205"/>
      <c r="F42" s="263"/>
      <c r="G42" s="217"/>
      <c r="H42" s="202"/>
      <c r="I42" s="203"/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8"/>
      <c r="B43" s="198"/>
      <c r="C43" s="198"/>
      <c r="D43" s="255"/>
      <c r="E43" s="255"/>
      <c r="F43" s="268"/>
      <c r="G43" s="217"/>
      <c r="H43" s="202"/>
      <c r="I43" s="203"/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0"/>
      <c r="G44" s="217"/>
      <c r="H44" s="202"/>
      <c r="I44" s="203"/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5" t="str">
        <f>IF('Données projet'!$B$10="","",'Données projet'!$B$10)</f>
        <v>Chêne sessile</v>
      </c>
      <c r="C45" s="5"/>
      <c r="D45" s="5"/>
      <c r="E45" s="5"/>
      <c r="F45" s="260"/>
      <c r="G45" s="217"/>
      <c r="H45" s="202"/>
      <c r="I45" s="203"/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0"/>
      <c r="G46" s="217"/>
      <c r="H46" s="202"/>
      <c r="I46" s="203"/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/>
      <c r="I47" s="203"/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9">
        <v>0</v>
      </c>
      <c r="B48" s="212" t="s">
        <v>132</v>
      </c>
      <c r="C48" s="211" t="s">
        <v>132</v>
      </c>
      <c r="D48" s="210" t="s">
        <v>132</v>
      </c>
      <c r="E48" s="205">
        <v>2000</v>
      </c>
      <c r="F48" s="261"/>
      <c r="G48" s="217"/>
      <c r="H48" s="202"/>
      <c r="I48" s="203"/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25">
      <c r="A49" s="209">
        <v>1</v>
      </c>
      <c r="B49" s="212" t="s">
        <v>132</v>
      </c>
      <c r="C49" s="211" t="s">
        <v>132</v>
      </c>
      <c r="D49" s="210" t="s">
        <v>132</v>
      </c>
      <c r="E49" s="205"/>
      <c r="F49" s="261"/>
      <c r="G49" s="218"/>
      <c r="H49" s="202"/>
      <c r="I49" s="203"/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0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x14ac:dyDescent="0.25">
      <c r="A50" s="209">
        <v>2</v>
      </c>
      <c r="B50" s="212" t="s">
        <v>132</v>
      </c>
      <c r="C50" s="211" t="s">
        <v>132</v>
      </c>
      <c r="D50" s="210" t="s">
        <v>132</v>
      </c>
      <c r="E50" s="205"/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9">
        <v>3</v>
      </c>
      <c r="B51" s="212" t="s">
        <v>132</v>
      </c>
      <c r="C51" s="211" t="s">
        <v>132</v>
      </c>
      <c r="D51" s="210" t="s">
        <v>132</v>
      </c>
      <c r="E51" s="205"/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9">
        <v>4</v>
      </c>
      <c r="B52" s="212" t="s">
        <v>132</v>
      </c>
      <c r="C52" s="211" t="s">
        <v>132</v>
      </c>
      <c r="D52" s="210" t="s">
        <v>132</v>
      </c>
      <c r="E52" s="205"/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9">
        <v>5</v>
      </c>
      <c r="B53" s="212" t="s">
        <v>132</v>
      </c>
      <c r="C53" s="211" t="s">
        <v>132</v>
      </c>
      <c r="D53" s="210" t="s">
        <v>132</v>
      </c>
      <c r="E53" s="205"/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1">
        <f>'Données projet'!A62</f>
        <v>20</v>
      </c>
      <c r="B54" s="192">
        <f>'Données projet'!D62</f>
        <v>0</v>
      </c>
      <c r="C54" s="203"/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1">
        <f>'Données projet'!A63</f>
        <v>25</v>
      </c>
      <c r="B55" s="192">
        <f>'Données projet'!D63</f>
        <v>8</v>
      </c>
      <c r="C55" s="203"/>
      <c r="D55" s="190">
        <f t="shared" ref="D55:D73" si="4">B55*C55</f>
        <v>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1">
        <f>'Données projet'!A64</f>
        <v>30</v>
      </c>
      <c r="B56" s="192">
        <f>'Données projet'!D64</f>
        <v>0</v>
      </c>
      <c r="C56" s="203">
        <v>10</v>
      </c>
      <c r="D56" s="190">
        <f t="shared" si="4"/>
        <v>0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1">
        <f>'Données projet'!A65</f>
        <v>35</v>
      </c>
      <c r="B57" s="192">
        <f>'Données projet'!D65</f>
        <v>42</v>
      </c>
      <c r="C57" s="203"/>
      <c r="D57" s="190">
        <f t="shared" si="4"/>
        <v>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1">
        <f>'Données projet'!A66</f>
        <v>40</v>
      </c>
      <c r="B58" s="192">
        <f>'Données projet'!D66</f>
        <v>0</v>
      </c>
      <c r="C58" s="203">
        <v>10</v>
      </c>
      <c r="D58" s="190">
        <f t="shared" si="4"/>
        <v>0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1">
        <f>'Données projet'!A67</f>
        <v>45</v>
      </c>
      <c r="B59" s="192">
        <f>'Données projet'!D67</f>
        <v>42</v>
      </c>
      <c r="C59" s="203"/>
      <c r="D59" s="190">
        <f t="shared" si="4"/>
        <v>0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1">
        <f>'Données projet'!A68</f>
        <v>50</v>
      </c>
      <c r="B60" s="192">
        <f>'Données projet'!D68</f>
        <v>0</v>
      </c>
      <c r="C60" s="203">
        <v>20</v>
      </c>
      <c r="D60" s="190">
        <f t="shared" si="4"/>
        <v>0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1">
        <f>'Données projet'!A69</f>
        <v>55</v>
      </c>
      <c r="B61" s="192">
        <f>'Données projet'!D69</f>
        <v>42</v>
      </c>
      <c r="C61" s="203"/>
      <c r="D61" s="190">
        <f t="shared" si="4"/>
        <v>0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1">
        <f>'Données projet'!A70</f>
        <v>60</v>
      </c>
      <c r="B62" s="192">
        <f>'Données projet'!D70</f>
        <v>0</v>
      </c>
      <c r="C62" s="203">
        <v>20</v>
      </c>
      <c r="D62" s="190">
        <f t="shared" si="4"/>
        <v>0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1">
        <f>'Données projet'!A71</f>
        <v>65</v>
      </c>
      <c r="B63" s="192">
        <f>'Données projet'!D71</f>
        <v>42</v>
      </c>
      <c r="C63" s="203"/>
      <c r="D63" s="190">
        <f t="shared" si="4"/>
        <v>0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1">
        <f>'Données projet'!A72</f>
        <v>70</v>
      </c>
      <c r="B64" s="192">
        <f>'Données projet'!D72</f>
        <v>0</v>
      </c>
      <c r="C64" s="203">
        <v>30</v>
      </c>
      <c r="D64" s="190">
        <f t="shared" si="4"/>
        <v>0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1">
        <f>'Données projet'!A73</f>
        <v>75</v>
      </c>
      <c r="B65" s="192">
        <f>'Données projet'!D73</f>
        <v>42</v>
      </c>
      <c r="C65" s="203"/>
      <c r="D65" s="190">
        <f t="shared" si="4"/>
        <v>0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1">
        <f>'Données projet'!A74</f>
        <v>85</v>
      </c>
      <c r="B66" s="192">
        <f>'Données projet'!D74</f>
        <v>42</v>
      </c>
      <c r="C66" s="203">
        <v>30</v>
      </c>
      <c r="D66" s="190">
        <f t="shared" si="4"/>
        <v>1260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1">
        <f>'Données projet'!A75</f>
        <v>95</v>
      </c>
      <c r="B67" s="192">
        <f>'Données projet'!D75</f>
        <v>42</v>
      </c>
      <c r="C67" s="203"/>
      <c r="D67" s="190">
        <f t="shared" si="4"/>
        <v>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1">
        <f>'Données projet'!A76</f>
        <v>105</v>
      </c>
      <c r="B68" s="192">
        <f>'Données projet'!D76</f>
        <v>41</v>
      </c>
      <c r="C68" s="203">
        <v>50</v>
      </c>
      <c r="D68" s="190">
        <f t="shared" si="4"/>
        <v>2050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1">
        <f>'Données projet'!A77</f>
        <v>115</v>
      </c>
      <c r="B69" s="192">
        <f>'Données projet'!D77</f>
        <v>37</v>
      </c>
      <c r="C69" s="203">
        <v>50</v>
      </c>
      <c r="D69" s="190">
        <f t="shared" si="4"/>
        <v>1850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1">
        <f>'Données projet'!A78</f>
        <v>125</v>
      </c>
      <c r="B70" s="192">
        <f>'Données projet'!D78</f>
        <v>33</v>
      </c>
      <c r="C70" s="203">
        <v>70</v>
      </c>
      <c r="D70" s="190">
        <f t="shared" si="4"/>
        <v>2310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1">
        <f>'Données projet'!A79</f>
        <v>135</v>
      </c>
      <c r="B71" s="192">
        <f>'Données projet'!D79</f>
        <v>29</v>
      </c>
      <c r="C71" s="203">
        <v>100</v>
      </c>
      <c r="D71" s="190">
        <f t="shared" si="4"/>
        <v>2900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1">
        <f>'Données projet'!A80</f>
        <v>145</v>
      </c>
      <c r="B72" s="192">
        <f>'Données projet'!D80</f>
        <v>0</v>
      </c>
      <c r="C72" s="203">
        <v>120</v>
      </c>
      <c r="D72" s="190">
        <f t="shared" si="4"/>
        <v>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1">
        <f>'Données projet'!A81</f>
        <v>150</v>
      </c>
      <c r="B73" s="192">
        <f>'Données projet'!D81</f>
        <v>306</v>
      </c>
      <c r="C73" s="203">
        <v>150</v>
      </c>
      <c r="D73" s="190">
        <f t="shared" si="4"/>
        <v>45900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5" t="str">
        <f>IF('Données projet'!B11="","",'Données projet'!B11)</f>
        <v>Douglas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>
        <f>IF(O75+1&lt;=MIN('Données projet'!$E$9:$E$18),O75+1,"STOP")</f>
        <v>43</v>
      </c>
      <c r="P76" s="196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>
        <f>IF(O76+1&lt;=MIN('Données projet'!$E$9:$E$18),O76+1,"STOP")</f>
        <v>44</v>
      </c>
      <c r="P77" s="196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>
        <f>IF(O77+1&lt;=MIN('Données projet'!$E$9:$E$18),O77+1,"STOP")</f>
        <v>45</v>
      </c>
      <c r="P78" s="196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9">
        <v>0</v>
      </c>
      <c r="B79" s="212" t="s">
        <v>132</v>
      </c>
      <c r="C79" s="211" t="s">
        <v>132</v>
      </c>
      <c r="D79" s="210" t="s">
        <v>132</v>
      </c>
      <c r="E79" s="205">
        <v>2000</v>
      </c>
      <c r="F79" s="261"/>
      <c r="G79" s="222"/>
      <c r="H79" s="202"/>
      <c r="I79" s="203"/>
      <c r="J79" s="5"/>
      <c r="K79" s="182"/>
      <c r="L79" s="5"/>
      <c r="M79" s="5"/>
      <c r="N79" s="5"/>
      <c r="O79" s="206">
        <f>IF(O78+1&lt;=MIN('Données projet'!$E$9:$E$18),O78+1,"STOP")</f>
        <v>46</v>
      </c>
      <c r="P79" s="196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9">
        <v>1</v>
      </c>
      <c r="B80" s="212" t="s">
        <v>132</v>
      </c>
      <c r="C80" s="211" t="s">
        <v>132</v>
      </c>
      <c r="D80" s="210" t="s">
        <v>132</v>
      </c>
      <c r="E80" s="205"/>
      <c r="F80" s="261"/>
      <c r="G80" s="220"/>
      <c r="H80" s="202"/>
      <c r="I80" s="203"/>
      <c r="J80" s="5"/>
      <c r="K80" s="182"/>
      <c r="L80" s="5"/>
      <c r="M80" s="5"/>
      <c r="N80" s="5"/>
      <c r="O80" s="206">
        <f>IF(O79+1&lt;=MIN('Données projet'!$E$9:$E$18),O79+1,"STOP")</f>
        <v>47</v>
      </c>
      <c r="P80" s="196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9">
        <v>2</v>
      </c>
      <c r="B81" s="212" t="s">
        <v>132</v>
      </c>
      <c r="C81" s="211" t="s">
        <v>132</v>
      </c>
      <c r="D81" s="210" t="s">
        <v>132</v>
      </c>
      <c r="E81" s="205"/>
      <c r="F81" s="261"/>
      <c r="G81" s="220"/>
      <c r="H81" s="202"/>
      <c r="I81" s="203"/>
      <c r="J81" s="5"/>
      <c r="K81" s="182"/>
      <c r="L81" s="5"/>
      <c r="M81" s="5"/>
      <c r="N81" s="5"/>
      <c r="O81" s="206">
        <f>IF(O80+1&lt;=MIN('Données projet'!$E$9:$E$18),O80+1,"STOP")</f>
        <v>48</v>
      </c>
      <c r="P81" s="196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9">
        <v>3</v>
      </c>
      <c r="B82" s="212" t="s">
        <v>132</v>
      </c>
      <c r="C82" s="211" t="s">
        <v>132</v>
      </c>
      <c r="D82" s="210" t="s">
        <v>132</v>
      </c>
      <c r="E82" s="205"/>
      <c r="F82" s="261"/>
      <c r="G82" s="220"/>
      <c r="H82" s="202"/>
      <c r="I82" s="203"/>
      <c r="J82" s="5"/>
      <c r="K82" s="182"/>
      <c r="L82" s="5"/>
      <c r="M82" s="5"/>
      <c r="N82" s="5"/>
      <c r="O82" s="206">
        <f>IF(O81+1&lt;=MIN('Données projet'!$E$9:$E$18),O81+1,"STOP")</f>
        <v>49</v>
      </c>
      <c r="P82" s="196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9">
        <v>4</v>
      </c>
      <c r="B83" s="212" t="s">
        <v>132</v>
      </c>
      <c r="C83" s="211" t="s">
        <v>132</v>
      </c>
      <c r="D83" s="210" t="s">
        <v>132</v>
      </c>
      <c r="E83" s="205"/>
      <c r="F83" s="261"/>
      <c r="G83" s="220"/>
      <c r="H83" s="202"/>
      <c r="I83" s="203"/>
      <c r="J83" s="5"/>
      <c r="K83" s="182"/>
      <c r="L83" s="5"/>
      <c r="M83" s="5"/>
      <c r="N83" s="5"/>
      <c r="O83" s="206">
        <f>IF(O82+1&lt;=MIN('Données projet'!$E$9:$E$18),O82+1,"STOP")</f>
        <v>50</v>
      </c>
      <c r="P83" s="196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9">
        <v>5</v>
      </c>
      <c r="B84" s="212" t="s">
        <v>132</v>
      </c>
      <c r="C84" s="211" t="s">
        <v>132</v>
      </c>
      <c r="D84" s="210" t="s">
        <v>132</v>
      </c>
      <c r="E84" s="205"/>
      <c r="F84" s="261"/>
      <c r="G84" s="221"/>
      <c r="H84" s="202"/>
      <c r="I84" s="203"/>
      <c r="J84" s="5"/>
      <c r="K84" s="182"/>
      <c r="L84" s="5"/>
      <c r="M84" s="5"/>
      <c r="N84" s="5"/>
      <c r="O84" s="206">
        <f>IF(O83+1&lt;=MIN('Données projet'!$E$9:$E$18),O83+1,"STOP")</f>
        <v>51</v>
      </c>
      <c r="P84" s="196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1">
        <f>'Données projet'!A88</f>
        <v>15</v>
      </c>
      <c r="B85" s="192">
        <f>'Données projet'!D88</f>
        <v>0</v>
      </c>
      <c r="C85" s="203"/>
      <c r="D85" s="190">
        <f>B85*C85</f>
        <v>0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>
        <f>IF(O84+1&lt;=MIN('Données projet'!$E$9:$E$18),O84+1,"STOP")</f>
        <v>52</v>
      </c>
      <c r="P85" s="196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1">
        <f>'Données projet'!A89</f>
        <v>20</v>
      </c>
      <c r="B86" s="192">
        <f>'Données projet'!D89</f>
        <v>0</v>
      </c>
      <c r="C86" s="291"/>
      <c r="D86" s="190">
        <f t="shared" ref="D86:D104" si="6">B86*C86</f>
        <v>0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>
        <f>IF(O85+1&lt;=MIN('Données projet'!$E$9:$E$18),O85+1,"STOP")</f>
        <v>53</v>
      </c>
      <c r="P86" s="196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1">
        <f>'Données projet'!A90</f>
        <v>25</v>
      </c>
      <c r="B87" s="192">
        <f>'Données projet'!D90</f>
        <v>20.6</v>
      </c>
      <c r="C87" s="291">
        <v>20</v>
      </c>
      <c r="D87" s="190">
        <f t="shared" si="6"/>
        <v>412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>
        <f>IF(O86+1&lt;=MIN('Données projet'!$E$9:$E$18),O86+1,"STOP")</f>
        <v>54</v>
      </c>
      <c r="P87" s="196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1">
        <f>'Données projet'!A91</f>
        <v>30</v>
      </c>
      <c r="B88" s="192">
        <f>'Données projet'!D91</f>
        <v>0</v>
      </c>
      <c r="C88" s="291"/>
      <c r="D88" s="190">
        <f t="shared" si="6"/>
        <v>0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>
        <f>IF(O87+1&lt;=MIN('Données projet'!$E$9:$E$18),O87+1,"STOP")</f>
        <v>55</v>
      </c>
      <c r="P88" s="196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1">
        <f>'Données projet'!A92</f>
        <v>35</v>
      </c>
      <c r="B89" s="192">
        <f>'Données projet'!D92</f>
        <v>109.3</v>
      </c>
      <c r="C89" s="291">
        <v>30</v>
      </c>
      <c r="D89" s="190">
        <f t="shared" si="6"/>
        <v>3279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>
        <f>IF(O88+1&lt;=MIN('Données projet'!$E$9:$E$18),O88+1,"STOP")</f>
        <v>56</v>
      </c>
      <c r="P89" s="196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1">
        <f>'Données projet'!A93</f>
        <v>40</v>
      </c>
      <c r="B90" s="192">
        <f>'Données projet'!D93</f>
        <v>0</v>
      </c>
      <c r="C90" s="291"/>
      <c r="D90" s="190">
        <f t="shared" si="6"/>
        <v>0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>
        <f>IF(O89+1&lt;=MIN('Données projet'!$E$9:$E$18),O89+1,"STOP")</f>
        <v>57</v>
      </c>
      <c r="P90" s="196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1">
        <f>'Données projet'!A94</f>
        <v>45</v>
      </c>
      <c r="B91" s="192">
        <f>'Données projet'!D94</f>
        <v>134.30000000000001</v>
      </c>
      <c r="C91" s="291">
        <v>40</v>
      </c>
      <c r="D91" s="190">
        <f t="shared" si="6"/>
        <v>5372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>
        <f>IF(O90+1&lt;=MIN('Données projet'!$E$9:$E$18),O90+1,"STOP")</f>
        <v>58</v>
      </c>
      <c r="P91" s="196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1">
        <f>'Données projet'!A95</f>
        <v>50</v>
      </c>
      <c r="B92" s="192">
        <f>'Données projet'!D95</f>
        <v>0</v>
      </c>
      <c r="C92" s="291"/>
      <c r="D92" s="190">
        <f t="shared" si="6"/>
        <v>0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>
        <f>IF(O91+1&lt;=MIN('Données projet'!$E$9:$E$18),O91+1,"STOP")</f>
        <v>59</v>
      </c>
      <c r="P92" s="196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1">
        <f>'Données projet'!A96</f>
        <v>55</v>
      </c>
      <c r="B93" s="192">
        <f>'Données projet'!D96</f>
        <v>140.30000000000001</v>
      </c>
      <c r="C93" s="291">
        <v>45</v>
      </c>
      <c r="D93" s="190">
        <f t="shared" si="6"/>
        <v>6313.5000000000009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>
        <f>IF(O92+1&lt;=MIN('Données projet'!$E$9:$E$18),O92+1,"STOP")</f>
        <v>60</v>
      </c>
      <c r="P93" s="196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1">
        <f>'Données projet'!A97</f>
        <v>60</v>
      </c>
      <c r="B94" s="192">
        <f>'Données projet'!D97</f>
        <v>61.4</v>
      </c>
      <c r="C94" s="291">
        <v>50</v>
      </c>
      <c r="D94" s="190">
        <f t="shared" si="6"/>
        <v>3070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>
        <f>IF(O93+1&lt;=MIN('Données projet'!$E$9:$E$18),O93+1,"STOP")</f>
        <v>61</v>
      </c>
      <c r="P94" s="196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1">
        <f>'Données projet'!A98</f>
        <v>65</v>
      </c>
      <c r="B95" s="192">
        <f>'Données projet'!D98</f>
        <v>646.4</v>
      </c>
      <c r="C95" s="291">
        <v>60</v>
      </c>
      <c r="D95" s="190">
        <f t="shared" si="6"/>
        <v>38784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>
        <f>IF(O94+1&lt;=MIN('Données projet'!$E$9:$E$18),O94+1,"STOP")</f>
        <v>62</v>
      </c>
      <c r="P95" s="196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1">
        <f>'Données projet'!A99</f>
        <v>0</v>
      </c>
      <c r="B96" s="192">
        <f>'Données projet'!D99</f>
        <v>0</v>
      </c>
      <c r="C96" s="291"/>
      <c r="D96" s="190">
        <f t="shared" si="6"/>
        <v>0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>
        <f>IF(O95+1&lt;=MIN('Données projet'!$E$9:$E$18),O95+1,"STOP")</f>
        <v>63</v>
      </c>
      <c r="P96" s="196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1">
        <f>'Données projet'!A100</f>
        <v>0</v>
      </c>
      <c r="B97" s="192">
        <f>'Données projet'!D100</f>
        <v>0</v>
      </c>
      <c r="C97" s="203"/>
      <c r="D97" s="190">
        <f t="shared" si="6"/>
        <v>0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>
        <f>IF(O96+1&lt;=MIN('Données projet'!$E$9:$E$18),O96+1,"STOP")</f>
        <v>64</v>
      </c>
      <c r="P97" s="196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1">
        <f>'Données projet'!A101</f>
        <v>0</v>
      </c>
      <c r="B98" s="192">
        <f>'Données projet'!D101</f>
        <v>0</v>
      </c>
      <c r="C98" s="203"/>
      <c r="D98" s="190">
        <f t="shared" si="6"/>
        <v>0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>
        <f>IF(O97+1&lt;=MIN('Données projet'!$E$9:$E$18),O97+1,"STOP")</f>
        <v>65</v>
      </c>
      <c r="P98" s="196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1">
        <f>'Données projet'!A102</f>
        <v>0</v>
      </c>
      <c r="B99" s="192">
        <f>'Données projet'!D102</f>
        <v>0</v>
      </c>
      <c r="C99" s="203"/>
      <c r="D99" s="190">
        <f t="shared" si="6"/>
        <v>0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 t="str">
        <f>IF(O98+1&lt;=MIN('Données projet'!$E$9:$E$18),O98+1,"STOP")</f>
        <v>STOP</v>
      </c>
      <c r="P99" s="196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1">
        <f>'Données projet'!A103</f>
        <v>0</v>
      </c>
      <c r="B100" s="192">
        <f>'Données projet'!D103</f>
        <v>0</v>
      </c>
      <c r="C100" s="203"/>
      <c r="D100" s="190">
        <f t="shared" si="6"/>
        <v>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 t="e">
        <f>IF(O99+1&lt;=MIN('Données projet'!$E$9:$E$18),O99+1,"STOP")</f>
        <v>#VALUE!</v>
      </c>
      <c r="P100" s="196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1">
        <f>'Données projet'!A104</f>
        <v>0</v>
      </c>
      <c r="B101" s="192">
        <f>'Données projet'!D104</f>
        <v>0</v>
      </c>
      <c r="C101" s="203"/>
      <c r="D101" s="190">
        <f t="shared" si="6"/>
        <v>0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 t="e">
        <f>IF(O100+1&lt;=MIN('Données projet'!$E$9:$E$18),O100+1,"STOP")</f>
        <v>#VALUE!</v>
      </c>
      <c r="P101" s="196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1">
        <f>'Données projet'!A105</f>
        <v>0</v>
      </c>
      <c r="B102" s="192">
        <f>'Données projet'!D105</f>
        <v>0</v>
      </c>
      <c r="C102" s="203"/>
      <c r="D102" s="190">
        <f t="shared" si="6"/>
        <v>0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 t="e">
        <f>IF(O101+1&lt;=MIN('Données projet'!$E$9:$E$18),O101+1,"STOP")</f>
        <v>#VALUE!</v>
      </c>
      <c r="P102" s="196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1">
        <f>'Données projet'!A106</f>
        <v>0</v>
      </c>
      <c r="B103" s="192">
        <f>'Données projet'!D106</f>
        <v>0</v>
      </c>
      <c r="C103" s="203"/>
      <c r="D103" s="190">
        <f t="shared" si="6"/>
        <v>0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e">
        <f>IF(O102+1&lt;=MIN('Données projet'!$E$9:$E$18),O102+1,"STOP")</f>
        <v>#VALUE!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1">
        <f>'Données projet'!A107</f>
        <v>0</v>
      </c>
      <c r="B104" s="192">
        <f>'Données projet'!D107</f>
        <v>0</v>
      </c>
      <c r="C104" s="203"/>
      <c r="D104" s="190">
        <f t="shared" si="6"/>
        <v>0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5" t="str">
        <f>IF('Données projet'!B12="","",'Données projet'!B12)</f>
        <v>Erable sycomore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9">
        <v>0</v>
      </c>
      <c r="B110" s="212" t="s">
        <v>132</v>
      </c>
      <c r="C110" s="211" t="s">
        <v>132</v>
      </c>
      <c r="D110" s="210" t="s">
        <v>132</v>
      </c>
      <c r="E110" s="205">
        <v>2000</v>
      </c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9">
        <v>1</v>
      </c>
      <c r="B111" s="212" t="s">
        <v>132</v>
      </c>
      <c r="C111" s="211" t="s">
        <v>132</v>
      </c>
      <c r="D111" s="210" t="s">
        <v>132</v>
      </c>
      <c r="E111" s="205"/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9">
        <v>2</v>
      </c>
      <c r="B112" s="212" t="s">
        <v>132</v>
      </c>
      <c r="C112" s="211" t="s">
        <v>132</v>
      </c>
      <c r="D112" s="210" t="s">
        <v>132</v>
      </c>
      <c r="E112" s="205"/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9">
        <v>3</v>
      </c>
      <c r="B113" s="212" t="s">
        <v>132</v>
      </c>
      <c r="C113" s="211" t="s">
        <v>132</v>
      </c>
      <c r="D113" s="210" t="s">
        <v>132</v>
      </c>
      <c r="E113" s="205"/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9">
        <v>4</v>
      </c>
      <c r="B114" s="212" t="s">
        <v>132</v>
      </c>
      <c r="C114" s="211" t="s">
        <v>132</v>
      </c>
      <c r="D114" s="210" t="s">
        <v>132</v>
      </c>
      <c r="E114" s="205"/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9">
        <v>5</v>
      </c>
      <c r="B115" s="212" t="s">
        <v>132</v>
      </c>
      <c r="C115" s="211" t="s">
        <v>132</v>
      </c>
      <c r="D115" s="210" t="s">
        <v>132</v>
      </c>
      <c r="E115" s="205"/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1">
        <f>'Données projet'!A114</f>
        <v>15</v>
      </c>
      <c r="B116" s="192">
        <f>'Données projet'!D114</f>
        <v>15</v>
      </c>
      <c r="C116" s="203">
        <v>10</v>
      </c>
      <c r="D116" s="190">
        <f>B116*C116</f>
        <v>150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1">
        <f>'Données projet'!A115</f>
        <v>20</v>
      </c>
      <c r="B117" s="192">
        <f>'Données projet'!D115</f>
        <v>0</v>
      </c>
      <c r="C117" s="203"/>
      <c r="D117" s="190">
        <f t="shared" ref="D117:D135" si="8">B117*C117</f>
        <v>0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1">
        <f>'Données projet'!A116</f>
        <v>25</v>
      </c>
      <c r="B118" s="192">
        <f>'Données projet'!D116</f>
        <v>56</v>
      </c>
      <c r="C118" s="203">
        <v>10</v>
      </c>
      <c r="D118" s="190">
        <f t="shared" si="8"/>
        <v>560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1">
        <f>'Données projet'!A117</f>
        <v>30</v>
      </c>
      <c r="B119" s="192">
        <f>'Données projet'!D117</f>
        <v>0</v>
      </c>
      <c r="C119" s="203"/>
      <c r="D119" s="190">
        <f t="shared" si="8"/>
        <v>0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1">
        <f>'Données projet'!A118</f>
        <v>35</v>
      </c>
      <c r="B120" s="192">
        <f>'Données projet'!D118</f>
        <v>56</v>
      </c>
      <c r="C120" s="203">
        <v>10</v>
      </c>
      <c r="D120" s="190">
        <f t="shared" si="8"/>
        <v>560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1">
        <f>'Données projet'!A119</f>
        <v>40</v>
      </c>
      <c r="B121" s="192">
        <f>'Données projet'!D119</f>
        <v>0</v>
      </c>
      <c r="C121" s="203"/>
      <c r="D121" s="190">
        <f t="shared" si="8"/>
        <v>0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1">
        <f>'Données projet'!A120</f>
        <v>45</v>
      </c>
      <c r="B122" s="192">
        <f>'Données projet'!D120</f>
        <v>50</v>
      </c>
      <c r="C122" s="203">
        <v>20</v>
      </c>
      <c r="D122" s="190">
        <f t="shared" si="8"/>
        <v>1000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1">
        <f>'Données projet'!A121</f>
        <v>50</v>
      </c>
      <c r="B123" s="192">
        <f>'Données projet'!D121</f>
        <v>0</v>
      </c>
      <c r="C123" s="203"/>
      <c r="D123" s="190">
        <f t="shared" si="8"/>
        <v>0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1">
        <f>'Données projet'!A122</f>
        <v>55</v>
      </c>
      <c r="B124" s="192">
        <f>'Données projet'!D122</f>
        <v>30</v>
      </c>
      <c r="C124" s="203">
        <v>20</v>
      </c>
      <c r="D124" s="190">
        <f t="shared" si="8"/>
        <v>600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1">
        <f>'Données projet'!A123</f>
        <v>60</v>
      </c>
      <c r="B125" s="192">
        <f>'Données projet'!D123</f>
        <v>0</v>
      </c>
      <c r="C125" s="203"/>
      <c r="D125" s="190">
        <f t="shared" si="8"/>
        <v>0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1">
        <f>'Données projet'!A124</f>
        <v>65</v>
      </c>
      <c r="B126" s="192">
        <f>'Données projet'!D124</f>
        <v>23</v>
      </c>
      <c r="C126" s="203">
        <v>30</v>
      </c>
      <c r="D126" s="190">
        <f t="shared" si="8"/>
        <v>690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1">
        <f>'Données projet'!A125</f>
        <v>70</v>
      </c>
      <c r="B127" s="192">
        <f>'Données projet'!D125</f>
        <v>0</v>
      </c>
      <c r="C127" s="203"/>
      <c r="D127" s="190">
        <f t="shared" si="8"/>
        <v>0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1">
        <f>'Données projet'!A126</f>
        <v>75</v>
      </c>
      <c r="B128" s="192">
        <f>'Données projet'!D126</f>
        <v>19</v>
      </c>
      <c r="C128" s="203">
        <v>50</v>
      </c>
      <c r="D128" s="190">
        <f t="shared" si="8"/>
        <v>950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1">
        <f>'Données projet'!A127</f>
        <v>80</v>
      </c>
      <c r="B129" s="192">
        <f>'Données projet'!D127</f>
        <v>276</v>
      </c>
      <c r="C129" s="203">
        <v>70</v>
      </c>
      <c r="D129" s="190">
        <f t="shared" si="8"/>
        <v>19320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1">
        <f>'Données projet'!A128</f>
        <v>0</v>
      </c>
      <c r="B130" s="192">
        <f>'Données projet'!D128</f>
        <v>0</v>
      </c>
      <c r="C130" s="203"/>
      <c r="D130" s="190">
        <f t="shared" si="8"/>
        <v>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1">
        <f>'Données projet'!A129</f>
        <v>0</v>
      </c>
      <c r="B131" s="192">
        <f>'Données projet'!D129</f>
        <v>0</v>
      </c>
      <c r="C131" s="203"/>
      <c r="D131" s="190">
        <f t="shared" si="8"/>
        <v>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1">
        <f>'Données projet'!A130</f>
        <v>0</v>
      </c>
      <c r="B132" s="192">
        <f>'Données projet'!D130</f>
        <v>0</v>
      </c>
      <c r="C132" s="203"/>
      <c r="D132" s="190">
        <f t="shared" si="8"/>
        <v>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1">
        <f>'Données projet'!A131</f>
        <v>0</v>
      </c>
      <c r="B133" s="192">
        <f>'Données projet'!D131</f>
        <v>0</v>
      </c>
      <c r="C133" s="203"/>
      <c r="D133" s="190">
        <f t="shared" si="8"/>
        <v>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1">
        <f>'Données projet'!A132</f>
        <v>0</v>
      </c>
      <c r="B134" s="192">
        <f>'Données projet'!D132</f>
        <v>0</v>
      </c>
      <c r="C134" s="203"/>
      <c r="D134" s="190">
        <f t="shared" si="8"/>
        <v>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1">
        <f>'Données projet'!A133</f>
        <v>0</v>
      </c>
      <c r="B135" s="192">
        <f>'Données projet'!D133</f>
        <v>0</v>
      </c>
      <c r="C135" s="203"/>
      <c r="D135" s="190">
        <f t="shared" si="8"/>
        <v>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5" t="str">
        <f>IF('Données projet'!B13="","",'Données projet'!B13)</f>
        <v>Tilleul</v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9">
        <v>0</v>
      </c>
      <c r="B141" s="212" t="s">
        <v>132</v>
      </c>
      <c r="C141" s="211" t="s">
        <v>132</v>
      </c>
      <c r="D141" s="210" t="s">
        <v>132</v>
      </c>
      <c r="E141" s="205">
        <v>2000</v>
      </c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9">
        <v>1</v>
      </c>
      <c r="B142" s="212" t="s">
        <v>132</v>
      </c>
      <c r="C142" s="211" t="s">
        <v>132</v>
      </c>
      <c r="D142" s="210" t="s">
        <v>132</v>
      </c>
      <c r="E142" s="205"/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9">
        <v>2</v>
      </c>
      <c r="B143" s="212" t="s">
        <v>132</v>
      </c>
      <c r="C143" s="211" t="s">
        <v>132</v>
      </c>
      <c r="D143" s="210" t="s">
        <v>132</v>
      </c>
      <c r="E143" s="205"/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9">
        <v>3</v>
      </c>
      <c r="B144" s="212" t="s">
        <v>132</v>
      </c>
      <c r="C144" s="211" t="s">
        <v>132</v>
      </c>
      <c r="D144" s="210" t="s">
        <v>132</v>
      </c>
      <c r="E144" s="205"/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9">
        <v>4</v>
      </c>
      <c r="B145" s="212" t="s">
        <v>132</v>
      </c>
      <c r="C145" s="211" t="s">
        <v>132</v>
      </c>
      <c r="D145" s="210" t="s">
        <v>132</v>
      </c>
      <c r="E145" s="205"/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9">
        <v>5</v>
      </c>
      <c r="B146" s="212" t="s">
        <v>132</v>
      </c>
      <c r="C146" s="211" t="s">
        <v>132</v>
      </c>
      <c r="D146" s="210" t="s">
        <v>132</v>
      </c>
      <c r="E146" s="205"/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6">
        <f>'Données projet'!D140</f>
        <v>8.9743589743589745</v>
      </c>
      <c r="C147" s="203">
        <v>10</v>
      </c>
      <c r="D147" s="193">
        <f>B147*C147</f>
        <v>89.743589743589752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6">
        <f>'Données projet'!D141</f>
        <v>0</v>
      </c>
      <c r="C148" s="292"/>
      <c r="D148" s="193">
        <f t="shared" ref="D148:D166" si="10">B148*C148</f>
        <v>0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6">
        <f>'Données projet'!D142</f>
        <v>27.564102564102562</v>
      </c>
      <c r="C149" s="292">
        <v>10</v>
      </c>
      <c r="D149" s="193">
        <f t="shared" si="10"/>
        <v>275.64102564102564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6">
        <f>'Données projet'!D143</f>
        <v>0</v>
      </c>
      <c r="C150" s="292"/>
      <c r="D150" s="193">
        <f t="shared" si="10"/>
        <v>0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6">
        <f>'Données projet'!D144</f>
        <v>31.410256410256409</v>
      </c>
      <c r="C151" s="292">
        <v>10</v>
      </c>
      <c r="D151" s="193">
        <f t="shared" si="10"/>
        <v>314.10256410256409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6">
        <f>'Données projet'!D145</f>
        <v>0</v>
      </c>
      <c r="C152" s="292"/>
      <c r="D152" s="193">
        <f t="shared" si="10"/>
        <v>0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6">
        <f>'Données projet'!D146</f>
        <v>31.410256410256409</v>
      </c>
      <c r="C153" s="292">
        <v>20</v>
      </c>
      <c r="D153" s="193">
        <f t="shared" si="10"/>
        <v>628.20512820512818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6">
        <f>'Données projet'!D147</f>
        <v>0</v>
      </c>
      <c r="C154" s="292"/>
      <c r="D154" s="193">
        <f t="shared" si="10"/>
        <v>0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6">
        <f>'Données projet'!D148</f>
        <v>30.128205128205128</v>
      </c>
      <c r="C155" s="292">
        <v>20</v>
      </c>
      <c r="D155" s="193">
        <f t="shared" si="10"/>
        <v>602.56410256410254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6">
        <f>'Données projet'!D149</f>
        <v>0</v>
      </c>
      <c r="C156" s="292"/>
      <c r="D156" s="193">
        <f t="shared" si="10"/>
        <v>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6">
        <f>'Données projet'!D150</f>
        <v>27.564102564102562</v>
      </c>
      <c r="C157" s="292">
        <v>20</v>
      </c>
      <c r="D157" s="193">
        <f t="shared" si="10"/>
        <v>551.28205128205127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6">
        <f>'Données projet'!D151</f>
        <v>0</v>
      </c>
      <c r="C158" s="292"/>
      <c r="D158" s="193">
        <f t="shared" si="10"/>
        <v>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6">
        <f>'Données projet'!D152</f>
        <v>24.358974358974358</v>
      </c>
      <c r="C159" s="292">
        <v>30</v>
      </c>
      <c r="D159" s="193">
        <f t="shared" si="10"/>
        <v>730.76923076923072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6">
        <f>'Données projet'!D153</f>
        <v>0</v>
      </c>
      <c r="C160" s="292">
        <v>30</v>
      </c>
      <c r="D160" s="193">
        <f t="shared" si="10"/>
        <v>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85</v>
      </c>
      <c r="B161" s="186">
        <f>'Données projet'!D154</f>
        <v>23.717948717948715</v>
      </c>
      <c r="C161" s="292">
        <v>50</v>
      </c>
      <c r="D161" s="193">
        <f t="shared" si="10"/>
        <v>1185.8974358974358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90</v>
      </c>
      <c r="B162" s="186">
        <f>'Données projet'!D155</f>
        <v>0</v>
      </c>
      <c r="C162" s="292">
        <v>50</v>
      </c>
      <c r="D162" s="193">
        <f t="shared" si="10"/>
        <v>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95</v>
      </c>
      <c r="B163" s="186">
        <f>'Données projet'!D156</f>
        <v>22.435897435897434</v>
      </c>
      <c r="C163" s="292">
        <v>70</v>
      </c>
      <c r="D163" s="193">
        <f t="shared" si="10"/>
        <v>1570.5128205128203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100</v>
      </c>
      <c r="B164" s="186">
        <f>'Données projet'!D157</f>
        <v>0</v>
      </c>
      <c r="C164" s="292"/>
      <c r="D164" s="193">
        <f t="shared" si="10"/>
        <v>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105</v>
      </c>
      <c r="B165" s="186">
        <f>'Données projet'!D158</f>
        <v>0</v>
      </c>
      <c r="C165" s="292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110</v>
      </c>
      <c r="B166" s="186">
        <f>'Données projet'!D159</f>
        <v>306.41025641025641</v>
      </c>
      <c r="C166" s="292"/>
      <c r="D166" s="193">
        <f t="shared" si="10"/>
        <v>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5" t="str">
        <f>IF('Données projet'!B14="","",'Données projet'!B14)</f>
        <v/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9">
        <v>0</v>
      </c>
      <c r="B172" s="212" t="s">
        <v>132</v>
      </c>
      <c r="C172" s="211" t="s">
        <v>132</v>
      </c>
      <c r="D172" s="210" t="s">
        <v>132</v>
      </c>
      <c r="E172" s="205"/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9">
        <v>1</v>
      </c>
      <c r="B173" s="212" t="s">
        <v>132</v>
      </c>
      <c r="C173" s="211" t="s">
        <v>132</v>
      </c>
      <c r="D173" s="210" t="s">
        <v>132</v>
      </c>
      <c r="E173" s="205"/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9">
        <v>2</v>
      </c>
      <c r="B174" s="212" t="s">
        <v>132</v>
      </c>
      <c r="C174" s="211" t="s">
        <v>132</v>
      </c>
      <c r="D174" s="210" t="s">
        <v>132</v>
      </c>
      <c r="E174" s="205"/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9">
        <v>3</v>
      </c>
      <c r="B175" s="212" t="s">
        <v>132</v>
      </c>
      <c r="C175" s="211" t="s">
        <v>132</v>
      </c>
      <c r="D175" s="210" t="s">
        <v>132</v>
      </c>
      <c r="E175" s="205"/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9">
        <v>4</v>
      </c>
      <c r="B176" s="212" t="s">
        <v>132</v>
      </c>
      <c r="C176" s="211" t="s">
        <v>132</v>
      </c>
      <c r="D176" s="210" t="s">
        <v>132</v>
      </c>
      <c r="E176" s="205"/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9">
        <v>5</v>
      </c>
      <c r="B177" s="212" t="s">
        <v>132</v>
      </c>
      <c r="C177" s="211" t="s">
        <v>132</v>
      </c>
      <c r="D177" s="210" t="s">
        <v>132</v>
      </c>
      <c r="E177" s="205"/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1">
        <f>'Données projet'!A166</f>
        <v>0</v>
      </c>
      <c r="B178" s="192">
        <f>'Données projet'!D166</f>
        <v>0</v>
      </c>
      <c r="C178" s="205"/>
      <c r="D178" s="190">
        <f>B178*C178</f>
        <v>0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1">
        <f>'Données projet'!A167</f>
        <v>0</v>
      </c>
      <c r="B179" s="192">
        <f>'Données projet'!D167</f>
        <v>0</v>
      </c>
      <c r="C179" s="205"/>
      <c r="D179" s="190">
        <f t="shared" ref="D179:D197" si="11">B179*C179</f>
        <v>0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1">
        <f>'Données projet'!A168</f>
        <v>0</v>
      </c>
      <c r="B180" s="192">
        <f>'Données projet'!D168</f>
        <v>0</v>
      </c>
      <c r="C180" s="205"/>
      <c r="D180" s="190">
        <f t="shared" si="11"/>
        <v>0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1">
        <f>'Données projet'!A169</f>
        <v>0</v>
      </c>
      <c r="B181" s="192">
        <f>'Données projet'!D169</f>
        <v>0</v>
      </c>
      <c r="C181" s="205"/>
      <c r="D181" s="190">
        <f t="shared" si="11"/>
        <v>0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1">
        <f>'Données projet'!A170</f>
        <v>0</v>
      </c>
      <c r="B182" s="192">
        <f>'Données projet'!D170</f>
        <v>0</v>
      </c>
      <c r="C182" s="205"/>
      <c r="D182" s="190">
        <f t="shared" si="11"/>
        <v>0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1">
        <f>'Données projet'!A171</f>
        <v>0</v>
      </c>
      <c r="B183" s="192">
        <f>'Données projet'!D171</f>
        <v>0</v>
      </c>
      <c r="C183" s="205"/>
      <c r="D183" s="190">
        <f t="shared" si="11"/>
        <v>0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1">
        <f>'Données projet'!A172</f>
        <v>0</v>
      </c>
      <c r="B184" s="192">
        <f>'Données projet'!D172</f>
        <v>0</v>
      </c>
      <c r="C184" s="205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1">
        <f>'Données projet'!A173</f>
        <v>0</v>
      </c>
      <c r="B185" s="192">
        <f>'Données projet'!D173</f>
        <v>0</v>
      </c>
      <c r="C185" s="205"/>
      <c r="D185" s="190">
        <f t="shared" si="11"/>
        <v>0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1">
        <f>'Données projet'!A174</f>
        <v>0</v>
      </c>
      <c r="B186" s="192">
        <f>'Données projet'!D174</f>
        <v>0</v>
      </c>
      <c r="C186" s="205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1">
        <f>'Données projet'!A175</f>
        <v>0</v>
      </c>
      <c r="B187" s="192">
        <f>'Données projet'!D175</f>
        <v>0</v>
      </c>
      <c r="C187" s="205"/>
      <c r="D187" s="190">
        <f t="shared" si="11"/>
        <v>0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1">
        <f>'Données projet'!A176</f>
        <v>0</v>
      </c>
      <c r="B188" s="192">
        <f>'Données projet'!D176</f>
        <v>0</v>
      </c>
      <c r="C188" s="205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1">
        <f>'Données projet'!A177</f>
        <v>0</v>
      </c>
      <c r="B189" s="192">
        <f>'Données projet'!D177</f>
        <v>0</v>
      </c>
      <c r="C189" s="205"/>
      <c r="D189" s="190">
        <f t="shared" si="11"/>
        <v>0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1">
        <f>'Données projet'!A178</f>
        <v>0</v>
      </c>
      <c r="B190" s="192">
        <f>'Données projet'!D178</f>
        <v>0</v>
      </c>
      <c r="C190" s="205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1">
        <f>'Données projet'!A179</f>
        <v>0</v>
      </c>
      <c r="B191" s="192">
        <f>'Données projet'!D179</f>
        <v>0</v>
      </c>
      <c r="C191" s="205"/>
      <c r="D191" s="190">
        <f t="shared" si="11"/>
        <v>0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1">
        <f>'Données projet'!A180</f>
        <v>0</v>
      </c>
      <c r="B192" s="192">
        <f>'Données projet'!D180</f>
        <v>0</v>
      </c>
      <c r="C192" s="205"/>
      <c r="D192" s="190">
        <f t="shared" si="11"/>
        <v>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1">
        <f>'Données projet'!A181</f>
        <v>0</v>
      </c>
      <c r="B193" s="192">
        <f>'Données projet'!D181</f>
        <v>0</v>
      </c>
      <c r="C193" s="205"/>
      <c r="D193" s="190">
        <f t="shared" si="11"/>
        <v>0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1">
        <f>'Données projet'!A182</f>
        <v>0</v>
      </c>
      <c r="B194" s="192">
        <f>'Données projet'!D182</f>
        <v>0</v>
      </c>
      <c r="C194" s="205"/>
      <c r="D194" s="190">
        <f t="shared" si="11"/>
        <v>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1">
        <f>'Données projet'!A183</f>
        <v>0</v>
      </c>
      <c r="B195" s="192">
        <f>'Données projet'!D183</f>
        <v>0</v>
      </c>
      <c r="C195" s="205"/>
      <c r="D195" s="190">
        <f t="shared" si="11"/>
        <v>0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1">
        <f>'Données projet'!A184</f>
        <v>0</v>
      </c>
      <c r="B196" s="192">
        <f>'Données projet'!D184</f>
        <v>0</v>
      </c>
      <c r="C196" s="205"/>
      <c r="D196" s="190">
        <f t="shared" si="11"/>
        <v>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1">
        <f>'Données projet'!A185</f>
        <v>0</v>
      </c>
      <c r="B197" s="192">
        <f>'Données projet'!D185</f>
        <v>0</v>
      </c>
      <c r="C197" s="205"/>
      <c r="D197" s="190">
        <f t="shared" si="11"/>
        <v>0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5" t="str">
        <f>IF('Données projet'!$B$15="","",'Données projet'!$B$15)</f>
        <v/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9">
        <v>0</v>
      </c>
      <c r="B203" s="212" t="s">
        <v>132</v>
      </c>
      <c r="C203" s="211" t="s">
        <v>132</v>
      </c>
      <c r="D203" s="210" t="s">
        <v>132</v>
      </c>
      <c r="E203" s="205"/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9">
        <v>1</v>
      </c>
      <c r="B204" s="212" t="s">
        <v>132</v>
      </c>
      <c r="C204" s="211" t="s">
        <v>132</v>
      </c>
      <c r="D204" s="210" t="s">
        <v>132</v>
      </c>
      <c r="E204" s="205"/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9">
        <v>2</v>
      </c>
      <c r="B205" s="212" t="s">
        <v>132</v>
      </c>
      <c r="C205" s="211" t="s">
        <v>132</v>
      </c>
      <c r="D205" s="210" t="s">
        <v>132</v>
      </c>
      <c r="E205" s="205"/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9">
        <v>3</v>
      </c>
      <c r="B206" s="212" t="s">
        <v>132</v>
      </c>
      <c r="C206" s="211" t="s">
        <v>132</v>
      </c>
      <c r="D206" s="210" t="s">
        <v>132</v>
      </c>
      <c r="E206" s="205"/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9">
        <v>4</v>
      </c>
      <c r="B207" s="212" t="s">
        <v>132</v>
      </c>
      <c r="C207" s="211" t="s">
        <v>132</v>
      </c>
      <c r="D207" s="210" t="s">
        <v>132</v>
      </c>
      <c r="E207" s="205"/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9">
        <v>5</v>
      </c>
      <c r="B208" s="212" t="s">
        <v>132</v>
      </c>
      <c r="C208" s="211" t="s">
        <v>132</v>
      </c>
      <c r="D208" s="210" t="s">
        <v>132</v>
      </c>
      <c r="E208" s="205"/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1">
        <f>'Données projet'!A192</f>
        <v>0</v>
      </c>
      <c r="B209" s="192">
        <f>'Données projet'!D192</f>
        <v>0</v>
      </c>
      <c r="C209" s="205"/>
      <c r="D209" s="190">
        <f>B209*C209</f>
        <v>0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1">
        <f>'Données projet'!A193</f>
        <v>0</v>
      </c>
      <c r="B210" s="192">
        <f>'Données projet'!D193</f>
        <v>0</v>
      </c>
      <c r="C210" s="205"/>
      <c r="D210" s="190">
        <f t="shared" ref="D210:D228" si="12">B210*C210</f>
        <v>0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1">
        <f>'Données projet'!A194</f>
        <v>0</v>
      </c>
      <c r="B211" s="192">
        <f>'Données projet'!D194</f>
        <v>0</v>
      </c>
      <c r="C211" s="205"/>
      <c r="D211" s="190">
        <f t="shared" si="12"/>
        <v>0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1">
        <f>'Données projet'!A195</f>
        <v>0</v>
      </c>
      <c r="B212" s="192">
        <f>'Données projet'!D195</f>
        <v>0</v>
      </c>
      <c r="C212" s="205"/>
      <c r="D212" s="190">
        <f t="shared" si="12"/>
        <v>0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1">
        <f>'Données projet'!A196</f>
        <v>0</v>
      </c>
      <c r="B213" s="192">
        <f>'Données projet'!D196</f>
        <v>0</v>
      </c>
      <c r="C213" s="205"/>
      <c r="D213" s="190">
        <f t="shared" si="12"/>
        <v>0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1">
        <f>'Données projet'!A197</f>
        <v>0</v>
      </c>
      <c r="B214" s="192">
        <f>'Données projet'!D197</f>
        <v>0</v>
      </c>
      <c r="C214" s="205"/>
      <c r="D214" s="190">
        <f t="shared" si="12"/>
        <v>0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1">
        <f>'Données projet'!A198</f>
        <v>0</v>
      </c>
      <c r="B215" s="192">
        <f>'Données projet'!D198</f>
        <v>0</v>
      </c>
      <c r="C215" s="205"/>
      <c r="D215" s="190">
        <f t="shared" si="12"/>
        <v>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1">
        <f>'Données projet'!A199</f>
        <v>0</v>
      </c>
      <c r="B216" s="192">
        <f>'Données projet'!D199</f>
        <v>0</v>
      </c>
      <c r="C216" s="205"/>
      <c r="D216" s="190">
        <f t="shared" si="12"/>
        <v>0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1">
        <f>'Données projet'!A200</f>
        <v>0</v>
      </c>
      <c r="B217" s="192">
        <f>'Données projet'!D200</f>
        <v>0</v>
      </c>
      <c r="C217" s="205"/>
      <c r="D217" s="190">
        <f t="shared" si="12"/>
        <v>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1">
        <f>'Données projet'!A201</f>
        <v>0</v>
      </c>
      <c r="B218" s="192">
        <f>'Données projet'!D201</f>
        <v>0</v>
      </c>
      <c r="C218" s="205"/>
      <c r="D218" s="190">
        <f t="shared" si="12"/>
        <v>0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1">
        <f>'Données projet'!A202</f>
        <v>0</v>
      </c>
      <c r="B219" s="192">
        <f>'Données projet'!D202</f>
        <v>0</v>
      </c>
      <c r="C219" s="205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1">
        <f>'Données projet'!A203</f>
        <v>0</v>
      </c>
      <c r="B220" s="192">
        <f>'Données projet'!D203</f>
        <v>0</v>
      </c>
      <c r="C220" s="205"/>
      <c r="D220" s="190">
        <f t="shared" si="12"/>
        <v>0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1">
        <f>'Données projet'!A204</f>
        <v>0</v>
      </c>
      <c r="B221" s="192">
        <f>'Données projet'!D204</f>
        <v>0</v>
      </c>
      <c r="C221" s="205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1">
        <f>'Données projet'!A205</f>
        <v>0</v>
      </c>
      <c r="B222" s="192">
        <f>'Données projet'!D205</f>
        <v>0</v>
      </c>
      <c r="C222" s="205"/>
      <c r="D222" s="190">
        <f t="shared" si="12"/>
        <v>0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1">
        <f>'Données projet'!A206</f>
        <v>0</v>
      </c>
      <c r="B223" s="192">
        <f>'Données projet'!D206</f>
        <v>0</v>
      </c>
      <c r="C223" s="205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1">
        <f>'Données projet'!A207</f>
        <v>0</v>
      </c>
      <c r="B224" s="192">
        <f>'Données projet'!D207</f>
        <v>0</v>
      </c>
      <c r="C224" s="205"/>
      <c r="D224" s="190">
        <f t="shared" si="12"/>
        <v>0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1">
        <f>'Données projet'!A208</f>
        <v>0</v>
      </c>
      <c r="B225" s="192">
        <f>'Données projet'!D208</f>
        <v>0</v>
      </c>
      <c r="C225" s="205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1">
        <f>'Données projet'!A209</f>
        <v>0</v>
      </c>
      <c r="B226" s="192">
        <f>'Données projet'!D209</f>
        <v>0</v>
      </c>
      <c r="C226" s="205"/>
      <c r="D226" s="190">
        <f t="shared" si="12"/>
        <v>0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1">
        <f>'Données projet'!A210</f>
        <v>0</v>
      </c>
      <c r="B227" s="192">
        <f>'Données projet'!D210</f>
        <v>0</v>
      </c>
      <c r="C227" s="205"/>
      <c r="D227" s="190">
        <f t="shared" si="12"/>
        <v>0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1">
        <f>'Données projet'!A211</f>
        <v>0</v>
      </c>
      <c r="B228" s="192">
        <f>'Données projet'!D211</f>
        <v>0</v>
      </c>
      <c r="C228" s="205"/>
      <c r="D228" s="190">
        <f t="shared" si="12"/>
        <v>0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5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9">
        <v>0</v>
      </c>
      <c r="B234" s="212" t="s">
        <v>132</v>
      </c>
      <c r="C234" s="211" t="s">
        <v>132</v>
      </c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9">
        <v>1</v>
      </c>
      <c r="B235" s="212" t="s">
        <v>132</v>
      </c>
      <c r="C235" s="211" t="s">
        <v>132</v>
      </c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9">
        <v>2</v>
      </c>
      <c r="B236" s="212" t="s">
        <v>132</v>
      </c>
      <c r="C236" s="211" t="s">
        <v>132</v>
      </c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9">
        <v>3</v>
      </c>
      <c r="B237" s="212" t="s">
        <v>132</v>
      </c>
      <c r="C237" s="211" t="s">
        <v>132</v>
      </c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9">
        <v>4</v>
      </c>
      <c r="B238" s="212" t="s">
        <v>132</v>
      </c>
      <c r="C238" s="211" t="s">
        <v>132</v>
      </c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9">
        <v>5</v>
      </c>
      <c r="B239" s="212" t="s">
        <v>132</v>
      </c>
      <c r="C239" s="211" t="s">
        <v>132</v>
      </c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1">
        <f>'Données projet'!A218</f>
        <v>0</v>
      </c>
      <c r="B240" s="192">
        <f>'Données projet'!D218</f>
        <v>0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1">
        <f>'Données projet'!A219</f>
        <v>0</v>
      </c>
      <c r="B241" s="192">
        <f>'Données projet'!D219</f>
        <v>0</v>
      </c>
      <c r="C241" s="205"/>
      <c r="D241" s="190">
        <f t="shared" ref="D241:D259" si="13">B241*C241</f>
        <v>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1">
        <f>'Données projet'!A220</f>
        <v>0</v>
      </c>
      <c r="B242" s="192">
        <f>'Données projet'!D220</f>
        <v>0</v>
      </c>
      <c r="C242" s="205"/>
      <c r="D242" s="190">
        <f t="shared" si="13"/>
        <v>0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1">
        <f>'Données projet'!A221</f>
        <v>0</v>
      </c>
      <c r="B243" s="192">
        <f>'Données projet'!D221</f>
        <v>0</v>
      </c>
      <c r="C243" s="205"/>
      <c r="D243" s="190">
        <f t="shared" si="13"/>
        <v>0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1">
        <f>'Données projet'!A222</f>
        <v>0</v>
      </c>
      <c r="B244" s="192">
        <f>'Données projet'!D222</f>
        <v>0</v>
      </c>
      <c r="C244" s="205"/>
      <c r="D244" s="190">
        <f t="shared" si="13"/>
        <v>0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1">
        <f>'Données projet'!A223</f>
        <v>0</v>
      </c>
      <c r="B245" s="192">
        <f>'Données projet'!D223</f>
        <v>0</v>
      </c>
      <c r="C245" s="205"/>
      <c r="D245" s="190">
        <f t="shared" si="13"/>
        <v>0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1">
        <f>'Données projet'!A224</f>
        <v>0</v>
      </c>
      <c r="B246" s="192">
        <f>'Données projet'!D224</f>
        <v>0</v>
      </c>
      <c r="C246" s="205"/>
      <c r="D246" s="190">
        <f t="shared" si="13"/>
        <v>0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1">
        <f>'Données projet'!A225</f>
        <v>0</v>
      </c>
      <c r="B247" s="192">
        <f>'Données projet'!D225</f>
        <v>0</v>
      </c>
      <c r="C247" s="205"/>
      <c r="D247" s="190">
        <f t="shared" si="13"/>
        <v>0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1">
        <f>'Données projet'!A226</f>
        <v>0</v>
      </c>
      <c r="B248" s="192">
        <f>'Données projet'!D226</f>
        <v>0</v>
      </c>
      <c r="C248" s="205"/>
      <c r="D248" s="190">
        <f t="shared" si="13"/>
        <v>0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1">
        <f>'Données projet'!A227</f>
        <v>0</v>
      </c>
      <c r="B249" s="192">
        <f>'Données projet'!D227</f>
        <v>0</v>
      </c>
      <c r="C249" s="205"/>
      <c r="D249" s="190">
        <f t="shared" si="13"/>
        <v>0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1">
        <f>'Données projet'!A228</f>
        <v>0</v>
      </c>
      <c r="B250" s="192">
        <f>'Données projet'!D228</f>
        <v>0</v>
      </c>
      <c r="C250" s="205"/>
      <c r="D250" s="190">
        <f t="shared" si="13"/>
        <v>0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1">
        <f>'Données projet'!A229</f>
        <v>0</v>
      </c>
      <c r="B251" s="192">
        <f>'Données projet'!D229</f>
        <v>0</v>
      </c>
      <c r="C251" s="205"/>
      <c r="D251" s="190">
        <f t="shared" si="13"/>
        <v>0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1">
        <f>'Données projet'!A230</f>
        <v>0</v>
      </c>
      <c r="B252" s="192">
        <f>'Données projet'!D230</f>
        <v>0</v>
      </c>
      <c r="C252" s="205"/>
      <c r="D252" s="190">
        <f t="shared" si="13"/>
        <v>0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1">
        <f>'Données projet'!A231</f>
        <v>0</v>
      </c>
      <c r="B253" s="192">
        <f>'Données projet'!D231</f>
        <v>0</v>
      </c>
      <c r="C253" s="205"/>
      <c r="D253" s="190">
        <f t="shared" si="13"/>
        <v>0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1">
        <f>'Données projet'!A232</f>
        <v>0</v>
      </c>
      <c r="B254" s="192">
        <f>'Données projet'!D232</f>
        <v>0</v>
      </c>
      <c r="C254" s="205"/>
      <c r="D254" s="190">
        <f t="shared" si="13"/>
        <v>0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1">
        <f>'Données projet'!A233</f>
        <v>0</v>
      </c>
      <c r="B255" s="192">
        <f>'Données projet'!D233</f>
        <v>0</v>
      </c>
      <c r="C255" s="205"/>
      <c r="D255" s="190">
        <f t="shared" si="13"/>
        <v>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1">
        <f>'Données projet'!A234</f>
        <v>0</v>
      </c>
      <c r="B256" s="192">
        <f>'Données projet'!D234</f>
        <v>0</v>
      </c>
      <c r="C256" s="205"/>
      <c r="D256" s="190">
        <f t="shared" si="13"/>
        <v>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1">
        <f>'Données projet'!A235</f>
        <v>0</v>
      </c>
      <c r="B257" s="192">
        <f>'Données projet'!D235</f>
        <v>0</v>
      </c>
      <c r="C257" s="205"/>
      <c r="D257" s="190">
        <f t="shared" si="13"/>
        <v>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1">
        <f>'Données projet'!A236</f>
        <v>0</v>
      </c>
      <c r="B258" s="192">
        <f>'Données projet'!D236</f>
        <v>0</v>
      </c>
      <c r="C258" s="205"/>
      <c r="D258" s="190">
        <f t="shared" si="13"/>
        <v>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1">
        <f>'Données projet'!A237</f>
        <v>0</v>
      </c>
      <c r="B259" s="192">
        <f>'Données projet'!D237</f>
        <v>0</v>
      </c>
      <c r="C259" s="205"/>
      <c r="D259" s="190">
        <f t="shared" si="13"/>
        <v>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5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9">
        <v>0</v>
      </c>
      <c r="B265" s="212" t="s">
        <v>132</v>
      </c>
      <c r="C265" s="211" t="s">
        <v>132</v>
      </c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9">
        <v>1</v>
      </c>
      <c r="B266" s="212" t="s">
        <v>132</v>
      </c>
      <c r="C266" s="211" t="s">
        <v>132</v>
      </c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9">
        <v>2</v>
      </c>
      <c r="B267" s="212" t="s">
        <v>132</v>
      </c>
      <c r="C267" s="211" t="s">
        <v>132</v>
      </c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9">
        <v>3</v>
      </c>
      <c r="B268" s="212" t="s">
        <v>132</v>
      </c>
      <c r="C268" s="211" t="s">
        <v>132</v>
      </c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9">
        <v>4</v>
      </c>
      <c r="B269" s="212" t="s">
        <v>132</v>
      </c>
      <c r="C269" s="211" t="s">
        <v>132</v>
      </c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9">
        <v>5</v>
      </c>
      <c r="B270" s="212" t="s">
        <v>132</v>
      </c>
      <c r="C270" s="211" t="s">
        <v>132</v>
      </c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1">
        <f>'Données projet'!A244</f>
        <v>0</v>
      </c>
      <c r="B271" s="192">
        <f>'Données projet'!D244</f>
        <v>0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1">
        <f>'Données projet'!A245</f>
        <v>0</v>
      </c>
      <c r="B272" s="192">
        <f>'Données projet'!D245</f>
        <v>0</v>
      </c>
      <c r="C272" s="205"/>
      <c r="D272" s="190">
        <f t="shared" ref="D272:D290" si="14">B272*C272</f>
        <v>0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1">
        <f>'Données projet'!A246</f>
        <v>0</v>
      </c>
      <c r="B273" s="192">
        <f>'Données projet'!D246</f>
        <v>0</v>
      </c>
      <c r="C273" s="205"/>
      <c r="D273" s="190">
        <f t="shared" si="14"/>
        <v>0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1">
        <f>'Données projet'!A247</f>
        <v>0</v>
      </c>
      <c r="B274" s="192">
        <f>'Données projet'!D247</f>
        <v>0</v>
      </c>
      <c r="C274" s="205"/>
      <c r="D274" s="190">
        <f t="shared" si="14"/>
        <v>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1">
        <f>'Données projet'!A248</f>
        <v>0</v>
      </c>
      <c r="B275" s="192">
        <f>'Données projet'!D248</f>
        <v>0</v>
      </c>
      <c r="C275" s="205"/>
      <c r="D275" s="190">
        <f t="shared" si="14"/>
        <v>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1">
        <f>'Données projet'!A249</f>
        <v>0</v>
      </c>
      <c r="B276" s="192">
        <f>'Données projet'!D249</f>
        <v>0</v>
      </c>
      <c r="C276" s="205"/>
      <c r="D276" s="190">
        <f t="shared" si="14"/>
        <v>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1">
        <f>'Données projet'!A250</f>
        <v>0</v>
      </c>
      <c r="B277" s="192">
        <f>'Données projet'!D250</f>
        <v>0</v>
      </c>
      <c r="C277" s="205"/>
      <c r="D277" s="190">
        <f t="shared" si="14"/>
        <v>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1">
        <f>'Données projet'!A251</f>
        <v>0</v>
      </c>
      <c r="B278" s="192">
        <f>'Données projet'!D251</f>
        <v>0</v>
      </c>
      <c r="C278" s="205"/>
      <c r="D278" s="190">
        <f t="shared" si="14"/>
        <v>0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1">
        <f>'Données projet'!A252</f>
        <v>0</v>
      </c>
      <c r="B279" s="192">
        <f>'Données projet'!D252</f>
        <v>0</v>
      </c>
      <c r="C279" s="205"/>
      <c r="D279" s="190">
        <f t="shared" si="14"/>
        <v>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1">
        <f>'Données projet'!A253</f>
        <v>0</v>
      </c>
      <c r="B280" s="192">
        <f>'Données projet'!D253</f>
        <v>0</v>
      </c>
      <c r="C280" s="205"/>
      <c r="D280" s="190">
        <f t="shared" si="14"/>
        <v>0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1">
        <f>'Données projet'!A254</f>
        <v>0</v>
      </c>
      <c r="B281" s="192">
        <f>'Données projet'!D254</f>
        <v>0</v>
      </c>
      <c r="C281" s="205"/>
      <c r="D281" s="190">
        <f t="shared" si="14"/>
        <v>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1">
        <f>'Données projet'!A255</f>
        <v>0</v>
      </c>
      <c r="B282" s="192">
        <f>'Données projet'!D255</f>
        <v>0</v>
      </c>
      <c r="C282" s="205"/>
      <c r="D282" s="190">
        <f t="shared" si="14"/>
        <v>0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1">
        <f>'Données projet'!A256</f>
        <v>0</v>
      </c>
      <c r="B283" s="192">
        <f>'Données projet'!D256</f>
        <v>0</v>
      </c>
      <c r="C283" s="205"/>
      <c r="D283" s="190">
        <f t="shared" si="14"/>
        <v>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1">
        <f>'Données projet'!A257</f>
        <v>0</v>
      </c>
      <c r="B284" s="192">
        <f>'Données projet'!D257</f>
        <v>0</v>
      </c>
      <c r="C284" s="205"/>
      <c r="D284" s="190">
        <f t="shared" si="14"/>
        <v>0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1">
        <f>'Données projet'!A258</f>
        <v>0</v>
      </c>
      <c r="B285" s="192">
        <f>'Données projet'!D258</f>
        <v>0</v>
      </c>
      <c r="C285" s="205"/>
      <c r="D285" s="190">
        <f t="shared" si="14"/>
        <v>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1">
        <f>'Données projet'!A259</f>
        <v>0</v>
      </c>
      <c r="B286" s="192">
        <f>'Données projet'!D259</f>
        <v>0</v>
      </c>
      <c r="C286" s="205"/>
      <c r="D286" s="190">
        <f t="shared" si="14"/>
        <v>0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1">
        <f>'Données projet'!A260</f>
        <v>0</v>
      </c>
      <c r="B287" s="192">
        <f>'Données projet'!D260</f>
        <v>0</v>
      </c>
      <c r="C287" s="205"/>
      <c r="D287" s="190">
        <f t="shared" si="14"/>
        <v>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1">
        <f>'Données projet'!A261</f>
        <v>0</v>
      </c>
      <c r="B288" s="192">
        <f>'Données projet'!D261</f>
        <v>0</v>
      </c>
      <c r="C288" s="205"/>
      <c r="D288" s="190">
        <f t="shared" si="14"/>
        <v>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1">
        <f>'Données projet'!A262</f>
        <v>0</v>
      </c>
      <c r="B289" s="192">
        <f>'Données projet'!D262</f>
        <v>0</v>
      </c>
      <c r="C289" s="205"/>
      <c r="D289" s="190">
        <f t="shared" si="14"/>
        <v>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1">
        <f>'Données projet'!A263</f>
        <v>0</v>
      </c>
      <c r="B290" s="192">
        <f>'Données projet'!D263</f>
        <v>0</v>
      </c>
      <c r="C290" s="205"/>
      <c r="D290" s="190">
        <f t="shared" si="14"/>
        <v>0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5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9">
        <v>0</v>
      </c>
      <c r="B296" s="212" t="s">
        <v>132</v>
      </c>
      <c r="C296" s="211" t="s">
        <v>132</v>
      </c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9">
        <v>1</v>
      </c>
      <c r="B297" s="212" t="s">
        <v>132</v>
      </c>
      <c r="C297" s="211" t="s">
        <v>132</v>
      </c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9">
        <v>2</v>
      </c>
      <c r="B298" s="212" t="s">
        <v>132</v>
      </c>
      <c r="C298" s="211" t="s">
        <v>132</v>
      </c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9">
        <v>3</v>
      </c>
      <c r="B299" s="212" t="s">
        <v>132</v>
      </c>
      <c r="C299" s="211" t="s">
        <v>132</v>
      </c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9">
        <v>4</v>
      </c>
      <c r="B300" s="212" t="s">
        <v>132</v>
      </c>
      <c r="C300" s="211" t="s">
        <v>132</v>
      </c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9">
        <v>5</v>
      </c>
      <c r="B301" s="212" t="s">
        <v>132</v>
      </c>
      <c r="C301" s="211" t="s">
        <v>132</v>
      </c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1">
        <f>'Données projet'!A270</f>
        <v>0</v>
      </c>
      <c r="B302" s="192">
        <f>'Données projet'!D270</f>
        <v>0</v>
      </c>
      <c r="C302" s="203"/>
      <c r="D302" s="193">
        <f>B302*C302</f>
        <v>0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1">
        <f>'Données projet'!A271</f>
        <v>0</v>
      </c>
      <c r="B303" s="192">
        <f>'Données projet'!D271</f>
        <v>0</v>
      </c>
      <c r="C303" s="203"/>
      <c r="D303" s="193">
        <f t="shared" ref="D303:D321" si="15">B303*C303</f>
        <v>0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1">
        <f>'Données projet'!A272</f>
        <v>0</v>
      </c>
      <c r="B304" s="192">
        <f>'Données projet'!D272</f>
        <v>0</v>
      </c>
      <c r="C304" s="203"/>
      <c r="D304" s="193">
        <f t="shared" si="15"/>
        <v>0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1">
        <f>'Données projet'!A273</f>
        <v>0</v>
      </c>
      <c r="B305" s="192">
        <f>'Données projet'!D273</f>
        <v>0</v>
      </c>
      <c r="C305" s="203"/>
      <c r="D305" s="193">
        <f t="shared" si="15"/>
        <v>0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1">
        <f>'Données projet'!A274</f>
        <v>0</v>
      </c>
      <c r="B306" s="192">
        <f>'Données projet'!D274</f>
        <v>0</v>
      </c>
      <c r="C306" s="203"/>
      <c r="D306" s="193">
        <f t="shared" si="15"/>
        <v>0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1">
        <f>'Données projet'!A275</f>
        <v>0</v>
      </c>
      <c r="B307" s="192">
        <f>'Données projet'!D275</f>
        <v>0</v>
      </c>
      <c r="C307" s="203"/>
      <c r="D307" s="193">
        <f t="shared" si="15"/>
        <v>0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1">
        <f>'Données projet'!A276</f>
        <v>0</v>
      </c>
      <c r="B308" s="192">
        <f>'Données projet'!D276</f>
        <v>0</v>
      </c>
      <c r="C308" s="203"/>
      <c r="D308" s="193">
        <f t="shared" si="15"/>
        <v>0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1">
        <f>'Données projet'!A277</f>
        <v>0</v>
      </c>
      <c r="B309" s="192">
        <f>'Données projet'!D277</f>
        <v>0</v>
      </c>
      <c r="C309" s="203"/>
      <c r="D309" s="193">
        <f t="shared" si="15"/>
        <v>0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1">
        <f>'Données projet'!A278</f>
        <v>0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1">
        <f>'Données projet'!A279</f>
        <v>0</v>
      </c>
      <c r="B311" s="192">
        <f>'Données projet'!D279</f>
        <v>0</v>
      </c>
      <c r="C311" s="203"/>
      <c r="D311" s="193">
        <f t="shared" si="15"/>
        <v>0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1">
        <f>'Données projet'!A280</f>
        <v>0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1">
        <f>'Données projet'!A281</f>
        <v>0</v>
      </c>
      <c r="B313" s="192">
        <f>'Données projet'!D281</f>
        <v>0</v>
      </c>
      <c r="C313" s="203"/>
      <c r="D313" s="193">
        <f t="shared" si="15"/>
        <v>0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1">
        <f>'Données projet'!A282</f>
        <v>0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1">
        <f>'Données projet'!A283</f>
        <v>0</v>
      </c>
      <c r="B315" s="192">
        <f>'Données projet'!D283</f>
        <v>0</v>
      </c>
      <c r="C315" s="203"/>
      <c r="D315" s="193">
        <f t="shared" si="15"/>
        <v>0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1">
        <f>'Données projet'!A284</f>
        <v>0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1">
        <f>'Données projet'!A285</f>
        <v>0</v>
      </c>
      <c r="B317" s="192">
        <f>'Données projet'!D285</f>
        <v>0</v>
      </c>
      <c r="C317" s="203"/>
      <c r="D317" s="193">
        <f t="shared" si="15"/>
        <v>0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1">
        <f>'Données projet'!A286</f>
        <v>0</v>
      </c>
      <c r="B318" s="192">
        <f>'Données projet'!D286</f>
        <v>0</v>
      </c>
      <c r="C318" s="203"/>
      <c r="D318" s="193">
        <f t="shared" si="15"/>
        <v>0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1">
        <f>'Données projet'!A287</f>
        <v>0</v>
      </c>
      <c r="B319" s="192">
        <f>'Données projet'!D287</f>
        <v>0</v>
      </c>
      <c r="C319" s="203"/>
      <c r="D319" s="193">
        <f t="shared" si="15"/>
        <v>0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1">
        <f>'Données projet'!A288</f>
        <v>0</v>
      </c>
      <c r="B320" s="192">
        <f>'Données projet'!D288</f>
        <v>0</v>
      </c>
      <c r="C320" s="203"/>
      <c r="D320" s="193">
        <f t="shared" si="15"/>
        <v>0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1">
        <f>'Données projet'!A289</f>
        <v>0</v>
      </c>
      <c r="B321" s="192">
        <f>'Données projet'!D289</f>
        <v>0</v>
      </c>
      <c r="C321" s="208"/>
      <c r="D321" s="193">
        <f t="shared" si="15"/>
        <v>0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2022-04-08T13:04:55Z</dcterms:modified>
</cp:coreProperties>
</file>