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J:\6_Marchés carbone\61_National\619_Label bas-carbone\2. Projets\1. Forêt\4. En Instruction\2021PDLBOI009 CNPF Vendée (IAE n°4)\"/>
    </mc:Choice>
  </mc:AlternateContent>
  <bookViews>
    <workbookView xWindow="0" yWindow="0" windowWidth="20490" windowHeight="7620" tabRatio="866" activeTab="2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S61" i="6" l="1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N4" i="2" l="1"/>
  <c r="BQ4" i="2"/>
  <c r="EV4" i="2"/>
  <c r="CM4" i="2"/>
  <c r="DH4" i="2"/>
  <c r="FS4" i="2"/>
  <c r="HH4" i="2"/>
  <c r="HG4" i="2"/>
  <c r="GM4" i="2"/>
  <c r="GL4" i="2"/>
  <c r="EW4" i="2"/>
  <c r="EA4" i="2"/>
  <c r="EB4" i="2"/>
  <c r="DG4" i="2"/>
  <c r="DF4" i="2"/>
  <c r="DF5" i="2" s="1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GM5" i="2" s="1"/>
  <c r="HD5" i="2"/>
  <c r="GI5" i="2"/>
  <c r="FO5" i="2"/>
  <c r="FR5" i="2" s="1"/>
  <c r="FN5" i="2"/>
  <c r="FQ5" i="2" s="1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GN5" i="2" s="1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H5" i="2" l="1"/>
  <c r="FS5" i="2"/>
  <c r="GL5" i="2"/>
  <c r="EC5" i="2"/>
  <c r="EA5" i="2"/>
  <c r="EV5" i="2"/>
  <c r="DH5" i="2"/>
  <c r="DH6" i="2" s="1"/>
  <c r="HG5" i="2"/>
  <c r="EW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GM6" i="2" s="1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DF6" i="2" s="1"/>
  <c r="BM6" i="2"/>
  <c r="AR6" i="2"/>
  <c r="DX6" i="2"/>
  <c r="EA6" i="2" s="1"/>
  <c r="HC6" i="2"/>
  <c r="HI6" i="2" s="1"/>
  <c r="HF6" i="2"/>
  <c r="GS6" i="2"/>
  <c r="HB6" i="2"/>
  <c r="GR6" i="2"/>
  <c r="GH6" i="2"/>
  <c r="GN6" i="2" s="1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S6" i="2" l="1"/>
  <c r="FQ6" i="2"/>
  <c r="GL6" i="2"/>
  <c r="EC6" i="2"/>
  <c r="EX6" i="2"/>
  <c r="HH6" i="2"/>
  <c r="HG6" i="2"/>
  <c r="FR6" i="2"/>
  <c r="EV6" i="2"/>
  <c r="EW6" i="2"/>
  <c r="EB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DF7" i="2" s="1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GN7" i="2" s="1"/>
  <c r="FW7" i="2"/>
  <c r="FM7" i="2"/>
  <c r="EU7" i="2"/>
  <c r="EG7" i="2"/>
  <c r="DW7" i="2"/>
  <c r="DB7" i="2"/>
  <c r="DH7" i="2" s="1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G7" i="2" l="1"/>
  <c r="FS7" i="2"/>
  <c r="EV7" i="2"/>
  <c r="GM7" i="2"/>
  <c r="EC7" i="2"/>
  <c r="GL7" i="2"/>
  <c r="HH7" i="2"/>
  <c r="FQ7" i="2"/>
  <c r="FR7" i="2"/>
  <c r="EW7" i="2"/>
  <c r="EB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FQ8" i="2" s="1"/>
  <c r="ET8" i="2"/>
  <c r="CI8" i="2"/>
  <c r="DD8" i="2"/>
  <c r="DC8" i="2"/>
  <c r="DF8" i="2" s="1"/>
  <c r="BM8" i="2"/>
  <c r="AR8" i="2"/>
  <c r="CH8" i="2"/>
  <c r="AS8" i="2"/>
  <c r="BN8" i="2"/>
  <c r="X8" i="2"/>
  <c r="W8" i="2"/>
  <c r="HB8" i="2"/>
  <c r="HC8" i="2"/>
  <c r="HF8" i="2"/>
  <c r="GR8" i="2"/>
  <c r="GH8" i="2"/>
  <c r="GN8" i="2" s="1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FS8" i="2" s="1"/>
  <c r="EU8" i="2"/>
  <c r="EG8" i="2"/>
  <c r="DW8" i="2"/>
  <c r="EC8" i="2" s="1"/>
  <c r="DB8" i="2"/>
  <c r="DH8" i="2" s="1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H8" i="2" l="1"/>
  <c r="GL8" i="2"/>
  <c r="FR8" i="2"/>
  <c r="EX8" i="2"/>
  <c r="HI8" i="2"/>
  <c r="GM8" i="2"/>
  <c r="EV8" i="2"/>
  <c r="EW8" i="2"/>
  <c r="EW9" i="2" s="1"/>
  <c r="EB8" i="2"/>
  <c r="EA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HH9" i="2" s="1"/>
  <c r="GJ9" i="2"/>
  <c r="HD9" i="2"/>
  <c r="FO9" i="2"/>
  <c r="FN9" i="2"/>
  <c r="DY9" i="2"/>
  <c r="DD9" i="2"/>
  <c r="GI9" i="2"/>
  <c r="ES9" i="2"/>
  <c r="EV9" i="2" s="1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GN9" i="2" l="1"/>
  <c r="GL9" i="2"/>
  <c r="DH9" i="2"/>
  <c r="EX9" i="2"/>
  <c r="FS9" i="2"/>
  <c r="DF9" i="2"/>
  <c r="EC9" i="2"/>
  <c r="HI9" i="2"/>
  <c r="GM9" i="2"/>
  <c r="HG9" i="2"/>
  <c r="FQ9" i="2"/>
  <c r="FR9" i="2"/>
  <c r="EA9" i="2"/>
  <c r="EB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GM10" i="2" s="1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EX10" i="2" s="1"/>
  <c r="DV10" i="2"/>
  <c r="DM10" i="2"/>
  <c r="DA10" i="2"/>
  <c r="CQ10" i="2"/>
  <c r="GG10" i="2"/>
  <c r="DW10" i="2"/>
  <c r="EG10" i="2"/>
  <c r="DB10" i="2"/>
  <c r="DH10" i="2" s="1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G10" i="2" l="1"/>
  <c r="EC10" i="2"/>
  <c r="FS10" i="2"/>
  <c r="GL10" i="2"/>
  <c r="GN10" i="2"/>
  <c r="HH10" i="2"/>
  <c r="DF10" i="2"/>
  <c r="EV10" i="2"/>
  <c r="HG10" i="2"/>
  <c r="FR10" i="2"/>
  <c r="FQ10" i="2"/>
  <c r="EW10" i="2"/>
  <c r="EA10" i="2"/>
  <c r="EB10" i="2"/>
  <c r="DH11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FR11" i="2" s="1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I11" i="2" s="1"/>
  <c r="HF11" i="2"/>
  <c r="GK11" i="2"/>
  <c r="GS11" i="2"/>
  <c r="GG11" i="2"/>
  <c r="FX11" i="2"/>
  <c r="FL11" i="2"/>
  <c r="FC11" i="2"/>
  <c r="GR11" i="2"/>
  <c r="FW11" i="2"/>
  <c r="FM11" i="2"/>
  <c r="GH11" i="2"/>
  <c r="GN11" i="2" s="1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DF11" i="2"/>
  <c r="GM11" i="2"/>
  <c r="FS11" i="2"/>
  <c r="AU11" i="2"/>
  <c r="HH11" i="2"/>
  <c r="GL11" i="2"/>
  <c r="FQ11" i="2"/>
  <c r="EV11" i="2"/>
  <c r="EW11" i="2"/>
  <c r="EB11" i="2"/>
  <c r="EA11" i="2"/>
  <c r="DG11" i="2"/>
  <c r="AV11" i="2"/>
  <c r="CM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G12" i="2" s="1"/>
  <c r="HE12" i="2"/>
  <c r="FO12" i="2"/>
  <c r="GI12" i="2"/>
  <c r="DY12" i="2"/>
  <c r="GJ12" i="2"/>
  <c r="GM12" i="2" s="1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N12" i="2" s="1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EC12" i="2" s="1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U12" i="2" s="1"/>
  <c r="AG12" i="2"/>
  <c r="AP12" i="2"/>
  <c r="AF12" i="2"/>
  <c r="Y12" i="2"/>
  <c r="U12" i="2"/>
  <c r="V12" i="2"/>
  <c r="A13" i="2"/>
  <c r="AX8" i="2"/>
  <c r="Z11" i="2"/>
  <c r="AC10" i="2"/>
  <c r="DF12" i="2" l="1"/>
  <c r="EA12" i="2"/>
  <c r="GL12" i="2"/>
  <c r="FS12" i="2"/>
  <c r="EX12" i="2"/>
  <c r="FQ12" i="2"/>
  <c r="EV12" i="2"/>
  <c r="FR12" i="2"/>
  <c r="DH12" i="2"/>
  <c r="HI12" i="2"/>
  <c r="HH12" i="2"/>
  <c r="EW12" i="2"/>
  <c r="EB12" i="2"/>
  <c r="DG12" i="2"/>
  <c r="AW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R13" i="2" s="1"/>
  <c r="FN13" i="2"/>
  <c r="HD13" i="2"/>
  <c r="HG13" i="2" s="1"/>
  <c r="DY13" i="2"/>
  <c r="ET13" i="2"/>
  <c r="EW13" i="2" s="1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DH13" i="2" l="1"/>
  <c r="EX13" i="2"/>
  <c r="HI13" i="2"/>
  <c r="EA13" i="2"/>
  <c r="GL13" i="2"/>
  <c r="GM13" i="2"/>
  <c r="EC13" i="2"/>
  <c r="FS13" i="2"/>
  <c r="GN13" i="2"/>
  <c r="FQ13" i="2"/>
  <c r="HH13" i="2"/>
  <c r="FS14" i="2"/>
  <c r="EV13" i="2"/>
  <c r="EB13" i="2"/>
  <c r="DF13" i="2"/>
  <c r="DG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R14" i="2" s="1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GN14" i="2" s="1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DH14" i="2" s="1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W14" i="2"/>
  <c r="EC14" i="2"/>
  <c r="GM14" i="2"/>
  <c r="GL14" i="2"/>
  <c r="EA14" i="2"/>
  <c r="HH14" i="2"/>
  <c r="AW14" i="2"/>
  <c r="FQ14" i="2"/>
  <c r="EV14" i="2"/>
  <c r="EB14" i="2"/>
  <c r="DG14" i="2"/>
  <c r="DF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HH15" i="2" s="1"/>
  <c r="GI15" i="2"/>
  <c r="ES15" i="2"/>
  <c r="ET15" i="2"/>
  <c r="FN15" i="2"/>
  <c r="DY15" i="2"/>
  <c r="FO15" i="2"/>
  <c r="FR15" i="2" s="1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N15" i="2" s="1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H15" i="2" s="1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HI15" i="2"/>
  <c r="EW15" i="2"/>
  <c r="HG15" i="2"/>
  <c r="GM15" i="2"/>
  <c r="EA15" i="2"/>
  <c r="GL15" i="2"/>
  <c r="FQ15" i="2"/>
  <c r="EV15" i="2"/>
  <c r="EB15" i="2"/>
  <c r="DG15" i="2"/>
  <c r="DF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HG16" i="2" s="1"/>
  <c r="GJ16" i="2"/>
  <c r="HE16" i="2"/>
  <c r="HH16" i="2" s="1"/>
  <c r="FO16" i="2"/>
  <c r="FR16" i="2" s="1"/>
  <c r="GI16" i="2"/>
  <c r="DY16" i="2"/>
  <c r="ES16" i="2"/>
  <c r="DX16" i="2"/>
  <c r="FN16" i="2"/>
  <c r="FQ16" i="2" s="1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HI16" i="2" s="1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FS16" i="2" l="1"/>
  <c r="DH16" i="2"/>
  <c r="EX16" i="2"/>
  <c r="EW16" i="2"/>
  <c r="GM16" i="2"/>
  <c r="EC16" i="2"/>
  <c r="EV16" i="2"/>
  <c r="GN16" i="2"/>
  <c r="GL16" i="2"/>
  <c r="EA16" i="2"/>
  <c r="EB16" i="2"/>
  <c r="DF16" i="2"/>
  <c r="DG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HH17" i="2" s="1"/>
  <c r="GJ17" i="2"/>
  <c r="HD17" i="2"/>
  <c r="FO17" i="2"/>
  <c r="FR17" i="2" s="1"/>
  <c r="FN17" i="2"/>
  <c r="FQ17" i="2" s="1"/>
  <c r="GI17" i="2"/>
  <c r="DY17" i="2"/>
  <c r="DD17" i="2"/>
  <c r="ET17" i="2"/>
  <c r="EW17" i="2" s="1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A17" i="2"/>
  <c r="GN17" i="2"/>
  <c r="DH17" i="2"/>
  <c r="HI17" i="2"/>
  <c r="GM17" i="2"/>
  <c r="HI18" i="2"/>
  <c r="HG17" i="2"/>
  <c r="GL17" i="2"/>
  <c r="EV17" i="2"/>
  <c r="EB17" i="2"/>
  <c r="DF17" i="2"/>
  <c r="DG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HH18" i="2" s="1"/>
  <c r="GI18" i="2"/>
  <c r="GL18" i="2" s="1"/>
  <c r="GJ18" i="2"/>
  <c r="GM18" i="2" s="1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GN18" i="2" s="1"/>
  <c r="FB18" i="2"/>
  <c r="ER18" i="2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EX18" i="2"/>
  <c r="FS18" i="2"/>
  <c r="DH18" i="2"/>
  <c r="FR18" i="2"/>
  <c r="HG18" i="2"/>
  <c r="FQ18" i="2"/>
  <c r="EV18" i="2"/>
  <c r="EW18" i="2"/>
  <c r="EA18" i="2"/>
  <c r="DF18" i="2"/>
  <c r="DG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EB19" i="2" s="1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GN19" i="2" s="1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Q19" i="2" l="1"/>
  <c r="EV19" i="2"/>
  <c r="DH19" i="2"/>
  <c r="FS19" i="2"/>
  <c r="FR19" i="2"/>
  <c r="EX19" i="2"/>
  <c r="EC19" i="2"/>
  <c r="HH19" i="2"/>
  <c r="HG19" i="2"/>
  <c r="GL19" i="2"/>
  <c r="GM19" i="2"/>
  <c r="EW19" i="2"/>
  <c r="EA19" i="2"/>
  <c r="DG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N20" i="2" s="1"/>
  <c r="GK20" i="2"/>
  <c r="GS20" i="2"/>
  <c r="HF20" i="2"/>
  <c r="FP20" i="2"/>
  <c r="FS20" i="2" s="1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DH20" i="2" l="1"/>
  <c r="EC20" i="2"/>
  <c r="HG20" i="2"/>
  <c r="AW20" i="2"/>
  <c r="EA20" i="2"/>
  <c r="EX20" i="2"/>
  <c r="AV20" i="2"/>
  <c r="HH20" i="2"/>
  <c r="GL20" i="2"/>
  <c r="GM20" i="2"/>
  <c r="FQ20" i="2"/>
  <c r="FR20" i="2"/>
  <c r="EV20" i="2"/>
  <c r="EW20" i="2"/>
  <c r="EB20" i="2"/>
  <c r="DG20" i="2"/>
  <c r="DF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GM21" i="2" s="1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BR21" i="2" s="1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DH21" i="2" l="1"/>
  <c r="EC21" i="2"/>
  <c r="EV21" i="2"/>
  <c r="FS21" i="2"/>
  <c r="FS22" i="2" s="1"/>
  <c r="GN21" i="2"/>
  <c r="EB21" i="2"/>
  <c r="GL21" i="2"/>
  <c r="HG21" i="2"/>
  <c r="HH21" i="2"/>
  <c r="FR21" i="2"/>
  <c r="FQ21" i="2"/>
  <c r="EW21" i="2"/>
  <c r="EA21" i="2"/>
  <c r="DF21" i="2"/>
  <c r="DG21" i="2"/>
  <c r="CM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L22" i="2" s="1"/>
  <c r="GJ22" i="2"/>
  <c r="GM22" i="2" s="1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DH22" i="2" s="1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X22" i="2"/>
  <c r="GN22" i="2"/>
  <c r="FR22" i="2"/>
  <c r="HH22" i="2"/>
  <c r="EV22" i="2"/>
  <c r="HG22" i="2"/>
  <c r="GN23" i="2"/>
  <c r="FQ22" i="2"/>
  <c r="EB22" i="2"/>
  <c r="EA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M23" i="2" s="1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H23" i="2" s="1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V23" i="2" l="1"/>
  <c r="EC23" i="2"/>
  <c r="FQ23" i="2"/>
  <c r="GL23" i="2"/>
  <c r="FS23" i="2"/>
  <c r="FR23" i="2"/>
  <c r="HH23" i="2"/>
  <c r="EW23" i="2"/>
  <c r="HG23" i="2"/>
  <c r="EB23" i="2"/>
  <c r="EA23" i="2"/>
  <c r="DF23" i="2"/>
  <c r="DG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EA24" i="2" s="1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G24" i="2" s="1"/>
  <c r="HF24" i="2"/>
  <c r="HI24" i="2" s="1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FS24" i="2" s="1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EV24" i="2"/>
  <c r="DH24" i="2"/>
  <c r="EC24" i="2"/>
  <c r="GN24" i="2"/>
  <c r="EW24" i="2"/>
  <c r="EB24" i="2"/>
  <c r="HH24" i="2"/>
  <c r="FQ24" i="2"/>
  <c r="GM24" i="2"/>
  <c r="GL24" i="2"/>
  <c r="FR24" i="2"/>
  <c r="DF24" i="2"/>
  <c r="DG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HH25" i="2" s="1"/>
  <c r="GJ25" i="2"/>
  <c r="FO25" i="2"/>
  <c r="FN25" i="2"/>
  <c r="FQ25" i="2" s="1"/>
  <c r="DY25" i="2"/>
  <c r="GI25" i="2"/>
  <c r="DD25" i="2"/>
  <c r="HD25" i="2"/>
  <c r="HG25" i="2" s="1"/>
  <c r="ES25" i="2"/>
  <c r="DX25" i="2"/>
  <c r="EA25" i="2" s="1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EX25" i="2" s="1"/>
  <c r="DV25" i="2"/>
  <c r="DM25" i="2"/>
  <c r="DA25" i="2"/>
  <c r="CQ25" i="2"/>
  <c r="GS25" i="2"/>
  <c r="EU25" i="2"/>
  <c r="EG25" i="2"/>
  <c r="DW25" i="2"/>
  <c r="EC25" i="2" s="1"/>
  <c r="DB25" i="2"/>
  <c r="HC25" i="2"/>
  <c r="DZ25" i="2"/>
  <c r="CR25" i="2"/>
  <c r="DE25" i="2"/>
  <c r="DH25" i="2" s="1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GL25" i="2" l="1"/>
  <c r="EV25" i="2"/>
  <c r="EB25" i="2"/>
  <c r="GN25" i="2"/>
  <c r="HI25" i="2"/>
  <c r="FS25" i="2"/>
  <c r="DG25" i="2"/>
  <c r="GM25" i="2"/>
  <c r="FR25" i="2"/>
  <c r="EW25" i="2"/>
  <c r="DF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EA26" i="2" s="1"/>
  <c r="CH26" i="2"/>
  <c r="AS26" i="2"/>
  <c r="DY26" i="2"/>
  <c r="DD26" i="2"/>
  <c r="DC26" i="2"/>
  <c r="W26" i="2"/>
  <c r="X26" i="2"/>
  <c r="CI26" i="2"/>
  <c r="BM26" i="2"/>
  <c r="AR26" i="2"/>
  <c r="HC26" i="2"/>
  <c r="HF26" i="2"/>
  <c r="HI26" i="2" s="1"/>
  <c r="GS26" i="2"/>
  <c r="HB26" i="2"/>
  <c r="GR26" i="2"/>
  <c r="GH26" i="2"/>
  <c r="GN26" i="2" s="1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EX26" i="2" s="1"/>
  <c r="DV26" i="2"/>
  <c r="DM26" i="2"/>
  <c r="DA26" i="2"/>
  <c r="CQ26" i="2"/>
  <c r="GG26" i="2"/>
  <c r="DW26" i="2"/>
  <c r="EG26" i="2"/>
  <c r="DB26" i="2"/>
  <c r="DH26" i="2" s="1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DG26" i="2" l="1"/>
  <c r="HG26" i="2"/>
  <c r="EC26" i="2"/>
  <c r="GL26" i="2"/>
  <c r="GM26" i="2"/>
  <c r="FR26" i="2"/>
  <c r="FQ26" i="2"/>
  <c r="EV26" i="2"/>
  <c r="EW26" i="2"/>
  <c r="EB26" i="2"/>
  <c r="DF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GL27" i="2" s="1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HI27" i="2"/>
  <c r="EV27" i="2"/>
  <c r="GN27" i="2"/>
  <c r="FR27" i="2"/>
  <c r="DH27" i="2"/>
  <c r="FQ27" i="2"/>
  <c r="HH27" i="2"/>
  <c r="HG27" i="2"/>
  <c r="GM27" i="2"/>
  <c r="EW27" i="2"/>
  <c r="EA27" i="2"/>
  <c r="EB27" i="2"/>
  <c r="DF27" i="2"/>
  <c r="DG27" i="2"/>
  <c r="CM27" i="2"/>
  <c r="AW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EA28" i="2" s="1"/>
  <c r="GJ28" i="2"/>
  <c r="DD28" i="2"/>
  <c r="CI28" i="2"/>
  <c r="BM28" i="2"/>
  <c r="FN28" i="2"/>
  <c r="DC28" i="2"/>
  <c r="CH28" i="2"/>
  <c r="BN28" i="2"/>
  <c r="AS28" i="2"/>
  <c r="AR28" i="2"/>
  <c r="ET28" i="2"/>
  <c r="EW28" i="2" s="1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DH28" i="2" s="1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H28" i="2" l="1"/>
  <c r="DF28" i="2"/>
  <c r="EB28" i="2"/>
  <c r="HG28" i="2"/>
  <c r="EV28" i="2"/>
  <c r="EC28" i="2"/>
  <c r="GN28" i="2"/>
  <c r="GM28" i="2"/>
  <c r="GL28" i="2"/>
  <c r="DG28" i="2"/>
  <c r="EX28" i="2"/>
  <c r="FQ28" i="2"/>
  <c r="FR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DF29" i="2" s="1"/>
  <c r="BN29" i="2"/>
  <c r="AR29" i="2"/>
  <c r="W29" i="2"/>
  <c r="HF29" i="2"/>
  <c r="HB29" i="2"/>
  <c r="HC29" i="2"/>
  <c r="GR29" i="2"/>
  <c r="GH29" i="2"/>
  <c r="GN29" i="2" s="1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H29" i="2" s="1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EX29" i="2"/>
  <c r="HI29" i="2"/>
  <c r="EA29" i="2"/>
  <c r="EB29" i="2"/>
  <c r="DG29" i="2"/>
  <c r="GM29" i="2"/>
  <c r="EV29" i="2"/>
  <c r="FR29" i="2"/>
  <c r="EW29" i="2"/>
  <c r="GL29" i="2"/>
  <c r="FQ29" i="2"/>
  <c r="HH29" i="2"/>
  <c r="HG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GN30" i="2" s="1"/>
  <c r="FL30" i="2"/>
  <c r="FC30" i="2"/>
  <c r="FW30" i="2"/>
  <c r="FM30" i="2"/>
  <c r="FS30" i="2" s="1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DH30" i="2" s="1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GL30" i="2" l="1"/>
  <c r="EX30" i="2"/>
  <c r="EC30" i="2"/>
  <c r="EA30" i="2"/>
  <c r="EV30" i="2"/>
  <c r="EW30" i="2"/>
  <c r="HG30" i="2"/>
  <c r="DF30" i="2"/>
  <c r="DG30" i="2"/>
  <c r="EB30" i="2"/>
  <c r="GM30" i="2"/>
  <c r="HH30" i="2"/>
  <c r="FQ30" i="2"/>
  <c r="FR30" i="2"/>
  <c r="C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I31" i="2" s="1"/>
  <c r="HF31" i="2"/>
  <c r="HB31" i="2"/>
  <c r="GK31" i="2"/>
  <c r="GS31" i="2"/>
  <c r="GG31" i="2"/>
  <c r="FX31" i="2"/>
  <c r="GH31" i="2"/>
  <c r="GN31" i="2" s="1"/>
  <c r="FL31" i="2"/>
  <c r="FC31" i="2"/>
  <c r="FW31" i="2"/>
  <c r="FM31" i="2"/>
  <c r="FS31" i="2" s="1"/>
  <c r="FP31" i="2"/>
  <c r="EU31" i="2"/>
  <c r="EG31" i="2"/>
  <c r="DW31" i="2"/>
  <c r="DB31" i="2"/>
  <c r="DF31" i="2" s="1"/>
  <c r="GR31" i="2"/>
  <c r="DZ31" i="2"/>
  <c r="DL31" i="2"/>
  <c r="DE31" i="2"/>
  <c r="CR31" i="2"/>
  <c r="EQ31" i="2"/>
  <c r="EH31" i="2"/>
  <c r="CJ31" i="2"/>
  <c r="FB31" i="2"/>
  <c r="ER31" i="2"/>
  <c r="EX31" i="2" s="1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B31" i="2"/>
  <c r="EC31" i="2"/>
  <c r="EA31" i="2"/>
  <c r="HG31" i="2"/>
  <c r="EV31" i="2"/>
  <c r="GM31" i="2"/>
  <c r="HH31" i="2"/>
  <c r="GL31" i="2"/>
  <c r="FQ31" i="2"/>
  <c r="EW31" i="2"/>
  <c r="DH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HG32" i="2" s="1"/>
  <c r="GJ32" i="2"/>
  <c r="HE32" i="2"/>
  <c r="FO32" i="2"/>
  <c r="GI32" i="2"/>
  <c r="DY32" i="2"/>
  <c r="ES32" i="2"/>
  <c r="DX32" i="2"/>
  <c r="FN32" i="2"/>
  <c r="ET32" i="2"/>
  <c r="CI32" i="2"/>
  <c r="BM32" i="2"/>
  <c r="DC32" i="2"/>
  <c r="DF32" i="2" s="1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V32" i="2" l="1"/>
  <c r="HH32" i="2"/>
  <c r="EX32" i="2"/>
  <c r="GN32" i="2"/>
  <c r="HI32" i="2"/>
  <c r="EB32" i="2"/>
  <c r="EW32" i="2"/>
  <c r="DH32" i="2"/>
  <c r="GM32" i="2"/>
  <c r="GL32" i="2"/>
  <c r="FR32" i="2"/>
  <c r="FQ32" i="2"/>
  <c r="EA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DG33" i="2" l="1"/>
  <c r="EV33" i="2"/>
  <c r="HG33" i="2"/>
  <c r="GL33" i="2"/>
  <c r="DF33" i="2"/>
  <c r="GM33" i="2"/>
  <c r="FS33" i="2"/>
  <c r="EW33" i="2"/>
  <c r="HH33" i="2"/>
  <c r="FQ33" i="2"/>
  <c r="HI33" i="2"/>
  <c r="GN33" i="2"/>
  <c r="FR33" i="2"/>
  <c r="EX33" i="2"/>
  <c r="EA33" i="2"/>
  <c r="EB33" i="2"/>
  <c r="EC33" i="2"/>
  <c r="DH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DF34" i="2" s="1"/>
  <c r="W34" i="2"/>
  <c r="X34" i="2"/>
  <c r="ES34" i="2"/>
  <c r="DX34" i="2"/>
  <c r="FO34" i="2"/>
  <c r="FR34" i="2" s="1"/>
  <c r="CI34" i="2"/>
  <c r="AR34" i="2"/>
  <c r="BM34" i="2"/>
  <c r="HC34" i="2"/>
  <c r="HI34" i="2" s="1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EW34" i="2" s="1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FS34" i="2" l="1"/>
  <c r="FQ34" i="2"/>
  <c r="HH34" i="2"/>
  <c r="HG34" i="2"/>
  <c r="CM34" i="2"/>
  <c r="EA34" i="2"/>
  <c r="DH34" i="2"/>
  <c r="EC34" i="2"/>
  <c r="GM34" i="2"/>
  <c r="GL34" i="2"/>
  <c r="GN34" i="2"/>
  <c r="EV34" i="2"/>
  <c r="EX34" i="2"/>
  <c r="EB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G35" i="2" s="1"/>
  <c r="HE35" i="2"/>
  <c r="HH35" i="2" s="1"/>
  <c r="GI35" i="2"/>
  <c r="GL35" i="2" s="1"/>
  <c r="FO35" i="2"/>
  <c r="ES35" i="2"/>
  <c r="EV35" i="2" s="1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I35" i="2" s="1"/>
  <c r="HF35" i="2"/>
  <c r="GK35" i="2"/>
  <c r="GS35" i="2"/>
  <c r="HB35" i="2"/>
  <c r="GR35" i="2"/>
  <c r="GG35" i="2"/>
  <c r="FX35" i="2"/>
  <c r="GH35" i="2"/>
  <c r="FL35" i="2"/>
  <c r="FC35" i="2"/>
  <c r="FW35" i="2"/>
  <c r="FM35" i="2"/>
  <c r="FQ35" i="2" s="1"/>
  <c r="EU35" i="2"/>
  <c r="EG35" i="2"/>
  <c r="DW35" i="2"/>
  <c r="EC35" i="2" s="1"/>
  <c r="DB35" i="2"/>
  <c r="FP35" i="2"/>
  <c r="FS35" i="2" s="1"/>
  <c r="DZ35" i="2"/>
  <c r="DL35" i="2"/>
  <c r="DE35" i="2"/>
  <c r="DH35" i="2" s="1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EW35" i="2"/>
  <c r="DF35" i="2"/>
  <c r="FR35" i="2"/>
  <c r="EX35" i="2"/>
  <c r="GM35" i="2"/>
  <c r="GN35" i="2"/>
  <c r="DG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EA36" i="2" s="1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DH36" i="2" s="1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X36" i="2" l="1"/>
  <c r="HI36" i="2"/>
  <c r="EV36" i="2"/>
  <c r="FS36" i="2"/>
  <c r="EB36" i="2"/>
  <c r="EC36" i="2"/>
  <c r="DF36" i="2"/>
  <c r="GL36" i="2"/>
  <c r="FR36" i="2"/>
  <c r="DG36" i="2"/>
  <c r="HH36" i="2"/>
  <c r="HG36" i="2"/>
  <c r="GM36" i="2"/>
  <c r="GN36" i="2"/>
  <c r="EW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R37" i="2" s="1"/>
  <c r="FN37" i="2"/>
  <c r="DY37" i="2"/>
  <c r="ET37" i="2"/>
  <c r="ES37" i="2"/>
  <c r="DD37" i="2"/>
  <c r="CH37" i="2"/>
  <c r="AS37" i="2"/>
  <c r="DX37" i="2"/>
  <c r="CI37" i="2"/>
  <c r="BM37" i="2"/>
  <c r="X37" i="2"/>
  <c r="DC37" i="2"/>
  <c r="DF37" i="2" s="1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GL37" i="2" l="1"/>
  <c r="DH37" i="2"/>
  <c r="FS37" i="2"/>
  <c r="HG37" i="2"/>
  <c r="AV37" i="2"/>
  <c r="EW37" i="2"/>
  <c r="EX37" i="2"/>
  <c r="EC37" i="2"/>
  <c r="DG37" i="2"/>
  <c r="FQ37" i="2"/>
  <c r="GN37" i="2"/>
  <c r="HH37" i="2"/>
  <c r="GM37" i="2"/>
  <c r="EV37" i="2"/>
  <c r="EB37" i="2"/>
  <c r="EA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DF38" i="2" s="1"/>
  <c r="AR38" i="2"/>
  <c r="DX38" i="2"/>
  <c r="HC38" i="2"/>
  <c r="HF38" i="2"/>
  <c r="GS38" i="2"/>
  <c r="GR38" i="2"/>
  <c r="GK38" i="2"/>
  <c r="GH38" i="2"/>
  <c r="GN38" i="2" s="1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EC38" i="2" s="1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DH38" i="2" l="1"/>
  <c r="FQ38" i="2"/>
  <c r="GL38" i="2"/>
  <c r="DG38" i="2"/>
  <c r="HH38" i="2"/>
  <c r="EB38" i="2"/>
  <c r="EX38" i="2"/>
  <c r="HI38" i="2"/>
  <c r="HI39" i="2" s="1"/>
  <c r="EV38" i="2"/>
  <c r="EW38" i="2"/>
  <c r="HG38" i="2"/>
  <c r="EA38" i="2"/>
  <c r="GM38" i="2"/>
  <c r="FR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EB39" i="2" s="1"/>
  <c r="X39" i="2"/>
  <c r="HC39" i="2"/>
  <c r="HG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EC39" i="2" s="1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DF39" i="2"/>
  <c r="DH39" i="2"/>
  <c r="FS39" i="2"/>
  <c r="GN39" i="2"/>
  <c r="EA39" i="2"/>
  <c r="HH39" i="2"/>
  <c r="GL39" i="2"/>
  <c r="GM39" i="2"/>
  <c r="FQ39" i="2"/>
  <c r="FR39" i="2"/>
  <c r="EW39" i="2"/>
  <c r="EV39" i="2"/>
  <c r="DG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EA40" i="2" s="1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GN40" i="2" s="1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EB40" i="2" s="1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V40" i="2" l="1"/>
  <c r="EC40" i="2"/>
  <c r="DF40" i="2"/>
  <c r="EW40" i="2"/>
  <c r="DH40" i="2"/>
  <c r="FQ40" i="2"/>
  <c r="GL40" i="2"/>
  <c r="GM40" i="2"/>
  <c r="HH40" i="2"/>
  <c r="HG40" i="2"/>
  <c r="FR40" i="2"/>
  <c r="DG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GN41" i="2" s="1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EC41" i="2" s="1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EX41" i="2" l="1"/>
  <c r="DH41" i="2"/>
  <c r="EA41" i="2"/>
  <c r="HH41" i="2"/>
  <c r="FS41" i="2"/>
  <c r="AW41" i="2"/>
  <c r="DG41" i="2"/>
  <c r="GL41" i="2"/>
  <c r="EB41" i="2"/>
  <c r="GM41" i="2"/>
  <c r="FQ41" i="2"/>
  <c r="FR41" i="2"/>
  <c r="EV41" i="2"/>
  <c r="DF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L42" i="2" s="1"/>
  <c r="GJ42" i="2"/>
  <c r="GM42" i="2" s="1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I42" i="2" s="1"/>
  <c r="HF42" i="2"/>
  <c r="GS42" i="2"/>
  <c r="HB42" i="2"/>
  <c r="GR42" i="2"/>
  <c r="GH42" i="2"/>
  <c r="GN42" i="2" s="1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C42" i="2" s="1"/>
  <c r="EG42" i="2"/>
  <c r="DB42" i="2"/>
  <c r="DH42" i="2" s="1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FS42" i="2" l="1"/>
  <c r="FQ42" i="2"/>
  <c r="HH42" i="2"/>
  <c r="EX42" i="2"/>
  <c r="EW42" i="2"/>
  <c r="HG42" i="2"/>
  <c r="FR42" i="2"/>
  <c r="EV42" i="2"/>
  <c r="EA42" i="2"/>
  <c r="EB42" i="2"/>
  <c r="DF42" i="2"/>
  <c r="DG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EV43" i="2" s="1"/>
  <c r="GJ43" i="2"/>
  <c r="ET43" i="2"/>
  <c r="EW43" i="2" s="1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GN43" i="2" s="1"/>
  <c r="FL43" i="2"/>
  <c r="FC43" i="2"/>
  <c r="GR43" i="2"/>
  <c r="FW43" i="2"/>
  <c r="FM43" i="2"/>
  <c r="FS43" i="2" s="1"/>
  <c r="EU43" i="2"/>
  <c r="EG43" i="2"/>
  <c r="DW43" i="2"/>
  <c r="EC43" i="2" s="1"/>
  <c r="DB43" i="2"/>
  <c r="DH43" i="2" s="1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Q43" i="2"/>
  <c r="FR43" i="2"/>
  <c r="GL43" i="2"/>
  <c r="HH43" i="2"/>
  <c r="DF43" i="2"/>
  <c r="HG43" i="2"/>
  <c r="GM43" i="2"/>
  <c r="EA43" i="2"/>
  <c r="EB43" i="2"/>
  <c r="CM43" i="2"/>
  <c r="AW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H44" i="2" s="1"/>
  <c r="GR44" i="2"/>
  <c r="HF44" i="2"/>
  <c r="GK44" i="2"/>
  <c r="GS44" i="2"/>
  <c r="FP44" i="2"/>
  <c r="GG44" i="2"/>
  <c r="FX44" i="2"/>
  <c r="GH44" i="2"/>
  <c r="GN44" i="2" s="1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DH44" i="2" s="1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DF44" i="2" l="1"/>
  <c r="GL44" i="2"/>
  <c r="EB44" i="2"/>
  <c r="HI44" i="2"/>
  <c r="EX44" i="2"/>
  <c r="FQ44" i="2"/>
  <c r="FR44" i="2"/>
  <c r="GM44" i="2"/>
  <c r="AU44" i="2"/>
  <c r="HG44" i="2"/>
  <c r="EV44" i="2"/>
  <c r="EA44" i="2"/>
  <c r="DG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R45" i="2" s="1"/>
  <c r="FP45" i="2"/>
  <c r="GG45" i="2"/>
  <c r="FX45" i="2"/>
  <c r="EQ45" i="2"/>
  <c r="EH45" i="2"/>
  <c r="CJ45" i="2"/>
  <c r="GH45" i="2"/>
  <c r="GN45" i="2" s="1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H45" i="2" s="1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GM45" i="2" l="1"/>
  <c r="FS45" i="2"/>
  <c r="FQ45" i="2"/>
  <c r="HH45" i="2"/>
  <c r="EB45" i="2"/>
  <c r="DF45" i="2"/>
  <c r="EV45" i="2"/>
  <c r="EA45" i="2"/>
  <c r="HG45" i="2"/>
  <c r="GL45" i="2"/>
  <c r="EW45" i="2"/>
  <c r="DG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HH46" i="2" s="1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GN46" i="2" l="1"/>
  <c r="DH46" i="2"/>
  <c r="EX46" i="2"/>
  <c r="HI46" i="2"/>
  <c r="EW46" i="2"/>
  <c r="GM46" i="2"/>
  <c r="GL46" i="2"/>
  <c r="HG46" i="2"/>
  <c r="FR46" i="2"/>
  <c r="FQ46" i="2"/>
  <c r="EV46" i="2"/>
  <c r="EA46" i="2"/>
  <c r="EB46" i="2"/>
  <c r="DF46" i="2"/>
  <c r="DG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HH47" i="2" s="1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H47" i="2" s="1"/>
  <c r="DZ47" i="2"/>
  <c r="DL47" i="2"/>
  <c r="DE47" i="2"/>
  <c r="GR47" i="2"/>
  <c r="EQ47" i="2"/>
  <c r="EH47" i="2"/>
  <c r="CJ47" i="2"/>
  <c r="FB47" i="2"/>
  <c r="ER47" i="2"/>
  <c r="EX47" i="2" s="1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I47" i="2" l="1"/>
  <c r="DF47" i="2"/>
  <c r="EC47" i="2"/>
  <c r="FS47" i="2"/>
  <c r="GN47" i="2"/>
  <c r="GM47" i="2"/>
  <c r="HG47" i="2"/>
  <c r="GL47" i="2"/>
  <c r="FR47" i="2"/>
  <c r="FQ47" i="2"/>
  <c r="EW47" i="2"/>
  <c r="EV47" i="2"/>
  <c r="EB47" i="2"/>
  <c r="EA47" i="2"/>
  <c r="DG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GN48" i="2" s="1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H48" i="2" s="1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V48" i="2" l="1"/>
  <c r="HH48" i="2"/>
  <c r="DF48" i="2"/>
  <c r="GL48" i="2"/>
  <c r="HG48" i="2"/>
  <c r="DG48" i="2"/>
  <c r="GM48" i="2"/>
  <c r="FR48" i="2"/>
  <c r="FQ48" i="2"/>
  <c r="EW48" i="2"/>
  <c r="EB48" i="2"/>
  <c r="EA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GN49" i="2" s="1"/>
  <c r="FL49" i="2"/>
  <c r="FC49" i="2"/>
  <c r="EU49" i="2"/>
  <c r="EG49" i="2"/>
  <c r="DW49" i="2"/>
  <c r="DB49" i="2"/>
  <c r="DH49" i="2" s="1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DF49" i="2" l="1"/>
  <c r="DG49" i="2"/>
  <c r="EV49" i="2"/>
  <c r="FR49" i="2"/>
  <c r="GM49" i="2"/>
  <c r="GL49" i="2"/>
  <c r="EC49" i="2"/>
  <c r="FS49" i="2"/>
  <c r="EW49" i="2"/>
  <c r="FQ49" i="2"/>
  <c r="HG49" i="2"/>
  <c r="HH49" i="2"/>
  <c r="EB49" i="2"/>
  <c r="EA49" i="2"/>
  <c r="CM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GN50" i="2" s="1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DH50" i="2" s="1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GM50" i="2"/>
  <c r="EX50" i="2"/>
  <c r="DG50" i="2"/>
  <c r="GL50" i="2"/>
  <c r="DF50" i="2"/>
  <c r="HH50" i="2"/>
  <c r="HG50" i="2"/>
  <c r="FR50" i="2"/>
  <c r="FQ50" i="2"/>
  <c r="EV50" i="2"/>
  <c r="EW50" i="2"/>
  <c r="EB50" i="2"/>
  <c r="EA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GN51" i="2" s="1"/>
  <c r="FL51" i="2"/>
  <c r="FC51" i="2"/>
  <c r="FW51" i="2"/>
  <c r="FM51" i="2"/>
  <c r="EU51" i="2"/>
  <c r="EG51" i="2"/>
  <c r="DW51" i="2"/>
  <c r="EC51" i="2" s="1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DG51" i="2" l="1"/>
  <c r="DF51" i="2"/>
  <c r="EW51" i="2"/>
  <c r="HH51" i="2"/>
  <c r="HI51" i="2"/>
  <c r="FQ51" i="2"/>
  <c r="DH51" i="2"/>
  <c r="FS51" i="2"/>
  <c r="HG51" i="2"/>
  <c r="GL51" i="2"/>
  <c r="GM51" i="2"/>
  <c r="FR51" i="2"/>
  <c r="EV51" i="2"/>
  <c r="EA51" i="2"/>
  <c r="EB51" i="2"/>
  <c r="A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GN52" i="2" s="1"/>
  <c r="FL52" i="2"/>
  <c r="FC52" i="2"/>
  <c r="FM52" i="2"/>
  <c r="FS52" i="2" s="1"/>
  <c r="FB52" i="2"/>
  <c r="ER52" i="2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GL52" i="2" l="1"/>
  <c r="AU52" i="2"/>
  <c r="HI52" i="2"/>
  <c r="EB52" i="2"/>
  <c r="EX52" i="2"/>
  <c r="DF52" i="2"/>
  <c r="EA52" i="2"/>
  <c r="HH52" i="2"/>
  <c r="DH52" i="2"/>
  <c r="EW52" i="2"/>
  <c r="FR52" i="2"/>
  <c r="HG52" i="2"/>
  <c r="GM52" i="2"/>
  <c r="FQ52" i="2"/>
  <c r="EV52" i="2"/>
  <c r="DG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HH53" i="2" s="1"/>
  <c r="GJ53" i="2"/>
  <c r="HD53" i="2"/>
  <c r="GI53" i="2"/>
  <c r="FO53" i="2"/>
  <c r="FR53" i="2" s="1"/>
  <c r="FN53" i="2"/>
  <c r="DY53" i="2"/>
  <c r="ET53" i="2"/>
  <c r="ES53" i="2"/>
  <c r="EV53" i="2" s="1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HI53" i="2" s="1"/>
  <c r="GR53" i="2"/>
  <c r="HC53" i="2"/>
  <c r="GK53" i="2"/>
  <c r="FW53" i="2"/>
  <c r="FM53" i="2"/>
  <c r="FS53" i="2" s="1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GN53" i="2" s="1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EW53" i="2"/>
  <c r="GL53" i="2"/>
  <c r="DH53" i="2"/>
  <c r="EB53" i="2"/>
  <c r="HG53" i="2"/>
  <c r="DG53" i="2"/>
  <c r="GM53" i="2"/>
  <c r="FQ53" i="2"/>
  <c r="DF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R54" i="2" s="1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S54" i="2" s="1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DG54" i="2"/>
  <c r="DH54" i="2"/>
  <c r="GN54" i="2"/>
  <c r="FQ54" i="2"/>
  <c r="HG54" i="2"/>
  <c r="HH54" i="2"/>
  <c r="GM54" i="2"/>
  <c r="GL54" i="2"/>
  <c r="EV54" i="2"/>
  <c r="EW54" i="2"/>
  <c r="EB54" i="2"/>
  <c r="EA54" i="2"/>
  <c r="DF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GN55" i="2" s="1"/>
  <c r="FL55" i="2"/>
  <c r="FC55" i="2"/>
  <c r="FW55" i="2"/>
  <c r="FM55" i="2"/>
  <c r="FS55" i="2" s="1"/>
  <c r="EU55" i="2"/>
  <c r="EG55" i="2"/>
  <c r="DW55" i="2"/>
  <c r="EC55" i="2" s="1"/>
  <c r="DB55" i="2"/>
  <c r="DH55" i="2" s="1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DG55" i="2" l="1"/>
  <c r="EV55" i="2"/>
  <c r="DF55" i="2"/>
  <c r="EA55" i="2"/>
  <c r="BR55" i="2"/>
  <c r="FR55" i="2"/>
  <c r="EW55" i="2"/>
  <c r="HG55" i="2"/>
  <c r="HH55" i="2"/>
  <c r="GL55" i="2"/>
  <c r="GM55" i="2"/>
  <c r="FQ55" i="2"/>
  <c r="EB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EV56" i="2" s="1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GN56" i="2" s="1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EC56" i="2" s="1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DH56" i="2" l="1"/>
  <c r="FS56" i="2"/>
  <c r="EX56" i="2"/>
  <c r="HH56" i="2"/>
  <c r="EB56" i="2"/>
  <c r="EA56" i="2"/>
  <c r="GL56" i="2"/>
  <c r="HG56" i="2"/>
  <c r="GM56" i="2"/>
  <c r="FQ56" i="2"/>
  <c r="FR56" i="2"/>
  <c r="EW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GM57" i="2" s="1"/>
  <c r="FO57" i="2"/>
  <c r="FR57" i="2" s="1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H57" i="2" s="1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C58" i="2" s="1"/>
  <c r="FS57" i="2"/>
  <c r="EV57" i="2"/>
  <c r="FQ57" i="2"/>
  <c r="GN57" i="2"/>
  <c r="EW57" i="2"/>
  <c r="EX57" i="2"/>
  <c r="EB57" i="2"/>
  <c r="HH57" i="2"/>
  <c r="HG57" i="2"/>
  <c r="GL57" i="2"/>
  <c r="EA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GM58" i="2" s="1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GN58" i="2" s="1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DH58" i="2" s="1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FS58" i="2" l="1"/>
  <c r="FR58" i="2"/>
  <c r="GL58" i="2"/>
  <c r="HH58" i="2"/>
  <c r="EX58" i="2"/>
  <c r="HI58" i="2"/>
  <c r="EB58" i="2"/>
  <c r="EV58" i="2"/>
  <c r="EW58" i="2"/>
  <c r="HG58" i="2"/>
  <c r="FQ58" i="2"/>
  <c r="EA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GN59" i="2" l="1"/>
  <c r="GL59" i="2"/>
  <c r="EA59" i="2"/>
  <c r="HG59" i="2"/>
  <c r="DH59" i="2"/>
  <c r="HI59" i="2"/>
  <c r="EV59" i="2"/>
  <c r="HH59" i="2"/>
  <c r="GM59" i="2"/>
  <c r="FR59" i="2"/>
  <c r="FQ59" i="2"/>
  <c r="EW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B60" i="2" l="1"/>
  <c r="FQ60" i="2"/>
  <c r="EA60" i="2"/>
  <c r="GL60" i="2"/>
  <c r="EX60" i="2"/>
  <c r="EC60" i="2"/>
  <c r="DH60" i="2"/>
  <c r="GN60" i="2"/>
  <c r="HH60" i="2"/>
  <c r="HG60" i="2"/>
  <c r="GM60" i="2"/>
  <c r="FR60" i="2"/>
  <c r="EV60" i="2"/>
  <c r="EW60" i="2"/>
  <c r="DF60" i="2"/>
  <c r="DG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DG61" i="2" s="1"/>
  <c r="CH61" i="2"/>
  <c r="AS61" i="2"/>
  <c r="CI61" i="2"/>
  <c r="BM61" i="2"/>
  <c r="DX61" i="2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GN61" i="2" s="1"/>
  <c r="FL61" i="2"/>
  <c r="FC61" i="2"/>
  <c r="FB61" i="2"/>
  <c r="ER61" i="2"/>
  <c r="DV61" i="2"/>
  <c r="DM61" i="2"/>
  <c r="DA61" i="2"/>
  <c r="EU61" i="2"/>
  <c r="EG61" i="2"/>
  <c r="DW61" i="2"/>
  <c r="EC61" i="2" s="1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DF61" i="2" l="1"/>
  <c r="FR61" i="2"/>
  <c r="DH61" i="2"/>
  <c r="FS61" i="2"/>
  <c r="EW61" i="2"/>
  <c r="GL61" i="2"/>
  <c r="GM61" i="2"/>
  <c r="EX61" i="2"/>
  <c r="EA61" i="2"/>
  <c r="EB61" i="2"/>
  <c r="HG61" i="2"/>
  <c r="HH61" i="2"/>
  <c r="FQ61" i="2"/>
  <c r="EV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FS62" i="2" s="1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C62" i="2" s="1"/>
  <c r="EG62" i="2"/>
  <c r="DB62" i="2"/>
  <c r="DH62" i="2" s="1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X62" i="2"/>
  <c r="HI62" i="2"/>
  <c r="EV62" i="2"/>
  <c r="FR62" i="2"/>
  <c r="EB62" i="2"/>
  <c r="DF62" i="2"/>
  <c r="GN62" i="2"/>
  <c r="FQ62" i="2"/>
  <c r="HH62" i="2"/>
  <c r="HG62" i="2"/>
  <c r="GM62" i="2"/>
  <c r="GL62" i="2"/>
  <c r="EW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S63" i="2" s="1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GN63" i="2" l="1"/>
  <c r="EB63" i="2"/>
  <c r="GM63" i="2"/>
  <c r="GL63" i="2"/>
  <c r="FQ63" i="2"/>
  <c r="EW63" i="2"/>
  <c r="HH63" i="2"/>
  <c r="DH63" i="2"/>
  <c r="EV63" i="2"/>
  <c r="HG63" i="2"/>
  <c r="FR63" i="2"/>
  <c r="EA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GN64" i="2" s="1"/>
  <c r="FL64" i="2"/>
  <c r="FC64" i="2"/>
  <c r="FB64" i="2"/>
  <c r="ER64" i="2"/>
  <c r="EX64" i="2" s="1"/>
  <c r="DV64" i="2"/>
  <c r="DM64" i="2"/>
  <c r="DA64" i="2"/>
  <c r="FW64" i="2"/>
  <c r="EU64" i="2"/>
  <c r="EG64" i="2"/>
  <c r="DW64" i="2"/>
  <c r="EC64" i="2" s="1"/>
  <c r="DB64" i="2"/>
  <c r="DH64" i="2" s="1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FQ64" i="2" l="1"/>
  <c r="GL64" i="2"/>
  <c r="HG64" i="2"/>
  <c r="GM64" i="2"/>
  <c r="FS64" i="2"/>
  <c r="FR64" i="2"/>
  <c r="EW64" i="2"/>
  <c r="EV64" i="2"/>
  <c r="EA64" i="2"/>
  <c r="EB64" i="2"/>
  <c r="DF64" i="2"/>
  <c r="DG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EB65" i="2" s="1"/>
  <c r="CI65" i="2"/>
  <c r="BM65" i="2"/>
  <c r="X65" i="2"/>
  <c r="ES65" i="2"/>
  <c r="DX65" i="2"/>
  <c r="AR65" i="2"/>
  <c r="DC65" i="2"/>
  <c r="W65" i="2"/>
  <c r="BN65" i="2"/>
  <c r="HF65" i="2"/>
  <c r="HC65" i="2"/>
  <c r="HI65" i="2" s="1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GN65" i="2" s="1"/>
  <c r="FL65" i="2"/>
  <c r="FC65" i="2"/>
  <c r="EU65" i="2"/>
  <c r="EG65" i="2"/>
  <c r="DW65" i="2"/>
  <c r="EC65" i="2" s="1"/>
  <c r="DB65" i="2"/>
  <c r="DH65" i="2" s="1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DG65" i="2"/>
  <c r="HG65" i="2"/>
  <c r="EV65" i="2"/>
  <c r="FS65" i="2"/>
  <c r="HH65" i="2"/>
  <c r="EW65" i="2"/>
  <c r="GL65" i="2"/>
  <c r="GM65" i="2"/>
  <c r="FQ65" i="2"/>
  <c r="FR65" i="2"/>
  <c r="EA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GN66" i="2" s="1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C66" i="2" s="1"/>
  <c r="EG66" i="2"/>
  <c r="DB66" i="2"/>
  <c r="DH66" i="2" s="1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B66" i="2" l="1"/>
  <c r="FR66" i="2"/>
  <c r="HI66" i="2"/>
  <c r="EA66" i="2"/>
  <c r="HG66" i="2"/>
  <c r="HH66" i="2"/>
  <c r="GM66" i="2"/>
  <c r="GL66" i="2"/>
  <c r="FQ66" i="2"/>
  <c r="EV66" i="2"/>
  <c r="EW66" i="2"/>
  <c r="DF66" i="2"/>
  <c r="DG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EB67" i="2" s="1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I67" i="2" s="1"/>
  <c r="HF67" i="2"/>
  <c r="GK67" i="2"/>
  <c r="HB67" i="2"/>
  <c r="GS67" i="2"/>
  <c r="GR67" i="2"/>
  <c r="GG67" i="2"/>
  <c r="FX67" i="2"/>
  <c r="GH67" i="2"/>
  <c r="GN67" i="2" s="1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X67" i="2" l="1"/>
  <c r="EC67" i="2"/>
  <c r="FR67" i="2"/>
  <c r="DH67" i="2"/>
  <c r="GL67" i="2"/>
  <c r="HH67" i="2"/>
  <c r="HG67" i="2"/>
  <c r="GM67" i="2"/>
  <c r="FQ67" i="2"/>
  <c r="EW67" i="2"/>
  <c r="EV67" i="2"/>
  <c r="EA67" i="2"/>
  <c r="DF67" i="2"/>
  <c r="DG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EW68" i="2" s="1"/>
  <c r="DC68" i="2"/>
  <c r="DD68" i="2"/>
  <c r="CH68" i="2"/>
  <c r="BN68" i="2"/>
  <c r="AS68" i="2"/>
  <c r="AR68" i="2"/>
  <c r="DY68" i="2"/>
  <c r="FN68" i="2"/>
  <c r="FQ68" i="2" s="1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GN68" i="2" s="1"/>
  <c r="FL68" i="2"/>
  <c r="FC68" i="2"/>
  <c r="HF68" i="2"/>
  <c r="FM68" i="2"/>
  <c r="FB68" i="2"/>
  <c r="ER68" i="2"/>
  <c r="DV68" i="2"/>
  <c r="DM68" i="2"/>
  <c r="DA68" i="2"/>
  <c r="EU68" i="2"/>
  <c r="EG68" i="2"/>
  <c r="DW68" i="2"/>
  <c r="EC68" i="2" s="1"/>
  <c r="DB68" i="2"/>
  <c r="DH68" i="2" s="1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EX68" i="2"/>
  <c r="GL68" i="2"/>
  <c r="FR68" i="2"/>
  <c r="GM68" i="2"/>
  <c r="EA68" i="2"/>
  <c r="HH68" i="2"/>
  <c r="EV68" i="2"/>
  <c r="HG68" i="2"/>
  <c r="EB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HH69" i="2" s="1"/>
  <c r="GJ69" i="2"/>
  <c r="HD69" i="2"/>
  <c r="GI69" i="2"/>
  <c r="FO69" i="2"/>
  <c r="FR69" i="2" s="1"/>
  <c r="FN69" i="2"/>
  <c r="ET69" i="2"/>
  <c r="ES69" i="2"/>
  <c r="DD69" i="2"/>
  <c r="DG69" i="2" s="1"/>
  <c r="DY69" i="2"/>
  <c r="CH69" i="2"/>
  <c r="AS69" i="2"/>
  <c r="DX69" i="2"/>
  <c r="CI69" i="2"/>
  <c r="BM69" i="2"/>
  <c r="X69" i="2"/>
  <c r="DC69" i="2"/>
  <c r="DF69" i="2" s="1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DH69" i="2" s="1"/>
  <c r="GH69" i="2"/>
  <c r="GN69" i="2" s="1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X69" i="2" l="1"/>
  <c r="EV69" i="2"/>
  <c r="HI69" i="2"/>
  <c r="EC69" i="2"/>
  <c r="GM69" i="2"/>
  <c r="HG69" i="2"/>
  <c r="GL69" i="2"/>
  <c r="FQ69" i="2"/>
  <c r="EW69" i="2"/>
  <c r="EB69" i="2"/>
  <c r="EA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DH70" i="2" s="1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V70" i="2"/>
  <c r="EX70" i="2"/>
  <c r="FS70" i="2"/>
  <c r="GN70" i="2"/>
  <c r="EA70" i="2"/>
  <c r="FQ70" i="2"/>
  <c r="HH70" i="2"/>
  <c r="HG70" i="2"/>
  <c r="GM70" i="2"/>
  <c r="GL70" i="2"/>
  <c r="FR70" i="2"/>
  <c r="EW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GN71" i="2" s="1"/>
  <c r="FL71" i="2"/>
  <c r="FC71" i="2"/>
  <c r="FW71" i="2"/>
  <c r="FM71" i="2"/>
  <c r="EU71" i="2"/>
  <c r="EG71" i="2"/>
  <c r="DW71" i="2"/>
  <c r="DB71" i="2"/>
  <c r="DH71" i="2" s="1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FS71" i="2" l="1"/>
  <c r="EB71" i="2"/>
  <c r="EC71" i="2"/>
  <c r="EW71" i="2"/>
  <c r="HH71" i="2"/>
  <c r="HG71" i="2"/>
  <c r="GM71" i="2"/>
  <c r="GL71" i="2"/>
  <c r="FQ71" i="2"/>
  <c r="FR71" i="2"/>
  <c r="EV71" i="2"/>
  <c r="EA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GN72" i="2" s="1"/>
  <c r="FL72" i="2"/>
  <c r="FC72" i="2"/>
  <c r="FB72" i="2"/>
  <c r="ER72" i="2"/>
  <c r="EX72" i="2" s="1"/>
  <c r="DV72" i="2"/>
  <c r="DM72" i="2"/>
  <c r="DA72" i="2"/>
  <c r="FM72" i="2"/>
  <c r="FS72" i="2" s="1"/>
  <c r="EU72" i="2"/>
  <c r="EG72" i="2"/>
  <c r="DW72" i="2"/>
  <c r="DB72" i="2"/>
  <c r="DH72" i="2" s="1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HI72" i="2"/>
  <c r="HG72" i="2"/>
  <c r="DG72" i="2"/>
  <c r="EB72" i="2"/>
  <c r="GM72" i="2"/>
  <c r="HH72" i="2"/>
  <c r="GN73" i="2"/>
  <c r="GL72" i="2"/>
  <c r="FR72" i="2"/>
  <c r="FQ72" i="2"/>
  <c r="EV72" i="2"/>
  <c r="EW72" i="2"/>
  <c r="EA72" i="2"/>
  <c r="DF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HH73" i="2" s="1"/>
  <c r="GJ73" i="2"/>
  <c r="HD73" i="2"/>
  <c r="FO73" i="2"/>
  <c r="FR73" i="2" s="1"/>
  <c r="FN73" i="2"/>
  <c r="DD73" i="2"/>
  <c r="GI73" i="2"/>
  <c r="ES73" i="2"/>
  <c r="EV73" i="2" s="1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S73" i="2" s="1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EC73" i="2" s="1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GL73" i="2"/>
  <c r="HG73" i="2"/>
  <c r="EX73" i="2"/>
  <c r="DH73" i="2"/>
  <c r="EB73" i="2"/>
  <c r="DG73" i="2"/>
  <c r="GM73" i="2"/>
  <c r="EA73" i="2"/>
  <c r="FQ73" i="2"/>
  <c r="DF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Q74" i="2" s="1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GN74" i="2" s="1"/>
  <c r="FL74" i="2"/>
  <c r="FC74" i="2"/>
  <c r="GK74" i="2"/>
  <c r="FW74" i="2"/>
  <c r="FM74" i="2"/>
  <c r="FP74" i="2"/>
  <c r="FS74" i="2" s="1"/>
  <c r="DZ74" i="2"/>
  <c r="DL74" i="2"/>
  <c r="DE74" i="2"/>
  <c r="EQ74" i="2"/>
  <c r="EH74" i="2"/>
  <c r="CJ74" i="2"/>
  <c r="CR74" i="2"/>
  <c r="FX74" i="2"/>
  <c r="FB74" i="2"/>
  <c r="ER74" i="2"/>
  <c r="EX74" i="2" s="1"/>
  <c r="DV74" i="2"/>
  <c r="DM74" i="2"/>
  <c r="DA74" i="2"/>
  <c r="GG74" i="2"/>
  <c r="DW74" i="2"/>
  <c r="EG74" i="2"/>
  <c r="DB74" i="2"/>
  <c r="DH74" i="2" s="1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HI74" i="2"/>
  <c r="GM74" i="2"/>
  <c r="EW74" i="2"/>
  <c r="EC74" i="2"/>
  <c r="FR74" i="2"/>
  <c r="GL74" i="2"/>
  <c r="HH74" i="2"/>
  <c r="EV74" i="2"/>
  <c r="EA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GM75" i="2" s="1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HI75" i="2"/>
  <c r="EC75" i="2"/>
  <c r="GN75" i="2"/>
  <c r="EB75" i="2"/>
  <c r="HH75" i="2"/>
  <c r="HG75" i="2"/>
  <c r="GL75" i="2"/>
  <c r="FR75" i="2"/>
  <c r="FQ75" i="2"/>
  <c r="EV75" i="2"/>
  <c r="EA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EV76" i="2" s="1"/>
  <c r="DX76" i="2"/>
  <c r="DD76" i="2"/>
  <c r="CI76" i="2"/>
  <c r="BM76" i="2"/>
  <c r="GJ76" i="2"/>
  <c r="FN76" i="2"/>
  <c r="DY76" i="2"/>
  <c r="DC76" i="2"/>
  <c r="ET76" i="2"/>
  <c r="EW76" i="2" s="1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EC76" i="2" s="1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G76" i="2" l="1"/>
  <c r="EB76" i="2"/>
  <c r="EX76" i="2"/>
  <c r="FQ76" i="2"/>
  <c r="DH76" i="2"/>
  <c r="GN76" i="2"/>
  <c r="GM76" i="2"/>
  <c r="HH76" i="2"/>
  <c r="GL76" i="2"/>
  <c r="FR76" i="2"/>
  <c r="EA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DF77" i="2" s="1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H77" i="2" s="1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GN77" i="2"/>
  <c r="EW77" i="2"/>
  <c r="EA77" i="2"/>
  <c r="EC77" i="2"/>
  <c r="FS77" i="2"/>
  <c r="DG77" i="2"/>
  <c r="FQ77" i="2"/>
  <c r="EV77" i="2"/>
  <c r="HH77" i="2"/>
  <c r="HG77" i="2"/>
  <c r="GL77" i="2"/>
  <c r="GM77" i="2"/>
  <c r="FR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L78" i="2" s="1"/>
  <c r="GJ78" i="2"/>
  <c r="GM78" i="2" s="1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DF78" i="2" s="1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FS78" i="2" s="1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X78" i="2" l="1"/>
  <c r="GN78" i="2"/>
  <c r="GN79" i="2" s="1"/>
  <c r="FR78" i="2"/>
  <c r="HH78" i="2"/>
  <c r="DH78" i="2"/>
  <c r="EW78" i="2"/>
  <c r="HG78" i="2"/>
  <c r="FQ78" i="2"/>
  <c r="EA78" i="2"/>
  <c r="EB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FS79" i="2" s="1"/>
  <c r="GR79" i="2"/>
  <c r="FP79" i="2"/>
  <c r="EU79" i="2"/>
  <c r="EG79" i="2"/>
  <c r="DW79" i="2"/>
  <c r="EC79" i="2" s="1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DH79" i="2"/>
  <c r="DF79" i="2"/>
  <c r="HH79" i="2"/>
  <c r="FQ79" i="2"/>
  <c r="GM79" i="2"/>
  <c r="GL79" i="2"/>
  <c r="FR79" i="2"/>
  <c r="EW79" i="2"/>
  <c r="EV79" i="2"/>
  <c r="EA79" i="2"/>
  <c r="EB79" i="2"/>
  <c r="DG79" i="2"/>
  <c r="CM79" i="2"/>
  <c r="AV79" i="2"/>
  <c r="AW79" i="2"/>
  <c r="AU79" i="2"/>
  <c r="AU80" i="2" s="1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GL80" i="2" s="1"/>
  <c r="ES80" i="2"/>
  <c r="DX80" i="2"/>
  <c r="FN80" i="2"/>
  <c r="ET80" i="2"/>
  <c r="EW80" i="2" s="1"/>
  <c r="DY80" i="2"/>
  <c r="CI80" i="2"/>
  <c r="BM80" i="2"/>
  <c r="DC80" i="2"/>
  <c r="AR80" i="2"/>
  <c r="CH80" i="2"/>
  <c r="DD80" i="2"/>
  <c r="BN80" i="2"/>
  <c r="AS80" i="2"/>
  <c r="X80" i="2"/>
  <c r="W80" i="2"/>
  <c r="HC80" i="2"/>
  <c r="HI80" i="2" s="1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FS80" i="2" l="1"/>
  <c r="DH80" i="2"/>
  <c r="EX80" i="2"/>
  <c r="GN80" i="2"/>
  <c r="EV80" i="2"/>
  <c r="HH80" i="2"/>
  <c r="HG80" i="2"/>
  <c r="GM80" i="2"/>
  <c r="FR80" i="2"/>
  <c r="FQ80" i="2"/>
  <c r="EB80" i="2"/>
  <c r="EA80" i="2"/>
  <c r="DG80" i="2"/>
  <c r="DF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FS81" i="2" s="1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H81" i="2" s="1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EX81" i="2"/>
  <c r="HH81" i="2"/>
  <c r="GN81" i="2"/>
  <c r="EW81" i="2"/>
  <c r="EA81" i="2"/>
  <c r="HG81" i="2"/>
  <c r="GL81" i="2"/>
  <c r="GM81" i="2"/>
  <c r="FQ81" i="2"/>
  <c r="FR81" i="2"/>
  <c r="EV81" i="2"/>
  <c r="EB81" i="2"/>
  <c r="DF81" i="2"/>
  <c r="DG81" i="2"/>
  <c r="AW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S82" i="2" s="1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GN82" i="2" l="1"/>
  <c r="HI82" i="2"/>
  <c r="HI83" i="2" s="1"/>
  <c r="EX82" i="2"/>
  <c r="DH82" i="2"/>
  <c r="EW82" i="2"/>
  <c r="HG82" i="2"/>
  <c r="GM82" i="2"/>
  <c r="GL82" i="2"/>
  <c r="FQ82" i="2"/>
  <c r="FR82" i="2"/>
  <c r="EV82" i="2"/>
  <c r="EB82" i="2"/>
  <c r="EA82" i="2"/>
  <c r="DG82" i="2"/>
  <c r="DG83" i="2" s="1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DH83" i="2"/>
  <c r="FS83" i="2"/>
  <c r="GN83" i="2"/>
  <c r="GN84" i="2" s="1"/>
  <c r="HH83" i="2"/>
  <c r="EV83" i="2"/>
  <c r="HG83" i="2"/>
  <c r="EB83" i="2"/>
  <c r="GM83" i="2"/>
  <c r="GL83" i="2"/>
  <c r="FQ83" i="2"/>
  <c r="FR83" i="2"/>
  <c r="EA83" i="2"/>
  <c r="DF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GM84" i="2" s="1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DF84" i="2" l="1"/>
  <c r="DH84" i="2"/>
  <c r="EX84" i="2"/>
  <c r="EC84" i="2"/>
  <c r="FS84" i="2"/>
  <c r="HI84" i="2"/>
  <c r="DG84" i="2"/>
  <c r="HH84" i="2"/>
  <c r="HH85" i="2" s="1"/>
  <c r="HG84" i="2"/>
  <c r="GL84" i="2"/>
  <c r="FR84" i="2"/>
  <c r="FQ84" i="2"/>
  <c r="EV84" i="2"/>
  <c r="EW84" i="2"/>
  <c r="EA84" i="2"/>
  <c r="EB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G85" i="2" s="1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GN85" i="2" s="1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B85" i="2" l="1"/>
  <c r="EX85" i="2"/>
  <c r="DH85" i="2"/>
  <c r="HI85" i="2"/>
  <c r="EW85" i="2"/>
  <c r="HG85" i="2"/>
  <c r="GL85" i="2"/>
  <c r="GM85" i="2"/>
  <c r="FQ85" i="2"/>
  <c r="FR85" i="2"/>
  <c r="EV85" i="2"/>
  <c r="EA85" i="2"/>
  <c r="DF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EV86" i="2" s="1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GN86" i="2" s="1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DH86" i="2" s="1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DG86" i="2" l="1"/>
  <c r="EX86" i="2"/>
  <c r="FS86" i="2"/>
  <c r="EB86" i="2"/>
  <c r="FR86" i="2"/>
  <c r="HH86" i="2"/>
  <c r="HG86" i="2"/>
  <c r="GM86" i="2"/>
  <c r="GL86" i="2"/>
  <c r="FQ86" i="2"/>
  <c r="EW86" i="2"/>
  <c r="EA86" i="2"/>
  <c r="DF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GN87" i="2" s="1"/>
  <c r="FL87" i="2"/>
  <c r="FC87" i="2"/>
  <c r="FW87" i="2"/>
  <c r="FM87" i="2"/>
  <c r="FS87" i="2" s="1"/>
  <c r="EU87" i="2"/>
  <c r="EG87" i="2"/>
  <c r="DW87" i="2"/>
  <c r="EC87" i="2" s="1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HG87" i="2"/>
  <c r="FQ87" i="2"/>
  <c r="GM87" i="2"/>
  <c r="FR87" i="2"/>
  <c r="DG87" i="2"/>
  <c r="EW87" i="2"/>
  <c r="HH87" i="2"/>
  <c r="GL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GL88" i="2" s="1"/>
  <c r="ES88" i="2"/>
  <c r="DX88" i="2"/>
  <c r="HE88" i="2"/>
  <c r="FN88" i="2"/>
  <c r="FQ88" i="2" s="1"/>
  <c r="ET88" i="2"/>
  <c r="CI88" i="2"/>
  <c r="BM88" i="2"/>
  <c r="DD88" i="2"/>
  <c r="DG88" i="2" s="1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FS88" i="2" s="1"/>
  <c r="GG88" i="2"/>
  <c r="FX88" i="2"/>
  <c r="GH88" i="2"/>
  <c r="GN88" i="2" s="1"/>
  <c r="FL88" i="2"/>
  <c r="FC88" i="2"/>
  <c r="FB88" i="2"/>
  <c r="ER88" i="2"/>
  <c r="DV88" i="2"/>
  <c r="DM88" i="2"/>
  <c r="DA88" i="2"/>
  <c r="FM88" i="2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H88" i="2" l="1"/>
  <c r="GM88" i="2"/>
  <c r="HG88" i="2"/>
  <c r="DH88" i="2"/>
  <c r="EX88" i="2"/>
  <c r="EB88" i="2"/>
  <c r="EA88" i="2"/>
  <c r="FR88" i="2"/>
  <c r="EV88" i="2"/>
  <c r="EW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R89" i="2" s="1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GN89" i="2" s="1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H89" i="2" l="1"/>
  <c r="EC89" i="2"/>
  <c r="EX89" i="2"/>
  <c r="FS89" i="2"/>
  <c r="DG89" i="2"/>
  <c r="EB89" i="2"/>
  <c r="EV89" i="2"/>
  <c r="FQ89" i="2"/>
  <c r="HH89" i="2"/>
  <c r="HG89" i="2"/>
  <c r="GL89" i="2"/>
  <c r="GM89" i="2"/>
  <c r="EW89" i="2"/>
  <c r="EA89" i="2"/>
  <c r="DF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EB90" i="2" s="1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DH90" i="2" s="1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BR90" i="2" l="1"/>
  <c r="EC90" i="2"/>
  <c r="FS90" i="2"/>
  <c r="EX90" i="2"/>
  <c r="GN90" i="2"/>
  <c r="HH90" i="2"/>
  <c r="HG90" i="2"/>
  <c r="GM90" i="2"/>
  <c r="GL90" i="2"/>
  <c r="FQ90" i="2"/>
  <c r="FR90" i="2"/>
  <c r="EW90" i="2"/>
  <c r="EV90" i="2"/>
  <c r="EA90" i="2"/>
  <c r="DF90" i="2"/>
  <c r="DG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H91" i="2" s="1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HI91" i="2"/>
  <c r="HG91" i="2"/>
  <c r="EC91" i="2"/>
  <c r="GN91" i="2"/>
  <c r="EB91" i="2"/>
  <c r="EX91" i="2"/>
  <c r="EW91" i="2"/>
  <c r="HH91" i="2"/>
  <c r="GM91" i="2"/>
  <c r="GL91" i="2"/>
  <c r="FQ91" i="2"/>
  <c r="FR91" i="2"/>
  <c r="EV91" i="2"/>
  <c r="EA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EV92" i="2" s="1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GN92" i="2" s="1"/>
  <c r="FL92" i="2"/>
  <c r="FC92" i="2"/>
  <c r="FW92" i="2"/>
  <c r="FB92" i="2"/>
  <c r="ER92" i="2"/>
  <c r="DV92" i="2"/>
  <c r="DM92" i="2"/>
  <c r="DA92" i="2"/>
  <c r="EU92" i="2"/>
  <c r="EG92" i="2"/>
  <c r="DW92" i="2"/>
  <c r="EC92" i="2" s="1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B92" i="2" l="1"/>
  <c r="GL92" i="2"/>
  <c r="EX92" i="2"/>
  <c r="FR92" i="2"/>
  <c r="DH92" i="2"/>
  <c r="HH92" i="2"/>
  <c r="HG92" i="2"/>
  <c r="GM92" i="2"/>
  <c r="FQ92" i="2"/>
  <c r="EW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GN93" i="2" s="1"/>
  <c r="FL93" i="2"/>
  <c r="FC93" i="2"/>
  <c r="FB93" i="2"/>
  <c r="ER93" i="2"/>
  <c r="DV93" i="2"/>
  <c r="DM93" i="2"/>
  <c r="DA93" i="2"/>
  <c r="EU93" i="2"/>
  <c r="EG93" i="2"/>
  <c r="DW93" i="2"/>
  <c r="DB93" i="2"/>
  <c r="DH93" i="2" s="1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BR93" i="2"/>
  <c r="EC93" i="2"/>
  <c r="FR93" i="2"/>
  <c r="EB93" i="2"/>
  <c r="EX93" i="2"/>
  <c r="HG93" i="2"/>
  <c r="HH93" i="2"/>
  <c r="GL93" i="2"/>
  <c r="GM93" i="2"/>
  <c r="FQ93" i="2"/>
  <c r="EV93" i="2"/>
  <c r="EW93" i="2"/>
  <c r="EA93" i="2"/>
  <c r="DG93" i="2"/>
  <c r="DF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EV94" i="2" s="1"/>
  <c r="DX94" i="2"/>
  <c r="BN94" i="2"/>
  <c r="DD94" i="2"/>
  <c r="CH94" i="2"/>
  <c r="AS94" i="2"/>
  <c r="W94" i="2"/>
  <c r="CI94" i="2"/>
  <c r="BM94" i="2"/>
  <c r="X94" i="2"/>
  <c r="DC94" i="2"/>
  <c r="AR94" i="2"/>
  <c r="DY94" i="2"/>
  <c r="EB94" i="2" s="1"/>
  <c r="HC94" i="2"/>
  <c r="HI94" i="2" s="1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FQ94" i="2" l="1"/>
  <c r="EX94" i="2"/>
  <c r="EC94" i="2"/>
  <c r="FS94" i="2"/>
  <c r="GN94" i="2"/>
  <c r="HH94" i="2"/>
  <c r="DH94" i="2"/>
  <c r="EA94" i="2"/>
  <c r="EW94" i="2"/>
  <c r="HG94" i="2"/>
  <c r="GL94" i="2"/>
  <c r="GM94" i="2"/>
  <c r="FR94" i="2"/>
  <c r="DG94" i="2"/>
  <c r="DF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EA95" i="2" s="1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GN95" i="2" s="1"/>
  <c r="FL95" i="2"/>
  <c r="FC95" i="2"/>
  <c r="FW95" i="2"/>
  <c r="FM95" i="2"/>
  <c r="FP95" i="2"/>
  <c r="EU95" i="2"/>
  <c r="EG95" i="2"/>
  <c r="DW95" i="2"/>
  <c r="EC95" i="2" s="1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H95" i="2" l="1"/>
  <c r="HI95" i="2"/>
  <c r="EB95" i="2"/>
  <c r="FS95" i="2"/>
  <c r="EX95" i="2"/>
  <c r="HH95" i="2"/>
  <c r="HG95" i="2"/>
  <c r="GM95" i="2"/>
  <c r="GL95" i="2"/>
  <c r="FQ95" i="2"/>
  <c r="FR95" i="2"/>
  <c r="EW95" i="2"/>
  <c r="EV95" i="2"/>
  <c r="DG95" i="2"/>
  <c r="DF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FR96" i="2" s="1"/>
  <c r="GJ96" i="2"/>
  <c r="GI96" i="2"/>
  <c r="GL96" i="2" s="1"/>
  <c r="ES96" i="2"/>
  <c r="DX96" i="2"/>
  <c r="FN96" i="2"/>
  <c r="ET96" i="2"/>
  <c r="EW96" i="2" s="1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EC96" i="2" s="1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DG96" i="2" l="1"/>
  <c r="FS96" i="2"/>
  <c r="DH96" i="2"/>
  <c r="EX96" i="2"/>
  <c r="GN96" i="2"/>
  <c r="EB96" i="2"/>
  <c r="EV96" i="2"/>
  <c r="HH96" i="2"/>
  <c r="HI96" i="2"/>
  <c r="HG96" i="2"/>
  <c r="GM96" i="2"/>
  <c r="FQ96" i="2"/>
  <c r="EA96" i="2"/>
  <c r="DF96" i="2"/>
  <c r="CM96" i="2"/>
  <c r="AV96" i="2"/>
  <c r="AU96" i="2"/>
  <c r="AW96" i="2"/>
  <c r="AW97" i="2" s="1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GL97" i="2" s="1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EX97" i="2" s="1"/>
  <c r="DV97" i="2"/>
  <c r="DM97" i="2"/>
  <c r="DA97" i="2"/>
  <c r="GH97" i="2"/>
  <c r="GN97" i="2" s="1"/>
  <c r="FL97" i="2"/>
  <c r="FC97" i="2"/>
  <c r="EU97" i="2"/>
  <c r="EG97" i="2"/>
  <c r="DW97" i="2"/>
  <c r="EC97" i="2" s="1"/>
  <c r="DB97" i="2"/>
  <c r="DH97" i="2" s="1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FQ97" i="2"/>
  <c r="DG97" i="2"/>
  <c r="HG97" i="2"/>
  <c r="HH97" i="2"/>
  <c r="FR97" i="2"/>
  <c r="GM97" i="2"/>
  <c r="EV97" i="2"/>
  <c r="EW97" i="2"/>
  <c r="EA97" i="2"/>
  <c r="EB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DH98" i="2" s="1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GM98" i="2" l="1"/>
  <c r="HG98" i="2"/>
  <c r="DG98" i="2"/>
  <c r="GL98" i="2"/>
  <c r="GN98" i="2"/>
  <c r="FR98" i="2"/>
  <c r="FQ98" i="2"/>
  <c r="HH98" i="2"/>
  <c r="EV98" i="2"/>
  <c r="EA98" i="2"/>
  <c r="EB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GM99" i="2" s="1"/>
  <c r="DX99" i="2"/>
  <c r="DC99" i="2"/>
  <c r="DD99" i="2"/>
  <c r="DG99" i="2" s="1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DH99" i="2"/>
  <c r="FS99" i="2"/>
  <c r="GN99" i="2"/>
  <c r="HG99" i="2"/>
  <c r="EC99" i="2"/>
  <c r="GL99" i="2"/>
  <c r="FQ99" i="2"/>
  <c r="FR99" i="2"/>
  <c r="EW99" i="2"/>
  <c r="EV99" i="2"/>
  <c r="EA99" i="2"/>
  <c r="EB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HH100" i="2" s="1"/>
  <c r="FO100" i="2"/>
  <c r="GJ100" i="2"/>
  <c r="GM100" i="2" s="1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DH100" i="2" s="1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GL100" i="2"/>
  <c r="FQ100" i="2"/>
  <c r="GN100" i="2"/>
  <c r="EC100" i="2"/>
  <c r="FS100" i="2"/>
  <c r="HI100" i="2"/>
  <c r="EB100" i="2"/>
  <c r="HG100" i="2"/>
  <c r="FR100" i="2"/>
  <c r="EW100" i="2"/>
  <c r="EV100" i="2"/>
  <c r="EA100" i="2"/>
  <c r="DF100" i="2"/>
  <c r="DG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FR101" i="2" l="1"/>
  <c r="GN101" i="2"/>
  <c r="EX101" i="2"/>
  <c r="EA101" i="2"/>
  <c r="GL101" i="2"/>
  <c r="AW101" i="2"/>
  <c r="FQ101" i="2"/>
  <c r="DH101" i="2"/>
  <c r="EW101" i="2"/>
  <c r="HG101" i="2"/>
  <c r="HH101" i="2"/>
  <c r="HH102" i="2" s="1"/>
  <c r="GM101" i="2"/>
  <c r="EV101" i="2"/>
  <c r="EB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EB102" i="2" s="1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GN102" i="2" s="1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G102" i="2" l="1"/>
  <c r="FQ102" i="2"/>
  <c r="DH102" i="2"/>
  <c r="EA102" i="2"/>
  <c r="EV102" i="2"/>
  <c r="AU102" i="2"/>
  <c r="GM102" i="2"/>
  <c r="GL102" i="2"/>
  <c r="FR102" i="2"/>
  <c r="EW102" i="2"/>
  <c r="DG102" i="2"/>
  <c r="DF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GN103" i="2" s="1"/>
  <c r="FL103" i="2"/>
  <c r="FC103" i="2"/>
  <c r="FW103" i="2"/>
  <c r="FM103" i="2"/>
  <c r="EU103" i="2"/>
  <c r="EG103" i="2"/>
  <c r="DW103" i="2"/>
  <c r="EC103" i="2" s="1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FS103" i="2" l="1"/>
  <c r="EV103" i="2"/>
  <c r="HG103" i="2"/>
  <c r="FR103" i="2"/>
  <c r="HH103" i="2"/>
  <c r="AW103" i="2"/>
  <c r="GL103" i="2"/>
  <c r="GM103" i="2"/>
  <c r="FQ103" i="2"/>
  <c r="EW103" i="2"/>
  <c r="EB103" i="2"/>
  <c r="DG103" i="2"/>
  <c r="DF103" i="2"/>
  <c r="BR103" i="2"/>
  <c r="CM103" i="2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FS104" i="2" s="1"/>
  <c r="EU104" i="2"/>
  <c r="EG104" i="2"/>
  <c r="DW104" i="2"/>
  <c r="EC104" i="2" s="1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HH104" i="2"/>
  <c r="EV104" i="2"/>
  <c r="GN104" i="2"/>
  <c r="FR104" i="2"/>
  <c r="HI104" i="2"/>
  <c r="GL104" i="2"/>
  <c r="HG104" i="2"/>
  <c r="GM104" i="2"/>
  <c r="FQ104" i="2"/>
  <c r="EW104" i="2"/>
  <c r="EB104" i="2"/>
  <c r="DF104" i="2"/>
  <c r="DG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R105" i="2" s="1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HI105" i="2" s="1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DH105" i="2" s="1"/>
  <c r="HB105" i="2"/>
  <c r="GS105" i="2"/>
  <c r="DZ105" i="2"/>
  <c r="EC105" i="2" s="1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G105" i="2"/>
  <c r="GN105" i="2"/>
  <c r="EX105" i="2"/>
  <c r="HH105" i="2"/>
  <c r="GM105" i="2"/>
  <c r="GL105" i="2"/>
  <c r="FQ105" i="2"/>
  <c r="EW105" i="2"/>
  <c r="EV105" i="2"/>
  <c r="DG105" i="2"/>
  <c r="DF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HH106" i="2" s="1"/>
  <c r="GI106" i="2"/>
  <c r="GJ106" i="2"/>
  <c r="ET106" i="2"/>
  <c r="FN106" i="2"/>
  <c r="FO106" i="2"/>
  <c r="DY106" i="2"/>
  <c r="EB106" i="2" s="1"/>
  <c r="DD106" i="2"/>
  <c r="BN106" i="2"/>
  <c r="ES106" i="2"/>
  <c r="DX106" i="2"/>
  <c r="EA106" i="2" s="1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GN106" i="2" s="1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DH106" i="2" l="1"/>
  <c r="EC106" i="2"/>
  <c r="HI106" i="2"/>
  <c r="EW106" i="2"/>
  <c r="HG106" i="2"/>
  <c r="EX106" i="2"/>
  <c r="FS106" i="2"/>
  <c r="GL106" i="2"/>
  <c r="GM106" i="2"/>
  <c r="FR106" i="2"/>
  <c r="FQ106" i="2"/>
  <c r="EV106" i="2"/>
  <c r="DF106" i="2"/>
  <c r="DG106" i="2"/>
  <c r="BP106" i="2"/>
  <c r="AU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H107" i="2" s="1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GN107" i="2"/>
  <c r="EB107" i="2"/>
  <c r="FR107" i="2"/>
  <c r="EX107" i="2"/>
  <c r="FS107" i="2"/>
  <c r="HH107" i="2"/>
  <c r="HG107" i="2"/>
  <c r="GL107" i="2"/>
  <c r="GM107" i="2"/>
  <c r="FQ107" i="2"/>
  <c r="EV107" i="2"/>
  <c r="EW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GL108" i="2" s="1"/>
  <c r="ES108" i="2"/>
  <c r="EV108" i="2" s="1"/>
  <c r="DX108" i="2"/>
  <c r="CI108" i="2"/>
  <c r="BM108" i="2"/>
  <c r="FN108" i="2"/>
  <c r="FQ108" i="2" s="1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HI108" i="2" s="1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EC108" i="2" s="1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HG108" i="2" l="1"/>
  <c r="EX108" i="2"/>
  <c r="FR108" i="2"/>
  <c r="DH108" i="2"/>
  <c r="GN108" i="2"/>
  <c r="GM108" i="2"/>
  <c r="EB108" i="2"/>
  <c r="HH108" i="2"/>
  <c r="EW108" i="2"/>
  <c r="EA108" i="2"/>
  <c r="DF108" i="2"/>
  <c r="DG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M109" i="2" s="1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EC109" i="2" s="1"/>
  <c r="DB109" i="2"/>
  <c r="DH109" i="2" s="1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EX109" i="2"/>
  <c r="GN109" i="2"/>
  <c r="HH109" i="2"/>
  <c r="HG109" i="2"/>
  <c r="GL109" i="2"/>
  <c r="FQ109" i="2"/>
  <c r="FR109" i="2"/>
  <c r="EV109" i="2"/>
  <c r="EW109" i="2"/>
  <c r="EA109" i="2"/>
  <c r="EB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FQ110" i="2" s="1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FS110" i="2" s="1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C110" i="2" s="1"/>
  <c r="EG110" i="2"/>
  <c r="DB110" i="2"/>
  <c r="DH110" i="2" s="1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GN110" i="2"/>
  <c r="FR110" i="2"/>
  <c r="HH110" i="2"/>
  <c r="AU110" i="2"/>
  <c r="EW110" i="2"/>
  <c r="HG110" i="2"/>
  <c r="GM110" i="2"/>
  <c r="GL110" i="2"/>
  <c r="EV110" i="2"/>
  <c r="EA110" i="2"/>
  <c r="EB110" i="2"/>
  <c r="DF110" i="2"/>
  <c r="DG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L111" i="2" s="1"/>
  <c r="GJ111" i="2"/>
  <c r="ES111" i="2"/>
  <c r="ET111" i="2"/>
  <c r="FN111" i="2"/>
  <c r="FQ111" i="2" s="1"/>
  <c r="DY111" i="2"/>
  <c r="FO111" i="2"/>
  <c r="FR111" i="2" s="1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I111" i="2" s="1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FS111" i="2" s="1"/>
  <c r="EU111" i="2"/>
  <c r="EG111" i="2"/>
  <c r="DW111" i="2"/>
  <c r="DB111" i="2"/>
  <c r="DH111" i="2" s="1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W111" i="2" l="1"/>
  <c r="HH111" i="2"/>
  <c r="HG111" i="2"/>
  <c r="EC111" i="2"/>
  <c r="GN111" i="2"/>
  <c r="GM111" i="2"/>
  <c r="EV111" i="2"/>
  <c r="EA111" i="2"/>
  <c r="EB111" i="2"/>
  <c r="DG111" i="2"/>
  <c r="DF111" i="2"/>
  <c r="AW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GL112" i="2" s="1"/>
  <c r="ES112" i="2"/>
  <c r="DX112" i="2"/>
  <c r="FN112" i="2"/>
  <c r="ET112" i="2"/>
  <c r="EW112" i="2" s="1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GN112" i="2" s="1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G112" i="2" l="1"/>
  <c r="EA112" i="2"/>
  <c r="DH112" i="2"/>
  <c r="EB112" i="2"/>
  <c r="EV112" i="2"/>
  <c r="HH112" i="2"/>
  <c r="GM112" i="2"/>
  <c r="FR112" i="2"/>
  <c r="FQ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GN113" i="2" s="1"/>
  <c r="FL113" i="2"/>
  <c r="FC113" i="2"/>
  <c r="EU113" i="2"/>
  <c r="EG113" i="2"/>
  <c r="DW113" i="2"/>
  <c r="EA113" i="2" s="1"/>
  <c r="DB113" i="2"/>
  <c r="DL113" i="2"/>
  <c r="CR113" i="2"/>
  <c r="DZ113" i="2"/>
  <c r="EC113" i="2" s="1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V113" i="2" l="1"/>
  <c r="DH113" i="2"/>
  <c r="GL113" i="2"/>
  <c r="HG113" i="2"/>
  <c r="FQ113" i="2"/>
  <c r="HH113" i="2"/>
  <c r="AW113" i="2"/>
  <c r="EW113" i="2"/>
  <c r="GM113" i="2"/>
  <c r="FR113" i="2"/>
  <c r="EB113" i="2"/>
  <c r="DF113" i="2"/>
  <c r="DG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EA114" i="2" s="1"/>
  <c r="DC114" i="2"/>
  <c r="W114" i="2"/>
  <c r="X114" i="2"/>
  <c r="DY114" i="2"/>
  <c r="BM114" i="2"/>
  <c r="AR114" i="2"/>
  <c r="CI114" i="2"/>
  <c r="HC114" i="2"/>
  <c r="HI114" i="2" s="1"/>
  <c r="HF114" i="2"/>
  <c r="HB114" i="2"/>
  <c r="GS114" i="2"/>
  <c r="GR114" i="2"/>
  <c r="GH114" i="2"/>
  <c r="GN114" i="2" s="1"/>
  <c r="FL114" i="2"/>
  <c r="FC114" i="2"/>
  <c r="FW114" i="2"/>
  <c r="FM114" i="2"/>
  <c r="FS114" i="2" s="1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DH114" i="2" s="1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EV114" i="2"/>
  <c r="GM114" i="2"/>
  <c r="HG114" i="2"/>
  <c r="EX114" i="2"/>
  <c r="GL114" i="2"/>
  <c r="HH114" i="2"/>
  <c r="FR114" i="2"/>
  <c r="FQ114" i="2"/>
  <c r="EB114" i="2"/>
  <c r="DG114" i="2"/>
  <c r="DF114" i="2"/>
  <c r="AU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HH115" i="2" s="1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HI115" i="2" s="1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FS115" i="2" s="1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DH115" i="2"/>
  <c r="GN115" i="2"/>
  <c r="EA115" i="2"/>
  <c r="HG115" i="2"/>
  <c r="EC115" i="2"/>
  <c r="GM115" i="2"/>
  <c r="GL115" i="2"/>
  <c r="FQ115" i="2"/>
  <c r="FR115" i="2"/>
  <c r="EW115" i="2"/>
  <c r="EV115" i="2"/>
  <c r="EB115" i="2"/>
  <c r="DG115" i="2"/>
  <c r="DF115" i="2"/>
  <c r="AW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FR116" i="2" s="1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DH116" i="2" s="1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FS116" i="2" l="1"/>
  <c r="HI116" i="2"/>
  <c r="EV116" i="2"/>
  <c r="EX116" i="2"/>
  <c r="GN116" i="2"/>
  <c r="EW116" i="2"/>
  <c r="HH116" i="2"/>
  <c r="HG116" i="2"/>
  <c r="GM116" i="2"/>
  <c r="GL116" i="2"/>
  <c r="FQ116" i="2"/>
  <c r="EB116" i="2"/>
  <c r="EA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S117" i="2" s="1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EC117" i="2" s="1"/>
  <c r="DB117" i="2"/>
  <c r="DH117" i="2" s="1"/>
  <c r="GH117" i="2"/>
  <c r="GN117" i="2" s="1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Q117" i="2" l="1"/>
  <c r="HH117" i="2"/>
  <c r="FR117" i="2"/>
  <c r="EX117" i="2"/>
  <c r="EV117" i="2"/>
  <c r="EW117" i="2"/>
  <c r="HG117" i="2"/>
  <c r="GL117" i="2"/>
  <c r="GM117" i="2"/>
  <c r="EA117" i="2"/>
  <c r="EB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R118" i="2" s="1"/>
  <c r="FN118" i="2"/>
  <c r="ES118" i="2"/>
  <c r="DD118" i="2"/>
  <c r="BN118" i="2"/>
  <c r="DY118" i="2"/>
  <c r="EB118" i="2" s="1"/>
  <c r="CH118" i="2"/>
  <c r="AS118" i="2"/>
  <c r="W118" i="2"/>
  <c r="DC118" i="2"/>
  <c r="DX118" i="2"/>
  <c r="EA118" i="2" s="1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DH118" i="2" l="1"/>
  <c r="HI118" i="2"/>
  <c r="HG118" i="2"/>
  <c r="GM118" i="2"/>
  <c r="EX118" i="2"/>
  <c r="FS118" i="2"/>
  <c r="GN118" i="2"/>
  <c r="FQ118" i="2"/>
  <c r="GL118" i="2"/>
  <c r="EW118" i="2"/>
  <c r="EV118" i="2"/>
  <c r="DG118" i="2"/>
  <c r="DF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GM119" i="2" s="1"/>
  <c r="ES119" i="2"/>
  <c r="ET119" i="2"/>
  <c r="FO119" i="2"/>
  <c r="FR119" i="2" s="1"/>
  <c r="FN119" i="2"/>
  <c r="FQ119" i="2" s="1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EC119" i="2" s="1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W119" i="2" l="1"/>
  <c r="DH119" i="2"/>
  <c r="FS119" i="2"/>
  <c r="GN119" i="2"/>
  <c r="EA119" i="2"/>
  <c r="EB119" i="2"/>
  <c r="EV119" i="2"/>
  <c r="HH119" i="2"/>
  <c r="HG119" i="2"/>
  <c r="GL119" i="2"/>
  <c r="DF119" i="2"/>
  <c r="DG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FS120" i="2" s="1"/>
  <c r="EU120" i="2"/>
  <c r="EG120" i="2"/>
  <c r="DW120" i="2"/>
  <c r="EC120" i="2" s="1"/>
  <c r="DB120" i="2"/>
  <c r="DZ120" i="2"/>
  <c r="DL120" i="2"/>
  <c r="DE120" i="2"/>
  <c r="DH120" i="2" s="1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GM120" i="2"/>
  <c r="GN120" i="2"/>
  <c r="FR120" i="2"/>
  <c r="HH120" i="2"/>
  <c r="HG120" i="2"/>
  <c r="GL120" i="2"/>
  <c r="EV120" i="2"/>
  <c r="EW120" i="2"/>
  <c r="EA120" i="2"/>
  <c r="EB120" i="2"/>
  <c r="DF120" i="2"/>
  <c r="DG120" i="2"/>
  <c r="AU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GN121" i="2" s="1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X121" i="2" l="1"/>
  <c r="EB121" i="2"/>
  <c r="FR121" i="2"/>
  <c r="GM121" i="2"/>
  <c r="AW121" i="2"/>
  <c r="DH121" i="2"/>
  <c r="EC121" i="2"/>
  <c r="FS121" i="2"/>
  <c r="HH121" i="2"/>
  <c r="HG121" i="2"/>
  <c r="GL121" i="2"/>
  <c r="FQ121" i="2"/>
  <c r="EV121" i="2"/>
  <c r="EW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GM122" i="2" s="1"/>
  <c r="ET122" i="2"/>
  <c r="FN122" i="2"/>
  <c r="FO122" i="2"/>
  <c r="DY122" i="2"/>
  <c r="DD122" i="2"/>
  <c r="BN122" i="2"/>
  <c r="ES122" i="2"/>
  <c r="DX122" i="2"/>
  <c r="EA122" i="2" s="1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GN122" i="2" s="1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V122" i="2"/>
  <c r="AU122" i="2"/>
  <c r="HH122" i="2"/>
  <c r="EX122" i="2"/>
  <c r="DH122" i="2"/>
  <c r="HI122" i="2"/>
  <c r="EW122" i="2"/>
  <c r="HG122" i="2"/>
  <c r="GL122" i="2"/>
  <c r="FR122" i="2"/>
  <c r="FQ122" i="2"/>
  <c r="EB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EC123" i="2" s="1"/>
  <c r="DB123" i="2"/>
  <c r="DH123" i="2" s="1"/>
  <c r="DZ123" i="2"/>
  <c r="DL123" i="2"/>
  <c r="DE123" i="2"/>
  <c r="EQ123" i="2"/>
  <c r="EH123" i="2"/>
  <c r="CJ123" i="2"/>
  <c r="CR123" i="2"/>
  <c r="FP123" i="2"/>
  <c r="ER123" i="2"/>
  <c r="EX123" i="2" s="1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FQ123" i="2"/>
  <c r="GN123" i="2"/>
  <c r="GM123" i="2"/>
  <c r="HH123" i="2"/>
  <c r="HG123" i="2"/>
  <c r="GL123" i="2"/>
  <c r="FR123" i="2"/>
  <c r="EW123" i="2"/>
  <c r="EV123" i="2"/>
  <c r="EA123" i="2"/>
  <c r="EB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EV124" i="2" s="1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DH124" i="2"/>
  <c r="GN124" i="2"/>
  <c r="FQ124" i="2"/>
  <c r="HH124" i="2"/>
  <c r="GM124" i="2"/>
  <c r="GL124" i="2"/>
  <c r="FR124" i="2"/>
  <c r="EW124" i="2"/>
  <c r="EB124" i="2"/>
  <c r="EA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GM125" i="2" s="1"/>
  <c r="HD125" i="2"/>
  <c r="GI125" i="2"/>
  <c r="FO125" i="2"/>
  <c r="FN125" i="2"/>
  <c r="FQ125" i="2" s="1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H125" i="2" s="1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V125" i="2"/>
  <c r="HH125" i="2"/>
  <c r="EX125" i="2"/>
  <c r="GN125" i="2"/>
  <c r="EB125" i="2"/>
  <c r="HG125" i="2"/>
  <c r="GL125" i="2"/>
  <c r="FR125" i="2"/>
  <c r="EW125" i="2"/>
  <c r="EA125" i="2"/>
  <c r="DF125" i="2"/>
  <c r="DG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FQ126" i="2" s="1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DH126" i="2" s="1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H126" i="2" l="1"/>
  <c r="EX126" i="2"/>
  <c r="GN126" i="2"/>
  <c r="HI126" i="2"/>
  <c r="EB126" i="2"/>
  <c r="EC126" i="2"/>
  <c r="EV126" i="2"/>
  <c r="GM126" i="2"/>
  <c r="HG126" i="2"/>
  <c r="GL126" i="2"/>
  <c r="FR126" i="2"/>
  <c r="EW126" i="2"/>
  <c r="EA126" i="2"/>
  <c r="DF126" i="2"/>
  <c r="DG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GN127" i="2" s="1"/>
  <c r="FL127" i="2"/>
  <c r="FC127" i="2"/>
  <c r="FW127" i="2"/>
  <c r="FM127" i="2"/>
  <c r="FP127" i="2"/>
  <c r="EU127" i="2"/>
  <c r="EG127" i="2"/>
  <c r="DW127" i="2"/>
  <c r="EC127" i="2" s="1"/>
  <c r="DB127" i="2"/>
  <c r="DH127" i="2" s="1"/>
  <c r="DZ127" i="2"/>
  <c r="DL127" i="2"/>
  <c r="DE127" i="2"/>
  <c r="EQ127" i="2"/>
  <c r="EH127" i="2"/>
  <c r="CJ127" i="2"/>
  <c r="CR127" i="2"/>
  <c r="GR127" i="2"/>
  <c r="FB127" i="2"/>
  <c r="ER127" i="2"/>
  <c r="EX127" i="2" s="1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H127" i="2"/>
  <c r="HG127" i="2"/>
  <c r="GM127" i="2"/>
  <c r="GL127" i="2"/>
  <c r="FQ127" i="2"/>
  <c r="FR127" i="2"/>
  <c r="EW127" i="2"/>
  <c r="EA127" i="2"/>
  <c r="EB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HH128" i="2" s="1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GN128" i="2" s="1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H128" i="2" s="1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GL128" i="2"/>
  <c r="HG128" i="2"/>
  <c r="BR128" i="2"/>
  <c r="FQ128" i="2"/>
  <c r="GM128" i="2"/>
  <c r="EV128" i="2"/>
  <c r="FR128" i="2"/>
  <c r="EW128" i="2"/>
  <c r="EB128" i="2"/>
  <c r="EA128" i="2"/>
  <c r="DF128" i="2"/>
  <c r="DG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GM129" i="2" s="1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GN129" i="2" s="1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BR129" i="2" l="1"/>
  <c r="EX129" i="2"/>
  <c r="FR129" i="2"/>
  <c r="EC129" i="2"/>
  <c r="DH129" i="2"/>
  <c r="FS129" i="2"/>
  <c r="HI129" i="2"/>
  <c r="HG129" i="2"/>
  <c r="HH129" i="2"/>
  <c r="GL129" i="2"/>
  <c r="FQ129" i="2"/>
  <c r="EW129" i="2"/>
  <c r="EB129" i="2"/>
  <c r="EA129" i="2"/>
  <c r="DF129" i="2"/>
  <c r="DG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EA130" i="2" s="1"/>
  <c r="CI130" i="2"/>
  <c r="AR130" i="2"/>
  <c r="BM130" i="2"/>
  <c r="HC130" i="2"/>
  <c r="HI130" i="2" s="1"/>
  <c r="HF130" i="2"/>
  <c r="HB130" i="2"/>
  <c r="GS130" i="2"/>
  <c r="GR130" i="2"/>
  <c r="GH130" i="2"/>
  <c r="GN130" i="2" s="1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DH130" i="2" s="1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C130" i="2" l="1"/>
  <c r="EV130" i="2"/>
  <c r="HG130" i="2"/>
  <c r="EX130" i="2"/>
  <c r="FR130" i="2"/>
  <c r="HH130" i="2"/>
  <c r="GM130" i="2"/>
  <c r="GL130" i="2"/>
  <c r="FQ130" i="2"/>
  <c r="EW130" i="2"/>
  <c r="EB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EA131" i="2" s="1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FS131" i="2" s="1"/>
  <c r="EU131" i="2"/>
  <c r="EG131" i="2"/>
  <c r="DW131" i="2"/>
  <c r="EC131" i="2" s="1"/>
  <c r="DB131" i="2"/>
  <c r="DH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W131" i="2" l="1"/>
  <c r="HG131" i="2"/>
  <c r="EV131" i="2"/>
  <c r="HH131" i="2"/>
  <c r="EX131" i="2"/>
  <c r="GN131" i="2"/>
  <c r="FQ131" i="2"/>
  <c r="FR131" i="2"/>
  <c r="GL131" i="2"/>
  <c r="GM131" i="2"/>
  <c r="EB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FQ132" i="2" s="1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GN132" i="2" s="1"/>
  <c r="FL132" i="2"/>
  <c r="FC132" i="2"/>
  <c r="FM132" i="2"/>
  <c r="FB132" i="2"/>
  <c r="ER132" i="2"/>
  <c r="EX132" i="2" s="1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DH132" i="2"/>
  <c r="EW132" i="2"/>
  <c r="HH132" i="2"/>
  <c r="GL132" i="2"/>
  <c r="GM132" i="2"/>
  <c r="FR132" i="2"/>
  <c r="EV132" i="2"/>
  <c r="EB132" i="2"/>
  <c r="EA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GL133" i="2" s="1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DH133" i="2" s="1"/>
  <c r="GH133" i="2"/>
  <c r="GN133" i="2" s="1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C133" i="2" l="1"/>
  <c r="FS133" i="2"/>
  <c r="FR133" i="2"/>
  <c r="HH133" i="2"/>
  <c r="EX133" i="2"/>
  <c r="EV133" i="2"/>
  <c r="HG133" i="2"/>
  <c r="GM133" i="2"/>
  <c r="FQ133" i="2"/>
  <c r="EW133" i="2"/>
  <c r="EA133" i="2"/>
  <c r="EB133" i="2"/>
  <c r="DG133" i="2"/>
  <c r="DF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DH134" i="2" s="1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EV134" i="2"/>
  <c r="GM134" i="2"/>
  <c r="EX134" i="2"/>
  <c r="FS134" i="2"/>
  <c r="GN134" i="2"/>
  <c r="EB134" i="2"/>
  <c r="FQ134" i="2"/>
  <c r="GL134" i="2"/>
  <c r="HH134" i="2"/>
  <c r="HG134" i="2"/>
  <c r="FR134" i="2"/>
  <c r="EA134" i="2"/>
  <c r="DF134" i="2"/>
  <c r="DG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EB135" i="2" s="1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GN135" i="2" s="1"/>
  <c r="FL135" i="2"/>
  <c r="FC135" i="2"/>
  <c r="FW135" i="2"/>
  <c r="FM135" i="2"/>
  <c r="EU135" i="2"/>
  <c r="EG135" i="2"/>
  <c r="DW135" i="2"/>
  <c r="DB135" i="2"/>
  <c r="DH135" i="2" s="1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FS135" i="2" l="1"/>
  <c r="EC135" i="2"/>
  <c r="EV135" i="2"/>
  <c r="HG135" i="2"/>
  <c r="FR135" i="2"/>
  <c r="GM135" i="2"/>
  <c r="HI135" i="2"/>
  <c r="GL135" i="2"/>
  <c r="HH135" i="2"/>
  <c r="FQ135" i="2"/>
  <c r="EW135" i="2"/>
  <c r="EA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EW136" i="2" s="1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EB136" i="2" l="1"/>
  <c r="FQ136" i="2"/>
  <c r="HH136" i="2"/>
  <c r="HG136" i="2"/>
  <c r="DH136" i="2"/>
  <c r="FS136" i="2"/>
  <c r="EX136" i="2"/>
  <c r="GN136" i="2"/>
  <c r="GL136" i="2"/>
  <c r="GM136" i="2"/>
  <c r="FR136" i="2"/>
  <c r="EV136" i="2"/>
  <c r="EA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S137" i="2" s="1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EC137" i="2" s="1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I137" i="2"/>
  <c r="EV137" i="2"/>
  <c r="DH137" i="2"/>
  <c r="GN137" i="2"/>
  <c r="HG137" i="2"/>
  <c r="GL137" i="2"/>
  <c r="GM137" i="2"/>
  <c r="FQ137" i="2"/>
  <c r="FR137" i="2"/>
  <c r="EW137" i="2"/>
  <c r="EB137" i="2"/>
  <c r="EA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G138" i="2" s="1"/>
  <c r="HE138" i="2"/>
  <c r="GJ138" i="2"/>
  <c r="GI138" i="2"/>
  <c r="GL138" i="2" s="1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DH138" i="2" s="1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FS138" i="2" l="1"/>
  <c r="FR138" i="2"/>
  <c r="GM138" i="2"/>
  <c r="EC138" i="2"/>
  <c r="EX138" i="2"/>
  <c r="GN138" i="2"/>
  <c r="FQ138" i="2"/>
  <c r="HH138" i="2"/>
  <c r="EW138" i="2"/>
  <c r="EV138" i="2"/>
  <c r="EB138" i="2"/>
  <c r="EA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H139" i="2" s="1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C139" i="2"/>
  <c r="GN139" i="2"/>
  <c r="FR139" i="2"/>
  <c r="GL139" i="2"/>
  <c r="HG139" i="2"/>
  <c r="HH139" i="2"/>
  <c r="GM139" i="2"/>
  <c r="GM140" i="2" s="1"/>
  <c r="FQ139" i="2"/>
  <c r="EV139" i="2"/>
  <c r="EA139" i="2"/>
  <c r="EB139" i="2"/>
  <c r="EB140" i="2" s="1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GL140" i="2" s="1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DH140" i="2"/>
  <c r="GN140" i="2"/>
  <c r="EC140" i="2"/>
  <c r="HI140" i="2"/>
  <c r="EW140" i="2"/>
  <c r="EV140" i="2"/>
  <c r="HI141" i="2"/>
  <c r="HH140" i="2"/>
  <c r="HG140" i="2"/>
  <c r="FQ140" i="2"/>
  <c r="FR140" i="2"/>
  <c r="EA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GN141" i="2"/>
  <c r="EV141" i="2"/>
  <c r="FR141" i="2"/>
  <c r="DH141" i="2"/>
  <c r="EW141" i="2"/>
  <c r="GM141" i="2"/>
  <c r="EC141" i="2"/>
  <c r="GL141" i="2"/>
  <c r="HH141" i="2"/>
  <c r="HG141" i="2"/>
  <c r="HI142" i="2"/>
  <c r="FQ141" i="2"/>
  <c r="EB141" i="2"/>
  <c r="EA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B142" i="2" l="1"/>
  <c r="EX142" i="2"/>
  <c r="FS142" i="2"/>
  <c r="GN142" i="2"/>
  <c r="HH142" i="2"/>
  <c r="DH142" i="2"/>
  <c r="HG142" i="2"/>
  <c r="GL142" i="2"/>
  <c r="GM142" i="2"/>
  <c r="FQ142" i="2"/>
  <c r="FR142" i="2"/>
  <c r="EV142" i="2"/>
  <c r="EW142" i="2"/>
  <c r="EA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FQ143" i="2" s="1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EX143" i="2" s="1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DH143" i="2" l="1"/>
  <c r="EC143" i="2"/>
  <c r="FR143" i="2"/>
  <c r="GN143" i="2"/>
  <c r="HG143" i="2"/>
  <c r="HH143" i="2"/>
  <c r="GL143" i="2"/>
  <c r="GM143" i="2"/>
  <c r="GM144" i="2" s="1"/>
  <c r="EW143" i="2"/>
  <c r="EV143" i="2"/>
  <c r="EA143" i="2"/>
  <c r="EB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GL144" i="2" s="1"/>
  <c r="ES144" i="2"/>
  <c r="DX144" i="2"/>
  <c r="FN144" i="2"/>
  <c r="ET144" i="2"/>
  <c r="EW144" i="2" s="1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EC144" i="2" s="1"/>
  <c r="DB144" i="2"/>
  <c r="DZ144" i="2"/>
  <c r="DL144" i="2"/>
  <c r="DE144" i="2"/>
  <c r="FM144" i="2"/>
  <c r="FS144" i="2" s="1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DF144" i="2" l="1"/>
  <c r="DH144" i="2"/>
  <c r="EX144" i="2"/>
  <c r="GN144" i="2"/>
  <c r="HH144" i="2"/>
  <c r="HG144" i="2"/>
  <c r="FR144" i="2"/>
  <c r="FQ144" i="2"/>
  <c r="EV144" i="2"/>
  <c r="EA144" i="2"/>
  <c r="EB144" i="2"/>
  <c r="DG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HI145" i="2" s="1"/>
  <c r="GR145" i="2"/>
  <c r="GK145" i="2"/>
  <c r="FW145" i="2"/>
  <c r="FM145" i="2"/>
  <c r="FS145" i="2" s="1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GN145" i="2" s="1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W145" i="2" l="1"/>
  <c r="GM145" i="2"/>
  <c r="DH145" i="2"/>
  <c r="DF145" i="2"/>
  <c r="EV145" i="2"/>
  <c r="EC145" i="2"/>
  <c r="FQ145" i="2"/>
  <c r="HH145" i="2"/>
  <c r="HG145" i="2"/>
  <c r="GL145" i="2"/>
  <c r="FR145" i="2"/>
  <c r="EA145" i="2"/>
  <c r="EB145" i="2"/>
  <c r="DG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DH146" i="2"/>
  <c r="FS146" i="2"/>
  <c r="GN146" i="2"/>
  <c r="FQ146" i="2"/>
  <c r="EV146" i="2"/>
  <c r="DF146" i="2"/>
  <c r="EW146" i="2"/>
  <c r="EC146" i="2"/>
  <c r="HH146" i="2"/>
  <c r="HG146" i="2"/>
  <c r="GL146" i="2"/>
  <c r="GM146" i="2"/>
  <c r="FR146" i="2"/>
  <c r="EB146" i="2"/>
  <c r="EA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FR147" i="2" s="1"/>
  <c r="ES147" i="2"/>
  <c r="ET147" i="2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DH147" i="2"/>
  <c r="FS147" i="2"/>
  <c r="GN147" i="2"/>
  <c r="HI147" i="2"/>
  <c r="HH147" i="2"/>
  <c r="GL147" i="2"/>
  <c r="HG147" i="2"/>
  <c r="GM147" i="2"/>
  <c r="EW147" i="2"/>
  <c r="EV147" i="2"/>
  <c r="EA147" i="2"/>
  <c r="EB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FR148" i="2" s="1"/>
  <c r="GI148" i="2"/>
  <c r="GJ148" i="2"/>
  <c r="ES148" i="2"/>
  <c r="EV148" i="2" s="1"/>
  <c r="DX148" i="2"/>
  <c r="HE148" i="2"/>
  <c r="CI148" i="2"/>
  <c r="BM148" i="2"/>
  <c r="ET148" i="2"/>
  <c r="EW148" i="2" s="1"/>
  <c r="DC148" i="2"/>
  <c r="DD148" i="2"/>
  <c r="CH148" i="2"/>
  <c r="BN148" i="2"/>
  <c r="AR148" i="2"/>
  <c r="FN148" i="2"/>
  <c r="AS148" i="2"/>
  <c r="DY148" i="2"/>
  <c r="EB148" i="2" s="1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GN148" i="2" s="1"/>
  <c r="FL148" i="2"/>
  <c r="FC148" i="2"/>
  <c r="FM148" i="2"/>
  <c r="FS148" i="2" s="1"/>
  <c r="FB148" i="2"/>
  <c r="ER148" i="2"/>
  <c r="DV148" i="2"/>
  <c r="DM148" i="2"/>
  <c r="DA148" i="2"/>
  <c r="EU148" i="2"/>
  <c r="EG148" i="2"/>
  <c r="DW148" i="2"/>
  <c r="EC148" i="2" s="1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HG148" i="2"/>
  <c r="DH148" i="2"/>
  <c r="FQ148" i="2"/>
  <c r="GM148" i="2"/>
  <c r="DG148" i="2"/>
  <c r="EX148" i="2"/>
  <c r="HH148" i="2"/>
  <c r="GL148" i="2"/>
  <c r="EA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GM149" i="2" s="1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HI149" i="2" s="1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DH149" i="2" s="1"/>
  <c r="GH149" i="2"/>
  <c r="GN149" i="2" s="1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DG149" i="2" l="1"/>
  <c r="EC149" i="2"/>
  <c r="FS149" i="2"/>
  <c r="FR149" i="2"/>
  <c r="GL149" i="2"/>
  <c r="EX149" i="2"/>
  <c r="FQ149" i="2"/>
  <c r="HG149" i="2"/>
  <c r="HH149" i="2"/>
  <c r="EW149" i="2"/>
  <c r="EV149" i="2"/>
  <c r="EC150" i="2"/>
  <c r="EA149" i="2"/>
  <c r="EB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FR150" i="2" s="1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EX150" i="2" s="1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DG150" i="2"/>
  <c r="FQ150" i="2"/>
  <c r="DH150" i="2"/>
  <c r="EV150" i="2"/>
  <c r="EW150" i="2"/>
  <c r="GN150" i="2"/>
  <c r="HG150" i="2"/>
  <c r="GM150" i="2"/>
  <c r="GL150" i="2"/>
  <c r="EA150" i="2"/>
  <c r="EB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FR151" i="2" s="1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GN151" i="2" s="1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GL151" i="2" l="1"/>
  <c r="AW151" i="2"/>
  <c r="FQ151" i="2"/>
  <c r="DH151" i="2"/>
  <c r="FS151" i="2"/>
  <c r="HI151" i="2"/>
  <c r="HH151" i="2"/>
  <c r="DF151" i="2"/>
  <c r="HG151" i="2"/>
  <c r="GM151" i="2"/>
  <c r="EV151" i="2"/>
  <c r="EW151" i="2"/>
  <c r="EA151" i="2"/>
  <c r="EB151" i="2"/>
  <c r="DG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GL152" i="2" s="1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W152" i="2" l="1"/>
  <c r="EB152" i="2"/>
  <c r="DH152" i="2"/>
  <c r="FS152" i="2"/>
  <c r="EX152" i="2"/>
  <c r="GN152" i="2"/>
  <c r="HH152" i="2"/>
  <c r="HG152" i="2"/>
  <c r="GM152" i="2"/>
  <c r="FR152" i="2"/>
  <c r="FQ152" i="2"/>
  <c r="EA152" i="2"/>
  <c r="DG152" i="2"/>
  <c r="DF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GM153" i="2" s="1"/>
  <c r="FN153" i="2"/>
  <c r="FO153" i="2"/>
  <c r="ES153" i="2"/>
  <c r="DX153" i="2"/>
  <c r="CH153" i="2"/>
  <c r="CI153" i="2"/>
  <c r="BM153" i="2"/>
  <c r="GI153" i="2"/>
  <c r="GL153" i="2" s="1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DH153" i="2" l="1"/>
  <c r="EB153" i="2"/>
  <c r="EV153" i="2"/>
  <c r="HG153" i="2"/>
  <c r="EC153" i="2"/>
  <c r="EX153" i="2"/>
  <c r="GN153" i="2"/>
  <c r="FS153" i="2"/>
  <c r="FR153" i="2"/>
  <c r="HH153" i="2"/>
  <c r="FQ153" i="2"/>
  <c r="EW153" i="2"/>
  <c r="EA153" i="2"/>
  <c r="DF153" i="2"/>
  <c r="DG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FS154" i="2" s="1"/>
  <c r="GS154" i="2"/>
  <c r="GG154" i="2"/>
  <c r="FN154" i="2"/>
  <c r="HB154" i="2"/>
  <c r="HC154" i="2"/>
  <c r="GI154" i="2"/>
  <c r="FP154" i="2"/>
  <c r="HD154" i="2"/>
  <c r="GJ154" i="2"/>
  <c r="GM154" i="2" s="1"/>
  <c r="HE154" i="2"/>
  <c r="GK154" i="2"/>
  <c r="FB154" i="2"/>
  <c r="HF154" i="2"/>
  <c r="FC154" i="2"/>
  <c r="ER154" i="2"/>
  <c r="EH154" i="2"/>
  <c r="DV154" i="2"/>
  <c r="GH154" i="2"/>
  <c r="GN154" i="2" s="1"/>
  <c r="EQ154" i="2"/>
  <c r="ES154" i="2"/>
  <c r="EV154" i="2" s="1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EC154" i="2" s="1"/>
  <c r="CR154" i="2"/>
  <c r="CF154" i="2"/>
  <c r="BM154" i="2"/>
  <c r="BA154" i="2"/>
  <c r="AT154" i="2"/>
  <c r="DX154" i="2"/>
  <c r="EA154" i="2" s="1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FR154" i="2"/>
  <c r="EX154" i="2"/>
  <c r="FQ154" i="2"/>
  <c r="FT154" i="2" s="1"/>
  <c r="AA154" i="2"/>
  <c r="DH154" i="2"/>
  <c r="EW154" i="2"/>
  <c r="GL154" i="2"/>
  <c r="GO154" i="2" s="1"/>
  <c r="Z154" i="2"/>
  <c r="HI154" i="2"/>
  <c r="HH154" i="2"/>
  <c r="HG154" i="2"/>
  <c r="HJ154" i="2" s="1"/>
  <c r="DG154" i="2"/>
  <c r="DF154" i="2"/>
  <c r="CM154" i="2"/>
  <c r="BR154" i="2"/>
  <c r="AV154" i="2"/>
  <c r="AU154" i="2"/>
  <c r="AW154" i="2"/>
  <c r="AW155" i="2" s="1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GM155" i="2" s="1"/>
  <c r="HE155" i="2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FS155" i="2" l="1"/>
  <c r="DI154" i="2"/>
  <c r="DH155" i="2"/>
  <c r="GL155" i="2"/>
  <c r="GO155" i="2" s="1"/>
  <c r="EV155" i="2"/>
  <c r="GN155" i="2"/>
  <c r="HH155" i="2"/>
  <c r="FS156" i="2"/>
  <c r="FR155" i="2"/>
  <c r="FQ155" i="2"/>
  <c r="EW155" i="2"/>
  <c r="EB155" i="2"/>
  <c r="ED155" i="2" s="1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FQ156" i="2" s="1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EA156" i="2" s="1"/>
  <c r="GJ156" i="2"/>
  <c r="GM156" i="2" s="1"/>
  <c r="EH156" i="2"/>
  <c r="DL156" i="2"/>
  <c r="EQ156" i="2"/>
  <c r="ER156" i="2"/>
  <c r="EX156" i="2" s="1"/>
  <c r="DV156" i="2"/>
  <c r="BV156" i="2"/>
  <c r="ES156" i="2"/>
  <c r="EV156" i="2" s="1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AB156" i="2" l="1"/>
  <c r="HG156" i="2"/>
  <c r="FR156" i="2"/>
  <c r="GN156" i="2"/>
  <c r="DI155" i="2"/>
  <c r="EC156" i="2"/>
  <c r="GL156" i="2"/>
  <c r="HH156" i="2"/>
  <c r="EW156" i="2"/>
  <c r="EB156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HI157" i="2" s="1"/>
  <c r="GI157" i="2"/>
  <c r="FP157" i="2"/>
  <c r="HD157" i="2"/>
  <c r="GJ157" i="2"/>
  <c r="GM157" i="2" s="1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DM157" i="2"/>
  <c r="ES157" i="2"/>
  <c r="EV157" i="2" s="1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H157" i="2" s="1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GN157" i="2" l="1"/>
  <c r="EC157" i="2"/>
  <c r="ED157" i="2" s="1"/>
  <c r="EX157" i="2"/>
  <c r="EB157" i="2"/>
  <c r="HH157" i="2"/>
  <c r="GL157" i="2"/>
  <c r="HG157" i="2"/>
  <c r="FQ157" i="2"/>
  <c r="FR157" i="2"/>
  <c r="EW157" i="2"/>
  <c r="EC158" i="2"/>
  <c r="DG157" i="2"/>
  <c r="DF157" i="2"/>
  <c r="DI157" i="2" s="1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GM158" i="2" s="1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GN158" i="2" s="1"/>
  <c r="FO158" i="2"/>
  <c r="FR158" i="2" s="1"/>
  <c r="FC158" i="2"/>
  <c r="EH158" i="2"/>
  <c r="DZ158" i="2"/>
  <c r="EQ158" i="2"/>
  <c r="ER158" i="2"/>
  <c r="EX158" i="2" s="1"/>
  <c r="ET158" i="2"/>
  <c r="DV158" i="2"/>
  <c r="EU158" i="2"/>
  <c r="DX158" i="2"/>
  <c r="EA158" i="2" s="1"/>
  <c r="CR158" i="2"/>
  <c r="CF158" i="2"/>
  <c r="EG158" i="2"/>
  <c r="DY158" i="2"/>
  <c r="EB158" i="2" s="1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DH158" i="2" s="1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I158" i="2" l="1"/>
  <c r="HG158" i="2"/>
  <c r="FS158" i="2"/>
  <c r="HH158" i="2"/>
  <c r="GL158" i="2"/>
  <c r="FQ158" i="2"/>
  <c r="FQ159" i="2" s="1"/>
  <c r="EV158" i="2"/>
  <c r="EW158" i="2"/>
  <c r="DF158" i="2"/>
  <c r="DG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GN159" i="2" s="1"/>
  <c r="FO159" i="2"/>
  <c r="HC159" i="2"/>
  <c r="GI159" i="2"/>
  <c r="FP159" i="2"/>
  <c r="EG159" i="2"/>
  <c r="ER159" i="2"/>
  <c r="FL159" i="2"/>
  <c r="ES159" i="2"/>
  <c r="EV159" i="2" s="1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GL159" i="2" l="1"/>
  <c r="FS159" i="2"/>
  <c r="DI158" i="2"/>
  <c r="DH159" i="2"/>
  <c r="EX159" i="2"/>
  <c r="HI159" i="2"/>
  <c r="EA159" i="2"/>
  <c r="ED159" i="2" s="1"/>
  <c r="EB159" i="2"/>
  <c r="EW159" i="2"/>
  <c r="FR159" i="2"/>
  <c r="HG159" i="2"/>
  <c r="HG160" i="2" s="1"/>
  <c r="GM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GN160" i="2" s="1"/>
  <c r="FO160" i="2"/>
  <c r="FR160" i="2" s="1"/>
  <c r="HC160" i="2"/>
  <c r="GI160" i="2"/>
  <c r="FP160" i="2"/>
  <c r="HD160" i="2"/>
  <c r="GJ160" i="2"/>
  <c r="EH160" i="2"/>
  <c r="ET160" i="2"/>
  <c r="EW160" i="2" s="1"/>
  <c r="DL160" i="2"/>
  <c r="FM160" i="2"/>
  <c r="EG160" i="2"/>
  <c r="DX160" i="2"/>
  <c r="EA160" i="2" s="1"/>
  <c r="EQ160" i="2"/>
  <c r="FX160" i="2"/>
  <c r="ER160" i="2"/>
  <c r="DZ160" i="2"/>
  <c r="DB160" i="2"/>
  <c r="CH160" i="2"/>
  <c r="ES160" i="2"/>
  <c r="EV160" i="2" s="1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EC160" i="2" l="1"/>
  <c r="EX160" i="2"/>
  <c r="GL160" i="2"/>
  <c r="FS160" i="2"/>
  <c r="HI160" i="2"/>
  <c r="FQ160" i="2"/>
  <c r="DI159" i="2"/>
  <c r="DH160" i="2"/>
  <c r="GM160" i="2"/>
  <c r="EB160" i="2"/>
  <c r="ED160" i="2" s="1"/>
  <c r="DF160" i="2"/>
  <c r="DG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FR161" i="2" s="1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EV161" i="2" s="1"/>
  <c r="DB161" i="2"/>
  <c r="CH161" i="2"/>
  <c r="BB161" i="2"/>
  <c r="AP161" i="2"/>
  <c r="DV161" i="2"/>
  <c r="DE161" i="2"/>
  <c r="AQ161" i="2"/>
  <c r="FN161" i="2"/>
  <c r="FQ161" i="2" s="1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C161" i="2" l="1"/>
  <c r="DH161" i="2"/>
  <c r="HI161" i="2"/>
  <c r="GN161" i="2"/>
  <c r="GL161" i="2"/>
  <c r="EX161" i="2"/>
  <c r="FS161" i="2"/>
  <c r="HH161" i="2"/>
  <c r="HG161" i="2"/>
  <c r="GM161" i="2"/>
  <c r="EB161" i="2"/>
  <c r="ED161" i="2" s="1"/>
  <c r="DF161" i="2"/>
  <c r="DI161" i="2" s="1"/>
  <c r="DG161" i="2"/>
  <c r="CN160" i="2"/>
  <c r="AW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FQ162" i="2" s="1"/>
  <c r="HB162" i="2"/>
  <c r="HC162" i="2"/>
  <c r="GI162" i="2"/>
  <c r="GL162" i="2" s="1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FR162" i="2" s="1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DH162" i="2" s="1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GN162" i="2" l="1"/>
  <c r="FS162" i="2"/>
  <c r="HI162" i="2"/>
  <c r="EC162" i="2"/>
  <c r="EX162" i="2"/>
  <c r="HH162" i="2"/>
  <c r="HG162" i="2"/>
  <c r="GM162" i="2"/>
  <c r="EV162" i="2"/>
  <c r="EY162" i="2" s="1"/>
  <c r="EW162" i="2"/>
  <c r="EB162" i="2"/>
  <c r="EA162" i="2"/>
  <c r="ED162" i="2" s="1"/>
  <c r="DG162" i="2"/>
  <c r="DF162" i="2"/>
  <c r="AU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GL163" i="2" s="1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DH163" i="2" s="1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C163" i="2" l="1"/>
  <c r="FQ163" i="2"/>
  <c r="EX163" i="2"/>
  <c r="HH163" i="2"/>
  <c r="FR163" i="2"/>
  <c r="GN163" i="2"/>
  <c r="HG163" i="2"/>
  <c r="GM163" i="2"/>
  <c r="EW163" i="2"/>
  <c r="EV163" i="2"/>
  <c r="EB163" i="2"/>
  <c r="EA163" i="2"/>
  <c r="ED163" i="2" s="1"/>
  <c r="DF163" i="2"/>
  <c r="DG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FQ164" i="2" s="1"/>
  <c r="HB164" i="2"/>
  <c r="GH164" i="2"/>
  <c r="GN164" i="2" s="1"/>
  <c r="FO164" i="2"/>
  <c r="FR164" i="2" s="1"/>
  <c r="HC164" i="2"/>
  <c r="HI164" i="2" s="1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W164" i="2" l="1"/>
  <c r="FS164" i="2"/>
  <c r="GL164" i="2"/>
  <c r="DI163" i="2"/>
  <c r="EY163" i="2"/>
  <c r="HH164" i="2"/>
  <c r="HG164" i="2"/>
  <c r="GM164" i="2"/>
  <c r="EV164" i="2"/>
  <c r="EB164" i="2"/>
  <c r="EA164" i="2"/>
  <c r="DG164" i="2"/>
  <c r="DF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HI165" i="2" s="1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FS165" i="2" s="1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GN165" i="2"/>
  <c r="HG165" i="2"/>
  <c r="DH165" i="2"/>
  <c r="HH165" i="2"/>
  <c r="DI164" i="2"/>
  <c r="GM165" i="2"/>
  <c r="GL165" i="2"/>
  <c r="FQ165" i="2"/>
  <c r="FR165" i="2"/>
  <c r="EW165" i="2"/>
  <c r="EV165" i="2"/>
  <c r="EA165" i="2"/>
  <c r="ED165" i="2" s="1"/>
  <c r="EB165" i="2"/>
  <c r="DG165" i="2"/>
  <c r="DG166" i="2" s="1"/>
  <c r="DF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GN166" i="2" s="1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Y165" i="2" l="1"/>
  <c r="EW166" i="2"/>
  <c r="HI166" i="2"/>
  <c r="FS166" i="2"/>
  <c r="DH166" i="2"/>
  <c r="HG166" i="2"/>
  <c r="HH166" i="2"/>
  <c r="HJ166" i="2" s="1"/>
  <c r="GL166" i="2"/>
  <c r="GM166" i="2"/>
  <c r="FR166" i="2"/>
  <c r="FQ166" i="2"/>
  <c r="FQ167" i="2" s="1"/>
  <c r="EV166" i="2"/>
  <c r="EB166" i="2"/>
  <c r="EA166" i="2"/>
  <c r="DF166" i="2"/>
  <c r="DI166" i="2" s="1"/>
  <c r="CN165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GN167" i="2" s="1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H167" i="2" l="1"/>
  <c r="FS167" i="2"/>
  <c r="EC167" i="2"/>
  <c r="EW167" i="2"/>
  <c r="EY166" i="2"/>
  <c r="EA167" i="2"/>
  <c r="HI167" i="2"/>
  <c r="HH167" i="2"/>
  <c r="HG167" i="2"/>
  <c r="GM167" i="2"/>
  <c r="GL167" i="2"/>
  <c r="FR167" i="2"/>
  <c r="EV167" i="2"/>
  <c r="EB167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GN168" i="2" s="1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C168" i="2"/>
  <c r="FS168" i="2"/>
  <c r="GM168" i="2"/>
  <c r="HI168" i="2"/>
  <c r="FQ168" i="2"/>
  <c r="EW168" i="2"/>
  <c r="DH168" i="2"/>
  <c r="EX168" i="2"/>
  <c r="FR168" i="2"/>
  <c r="EY167" i="2"/>
  <c r="HG168" i="2"/>
  <c r="HH168" i="2"/>
  <c r="GL168" i="2"/>
  <c r="EB168" i="2"/>
  <c r="EA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FQ169" i="2" s="1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GM169" i="2" l="1"/>
  <c r="HG169" i="2"/>
  <c r="FS169" i="2"/>
  <c r="DF169" i="2"/>
  <c r="EX169" i="2"/>
  <c r="HI169" i="2"/>
  <c r="DH169" i="2"/>
  <c r="EC169" i="2"/>
  <c r="EW169" i="2"/>
  <c r="GN169" i="2"/>
  <c r="GL169" i="2"/>
  <c r="FR169" i="2"/>
  <c r="EV169" i="2"/>
  <c r="EY169" i="2" s="1"/>
  <c r="EB169" i="2"/>
  <c r="EA169" i="2"/>
  <c r="DG169" i="2"/>
  <c r="DI168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GM170" i="2" s="1"/>
  <c r="HE170" i="2"/>
  <c r="HH170" i="2" s="1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GN170" i="2" s="1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HI170" i="2" l="1"/>
  <c r="DF170" i="2"/>
  <c r="FR170" i="2"/>
  <c r="EC170" i="2"/>
  <c r="HG170" i="2"/>
  <c r="FS170" i="2"/>
  <c r="EX170" i="2"/>
  <c r="FQ170" i="2"/>
  <c r="GL170" i="2"/>
  <c r="EV170" i="2"/>
  <c r="EA170" i="2"/>
  <c r="EB170" i="2"/>
  <c r="DG170" i="2"/>
  <c r="DI170" i="2" s="1"/>
  <c r="CN169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FQ171" i="2" s="1"/>
  <c r="HB171" i="2"/>
  <c r="GH171" i="2"/>
  <c r="FO171" i="2"/>
  <c r="FR171" i="2" s="1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DH171" i="2" s="1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GN171" i="2" l="1"/>
  <c r="HH171" i="2"/>
  <c r="EA171" i="2"/>
  <c r="EC171" i="2"/>
  <c r="HG171" i="2"/>
  <c r="FS171" i="2"/>
  <c r="GL171" i="2"/>
  <c r="GM171" i="2"/>
  <c r="EW171" i="2"/>
  <c r="EV171" i="2"/>
  <c r="EB171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GN172" i="2" s="1"/>
  <c r="FO172" i="2"/>
  <c r="FR172" i="2" s="1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EX172" i="2" s="1"/>
  <c r="DX172" i="2"/>
  <c r="GJ172" i="2"/>
  <c r="DL172" i="2"/>
  <c r="EH172" i="2"/>
  <c r="DV172" i="2"/>
  <c r="BV172" i="2"/>
  <c r="EQ172" i="2"/>
  <c r="DW172" i="2"/>
  <c r="EC172" i="2" s="1"/>
  <c r="CQ172" i="2"/>
  <c r="BW172" i="2"/>
  <c r="EU172" i="2"/>
  <c r="DM172" i="2"/>
  <c r="DA172" i="2"/>
  <c r="CG172" i="2"/>
  <c r="DY172" i="2"/>
  <c r="DB172" i="2"/>
  <c r="DH172" i="2" s="1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FS172" i="2"/>
  <c r="EY171" i="2"/>
  <c r="EV172" i="2"/>
  <c r="EA172" i="2"/>
  <c r="HI172" i="2"/>
  <c r="FQ172" i="2"/>
  <c r="HH172" i="2"/>
  <c r="HG172" i="2"/>
  <c r="HJ172" i="2" s="1"/>
  <c r="GM172" i="2"/>
  <c r="GL172" i="2"/>
  <c r="EW172" i="2"/>
  <c r="EB172" i="2"/>
  <c r="ED172" i="2" s="1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FR173" i="2" s="1"/>
  <c r="HC173" i="2"/>
  <c r="GI173" i="2"/>
  <c r="FP173" i="2"/>
  <c r="HD173" i="2"/>
  <c r="HG173" i="2" s="1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FQ173" i="2" s="1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DH173" i="2" s="1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GN173" i="2"/>
  <c r="EA173" i="2"/>
  <c r="EC173" i="2"/>
  <c r="FS173" i="2"/>
  <c r="HI173" i="2"/>
  <c r="GM173" i="2"/>
  <c r="GL173" i="2"/>
  <c r="EV173" i="2"/>
  <c r="EW173" i="2"/>
  <c r="EB173" i="2"/>
  <c r="DF173" i="2"/>
  <c r="DI173" i="2" s="1"/>
  <c r="DG173" i="2"/>
  <c r="CL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GN174" i="2" s="1"/>
  <c r="FO174" i="2"/>
  <c r="DZ174" i="2"/>
  <c r="ER174" i="2"/>
  <c r="EX174" i="2" s="1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FS174" i="2" l="1"/>
  <c r="FQ174" i="2"/>
  <c r="HI174" i="2"/>
  <c r="EW174" i="2"/>
  <c r="DH174" i="2"/>
  <c r="EC174" i="2"/>
  <c r="FR174" i="2"/>
  <c r="HG174" i="2"/>
  <c r="GM174" i="2"/>
  <c r="GL174" i="2"/>
  <c r="EV174" i="2"/>
  <c r="EA174" i="2"/>
  <c r="ED174" i="2" s="1"/>
  <c r="EB174" i="2"/>
  <c r="DG174" i="2"/>
  <c r="DF174" i="2"/>
  <c r="DI174" i="2" s="1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GN175" i="2" s="1"/>
  <c r="FO175" i="2"/>
  <c r="HC175" i="2"/>
  <c r="GI175" i="2"/>
  <c r="FP175" i="2"/>
  <c r="EG175" i="2"/>
  <c r="EH175" i="2"/>
  <c r="ET175" i="2"/>
  <c r="DW175" i="2"/>
  <c r="EC175" i="2" s="1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BR175" i="2" l="1"/>
  <c r="EV175" i="2"/>
  <c r="DH175" i="2"/>
  <c r="HI175" i="2"/>
  <c r="HG175" i="2"/>
  <c r="EW175" i="2"/>
  <c r="FS175" i="2"/>
  <c r="GM175" i="2"/>
  <c r="EX175" i="2"/>
  <c r="HH175" i="2"/>
  <c r="GL175" i="2"/>
  <c r="FR175" i="2"/>
  <c r="FQ175" i="2"/>
  <c r="EB175" i="2"/>
  <c r="EA175" i="2"/>
  <c r="DG175" i="2"/>
  <c r="DF175" i="2"/>
  <c r="CN174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GN176" i="2" s="1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DH176" i="2" s="1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EV176" i="2" s="1"/>
  <c r="BO176" i="2"/>
  <c r="ET176" i="2"/>
  <c r="EW176" i="2" s="1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I176" i="2" l="1"/>
  <c r="EX176" i="2"/>
  <c r="HG176" i="2"/>
  <c r="GM176" i="2"/>
  <c r="FS176" i="2"/>
  <c r="DI175" i="2"/>
  <c r="HH176" i="2"/>
  <c r="GL176" i="2"/>
  <c r="FR176" i="2"/>
  <c r="FQ176" i="2"/>
  <c r="EB176" i="2"/>
  <c r="EA176" i="2"/>
  <c r="DG176" i="2"/>
  <c r="DF176" i="2"/>
  <c r="CN175" i="2"/>
  <c r="AU176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FR177" i="2" s="1"/>
  <c r="HC177" i="2"/>
  <c r="GI177" i="2"/>
  <c r="FP177" i="2"/>
  <c r="HD177" i="2"/>
  <c r="GJ177" i="2"/>
  <c r="GM177" i="2" s="1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DH177" i="2" s="1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GN177" i="2" l="1"/>
  <c r="HI177" i="2"/>
  <c r="EC177" i="2"/>
  <c r="EX177" i="2"/>
  <c r="FQ177" i="2"/>
  <c r="HG177" i="2"/>
  <c r="HH177" i="2"/>
  <c r="GL177" i="2"/>
  <c r="EV177" i="2"/>
  <c r="EW177" i="2"/>
  <c r="EB177" i="2"/>
  <c r="EA177" i="2"/>
  <c r="ED177" i="2" s="1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GN178" i="2" s="1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EX178" i="2"/>
  <c r="FQ178" i="2"/>
  <c r="DH178" i="2"/>
  <c r="EV178" i="2"/>
  <c r="EW178" i="2"/>
  <c r="FR178" i="2"/>
  <c r="GM178" i="2"/>
  <c r="HI178" i="2"/>
  <c r="HH178" i="2"/>
  <c r="GL178" i="2"/>
  <c r="EB178" i="2"/>
  <c r="EA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GN179" i="2" s="1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X179" i="2" l="1"/>
  <c r="EC179" i="2"/>
  <c r="HI179" i="2"/>
  <c r="FQ179" i="2"/>
  <c r="AW179" i="2"/>
  <c r="FS179" i="2"/>
  <c r="EB179" i="2"/>
  <c r="DH179" i="2"/>
  <c r="FR179" i="2"/>
  <c r="ED178" i="2"/>
  <c r="HH179" i="2"/>
  <c r="HG179" i="2"/>
  <c r="GM179" i="2"/>
  <c r="GL179" i="2"/>
  <c r="EW179" i="2"/>
  <c r="EV179" i="2"/>
  <c r="EY179" i="2" s="1"/>
  <c r="EA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N180" i="2" s="1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EW180" i="2" s="1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EV180" i="2" s="1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DH180" i="2" l="1"/>
  <c r="EB180" i="2"/>
  <c r="HH180" i="2"/>
  <c r="HI180" i="2"/>
  <c r="DI179" i="2"/>
  <c r="FS180" i="2"/>
  <c r="EX180" i="2"/>
  <c r="EC180" i="2"/>
  <c r="GM180" i="2"/>
  <c r="ED179" i="2"/>
  <c r="HG180" i="2"/>
  <c r="GL180" i="2"/>
  <c r="FR180" i="2"/>
  <c r="FQ180" i="2"/>
  <c r="EA180" i="2"/>
  <c r="ED180" i="2" s="1"/>
  <c r="DF180" i="2"/>
  <c r="DI180" i="2" s="1"/>
  <c r="DG180" i="2"/>
  <c r="CN179" i="2"/>
  <c r="CM180" i="2"/>
  <c r="BR180" i="2"/>
  <c r="AV180" i="2"/>
  <c r="AW180" i="2"/>
  <c r="AU180" i="2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FR181" i="2" s="1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FQ181" i="2" s="1"/>
  <c r="EU181" i="2"/>
  <c r="ES181" i="2"/>
  <c r="DY181" i="2"/>
  <c r="GK181" i="2"/>
  <c r="FB181" i="2"/>
  <c r="EG181" i="2"/>
  <c r="DM181" i="2"/>
  <c r="EQ181" i="2"/>
  <c r="DW181" i="2"/>
  <c r="CQ181" i="2"/>
  <c r="ER181" i="2"/>
  <c r="EX181" i="2" s="1"/>
  <c r="DX181" i="2"/>
  <c r="CR181" i="2"/>
  <c r="DL181" i="2"/>
  <c r="EH181" i="2"/>
  <c r="DV181" i="2"/>
  <c r="DB181" i="2"/>
  <c r="DH181" i="2" s="1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GN181" i="2" l="1"/>
  <c r="EV181" i="2"/>
  <c r="EW181" i="2"/>
  <c r="EC181" i="2"/>
  <c r="GM181" i="2"/>
  <c r="HI181" i="2"/>
  <c r="HG181" i="2"/>
  <c r="HH181" i="2"/>
  <c r="GL181" i="2"/>
  <c r="EA181" i="2"/>
  <c r="EB181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GN182" i="2" s="1"/>
  <c r="FO182" i="2"/>
  <c r="EU182" i="2"/>
  <c r="EQ182" i="2"/>
  <c r="DV182" i="2"/>
  <c r="FC182" i="2"/>
  <c r="ES182" i="2"/>
  <c r="EV182" i="2" s="1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DH182" i="2" s="1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HI182" i="2" l="1"/>
  <c r="EX182" i="2"/>
  <c r="EW182" i="2"/>
  <c r="AW182" i="2"/>
  <c r="EC182" i="2"/>
  <c r="HH182" i="2"/>
  <c r="HG182" i="2"/>
  <c r="GL182" i="2"/>
  <c r="GM182" i="2"/>
  <c r="FR182" i="2"/>
  <c r="FQ182" i="2"/>
  <c r="EB182" i="2"/>
  <c r="EA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FR183" i="2" s="1"/>
  <c r="HC183" i="2"/>
  <c r="HI183" i="2" s="1"/>
  <c r="GI183" i="2"/>
  <c r="FP183" i="2"/>
  <c r="EG183" i="2"/>
  <c r="FW183" i="2"/>
  <c r="ES183" i="2"/>
  <c r="FL183" i="2"/>
  <c r="EU183" i="2"/>
  <c r="EX183" i="2" s="1"/>
  <c r="DY183" i="2"/>
  <c r="DA183" i="2"/>
  <c r="DZ183" i="2"/>
  <c r="DB183" i="2"/>
  <c r="DH183" i="2" s="1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DI182" i="2" l="1"/>
  <c r="FS183" i="2"/>
  <c r="ED182" i="2"/>
  <c r="GN183" i="2"/>
  <c r="EC183" i="2"/>
  <c r="EW183" i="2"/>
  <c r="FQ183" i="2"/>
  <c r="HH183" i="2"/>
  <c r="HG183" i="2"/>
  <c r="GL183" i="2"/>
  <c r="GM183" i="2"/>
  <c r="EV183" i="2"/>
  <c r="EY183" i="2" s="1"/>
  <c r="EA183" i="2"/>
  <c r="EB183" i="2"/>
  <c r="DG183" i="2"/>
  <c r="DF183" i="2"/>
  <c r="DI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GN184" i="2" s="1"/>
  <c r="FO184" i="2"/>
  <c r="HC184" i="2"/>
  <c r="GI184" i="2"/>
  <c r="FP184" i="2"/>
  <c r="HD184" i="2"/>
  <c r="HG184" i="2" s="1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V184" i="2" l="1"/>
  <c r="DH184" i="2"/>
  <c r="HI184" i="2"/>
  <c r="FQ184" i="2"/>
  <c r="AW184" i="2"/>
  <c r="GL184" i="2"/>
  <c r="EW184" i="2"/>
  <c r="FR184" i="2"/>
  <c r="HH184" i="2"/>
  <c r="GM184" i="2"/>
  <c r="EB184" i="2"/>
  <c r="EA184" i="2"/>
  <c r="ED184" i="2" s="1"/>
  <c r="DG184" i="2"/>
  <c r="DF184" i="2"/>
  <c r="DI184" i="2" s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FS185" i="2" s="1"/>
  <c r="GS185" i="2"/>
  <c r="HB185" i="2"/>
  <c r="GH185" i="2"/>
  <c r="FO185" i="2"/>
  <c r="FR185" i="2" s="1"/>
  <c r="HC185" i="2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EX185" i="2" s="1"/>
  <c r="DL185" i="2"/>
  <c r="DD185" i="2"/>
  <c r="EU185" i="2"/>
  <c r="DZ185" i="2"/>
  <c r="DB185" i="2"/>
  <c r="DH185" i="2" s="1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FQ185" i="2" l="1"/>
  <c r="GL185" i="2"/>
  <c r="GN185" i="2"/>
  <c r="EC185" i="2"/>
  <c r="HI185" i="2"/>
  <c r="HH185" i="2"/>
  <c r="GM185" i="2"/>
  <c r="EV185" i="2"/>
  <c r="EB185" i="2"/>
  <c r="EA185" i="2"/>
  <c r="DG185" i="2"/>
  <c r="DF185" i="2"/>
  <c r="DI185" i="2" s="1"/>
  <c r="AU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GN186" i="2" s="1"/>
  <c r="ES186" i="2"/>
  <c r="DL186" i="2"/>
  <c r="DD186" i="2"/>
  <c r="ET186" i="2"/>
  <c r="EW186" i="2" s="1"/>
  <c r="DM186" i="2"/>
  <c r="DE186" i="2"/>
  <c r="EG186" i="2"/>
  <c r="DV186" i="2"/>
  <c r="EQ186" i="2"/>
  <c r="DW186" i="2"/>
  <c r="EC186" i="2" s="1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H186" i="2" l="1"/>
  <c r="EX186" i="2"/>
  <c r="FQ186" i="2"/>
  <c r="EA186" i="2"/>
  <c r="ED185" i="2"/>
  <c r="HI186" i="2"/>
  <c r="HH186" i="2"/>
  <c r="GM186" i="2"/>
  <c r="GL186" i="2"/>
  <c r="EV186" i="2"/>
  <c r="EY186" i="2" s="1"/>
  <c r="EB186" i="2"/>
  <c r="DF186" i="2"/>
  <c r="DI186" i="2" s="1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FS187" i="2" s="1"/>
  <c r="GS187" i="2"/>
  <c r="GG187" i="2"/>
  <c r="FN187" i="2"/>
  <c r="HB187" i="2"/>
  <c r="GH187" i="2"/>
  <c r="GN187" i="2" s="1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EV187" i="2" s="1"/>
  <c r="FP187" i="2"/>
  <c r="ER187" i="2"/>
  <c r="GI187" i="2"/>
  <c r="EU187" i="2"/>
  <c r="DM187" i="2"/>
  <c r="DE187" i="2"/>
  <c r="DV187" i="2"/>
  <c r="DX187" i="2"/>
  <c r="EA187" i="2" s="1"/>
  <c r="CR187" i="2"/>
  <c r="DY187" i="2"/>
  <c r="DZ187" i="2"/>
  <c r="DB187" i="2"/>
  <c r="DH187" i="2" s="1"/>
  <c r="BV187" i="2"/>
  <c r="BO187" i="2"/>
  <c r="EG187" i="2"/>
  <c r="DC187" i="2"/>
  <c r="BW187" i="2"/>
  <c r="EH187" i="2"/>
  <c r="DD187" i="2"/>
  <c r="EQ187" i="2"/>
  <c r="ET187" i="2"/>
  <c r="EW187" i="2" s="1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AX184" i="2"/>
  <c r="EX187" i="2" l="1"/>
  <c r="HI187" i="2"/>
  <c r="HH187" i="2"/>
  <c r="GL187" i="2"/>
  <c r="GM187" i="2"/>
  <c r="FR187" i="2"/>
  <c r="FQ187" i="2"/>
  <c r="EB187" i="2"/>
  <c r="ED187" i="2" s="1"/>
  <c r="DF187" i="2"/>
  <c r="DI187" i="2" s="1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GM188" i="2" s="1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HG188" i="2"/>
  <c r="BQ188" i="2"/>
  <c r="EX188" i="2"/>
  <c r="EW188" i="2"/>
  <c r="GN188" i="2"/>
  <c r="DH188" i="2"/>
  <c r="HH188" i="2"/>
  <c r="GL188" i="2"/>
  <c r="FR188" i="2"/>
  <c r="EV188" i="2"/>
  <c r="EB188" i="2"/>
  <c r="EA188" i="2"/>
  <c r="DG188" i="2"/>
  <c r="DF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GN189" i="2" s="1"/>
  <c r="FO189" i="2"/>
  <c r="HC189" i="2"/>
  <c r="GI189" i="2"/>
  <c r="FP189" i="2"/>
  <c r="HD189" i="2"/>
  <c r="HG189" i="2" s="1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FQ189" i="2" s="1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DH189" i="2" s="1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W189" i="2"/>
  <c r="EV189" i="2"/>
  <c r="EC189" i="2"/>
  <c r="FS189" i="2"/>
  <c r="GM189" i="2"/>
  <c r="HI189" i="2"/>
  <c r="HH189" i="2"/>
  <c r="HJ189" i="2" s="1"/>
  <c r="GL189" i="2"/>
  <c r="FR189" i="2"/>
  <c r="EB189" i="2"/>
  <c r="EA189" i="2"/>
  <c r="ED189" i="2" s="1"/>
  <c r="DF189" i="2"/>
  <c r="DG189" i="2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FS190" i="2" s="1"/>
  <c r="GS190" i="2"/>
  <c r="GG190" i="2"/>
  <c r="HB190" i="2"/>
  <c r="GH190" i="2"/>
  <c r="FO190" i="2"/>
  <c r="FR190" i="2" s="1"/>
  <c r="ET190" i="2"/>
  <c r="FC190" i="2"/>
  <c r="EH190" i="2"/>
  <c r="FN190" i="2"/>
  <c r="FQ190" i="2" s="1"/>
  <c r="FP190" i="2"/>
  <c r="ER190" i="2"/>
  <c r="EX190" i="2" s="1"/>
  <c r="DX190" i="2"/>
  <c r="CR190" i="2"/>
  <c r="ES190" i="2"/>
  <c r="DY190" i="2"/>
  <c r="DA190" i="2"/>
  <c r="DW190" i="2"/>
  <c r="EC190" i="2" s="1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GN190" i="2" l="1"/>
  <c r="HH190" i="2"/>
  <c r="DH190" i="2"/>
  <c r="GM190" i="2"/>
  <c r="EV190" i="2"/>
  <c r="AC189" i="2"/>
  <c r="HG190" i="2"/>
  <c r="GL190" i="2"/>
  <c r="EW190" i="2"/>
  <c r="EA190" i="2"/>
  <c r="EB190" i="2"/>
  <c r="DG190" i="2"/>
  <c r="DF190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GM191" i="2" s="1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FR191" i="2" s="1"/>
  <c r="ER191" i="2"/>
  <c r="ET191" i="2"/>
  <c r="EW191" i="2" s="1"/>
  <c r="DY191" i="2"/>
  <c r="DA191" i="2"/>
  <c r="FB191" i="2"/>
  <c r="EU191" i="2"/>
  <c r="DZ191" i="2"/>
  <c r="DB191" i="2"/>
  <c r="FN191" i="2"/>
  <c r="FQ191" i="2" s="1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DH191" i="2" l="1"/>
  <c r="HI191" i="2"/>
  <c r="ED190" i="2"/>
  <c r="EX191" i="2"/>
  <c r="FS191" i="2"/>
  <c r="GN191" i="2"/>
  <c r="HH191" i="2"/>
  <c r="GL191" i="2"/>
  <c r="GO191" i="2" s="1"/>
  <c r="EV191" i="2"/>
  <c r="EA191" i="2"/>
  <c r="EB191" i="2"/>
  <c r="DF191" i="2"/>
  <c r="DI191" i="2" s="1"/>
  <c r="DG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GM192" i="2" s="1"/>
  <c r="EH192" i="2"/>
  <c r="FM192" i="2"/>
  <c r="FS192" i="2" s="1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BR192" i="2" s="1"/>
  <c r="CG192" i="2"/>
  <c r="U192" i="2"/>
  <c r="V192" i="2"/>
  <c r="AX189" i="2"/>
  <c r="AW192" i="2" l="1"/>
  <c r="DH192" i="2"/>
  <c r="HG192" i="2"/>
  <c r="GN192" i="2"/>
  <c r="EX192" i="2"/>
  <c r="EY191" i="2"/>
  <c r="HH192" i="2"/>
  <c r="GL192" i="2"/>
  <c r="FR192" i="2"/>
  <c r="FQ192" i="2"/>
  <c r="EW192" i="2"/>
  <c r="EV192" i="2"/>
  <c r="EY192" i="2" s="1"/>
  <c r="EA192" i="2"/>
  <c r="ED192" i="2" s="1"/>
  <c r="EB192" i="2"/>
  <c r="DG192" i="2"/>
  <c r="DF192" i="2"/>
  <c r="DI192" i="2" s="1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GM193" i="2" s="1"/>
  <c r="HE193" i="2"/>
  <c r="GK193" i="2"/>
  <c r="FB193" i="2"/>
  <c r="EQ193" i="2"/>
  <c r="FO193" i="2"/>
  <c r="FR193" i="2" s="1"/>
  <c r="ER193" i="2"/>
  <c r="EX193" i="2" s="1"/>
  <c r="FP193" i="2"/>
  <c r="FC193" i="2"/>
  <c r="FL193" i="2"/>
  <c r="FM193" i="2"/>
  <c r="FS193" i="2" s="1"/>
  <c r="EG193" i="2"/>
  <c r="DC193" i="2"/>
  <c r="FN193" i="2"/>
  <c r="FQ193" i="2" s="1"/>
  <c r="EH193" i="2"/>
  <c r="DL193" i="2"/>
  <c r="DD193" i="2"/>
  <c r="ET193" i="2"/>
  <c r="EW193" i="2" s="1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EC193" i="2" s="1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GN193" i="2" l="1"/>
  <c r="DH193" i="2"/>
  <c r="HH193" i="2"/>
  <c r="HG193" i="2"/>
  <c r="GL193" i="2"/>
  <c r="EV193" i="2"/>
  <c r="EB193" i="2"/>
  <c r="EA193" i="2"/>
  <c r="ED193" i="2" s="1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HH194" i="2" s="1"/>
  <c r="GK194" i="2"/>
  <c r="HF194" i="2"/>
  <c r="FC194" i="2"/>
  <c r="ER194" i="2"/>
  <c r="EX194" i="2" s="1"/>
  <c r="ET194" i="2"/>
  <c r="FB194" i="2"/>
  <c r="GH194" i="2"/>
  <c r="GN194" i="2" s="1"/>
  <c r="FM194" i="2"/>
  <c r="FS194" i="2" s="1"/>
  <c r="EG194" i="2"/>
  <c r="FN194" i="2"/>
  <c r="FO194" i="2"/>
  <c r="EQ194" i="2"/>
  <c r="DL194" i="2"/>
  <c r="DD194" i="2"/>
  <c r="FP194" i="2"/>
  <c r="ES194" i="2"/>
  <c r="EV194" i="2" s="1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C194" i="2" l="1"/>
  <c r="EW194" i="2"/>
  <c r="AW194" i="2"/>
  <c r="DI193" i="2"/>
  <c r="HG194" i="2"/>
  <c r="GL194" i="2"/>
  <c r="GM194" i="2"/>
  <c r="FQ194" i="2"/>
  <c r="FR194" i="2"/>
  <c r="EB194" i="2"/>
  <c r="EA194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GN195" i="2" s="1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EC195" i="2" s="1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U195" i="2" l="1"/>
  <c r="ED194" i="2"/>
  <c r="EW195" i="2"/>
  <c r="FR195" i="2"/>
  <c r="EV195" i="2"/>
  <c r="HI195" i="2"/>
  <c r="FS195" i="2"/>
  <c r="HH195" i="2"/>
  <c r="GM195" i="2"/>
  <c r="GL195" i="2"/>
  <c r="EB195" i="2"/>
  <c r="EA195" i="2"/>
  <c r="DG195" i="2"/>
  <c r="DF195" i="2"/>
  <c r="CN194" i="2"/>
  <c r="AA195" i="2"/>
  <c r="CM195" i="2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Q196" i="2" s="1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X196" i="2" l="1"/>
  <c r="EC196" i="2"/>
  <c r="HI196" i="2"/>
  <c r="EV196" i="2"/>
  <c r="EY196" i="2" s="1"/>
  <c r="HH196" i="2"/>
  <c r="GN196" i="2"/>
  <c r="DH196" i="2"/>
  <c r="FR196" i="2"/>
  <c r="GL196" i="2"/>
  <c r="GM196" i="2"/>
  <c r="EA196" i="2"/>
  <c r="EB196" i="2"/>
  <c r="DG196" i="2"/>
  <c r="DF196" i="2"/>
  <c r="DI196" i="2" s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GN197" i="2" s="1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D196" i="2"/>
  <c r="FR197" i="2"/>
  <c r="GL197" i="2"/>
  <c r="DH197" i="2"/>
  <c r="EC197" i="2"/>
  <c r="HI197" i="2"/>
  <c r="GM197" i="2"/>
  <c r="FQ197" i="2"/>
  <c r="EW197" i="2"/>
  <c r="EV197" i="2"/>
  <c r="EB197" i="2"/>
  <c r="EA197" i="2"/>
  <c r="DF197" i="2"/>
  <c r="DG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GN198" i="2" s="1"/>
  <c r="FO198" i="2"/>
  <c r="FR198" i="2" s="1"/>
  <c r="ES198" i="2"/>
  <c r="FB198" i="2"/>
  <c r="FL198" i="2"/>
  <c r="EG198" i="2"/>
  <c r="FM198" i="2"/>
  <c r="FS198" i="2" s="1"/>
  <c r="FN198" i="2"/>
  <c r="EQ198" i="2"/>
  <c r="DW198" i="2"/>
  <c r="EC198" i="2" s="1"/>
  <c r="CR198" i="2"/>
  <c r="FP198" i="2"/>
  <c r="ER198" i="2"/>
  <c r="EX198" i="2" s="1"/>
  <c r="DX198" i="2"/>
  <c r="DA198" i="2"/>
  <c r="EU198" i="2"/>
  <c r="DM198" i="2"/>
  <c r="DV198" i="2"/>
  <c r="CQ198" i="2"/>
  <c r="CG198" i="2"/>
  <c r="DY198" i="2"/>
  <c r="DB198" i="2"/>
  <c r="DH198" i="2" s="1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AW198" i="2" l="1"/>
  <c r="HI198" i="2"/>
  <c r="AC197" i="2"/>
  <c r="GM198" i="2"/>
  <c r="ED197" i="2"/>
  <c r="HH198" i="2"/>
  <c r="HG198" i="2"/>
  <c r="GL198" i="2"/>
  <c r="FQ198" i="2"/>
  <c r="EV198" i="2"/>
  <c r="EW198" i="2"/>
  <c r="EB198" i="2"/>
  <c r="EA198" i="2"/>
  <c r="DF198" i="2"/>
  <c r="DI198" i="2" s="1"/>
  <c r="DG198" i="2"/>
  <c r="Z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GM199" i="2" s="1"/>
  <c r="HE199" i="2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H199" i="2" s="1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C199" i="2"/>
  <c r="EX199" i="2"/>
  <c r="GN199" i="2"/>
  <c r="HH199" i="2"/>
  <c r="HG199" i="2"/>
  <c r="HJ199" i="2" s="1"/>
  <c r="GL199" i="2"/>
  <c r="FR199" i="2"/>
  <c r="FQ199" i="2"/>
  <c r="EA199" i="2"/>
  <c r="EB199" i="2"/>
  <c r="DF199" i="2"/>
  <c r="DG199" i="2"/>
  <c r="AU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GN200" i="2" s="1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BP200" i="2" s="1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DH200" i="2" l="1"/>
  <c r="FR200" i="2"/>
  <c r="EC200" i="2"/>
  <c r="AB200" i="2"/>
  <c r="EX200" i="2"/>
  <c r="EW200" i="2"/>
  <c r="FQ200" i="2"/>
  <c r="HG200" i="2"/>
  <c r="HJ200" i="2" s="1"/>
  <c r="GM200" i="2"/>
  <c r="GL200" i="2"/>
  <c r="EV200" i="2"/>
  <c r="EA200" i="2"/>
  <c r="ED200" i="2" s="1"/>
  <c r="EB200" i="2"/>
  <c r="DG200" i="2"/>
  <c r="DF200" i="2"/>
  <c r="DI200" i="2" s="1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GJ201" i="2"/>
  <c r="HE201" i="2"/>
  <c r="HH201" i="2" s="1"/>
  <c r="GK201" i="2"/>
  <c r="FB201" i="2"/>
  <c r="FN201" i="2"/>
  <c r="FO201" i="2"/>
  <c r="FR201" i="2" s="1"/>
  <c r="GG201" i="2"/>
  <c r="FP201" i="2"/>
  <c r="ER201" i="2"/>
  <c r="FC201" i="2"/>
  <c r="FL201" i="2"/>
  <c r="ET201" i="2"/>
  <c r="EW201" i="2" s="1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EC201" i="2" s="1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X201" i="2" l="1"/>
  <c r="GN201" i="2"/>
  <c r="EV201" i="2"/>
  <c r="DH201" i="2"/>
  <c r="GM201" i="2"/>
  <c r="HG201" i="2"/>
  <c r="GL201" i="2"/>
  <c r="FQ201" i="2"/>
  <c r="EA201" i="2"/>
  <c r="ED201" i="2" s="1"/>
  <c r="EB201" i="2"/>
  <c r="DG201" i="2"/>
  <c r="DF201" i="2"/>
  <c r="AC200" i="2"/>
  <c r="CN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I202" i="2" s="1"/>
  <c r="GJ202" i="2"/>
  <c r="GM202" i="2" s="1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GN202" i="2" s="1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EC202" i="2" s="1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FQ202" i="2"/>
  <c r="GL202" i="2"/>
  <c r="HG202" i="2"/>
  <c r="EV202" i="2"/>
  <c r="DH202" i="2"/>
  <c r="CM202" i="2"/>
  <c r="EB202" i="2"/>
  <c r="EA202" i="2"/>
  <c r="DG202" i="2"/>
  <c r="DF202" i="2"/>
  <c r="BQ202" i="2"/>
  <c r="CN201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V203" i="2" s="1"/>
  <c r="EU203" i="2"/>
  <c r="BV203" i="2"/>
  <c r="BO203" i="2"/>
  <c r="DL203" i="2"/>
  <c r="CQ203" i="2"/>
  <c r="BW203" i="2"/>
  <c r="BX163" i="2" s="1" a="1"/>
  <c r="BX16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27" i="2" s="1" a="1"/>
  <c r="CS27" i="2" s="1"/>
  <c r="CI203" i="2"/>
  <c r="AF203" i="2"/>
  <c r="V203" i="2"/>
  <c r="DB203" i="2"/>
  <c r="DH203" i="2" s="1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85" i="2" s="1" a="1"/>
  <c r="AH185" i="2" s="1"/>
  <c r="FY8" i="2" a="1"/>
  <c r="FY8" i="2" s="1"/>
  <c r="FY122" i="2" a="1"/>
  <c r="FY122" i="2" s="1"/>
  <c r="FY180" i="2" a="1"/>
  <c r="FY180" i="2" s="1"/>
  <c r="FY10" i="2" a="1"/>
  <c r="FY10" i="2" s="1"/>
  <c r="FY119" i="2" a="1"/>
  <c r="FY119" i="2" s="1"/>
  <c r="FY93" i="2" a="1"/>
  <c r="FY93" i="2" s="1"/>
  <c r="FY198" i="2" a="1"/>
  <c r="FY198" i="2" s="1"/>
  <c r="FY129" i="2" a="1"/>
  <c r="FY129" i="2" s="1"/>
  <c r="FY195" i="2" a="1"/>
  <c r="FY195" i="2" s="1"/>
  <c r="FY183" i="2" a="1"/>
  <c r="FY183" i="2" s="1"/>
  <c r="FY67" i="2" a="1"/>
  <c r="FY67" i="2" s="1"/>
  <c r="FY26" i="2" a="1"/>
  <c r="FY26" i="2" s="1"/>
  <c r="FY137" i="2" a="1"/>
  <c r="FY137" i="2" s="1"/>
  <c r="FY54" i="2" a="1"/>
  <c r="FY54" i="2" s="1"/>
  <c r="FY32" i="2" a="1"/>
  <c r="FY32" i="2" s="1"/>
  <c r="FY29" i="2" a="1"/>
  <c r="FY29" i="2" s="1"/>
  <c r="FY71" i="2" a="1"/>
  <c r="FY71" i="2" s="1"/>
  <c r="FY102" i="2" a="1"/>
  <c r="FY102" i="2" s="1"/>
  <c r="FY143" i="2" a="1"/>
  <c r="FY143" i="2" s="1"/>
  <c r="FY152" i="2" a="1"/>
  <c r="FY152" i="2" s="1"/>
  <c r="FY116" i="2" a="1"/>
  <c r="FY116" i="2" s="1"/>
  <c r="FY28" i="2" a="1"/>
  <c r="FY28" i="2" s="1"/>
  <c r="FY178" i="2" a="1"/>
  <c r="FY178" i="2" s="1"/>
  <c r="AH155" i="2" a="1"/>
  <c r="AH155" i="2" s="1"/>
  <c r="AH136" i="2" a="1"/>
  <c r="AH136" i="2" s="1"/>
  <c r="AH83" i="2" a="1"/>
  <c r="AH83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GT122" i="2" a="1"/>
  <c r="GT12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BX136" i="2" a="1"/>
  <c r="BX136" i="2" s="1"/>
  <c r="BX67" i="2" a="1"/>
  <c r="BX67" i="2" s="1"/>
  <c r="BX157" i="2" a="1"/>
  <c r="BX157" i="2" s="1"/>
  <c r="BX12" i="2" a="1"/>
  <c r="BX12" i="2" s="1"/>
  <c r="BX177" i="2" a="1"/>
  <c r="BX177" i="2" s="1"/>
  <c r="BX152" i="2" a="1"/>
  <c r="BX152" i="2" s="1"/>
  <c r="AH157" i="2" a="1"/>
  <c r="AH157" i="2" s="1"/>
  <c r="AH201" i="2" a="1"/>
  <c r="AH201" i="2" s="1"/>
  <c r="DN103" i="2" a="1"/>
  <c r="DN103" i="2" s="1"/>
  <c r="DN114" i="2" a="1"/>
  <c r="DN114" i="2" s="1"/>
  <c r="BX8" i="2" a="1"/>
  <c r="BX8" i="2" s="1"/>
  <c r="AH89" i="2" a="1"/>
  <c r="AH89" i="2" s="1"/>
  <c r="AH186" i="2" a="1"/>
  <c r="AH186" i="2" s="1"/>
  <c r="AH197" i="2" a="1"/>
  <c r="AH197" i="2" s="1"/>
  <c r="AH144" i="2" a="1"/>
  <c r="AH144" i="2" s="1"/>
  <c r="AH199" i="2" a="1"/>
  <c r="AH199" i="2" s="1"/>
  <c r="AH163" i="2" a="1"/>
  <c r="AH163" i="2" s="1"/>
  <c r="CS105" i="2" a="1"/>
  <c r="CS105" i="2" s="1"/>
  <c r="FY58" i="2" a="1"/>
  <c r="FY58" i="2" s="1"/>
  <c r="FY115" i="2" a="1"/>
  <c r="FY115" i="2" s="1"/>
  <c r="FY82" i="2" a="1"/>
  <c r="FY82" i="2" s="1"/>
  <c r="FY42" i="2" a="1"/>
  <c r="FY42" i="2" s="1"/>
  <c r="FY80" i="2" a="1"/>
  <c r="FY80" i="2" s="1"/>
  <c r="FY167" i="2" a="1"/>
  <c r="FY167" i="2" s="1"/>
  <c r="FD60" i="2" a="1"/>
  <c r="FD60" i="2" s="1"/>
  <c r="FD44" i="2" a="1"/>
  <c r="FD44" i="2" s="1"/>
  <c r="FD14" i="2" a="1"/>
  <c r="FD14" i="2" s="1"/>
  <c r="FD64" i="2" a="1"/>
  <c r="FD64" i="2" s="1"/>
  <c r="FD131" i="2" a="1"/>
  <c r="FD131" i="2" s="1"/>
  <c r="FD107" i="2" a="1"/>
  <c r="FD107" i="2" s="1"/>
  <c r="FD137" i="2" a="1"/>
  <c r="FD137" i="2" s="1"/>
  <c r="FD19" i="2" a="1"/>
  <c r="FD19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78" i="2" a="1"/>
  <c r="GT178" i="2" s="1"/>
  <c r="GT138" i="2" a="1"/>
  <c r="GT13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EC203" i="2" l="1"/>
  <c r="GN203" i="2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AH56" i="2" a="1"/>
  <c r="AH56" i="2" s="1"/>
  <c r="AH90" i="2" a="1"/>
  <c r="AH90" i="2" s="1"/>
  <c r="AH14" i="2" a="1"/>
  <c r="AH14" i="2" s="1"/>
  <c r="BX76" i="2" a="1"/>
  <c r="BX76" i="2" s="1"/>
  <c r="BX182" i="2" a="1"/>
  <c r="BX182" i="2" s="1"/>
  <c r="BX41" i="2" a="1"/>
  <c r="BX41" i="2" s="1"/>
  <c r="BX110" i="2" a="1"/>
  <c r="BX110" i="2" s="1"/>
  <c r="BX117" i="2" a="1"/>
  <c r="BX117" i="2" s="1"/>
  <c r="BX197" i="2" a="1"/>
  <c r="BX197" i="2" s="1"/>
  <c r="CS116" i="2" a="1"/>
  <c r="CS116" i="2" s="1"/>
  <c r="BX29" i="2" a="1"/>
  <c r="BX29" i="2" s="1"/>
  <c r="FD144" i="2" a="1"/>
  <c r="FD144" i="2" s="1"/>
  <c r="FY34" i="2" a="1"/>
  <c r="FY34" i="2" s="1"/>
  <c r="FY124" i="2" a="1"/>
  <c r="FY124" i="2" s="1"/>
  <c r="FY72" i="2" a="1"/>
  <c r="FY72" i="2" s="1"/>
  <c r="AH38" i="2" a="1"/>
  <c r="AH38" i="2" s="1"/>
  <c r="AH37" i="2" a="1"/>
  <c r="AH37" i="2" s="1"/>
  <c r="AH140" i="2" a="1"/>
  <c r="AH140" i="2" s="1"/>
  <c r="FY55" i="2" a="1"/>
  <c r="FY55" i="2" s="1"/>
  <c r="FY78" i="2" a="1"/>
  <c r="FY78" i="2" s="1"/>
  <c r="FY92" i="2" a="1"/>
  <c r="FY92" i="2" s="1"/>
  <c r="FY186" i="2" a="1"/>
  <c r="FY186" i="2" s="1"/>
  <c r="FY191" i="2" a="1"/>
  <c r="FY191" i="2" s="1"/>
  <c r="FY69" i="2" a="1"/>
  <c r="FY69" i="2" s="1"/>
  <c r="FY18" i="2" a="1"/>
  <c r="FY18" i="2" s="1"/>
  <c r="FY35" i="2" a="1"/>
  <c r="FY35" i="2" s="1"/>
  <c r="FY22" i="2" a="1"/>
  <c r="FY22" i="2" s="1"/>
  <c r="FY50" i="2" a="1"/>
  <c r="FY50" i="2" s="1"/>
  <c r="FY36" i="2" a="1"/>
  <c r="FY36" i="2" s="1"/>
  <c r="FY27" i="2" a="1"/>
  <c r="FY27" i="2" s="1"/>
  <c r="FY175" i="2" a="1"/>
  <c r="FY175" i="2" s="1"/>
  <c r="FY113" i="2" a="1"/>
  <c r="FY113" i="2" s="1"/>
  <c r="FY155" i="2" a="1"/>
  <c r="FY155" i="2" s="1"/>
  <c r="FY11" i="2" a="1"/>
  <c r="FY11" i="2" s="1"/>
  <c r="FY9" i="2" a="1"/>
  <c r="FY9" i="2" s="1"/>
  <c r="FY123" i="2" a="1"/>
  <c r="FY123" i="2" s="1"/>
  <c r="FY141" i="2" a="1"/>
  <c r="FY141" i="2" s="1"/>
  <c r="FY150" i="2" a="1"/>
  <c r="FY150" i="2" s="1"/>
  <c r="FY177" i="2" a="1"/>
  <c r="FY177" i="2" s="1"/>
  <c r="FY59" i="2" a="1"/>
  <c r="FY59" i="2" s="1"/>
  <c r="FY125" i="2" a="1"/>
  <c r="FY125" i="2" s="1"/>
  <c r="EX203" i="2"/>
  <c r="HG203" i="2"/>
  <c r="AH151" i="2" a="1"/>
  <c r="AH151" i="2" s="1"/>
  <c r="BX96" i="2" a="1"/>
  <c r="BX96" i="2" s="1"/>
  <c r="BX174" i="2" a="1"/>
  <c r="BX174" i="2" s="1"/>
  <c r="BX73" i="2" a="1"/>
  <c r="BX73" i="2" s="1"/>
  <c r="BX113" i="2" a="1"/>
  <c r="BX113" i="2" s="1"/>
  <c r="BX158" i="2" a="1"/>
  <c r="BX158" i="2" s="1"/>
  <c r="CS137" i="2" a="1"/>
  <c r="CS137" i="2" s="1"/>
  <c r="CS129" i="2" a="1"/>
  <c r="CS129" i="2" s="1"/>
  <c r="CS66" i="2" a="1"/>
  <c r="CS66" i="2" s="1"/>
  <c r="FD21" i="2" a="1"/>
  <c r="FD21" i="2" s="1"/>
  <c r="FY164" i="2" a="1"/>
  <c r="FY164" i="2" s="1"/>
  <c r="FY169" i="2" a="1"/>
  <c r="FY169" i="2" s="1"/>
  <c r="CS133" i="2" a="1"/>
  <c r="CS133" i="2" s="1"/>
  <c r="AH92" i="2" a="1"/>
  <c r="AH92" i="2" s="1"/>
  <c r="AH17" i="2" a="1"/>
  <c r="AH17" i="2" s="1"/>
  <c r="AH162" i="2" a="1"/>
  <c r="AH16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FY63" i="2" a="1"/>
  <c r="FY63" i="2" s="1"/>
  <c r="FY108" i="2" a="1"/>
  <c r="FY108" i="2" s="1"/>
  <c r="FY112" i="2" a="1"/>
  <c r="FY112" i="2" s="1"/>
  <c r="FY101" i="2" a="1"/>
  <c r="FY101" i="2" s="1"/>
  <c r="FY157" i="2" a="1"/>
  <c r="FY157" i="2" s="1"/>
  <c r="FY16" i="2" a="1"/>
  <c r="FY16" i="2" s="1"/>
  <c r="FY77" i="2" a="1"/>
  <c r="FY77" i="2" s="1"/>
  <c r="FY144" i="2" a="1"/>
  <c r="FY144" i="2" s="1"/>
  <c r="FY37" i="2" a="1"/>
  <c r="FY37" i="2" s="1"/>
  <c r="FY105" i="2" a="1"/>
  <c r="FY105" i="2" s="1"/>
  <c r="FY48" i="2" a="1"/>
  <c r="FY48" i="2" s="1"/>
  <c r="FY51" i="2" a="1"/>
  <c r="FY51" i="2" s="1"/>
  <c r="FY61" i="2" a="1"/>
  <c r="FY61" i="2" s="1"/>
  <c r="EA203" i="2"/>
  <c r="FQ203" i="2"/>
  <c r="GM203" i="2"/>
  <c r="FD194" i="2" a="1"/>
  <c r="FD194" i="2" s="1"/>
  <c r="FD159" i="2" a="1"/>
  <c r="FD159" i="2" s="1"/>
  <c r="FD43" i="2" a="1"/>
  <c r="FD43" i="2" s="1"/>
  <c r="FD48" i="2" a="1"/>
  <c r="FD48" i="2" s="1"/>
  <c r="FY121" i="2" a="1"/>
  <c r="FY121" i="2" s="1"/>
  <c r="FY30" i="2" a="1"/>
  <c r="FY30" i="2" s="1"/>
  <c r="FY182" i="2" a="1"/>
  <c r="FY182" i="2" s="1"/>
  <c r="CS38" i="2" a="1"/>
  <c r="CS38" i="2" s="1"/>
  <c r="AH62" i="2" a="1"/>
  <c r="AH62" i="2" s="1"/>
  <c r="AH146" i="2" a="1"/>
  <c r="AH146" i="2" s="1"/>
  <c r="AH19" i="2" a="1"/>
  <c r="AH19" i="2" s="1"/>
  <c r="CS77" i="2" a="1"/>
  <c r="CS77" i="2" s="1"/>
  <c r="AH79" i="2" a="1"/>
  <c r="AH79" i="2" s="1"/>
  <c r="BX201" i="2" a="1"/>
  <c r="BX201" i="2" s="1"/>
  <c r="BX142" i="2" a="1"/>
  <c r="BX142" i="2" s="1"/>
  <c r="BX119" i="2" a="1"/>
  <c r="BX119" i="2" s="1"/>
  <c r="BX125" i="2" a="1"/>
  <c r="BX125" i="2" s="1"/>
  <c r="BX176" i="2" a="1"/>
  <c r="BX176" i="2" s="1"/>
  <c r="CS52" i="2" a="1"/>
  <c r="CS52" i="2" s="1"/>
  <c r="CS195" i="2" a="1"/>
  <c r="CS195" i="2" s="1"/>
  <c r="FY172" i="2" a="1"/>
  <c r="FY172" i="2" s="1"/>
  <c r="FY149" i="2" a="1"/>
  <c r="FY149" i="2" s="1"/>
  <c r="FY62" i="2" a="1"/>
  <c r="FY62" i="2" s="1"/>
  <c r="AH198" i="2" a="1"/>
  <c r="AH198" i="2" s="1"/>
  <c r="AH143" i="2" a="1"/>
  <c r="AH143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200" i="2" a="1"/>
  <c r="FY200" i="2" s="1"/>
  <c r="FY79" i="2" a="1"/>
  <c r="FY79" i="2" s="1"/>
  <c r="FY68" i="2" a="1"/>
  <c r="FY68" i="2" s="1"/>
  <c r="FY40" i="2" a="1"/>
  <c r="FY40" i="2" s="1"/>
  <c r="FY147" i="2" a="1"/>
  <c r="FY147" i="2" s="1"/>
  <c r="FY47" i="2" a="1"/>
  <c r="FY47" i="2" s="1"/>
  <c r="FY132" i="2" a="1"/>
  <c r="FY132" i="2" s="1"/>
  <c r="FY91" i="2" a="1"/>
  <c r="FY91" i="2" s="1"/>
  <c r="FY20" i="2" a="1"/>
  <c r="FY20" i="2" s="1"/>
  <c r="FY130" i="2" a="1"/>
  <c r="FY130" i="2" s="1"/>
  <c r="FY103" i="2" a="1"/>
  <c r="FY103" i="2" s="1"/>
  <c r="FY138" i="2" a="1"/>
  <c r="FY138" i="2" s="1"/>
  <c r="FY189" i="2" a="1"/>
  <c r="FY189" i="2" s="1"/>
  <c r="FY7" i="2" a="1"/>
  <c r="FY7" i="2" s="1"/>
  <c r="FZ7" i="2" s="1"/>
  <c r="CM203" i="2"/>
  <c r="BP203" i="2"/>
  <c r="EB203" i="2"/>
  <c r="GL203" i="2"/>
  <c r="GT107" i="2" a="1"/>
  <c r="GT107" i="2" s="1"/>
  <c r="GT189" i="2" a="1"/>
  <c r="GT189" i="2" s="1"/>
  <c r="GT11" i="2" a="1"/>
  <c r="GT11" i="2" s="1"/>
  <c r="GT51" i="2" a="1"/>
  <c r="GT51" i="2" s="1"/>
  <c r="GT174" i="2" a="1"/>
  <c r="GT174" i="2" s="1"/>
  <c r="GT198" i="2" a="1"/>
  <c r="GT198" i="2" s="1"/>
  <c r="GT102" i="2" a="1"/>
  <c r="GT102" i="2" s="1"/>
  <c r="GT68" i="2" a="1"/>
  <c r="GT68" i="2" s="1"/>
  <c r="GT21" i="2" a="1"/>
  <c r="GT21" i="2" s="1"/>
  <c r="GT147" i="2" a="1"/>
  <c r="GT147" i="2" s="1"/>
  <c r="GT181" i="2" a="1"/>
  <c r="GT181" i="2" s="1"/>
  <c r="GT191" i="2" a="1"/>
  <c r="GT191" i="2" s="1"/>
  <c r="GT12" i="2" a="1"/>
  <c r="GT12" i="2" s="1"/>
  <c r="GT152" i="2" a="1"/>
  <c r="GT152" i="2" s="1"/>
  <c r="GT184" i="2" a="1"/>
  <c r="GT184" i="2" s="1"/>
  <c r="GT38" i="2" a="1"/>
  <c r="GT38" i="2" s="1"/>
  <c r="GT115" i="2" a="1"/>
  <c r="GT115" i="2" s="1"/>
  <c r="GT33" i="2" a="1"/>
  <c r="GT33" i="2" s="1"/>
  <c r="GT126" i="2" a="1"/>
  <c r="GT126" i="2" s="1"/>
  <c r="GT133" i="2" a="1"/>
  <c r="GT133" i="2" s="1"/>
  <c r="GT190" i="2" a="1"/>
  <c r="GT190" i="2" s="1"/>
  <c r="GT15" i="2" a="1"/>
  <c r="GT15" i="2" s="1"/>
  <c r="GT74" i="2" a="1"/>
  <c r="GT74" i="2" s="1"/>
  <c r="GT121" i="2" a="1"/>
  <c r="GT121" i="2" s="1"/>
  <c r="EW203" i="2"/>
  <c r="DF203" i="2"/>
  <c r="DG203" i="2"/>
  <c r="BQ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CY47" i="2" l="1"/>
  <c r="CY52" i="2"/>
  <c r="CY40" i="2"/>
  <c r="CY163" i="2"/>
  <c r="CY37" i="2"/>
  <c r="CY150" i="2"/>
  <c r="CY112" i="2"/>
  <c r="CY147" i="2"/>
  <c r="CY171" i="2"/>
  <c r="CY14" i="2"/>
  <c r="CY119" i="2"/>
  <c r="CY130" i="2"/>
  <c r="CY83" i="2"/>
  <c r="CY94" i="2"/>
  <c r="CY10" i="2"/>
  <c r="CY190" i="2"/>
  <c r="CY36" i="2"/>
  <c r="CY7" i="2"/>
  <c r="CY75" i="2"/>
  <c r="CY15" i="2"/>
  <c r="CY196" i="2"/>
  <c r="CY23" i="2"/>
  <c r="CY153" i="2"/>
  <c r="CY77" i="2"/>
  <c r="CY115" i="2"/>
  <c r="CY43" i="2"/>
  <c r="CY167" i="2"/>
  <c r="CY4" i="2"/>
  <c r="CY26" i="2"/>
  <c r="CY33" i="2"/>
  <c r="CY60" i="2"/>
  <c r="CY42" i="2"/>
  <c r="CY121" i="2"/>
  <c r="CY182" i="2"/>
  <c r="CY48" i="2"/>
  <c r="CY118" i="2"/>
  <c r="CY25" i="2"/>
  <c r="CY135" i="2"/>
  <c r="CY63" i="2"/>
  <c r="CY117" i="2"/>
  <c r="CY159" i="2"/>
  <c r="CY188" i="2"/>
  <c r="CY113" i="2"/>
  <c r="CY137" i="2"/>
  <c r="CY170" i="2"/>
  <c r="CY197" i="2"/>
  <c r="CY180" i="2"/>
  <c r="CY176" i="2"/>
  <c r="CY46" i="2"/>
  <c r="CY129" i="2"/>
  <c r="CY95" i="2"/>
  <c r="CY19" i="2"/>
  <c r="CY27" i="2"/>
  <c r="CY107" i="2"/>
  <c r="CY35" i="2"/>
  <c r="CY111" i="2"/>
  <c r="CY165" i="2"/>
  <c r="CY133" i="2"/>
  <c r="CY67" i="2"/>
  <c r="CY164" i="2"/>
  <c r="CY175" i="2"/>
  <c r="CY198" i="2"/>
  <c r="CY172" i="2"/>
  <c r="CY34" i="2"/>
  <c r="CY110" i="2"/>
  <c r="CY140" i="2"/>
  <c r="CY39" i="2"/>
  <c r="CY202" i="2"/>
  <c r="CY106" i="2"/>
  <c r="CY51" i="2"/>
  <c r="CY200" i="2"/>
  <c r="CY177" i="2"/>
  <c r="CY103" i="2"/>
  <c r="CY76" i="2"/>
  <c r="CY148" i="2"/>
  <c r="CY53" i="2"/>
  <c r="CY78" i="2"/>
  <c r="CY11" i="2"/>
  <c r="CY116" i="2"/>
  <c r="CY192" i="2"/>
  <c r="CY74" i="2"/>
  <c r="CY80" i="2"/>
  <c r="CY160" i="2"/>
  <c r="CY16" i="2"/>
  <c r="CY66" i="2"/>
  <c r="CY126" i="2"/>
  <c r="CY124" i="2"/>
  <c r="CY65" i="2"/>
  <c r="CY154" i="2"/>
  <c r="CY183" i="2"/>
  <c r="CY109" i="2"/>
  <c r="CY134" i="2"/>
  <c r="CY84" i="2"/>
  <c r="CY69" i="2"/>
  <c r="CY152" i="2"/>
  <c r="CY136" i="2"/>
  <c r="CY72" i="2"/>
  <c r="CY120" i="2"/>
  <c r="CY105" i="2"/>
  <c r="CY128" i="2"/>
  <c r="CY169" i="2"/>
  <c r="CY166" i="2"/>
  <c r="CY81" i="2"/>
  <c r="CY189" i="2"/>
  <c r="CY86" i="2"/>
  <c r="CY92" i="2"/>
  <c r="CY8" i="2"/>
  <c r="CY61" i="2"/>
  <c r="CY114" i="2"/>
  <c r="CY59" i="2"/>
  <c r="CY32" i="2"/>
  <c r="CY193" i="2"/>
  <c r="CY70" i="2"/>
  <c r="CY55" i="2"/>
  <c r="CY123" i="2"/>
  <c r="CY145" i="2"/>
  <c r="CY125" i="2"/>
  <c r="CY82" i="2"/>
  <c r="CY174" i="2"/>
  <c r="CY73" i="2"/>
  <c r="CY102" i="2"/>
  <c r="CY141" i="2"/>
  <c r="CY186" i="2"/>
  <c r="CY71" i="2"/>
  <c r="CY98" i="2"/>
  <c r="CY89" i="2"/>
  <c r="CY199" i="2"/>
  <c r="CY54" i="2"/>
  <c r="CY194" i="2"/>
  <c r="CY101" i="2"/>
  <c r="CY143" i="2"/>
  <c r="CY68" i="2"/>
  <c r="CY6" i="2"/>
  <c r="CY187" i="2"/>
  <c r="CY18" i="2"/>
  <c r="CY108" i="2"/>
  <c r="CY184" i="2"/>
  <c r="CY162" i="2"/>
  <c r="CY56" i="2"/>
  <c r="CY155" i="2"/>
  <c r="CY168" i="2"/>
  <c r="CY79" i="2"/>
  <c r="CY173" i="2"/>
  <c r="CY41" i="2"/>
  <c r="CY127" i="2"/>
  <c r="CY88" i="2"/>
  <c r="CY29" i="2"/>
  <c r="CY38" i="2"/>
  <c r="CY151" i="2"/>
  <c r="CY12" i="2"/>
  <c r="CY195" i="2"/>
  <c r="CY139" i="2"/>
  <c r="CY28" i="2"/>
  <c r="CY85" i="2"/>
  <c r="CY100" i="2"/>
  <c r="CY50" i="2"/>
  <c r="CY9" i="2"/>
  <c r="CY142" i="2"/>
  <c r="CY97" i="2"/>
  <c r="CY178" i="2"/>
  <c r="CY144" i="2"/>
  <c r="CY62" i="2"/>
  <c r="CY181" i="2"/>
  <c r="CY13" i="2"/>
  <c r="CY191" i="2"/>
  <c r="CY45" i="2"/>
  <c r="CY93" i="2"/>
  <c r="CY30" i="2"/>
  <c r="CY57" i="2"/>
  <c r="CY146" i="2"/>
  <c r="CY64" i="2"/>
  <c r="CY5" i="2"/>
  <c r="CY149" i="2"/>
  <c r="CY22" i="2"/>
  <c r="CY201" i="2"/>
  <c r="CY156" i="2"/>
  <c r="CY131" i="2"/>
  <c r="CY179" i="2"/>
  <c r="CY90" i="2"/>
  <c r="CY203" i="2"/>
  <c r="CY21" i="2"/>
  <c r="CY185" i="2"/>
  <c r="CY31" i="2"/>
  <c r="CY99" i="2"/>
  <c r="CY157" i="2"/>
  <c r="CY3" i="2"/>
  <c r="C10" i="4" s="1"/>
  <c r="E10" i="4" s="1"/>
  <c r="F10" i="4" s="1"/>
  <c r="G10" i="4" s="1"/>
  <c r="L10" i="4" s="1"/>
  <c r="CY96" i="2"/>
  <c r="CY91" i="2"/>
  <c r="CY24" i="2"/>
  <c r="CY20" i="2"/>
  <c r="CY17" i="2"/>
  <c r="CY122" i="2"/>
  <c r="CY49" i="2"/>
  <c r="CY138" i="2"/>
  <c r="CY44" i="2"/>
  <c r="CY104" i="2"/>
  <c r="CY158" i="2"/>
  <c r="CY132" i="2"/>
  <c r="CY58" i="2"/>
  <c r="CY87" i="2"/>
  <c r="CY161" i="2"/>
  <c r="FE87" i="2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94" i="2" l="1"/>
  <c r="GZ118" i="2"/>
  <c r="GZ33" i="2"/>
  <c r="GZ187" i="2"/>
  <c r="GZ92" i="2"/>
  <c r="GZ116" i="2"/>
  <c r="GZ146" i="2"/>
  <c r="GZ148" i="2"/>
  <c r="GZ157" i="2"/>
  <c r="GZ79" i="2"/>
  <c r="GZ84" i="2"/>
  <c r="GZ62" i="2"/>
  <c r="GZ140" i="2"/>
  <c r="GZ7" i="2"/>
  <c r="GZ132" i="2"/>
  <c r="GZ135" i="2"/>
  <c r="GZ46" i="2"/>
  <c r="GZ153" i="2"/>
  <c r="GZ48" i="2"/>
  <c r="GZ196" i="2"/>
  <c r="GZ78" i="2"/>
  <c r="GZ154" i="2"/>
  <c r="GZ201" i="2"/>
  <c r="GZ11" i="2"/>
  <c r="GZ49" i="2"/>
  <c r="GZ9" i="2"/>
  <c r="GZ190" i="2"/>
  <c r="GZ13" i="2"/>
  <c r="GZ72" i="2"/>
  <c r="GZ53" i="2"/>
  <c r="GZ51" i="2"/>
  <c r="GZ70" i="2"/>
  <c r="GZ115" i="2"/>
  <c r="GZ164" i="2"/>
  <c r="GZ117" i="2"/>
  <c r="GZ141" i="2"/>
  <c r="GZ151" i="2"/>
  <c r="GZ133" i="2"/>
  <c r="GZ183" i="2"/>
  <c r="GZ96" i="2"/>
  <c r="GZ130" i="2"/>
  <c r="GZ68" i="2"/>
  <c r="GZ97" i="2"/>
  <c r="GZ181" i="2"/>
  <c r="GZ147" i="2"/>
  <c r="GZ67" i="2"/>
  <c r="GZ25" i="2"/>
  <c r="GZ60" i="2"/>
  <c r="GZ74" i="2"/>
  <c r="GZ99" i="2"/>
  <c r="GZ39" i="2"/>
  <c r="GZ110" i="2"/>
  <c r="GZ77" i="2"/>
  <c r="GZ94" i="2"/>
  <c r="GZ45" i="2"/>
  <c r="GZ174" i="2"/>
  <c r="GZ10" i="2"/>
  <c r="GZ59" i="2"/>
  <c r="GZ75" i="2"/>
  <c r="GZ43" i="2"/>
  <c r="GZ152" i="2"/>
  <c r="GZ179" i="2"/>
  <c r="GZ114" i="2"/>
  <c r="GZ65" i="2"/>
  <c r="GZ182" i="2"/>
  <c r="GZ86" i="2"/>
  <c r="GZ83" i="2"/>
  <c r="GZ158" i="2"/>
  <c r="GZ88" i="2"/>
  <c r="GZ28" i="2"/>
  <c r="GZ184" i="2"/>
  <c r="GZ22" i="2"/>
  <c r="GZ82" i="2"/>
  <c r="GZ85" i="2"/>
  <c r="GZ61" i="2"/>
  <c r="GZ87" i="2"/>
  <c r="GZ138" i="2"/>
  <c r="GZ98" i="2"/>
  <c r="GZ89" i="2"/>
  <c r="GZ156" i="2"/>
  <c r="GZ163" i="2"/>
  <c r="GZ178" i="2"/>
  <c r="GZ63" i="2"/>
  <c r="GZ162" i="2"/>
  <c r="GZ93" i="2"/>
  <c r="GZ76" i="2"/>
  <c r="GZ203" i="2"/>
  <c r="GZ149" i="2"/>
  <c r="GZ111" i="2"/>
  <c r="GZ18" i="2"/>
  <c r="GZ91" i="2"/>
  <c r="GZ167" i="2"/>
  <c r="GZ191" i="2"/>
  <c r="GZ131" i="2"/>
  <c r="GZ185" i="2"/>
  <c r="GZ47" i="2"/>
  <c r="GZ119" i="2"/>
  <c r="GZ36" i="2"/>
  <c r="GZ56" i="2"/>
  <c r="GZ188" i="2"/>
  <c r="GZ143" i="2"/>
  <c r="GZ186" i="2"/>
  <c r="GZ17" i="2"/>
  <c r="GZ134" i="2"/>
  <c r="GZ20" i="2"/>
  <c r="GZ23" i="2"/>
  <c r="GZ161" i="2"/>
  <c r="GZ123" i="2"/>
  <c r="GZ102" i="2"/>
  <c r="GZ57" i="2"/>
  <c r="GZ71" i="2"/>
  <c r="GZ50" i="2"/>
  <c r="GZ202" i="2"/>
  <c r="GZ127" i="2"/>
  <c r="GZ168" i="2"/>
  <c r="GZ105" i="2"/>
  <c r="GZ159" i="2"/>
  <c r="GZ192" i="2"/>
  <c r="GZ55" i="2"/>
  <c r="GZ122" i="2"/>
  <c r="GZ37" i="2"/>
  <c r="GZ112" i="2"/>
  <c r="GZ197" i="2"/>
  <c r="GZ195" i="2"/>
  <c r="GZ144" i="2"/>
  <c r="GZ101" i="2"/>
  <c r="GZ30" i="2"/>
  <c r="GZ58" i="2"/>
  <c r="GZ177" i="2"/>
  <c r="GZ180" i="2"/>
  <c r="GZ35" i="2"/>
  <c r="GZ90" i="2"/>
  <c r="GZ137" i="2"/>
  <c r="GZ121" i="2"/>
  <c r="GZ54" i="2"/>
  <c r="GZ199" i="2"/>
  <c r="GZ176" i="2"/>
  <c r="GZ166" i="2"/>
  <c r="GZ173" i="2"/>
  <c r="GZ5" i="2"/>
  <c r="GZ175" i="2"/>
  <c r="GZ26" i="2"/>
  <c r="GZ100" i="2"/>
  <c r="GZ198" i="2"/>
  <c r="GZ81" i="2"/>
  <c r="GZ169" i="2"/>
  <c r="GZ64" i="2"/>
  <c r="GZ52" i="2"/>
  <c r="GZ32" i="2"/>
  <c r="GZ124" i="2"/>
  <c r="GZ40" i="2"/>
  <c r="GZ193" i="2"/>
  <c r="GZ200" i="2"/>
  <c r="GZ8" i="2"/>
  <c r="GZ80" i="2"/>
  <c r="GZ165" i="2"/>
  <c r="GZ128" i="2"/>
  <c r="GZ170" i="2"/>
  <c r="GZ150" i="2"/>
  <c r="GZ125" i="2"/>
  <c r="GZ14" i="2"/>
  <c r="GZ109" i="2"/>
  <c r="GZ106" i="2"/>
  <c r="GZ189" i="2"/>
  <c r="GZ95" i="2"/>
  <c r="GZ21" i="2"/>
  <c r="GZ145" i="2"/>
  <c r="GZ44" i="2"/>
  <c r="GZ113" i="2"/>
  <c r="GZ19" i="2"/>
  <c r="GZ126" i="2"/>
  <c r="GZ104" i="2"/>
  <c r="GZ42" i="2"/>
  <c r="GZ73" i="2"/>
  <c r="GZ12" i="2"/>
  <c r="GZ41" i="2"/>
  <c r="GZ120" i="2"/>
  <c r="GZ29" i="2"/>
  <c r="GZ171" i="2"/>
  <c r="GZ69" i="2"/>
  <c r="GZ136" i="2"/>
  <c r="GZ4" i="2"/>
  <c r="GZ103" i="2"/>
  <c r="GZ66" i="2"/>
  <c r="GZ108" i="2"/>
  <c r="GZ139" i="2"/>
  <c r="GZ172" i="2"/>
  <c r="GZ160" i="2"/>
  <c r="GZ129" i="2"/>
  <c r="GZ34" i="2"/>
  <c r="GZ24" i="2"/>
  <c r="GZ31" i="2"/>
  <c r="GZ15" i="2"/>
  <c r="GZ155" i="2"/>
  <c r="GZ27" i="2"/>
  <c r="GZ142" i="2"/>
  <c r="GZ16" i="2"/>
  <c r="GZ38" i="2"/>
  <c r="GZ6" i="2"/>
  <c r="GZ107" i="2"/>
  <c r="GZ3" i="2"/>
  <c r="C15" i="4" s="1"/>
  <c r="E15" i="4" s="1"/>
  <c r="F15" i="4" s="1"/>
  <c r="G15" i="4" s="1"/>
  <c r="L15" i="4" s="1"/>
  <c r="GE95" i="2"/>
  <c r="GE114" i="2"/>
  <c r="GE187" i="2"/>
  <c r="GE172" i="2"/>
  <c r="GE69" i="2"/>
  <c r="GE53" i="2"/>
  <c r="GE8" i="2"/>
  <c r="GE43" i="2"/>
  <c r="GE140" i="2"/>
  <c r="GE80" i="2"/>
  <c r="GE154" i="2"/>
  <c r="GE20" i="2"/>
  <c r="GE143" i="2"/>
  <c r="GE105" i="2"/>
  <c r="GE130" i="2"/>
  <c r="GE46" i="2"/>
  <c r="GE57" i="2"/>
  <c r="GE76" i="2"/>
  <c r="GE139" i="2"/>
  <c r="GE30" i="2"/>
  <c r="GE117" i="2"/>
  <c r="GE153" i="2"/>
  <c r="GE40" i="2"/>
  <c r="GE115" i="2"/>
  <c r="GE23" i="2"/>
  <c r="GE200" i="2"/>
  <c r="GE96" i="2"/>
  <c r="GE78" i="2"/>
  <c r="GE34" i="2"/>
  <c r="GE116" i="2"/>
  <c r="GE86" i="2"/>
  <c r="GE168" i="2"/>
  <c r="GE12" i="2"/>
  <c r="GE77" i="2"/>
  <c r="GE193" i="2"/>
  <c r="GE16" i="2"/>
  <c r="GE137" i="2"/>
  <c r="GE72" i="2"/>
  <c r="GE170" i="2"/>
  <c r="GE7" i="2"/>
  <c r="GE94" i="2"/>
  <c r="GE9" i="2"/>
  <c r="GE56" i="2"/>
  <c r="GE6" i="2"/>
  <c r="GE83" i="2"/>
  <c r="GE145" i="2"/>
  <c r="GE97" i="2"/>
  <c r="GE164" i="2"/>
  <c r="GE48" i="2"/>
  <c r="GE91" i="2"/>
  <c r="GE44" i="2"/>
  <c r="GE28" i="2"/>
  <c r="GE37" i="2"/>
  <c r="GE47" i="2"/>
  <c r="GE121" i="2"/>
  <c r="GE45" i="2"/>
  <c r="GE17" i="2"/>
  <c r="GE100" i="2"/>
  <c r="GE21" i="2"/>
  <c r="GE122" i="2"/>
  <c r="GE138" i="2"/>
  <c r="GE5" i="2"/>
  <c r="GE113" i="2"/>
  <c r="GE24" i="2"/>
  <c r="GE161" i="2"/>
  <c r="GE93" i="2"/>
  <c r="GE81" i="2"/>
  <c r="GE55" i="2"/>
  <c r="GE90" i="2"/>
  <c r="GE167" i="2"/>
  <c r="GE87" i="2"/>
  <c r="GE123" i="2"/>
  <c r="GE41" i="2"/>
  <c r="GE108" i="2"/>
  <c r="GE49" i="2"/>
  <c r="GE11" i="2"/>
  <c r="GE66" i="2"/>
  <c r="GE79" i="2"/>
  <c r="GE18" i="2"/>
  <c r="GE124" i="2"/>
  <c r="GE173" i="2"/>
  <c r="GE129" i="2"/>
  <c r="GE163" i="2"/>
  <c r="GE19" i="2"/>
  <c r="GE107" i="2"/>
  <c r="GE88" i="2"/>
  <c r="GE92" i="2"/>
  <c r="GE126" i="2"/>
  <c r="GE176" i="2"/>
  <c r="GE190" i="2"/>
  <c r="GE131" i="2"/>
  <c r="GE39" i="2"/>
  <c r="GE166" i="2"/>
  <c r="GE158" i="2"/>
  <c r="GE71" i="2"/>
  <c r="GE111" i="2"/>
  <c r="GE203" i="2"/>
  <c r="GE104" i="2"/>
  <c r="GE99" i="2"/>
  <c r="GE119" i="2"/>
  <c r="GE4" i="2"/>
  <c r="GE102" i="2"/>
  <c r="GE118" i="2"/>
  <c r="GE58" i="2"/>
  <c r="GE191" i="2"/>
  <c r="GE52" i="2"/>
  <c r="GE70" i="2"/>
  <c r="GE171" i="2"/>
  <c r="GE159" i="2"/>
  <c r="GE54" i="2"/>
  <c r="GE14" i="2"/>
  <c r="GE35" i="2"/>
  <c r="GE33" i="2"/>
  <c r="GE142" i="2"/>
  <c r="GE157" i="2"/>
  <c r="GE196" i="2"/>
  <c r="GE128" i="2"/>
  <c r="GE150" i="2"/>
  <c r="GE174" i="2"/>
  <c r="GE25" i="2"/>
  <c r="GE169" i="2"/>
  <c r="GE149" i="2"/>
  <c r="GE103" i="2"/>
  <c r="GE185" i="2"/>
  <c r="GE192" i="2"/>
  <c r="GE62" i="2"/>
  <c r="GE59" i="2"/>
  <c r="GE152" i="2"/>
  <c r="GE64" i="2"/>
  <c r="GE188" i="2"/>
  <c r="GE178" i="2"/>
  <c r="GE155" i="2"/>
  <c r="GE29" i="2"/>
  <c r="GE182" i="2"/>
  <c r="GE144" i="2"/>
  <c r="GE50" i="2"/>
  <c r="GE141" i="2"/>
  <c r="GE127" i="2"/>
  <c r="GE148" i="2"/>
  <c r="GE186" i="2"/>
  <c r="GE184" i="2"/>
  <c r="GE160" i="2"/>
  <c r="GE125" i="2"/>
  <c r="GE202" i="2"/>
  <c r="GE179" i="2"/>
  <c r="GE120" i="2"/>
  <c r="GE38" i="2"/>
  <c r="GE60" i="2"/>
  <c r="GE194" i="2"/>
  <c r="GE98" i="2"/>
  <c r="GE198" i="2"/>
  <c r="GE109" i="2"/>
  <c r="GE151" i="2"/>
  <c r="GE195" i="2"/>
  <c r="GE165" i="2"/>
  <c r="GE89" i="2"/>
  <c r="GE63" i="2"/>
  <c r="GE183" i="2"/>
  <c r="GE36" i="2"/>
  <c r="GE197" i="2"/>
  <c r="GE13" i="2"/>
  <c r="GE132" i="2"/>
  <c r="GE110" i="2"/>
  <c r="GE84" i="2"/>
  <c r="GE74" i="2"/>
  <c r="GE10" i="2"/>
  <c r="GE51" i="2"/>
  <c r="GE75" i="2"/>
  <c r="GE106" i="2"/>
  <c r="GE61" i="2"/>
  <c r="GE135" i="2"/>
  <c r="GE82" i="2"/>
  <c r="GE201" i="2"/>
  <c r="GE133" i="2"/>
  <c r="GE147" i="2"/>
  <c r="GE175" i="2"/>
  <c r="GE181" i="2"/>
  <c r="GE180" i="2"/>
  <c r="GE27" i="2"/>
  <c r="GE101" i="2"/>
  <c r="GE31" i="2"/>
  <c r="GE134" i="2"/>
  <c r="GE112" i="2"/>
  <c r="GE146" i="2"/>
  <c r="GE26" i="2"/>
  <c r="GE15" i="2"/>
  <c r="GE22" i="2"/>
  <c r="GE189" i="2"/>
  <c r="GE73" i="2"/>
  <c r="GE162" i="2"/>
  <c r="GE156" i="2"/>
  <c r="GE136" i="2"/>
  <c r="GE42" i="2"/>
  <c r="GE199" i="2"/>
  <c r="GE68" i="2"/>
  <c r="GE177" i="2"/>
  <c r="GE32" i="2"/>
  <c r="GE67" i="2"/>
  <c r="GE85" i="2"/>
  <c r="GE65" i="2"/>
  <c r="GE3" i="2"/>
  <c r="C14" i="4" s="1"/>
  <c r="E14" i="4" s="1"/>
  <c r="F14" i="4" s="1"/>
  <c r="G14" i="4" s="1"/>
  <c r="L14" i="4" s="1"/>
  <c r="FJ171" i="2"/>
  <c r="FJ156" i="2"/>
  <c r="FJ77" i="2"/>
  <c r="FJ89" i="2"/>
  <c r="FJ102" i="2"/>
  <c r="FJ148" i="2"/>
  <c r="FJ13" i="2"/>
  <c r="FJ94" i="2"/>
  <c r="FJ54" i="2"/>
  <c r="FJ153" i="2"/>
  <c r="FJ137" i="2"/>
  <c r="FJ25" i="2"/>
  <c r="FJ72" i="2"/>
  <c r="FJ147" i="2"/>
  <c r="FJ176" i="2"/>
  <c r="FJ130" i="2"/>
  <c r="FJ83" i="2"/>
  <c r="FJ37" i="2"/>
  <c r="FJ79" i="2"/>
  <c r="FJ74" i="2"/>
  <c r="FJ103" i="2"/>
  <c r="FJ166" i="2"/>
  <c r="FJ38" i="2"/>
  <c r="FJ11" i="2"/>
  <c r="FJ155" i="2"/>
  <c r="FJ119" i="2"/>
  <c r="FJ199" i="2"/>
  <c r="FJ187" i="2"/>
  <c r="FJ116" i="2"/>
  <c r="FJ52" i="2"/>
  <c r="FJ124" i="2"/>
  <c r="FJ186" i="2"/>
  <c r="FJ108" i="2"/>
  <c r="FJ57" i="2"/>
  <c r="FJ20" i="2"/>
  <c r="FJ198" i="2"/>
  <c r="FJ6" i="2"/>
  <c r="FJ143" i="2"/>
  <c r="FJ90" i="2"/>
  <c r="FJ48" i="2"/>
  <c r="FJ146" i="2"/>
  <c r="FJ22" i="2"/>
  <c r="FJ138" i="2"/>
  <c r="FJ165" i="2"/>
  <c r="FJ31" i="2"/>
  <c r="FJ84" i="2"/>
  <c r="FJ175" i="2"/>
  <c r="FJ85" i="2"/>
  <c r="FJ117" i="2"/>
  <c r="FJ8" i="2"/>
  <c r="FJ169" i="2"/>
  <c r="FJ195" i="2"/>
  <c r="FJ60" i="2"/>
  <c r="FJ7" i="2"/>
  <c r="FJ73" i="2"/>
  <c r="FJ106" i="2"/>
  <c r="FJ164" i="2"/>
  <c r="FJ81" i="2"/>
  <c r="FJ19" i="2"/>
  <c r="FJ126" i="2"/>
  <c r="FJ105" i="2"/>
  <c r="FJ178" i="2"/>
  <c r="FJ162" i="2"/>
  <c r="FJ140" i="2"/>
  <c r="FJ9" i="2"/>
  <c r="FJ92" i="2"/>
  <c r="FJ75" i="2"/>
  <c r="FJ47" i="2"/>
  <c r="FJ203" i="2"/>
  <c r="FJ98" i="2"/>
  <c r="FJ66" i="2"/>
  <c r="FJ157" i="2"/>
  <c r="FJ39" i="2"/>
  <c r="FJ109" i="2"/>
  <c r="FJ128" i="2"/>
  <c r="FJ150" i="2"/>
  <c r="FJ191" i="2"/>
  <c r="FJ71" i="2"/>
  <c r="FJ55" i="2"/>
  <c r="FJ3" i="2"/>
  <c r="C13" i="4" s="1"/>
  <c r="E13" i="4" s="1"/>
  <c r="F13" i="4" s="1"/>
  <c r="G13" i="4" s="1"/>
  <c r="L13" i="4" s="1"/>
  <c r="FJ182" i="2"/>
  <c r="FJ65" i="2"/>
  <c r="FJ189" i="2"/>
  <c r="FJ18" i="2"/>
  <c r="FJ21" i="2"/>
  <c r="FJ44" i="2"/>
  <c r="FJ154" i="2"/>
  <c r="FJ114" i="2"/>
  <c r="FJ183" i="2"/>
  <c r="FJ104" i="2"/>
  <c r="FJ101" i="2"/>
  <c r="FJ34" i="2"/>
  <c r="FJ197" i="2"/>
  <c r="FJ193" i="2"/>
  <c r="FJ139" i="2"/>
  <c r="FJ32" i="2"/>
  <c r="FJ59" i="2"/>
  <c r="FJ24" i="2"/>
  <c r="FJ46" i="2"/>
  <c r="FJ177" i="2"/>
  <c r="FJ163" i="2"/>
  <c r="FJ27" i="2"/>
  <c r="FJ56" i="2"/>
  <c r="FJ131" i="2"/>
  <c r="FJ58" i="2"/>
  <c r="FJ196" i="2"/>
  <c r="FJ36" i="2"/>
  <c r="FJ80" i="2"/>
  <c r="FJ125" i="2"/>
  <c r="FJ41" i="2"/>
  <c r="FJ93" i="2"/>
  <c r="FJ111" i="2"/>
  <c r="FJ152" i="2"/>
  <c r="FJ51" i="2"/>
  <c r="FJ14" i="2"/>
  <c r="FJ62" i="2"/>
  <c r="FJ35" i="2"/>
  <c r="FJ161" i="2"/>
  <c r="FJ185" i="2"/>
  <c r="FJ160" i="2"/>
  <c r="FJ188" i="2"/>
  <c r="FJ158" i="2"/>
  <c r="FJ172" i="2"/>
  <c r="FJ17" i="2"/>
  <c r="FJ82" i="2"/>
  <c r="FJ26" i="2"/>
  <c r="FJ159" i="2"/>
  <c r="FJ167" i="2"/>
  <c r="FJ33" i="2"/>
  <c r="FJ190" i="2"/>
  <c r="FJ43" i="2"/>
  <c r="FJ40" i="2"/>
  <c r="FJ49" i="2"/>
  <c r="FJ201" i="2"/>
  <c r="FJ15" i="2"/>
  <c r="FJ123" i="2"/>
  <c r="FJ16" i="2"/>
  <c r="FJ179" i="2"/>
  <c r="FJ53" i="2"/>
  <c r="FJ134" i="2"/>
  <c r="FJ63" i="2"/>
  <c r="FJ121" i="2"/>
  <c r="FJ50" i="2"/>
  <c r="FJ42" i="2"/>
  <c r="FJ142" i="2"/>
  <c r="FJ110" i="2"/>
  <c r="FJ4" i="2"/>
  <c r="FJ67" i="2"/>
  <c r="FJ170" i="2"/>
  <c r="FJ149" i="2"/>
  <c r="FJ95" i="2"/>
  <c r="FJ5" i="2"/>
  <c r="FJ30" i="2"/>
  <c r="FJ86" i="2"/>
  <c r="FJ115" i="2"/>
  <c r="FJ10" i="2"/>
  <c r="FJ88" i="2"/>
  <c r="FJ61" i="2"/>
  <c r="FJ69" i="2"/>
  <c r="FJ168" i="2"/>
  <c r="FJ174" i="2"/>
  <c r="FJ135" i="2"/>
  <c r="FJ68" i="2"/>
  <c r="FJ144" i="2"/>
  <c r="FJ132" i="2"/>
  <c r="FJ87" i="2"/>
  <c r="FJ173" i="2"/>
  <c r="FJ78" i="2"/>
  <c r="FJ136" i="2"/>
  <c r="FJ181" i="2"/>
  <c r="FJ91" i="2"/>
  <c r="FJ200" i="2"/>
  <c r="FJ194" i="2"/>
  <c r="FJ100" i="2"/>
  <c r="FJ184" i="2"/>
  <c r="FJ76" i="2"/>
  <c r="FJ192" i="2"/>
  <c r="FJ28" i="2"/>
  <c r="FJ112" i="2"/>
  <c r="FJ141" i="2"/>
  <c r="FJ180" i="2"/>
  <c r="FJ99" i="2"/>
  <c r="FJ70" i="2"/>
  <c r="FJ107" i="2"/>
  <c r="FJ133" i="2"/>
  <c r="FJ23" i="2"/>
  <c r="FJ64" i="2"/>
  <c r="FJ122" i="2"/>
  <c r="FJ120" i="2"/>
  <c r="FJ145" i="2"/>
  <c r="FJ129" i="2"/>
  <c r="FJ202" i="2"/>
  <c r="FJ127" i="2"/>
  <c r="FJ113" i="2"/>
  <c r="FJ151" i="2"/>
  <c r="FJ96" i="2"/>
  <c r="FJ12" i="2"/>
  <c r="FJ97" i="2"/>
  <c r="FJ45" i="2"/>
  <c r="FJ29" i="2"/>
  <c r="FJ11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55" i="2" l="1"/>
  <c r="BI43" i="2"/>
  <c r="BI199" i="2"/>
  <c r="BI26" i="2"/>
  <c r="BI53" i="2"/>
  <c r="BI97" i="2"/>
  <c r="BI86" i="2"/>
  <c r="BI39" i="2"/>
  <c r="BI177" i="2"/>
  <c r="BI186" i="2"/>
  <c r="BI68" i="2"/>
  <c r="BI105" i="2"/>
  <c r="BI146" i="2"/>
  <c r="BI187" i="2"/>
  <c r="BI89" i="2"/>
  <c r="BI98" i="2"/>
  <c r="BI182" i="2"/>
  <c r="BI125" i="2"/>
  <c r="BI27" i="2"/>
  <c r="BI28" i="2"/>
  <c r="BI178" i="2"/>
  <c r="BI180" i="2"/>
  <c r="BI142" i="2"/>
  <c r="BI77" i="2"/>
  <c r="BI167" i="2"/>
  <c r="BI166" i="2"/>
  <c r="BI132" i="2"/>
  <c r="BI131" i="2"/>
  <c r="BI17" i="2"/>
  <c r="BI25" i="2"/>
  <c r="BI165" i="2"/>
  <c r="BI69" i="2"/>
  <c r="BI20" i="2"/>
  <c r="BI197" i="2"/>
  <c r="BI72" i="2"/>
  <c r="BI154" i="2"/>
  <c r="BI121" i="2"/>
  <c r="BI35" i="2"/>
  <c r="BI59" i="2"/>
  <c r="BI136" i="2"/>
  <c r="BI14" i="2"/>
  <c r="BI194" i="2"/>
  <c r="BI120" i="2"/>
  <c r="BI168" i="2"/>
  <c r="BI30" i="2"/>
  <c r="BI80" i="2"/>
  <c r="BI124" i="2"/>
  <c r="BI175" i="2"/>
  <c r="BI126" i="2"/>
  <c r="BI44" i="2"/>
  <c r="BI62" i="2"/>
  <c r="BI64" i="2"/>
  <c r="BI119" i="2"/>
  <c r="BI90" i="2"/>
  <c r="BI114" i="2"/>
  <c r="BI157" i="2"/>
  <c r="BI6" i="2"/>
  <c r="BI150" i="2"/>
  <c r="BI169" i="2"/>
  <c r="BI57" i="2"/>
  <c r="BI113" i="2"/>
  <c r="BI108" i="2"/>
  <c r="BI93" i="2"/>
  <c r="BI56" i="2"/>
  <c r="BI139" i="2"/>
  <c r="BI118" i="2"/>
  <c r="BI87" i="2"/>
  <c r="BI202" i="2"/>
  <c r="BI134" i="2"/>
  <c r="BI78" i="2"/>
  <c r="BI162" i="2"/>
  <c r="BI115" i="2"/>
  <c r="BI149" i="2"/>
  <c r="BI75" i="2"/>
  <c r="BI100" i="2"/>
  <c r="BI37" i="2"/>
  <c r="BI148" i="2"/>
  <c r="BI24" i="2"/>
  <c r="BI88" i="2"/>
  <c r="BI55" i="2"/>
  <c r="BI159" i="2"/>
  <c r="BI33" i="2"/>
  <c r="BI117" i="2"/>
  <c r="BI52" i="2"/>
  <c r="BI38" i="2"/>
  <c r="BI170" i="2"/>
  <c r="BI74" i="2"/>
  <c r="BI128" i="2"/>
  <c r="BI123" i="2"/>
  <c r="BI67" i="2"/>
  <c r="BI106" i="2"/>
  <c r="BI130" i="2"/>
  <c r="BI190" i="2"/>
  <c r="BI140" i="2"/>
  <c r="BI47" i="2"/>
  <c r="BI135" i="2"/>
  <c r="BI58" i="2"/>
  <c r="BI61" i="2"/>
  <c r="BI95" i="2"/>
  <c r="BI137" i="2"/>
  <c r="BI60" i="2"/>
  <c r="BI83" i="2"/>
  <c r="BI143" i="2"/>
  <c r="BI12" i="2"/>
  <c r="BI99" i="2"/>
  <c r="BI48" i="2"/>
  <c r="BI4" i="2"/>
  <c r="BI172" i="2"/>
  <c r="BI173" i="2"/>
  <c r="BI112" i="2"/>
  <c r="BI102" i="2"/>
  <c r="BI9" i="2"/>
  <c r="BI85" i="2"/>
  <c r="BI21" i="2"/>
  <c r="BI103" i="2"/>
  <c r="BI36" i="2"/>
  <c r="BI29" i="2"/>
  <c r="BI5" i="2"/>
  <c r="BI198" i="2"/>
  <c r="BI195" i="2"/>
  <c r="BI185" i="2"/>
  <c r="BI129" i="2"/>
  <c r="BI158" i="2"/>
  <c r="BI79" i="2"/>
  <c r="BI84" i="2"/>
  <c r="BI111" i="2"/>
  <c r="BI91" i="2"/>
  <c r="BI127" i="2"/>
  <c r="BI147" i="2"/>
  <c r="BI23" i="2"/>
  <c r="BI110" i="2"/>
  <c r="BI145" i="2"/>
  <c r="BI32" i="2"/>
  <c r="BI41" i="2"/>
  <c r="BI156" i="2"/>
  <c r="BI46" i="2"/>
  <c r="BI181" i="2"/>
  <c r="BI7" i="2"/>
  <c r="BI51" i="2"/>
  <c r="BI82" i="2"/>
  <c r="BI133" i="2"/>
  <c r="BI107" i="2"/>
  <c r="BI191" i="2"/>
  <c r="BI196" i="2"/>
  <c r="BI70" i="2"/>
  <c r="BI160" i="2"/>
  <c r="BI171" i="2"/>
  <c r="BI45" i="2"/>
  <c r="BI116" i="2"/>
  <c r="BI184" i="2"/>
  <c r="BI22" i="2"/>
  <c r="BI193" i="2"/>
  <c r="BI201" i="2"/>
  <c r="BI15" i="2"/>
  <c r="BI179" i="2"/>
  <c r="BI101" i="2"/>
  <c r="BI161" i="2"/>
  <c r="BI63" i="2"/>
  <c r="BI200" i="2"/>
  <c r="BI65" i="2"/>
  <c r="BI189" i="2"/>
  <c r="BI104" i="2"/>
  <c r="BI153" i="2"/>
  <c r="BI141" i="2"/>
  <c r="BI49" i="2"/>
  <c r="BI109" i="2"/>
  <c r="BI152" i="2"/>
  <c r="BI174" i="2"/>
  <c r="BI151" i="2"/>
  <c r="BI40" i="2"/>
  <c r="BI19" i="2"/>
  <c r="BI76" i="2"/>
  <c r="BI96" i="2"/>
  <c r="BI92" i="2"/>
  <c r="BI163" i="2"/>
  <c r="BI10" i="2"/>
  <c r="BI183" i="2"/>
  <c r="BI11" i="2"/>
  <c r="BI164" i="2"/>
  <c r="BI73" i="2"/>
  <c r="BI54" i="2"/>
  <c r="BI176" i="2"/>
  <c r="BI81" i="2"/>
  <c r="BI42" i="2"/>
  <c r="BI188" i="2"/>
  <c r="BI122" i="2"/>
  <c r="BI16" i="2"/>
  <c r="BI3" i="2"/>
  <c r="C8" i="4" s="1"/>
  <c r="E8" i="4" s="1"/>
  <c r="F8" i="4" s="1"/>
  <c r="G8" i="4" s="1"/>
  <c r="L8" i="4" s="1"/>
  <c r="BI203" i="2"/>
  <c r="BI94" i="2"/>
  <c r="BI13" i="2"/>
  <c r="BI34" i="2"/>
  <c r="BI192" i="2"/>
  <c r="BI18" i="2"/>
  <c r="BI66" i="2"/>
  <c r="BI31" i="2"/>
  <c r="BI8" i="2"/>
  <c r="BI144" i="2"/>
  <c r="BI50" i="2"/>
  <c r="BI138" i="2"/>
  <c r="BI71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<sst xmlns="http://schemas.openxmlformats.org/spreadsheetml/2006/main" count="1009" uniqueCount="314">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</sst>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3909440"/>
        <c:axId val="-1405505984"/>
      </c:scatterChart>
      <c:valAx>
        <c:axId val="-713909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5984"/>
        <c:crosses val="autoZero"/>
        <c:crossBetween val="midCat"/>
      </c:valAx>
      <c:valAx>
        <c:axId val="-140550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3909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3.2647516674612578</c:v>
                </c:pt>
                <c:pt idx="2">
                  <c:v>4.0150798908873933</c:v>
                </c:pt>
                <c:pt idx="3">
                  <c:v>4.9385049314225391</c:v>
                </c:pt>
                <c:pt idx="4">
                  <c:v>6.0751007979600642</c:v>
                </c:pt>
                <c:pt idx="5">
                  <c:v>7.4742497420629066</c:v>
                </c:pt>
                <c:pt idx="6">
                  <c:v>9.1968109479427493</c:v>
                </c:pt>
                <c:pt idx="7">
                  <c:v>11.317795916981858</c:v>
                </c:pt>
                <c:pt idx="8">
                  <c:v>13.929669235737409</c:v>
                </c:pt>
                <c:pt idx="9">
                  <c:v>17.14642128331749</c:v>
                </c:pt>
                <c:pt idx="10">
                  <c:v>21.108593857712506</c:v>
                </c:pt>
                <c:pt idx="11">
                  <c:v>25.989482226776222</c:v>
                </c:pt>
                <c:pt idx="12">
                  <c:v>32.002789648745868</c:v>
                </c:pt>
                <c:pt idx="13">
                  <c:v>39.412075321462829</c:v>
                </c:pt>
                <c:pt idx="14">
                  <c:v>48.542416928887945</c:v>
                </c:pt>
                <c:pt idx="15">
                  <c:v>59.794808068333602</c:v>
                </c:pt>
                <c:pt idx="16">
                  <c:v>73.663933325798567</c:v>
                </c:pt>
                <c:pt idx="17">
                  <c:v>90.760115139196031</c:v>
                </c:pt>
                <c:pt idx="18">
                  <c:v>111.83641367495041</c:v>
                </c:pt>
                <c:pt idx="19">
                  <c:v>137.82209218199722</c:v>
                </c:pt>
                <c:pt idx="20">
                  <c:v>169.86394611557276</c:v>
                </c:pt>
                <c:pt idx="21">
                  <c:v>186.17529975179778</c:v>
                </c:pt>
                <c:pt idx="22">
                  <c:v>202.45329338095564</c:v>
                </c:pt>
                <c:pt idx="23">
                  <c:v>218.70098763811578</c:v>
                </c:pt>
                <c:pt idx="24">
                  <c:v>234.92095081432191</c:v>
                </c:pt>
                <c:pt idx="25">
                  <c:v>251.11536732553444</c:v>
                </c:pt>
                <c:pt idx="26">
                  <c:v>195.22253928938787</c:v>
                </c:pt>
                <c:pt idx="27">
                  <c:v>215.99502847920544</c:v>
                </c:pt>
                <c:pt idx="28">
                  <c:v>236.72155522512904</c:v>
                </c:pt>
                <c:pt idx="29">
                  <c:v>257.40670959179056</c:v>
                </c:pt>
                <c:pt idx="30">
                  <c:v>278.05428316466663</c:v>
                </c:pt>
                <c:pt idx="31">
                  <c:v>302.2490533212312</c:v>
                </c:pt>
                <c:pt idx="32">
                  <c:v>326.40072719926644</c:v>
                </c:pt>
                <c:pt idx="33">
                  <c:v>350.51293987860367</c:v>
                </c:pt>
                <c:pt idx="34">
                  <c:v>374.5887855969126</c:v>
                </c:pt>
                <c:pt idx="35">
                  <c:v>398.63092853205029</c:v>
                </c:pt>
                <c:pt idx="36">
                  <c:v>298.66745821941817</c:v>
                </c:pt>
                <c:pt idx="37">
                  <c:v>323.71921792546948</c:v>
                </c:pt>
                <c:pt idx="38">
                  <c:v>348.72813241867402</c:v>
                </c:pt>
                <c:pt idx="39">
                  <c:v>373.69770390114496</c:v>
                </c:pt>
                <c:pt idx="40">
                  <c:v>398.63092853205012</c:v>
                </c:pt>
                <c:pt idx="41">
                  <c:v>423.97473813861308</c:v>
                </c:pt>
                <c:pt idx="42">
                  <c:v>449.285956983311</c:v>
                </c:pt>
                <c:pt idx="43">
                  <c:v>474.5666774032432</c:v>
                </c:pt>
                <c:pt idx="44">
                  <c:v>499.81875081971026</c:v>
                </c:pt>
                <c:pt idx="45">
                  <c:v>525.04382649327385</c:v>
                </c:pt>
                <c:pt idx="46">
                  <c:v>425.30770062156694</c:v>
                </c:pt>
                <c:pt idx="47">
                  <c:v>449.72973549516269</c:v>
                </c:pt>
                <c:pt idx="48">
                  <c:v>474.12340797215165</c:v>
                </c:pt>
                <c:pt idx="49">
                  <c:v>498.49038104754044</c:v>
                </c:pt>
                <c:pt idx="50">
                  <c:v>522.83214202266072</c:v>
                </c:pt>
                <c:pt idx="51">
                  <c:v>545.3822331282405</c:v>
                </c:pt>
                <c:pt idx="52">
                  <c:v>567.9127647352941</c:v>
                </c:pt>
                <c:pt idx="53">
                  <c:v>590.42462120624759</c:v>
                </c:pt>
                <c:pt idx="54">
                  <c:v>612.91861403465157</c:v>
                </c:pt>
                <c:pt idx="55">
                  <c:v>635.39549035690573</c:v>
                </c:pt>
                <c:pt idx="56">
                  <c:v>532.56209117756305</c:v>
                </c:pt>
                <c:pt idx="57">
                  <c:v>553.33637170601048</c:v>
                </c:pt>
                <c:pt idx="58">
                  <c:v>574.094314073443</c:v>
                </c:pt>
                <c:pt idx="59">
                  <c:v>594.83659163226605</c:v>
                </c:pt>
                <c:pt idx="60">
                  <c:v>615.56382698883351</c:v>
                </c:pt>
                <c:pt idx="61">
                  <c:v>634.95492734600464</c:v>
                </c:pt>
                <c:pt idx="62">
                  <c:v>654.33379211017098</c:v>
                </c:pt>
                <c:pt idx="63">
                  <c:v>673.70083433013463</c:v>
                </c:pt>
                <c:pt idx="64">
                  <c:v>693.05644139351352</c:v>
                </c:pt>
                <c:pt idx="65">
                  <c:v>712.40097730759646</c:v>
                </c:pt>
                <c:pt idx="66">
                  <c:v>607.18650523611609</c:v>
                </c:pt>
                <c:pt idx="67">
                  <c:v>625.26093350286112</c:v>
                </c:pt>
                <c:pt idx="68">
                  <c:v>643.32454970129459</c:v>
                </c:pt>
                <c:pt idx="69">
                  <c:v>661.37769991395862</c:v>
                </c:pt>
                <c:pt idx="70">
                  <c:v>679.42070980579183</c:v>
                </c:pt>
                <c:pt idx="71">
                  <c:v>696.13471265297119</c:v>
                </c:pt>
                <c:pt idx="72">
                  <c:v>712.8404999070126</c:v>
                </c:pt>
                <c:pt idx="73">
                  <c:v>729.53829105942805</c:v>
                </c:pt>
                <c:pt idx="74">
                  <c:v>746.22829474394973</c:v>
                </c:pt>
                <c:pt idx="75">
                  <c:v>762.91070950942469</c:v>
                </c:pt>
                <c:pt idx="76">
                  <c:v>655.21436567206308</c:v>
                </c:pt>
                <c:pt idx="77">
                  <c:v>670.62048860279288</c:v>
                </c:pt>
                <c:pt idx="78">
                  <c:v>686.01933844928806</c:v>
                </c:pt>
                <c:pt idx="79">
                  <c:v>701.41110134898781</c:v>
                </c:pt>
                <c:pt idx="80">
                  <c:v>716.79595461020892</c:v>
                </c:pt>
                <c:pt idx="81">
                  <c:v>732.17406731534845</c:v>
                </c:pt>
                <c:pt idx="82">
                  <c:v>747.545600870817</c:v>
                </c:pt>
                <c:pt idx="83">
                  <c:v>762.91070950942469</c:v>
                </c:pt>
                <c:pt idx="84">
                  <c:v>778.26954075022695</c:v>
                </c:pt>
                <c:pt idx="85">
                  <c:v>793.62223582021727</c:v>
                </c:pt>
                <c:pt idx="86">
                  <c:v>684.47977537723136</c:v>
                </c:pt>
                <c:pt idx="87">
                  <c:v>698.33330709188306</c:v>
                </c:pt>
                <c:pt idx="88">
                  <c:v>712.18121393035437</c:v>
                </c:pt>
                <c:pt idx="89">
                  <c:v>726.02362060413088</c:v>
                </c:pt>
                <c:pt idx="90">
                  <c:v>739.86064668469533</c:v>
                </c:pt>
                <c:pt idx="91">
                  <c:v>753.69240690953086</c:v>
                </c:pt>
                <c:pt idx="92">
                  <c:v>767.51901146451064</c:v>
                </c:pt>
                <c:pt idx="93">
                  <c:v>781.34056624489449</c:v>
                </c:pt>
                <c:pt idx="94">
                  <c:v>795.15717309691638</c:v>
                </c:pt>
                <c:pt idx="95">
                  <c:v>808.96893004172159</c:v>
                </c:pt>
                <c:pt idx="96">
                  <c:v>698.11345403330472</c:v>
                </c:pt>
                <c:pt idx="97">
                  <c:v>710.20328112121763</c:v>
                </c:pt>
                <c:pt idx="98">
                  <c:v>722.28890296696807</c:v>
                </c:pt>
                <c:pt idx="99">
                  <c:v>734.37039981277292</c:v>
                </c:pt>
                <c:pt idx="100">
                  <c:v>746.44784904686264</c:v>
                </c:pt>
                <c:pt idx="101">
                  <c:v>758.52132535048941</c:v>
                </c:pt>
                <c:pt idx="102">
                  <c:v>770.59090083509284</c:v>
                </c:pt>
                <c:pt idx="103">
                  <c:v>782.65664517043342</c:v>
                </c:pt>
                <c:pt idx="104">
                  <c:v>794.71862570441817</c:v>
                </c:pt>
                <c:pt idx="105">
                  <c:v>806.77690757527978</c:v>
                </c:pt>
                <c:pt idx="106">
                  <c:v>701.19126808342662</c:v>
                </c:pt>
                <c:pt idx="107">
                  <c:v>711.96144916743935</c:v>
                </c:pt>
                <c:pt idx="108">
                  <c:v>722.72830192102822</c:v>
                </c:pt>
                <c:pt idx="109">
                  <c:v>733.49188289517679</c:v>
                </c:pt>
                <c:pt idx="110">
                  <c:v>744.252246846601</c:v>
                </c:pt>
                <c:pt idx="111">
                  <c:v>755.00944682034185</c:v>
                </c:pt>
                <c:pt idx="112">
                  <c:v>765.76353422740851</c:v>
                </c:pt>
                <c:pt idx="113">
                  <c:v>776.51455891783837</c:v>
                </c:pt>
                <c:pt idx="114">
                  <c:v>787.26256924949939</c:v>
                </c:pt>
                <c:pt idx="115">
                  <c:v>798.00761215294654</c:v>
                </c:pt>
                <c:pt idx="116">
                  <c:v>699.65239570232325</c:v>
                </c:pt>
                <c:pt idx="117">
                  <c:v>708.884596716891</c:v>
                </c:pt>
                <c:pt idx="118">
                  <c:v>718.11434033663784</c:v>
                </c:pt>
                <c:pt idx="119">
                  <c:v>727.34166258874723</c:v>
                </c:pt>
                <c:pt idx="120">
                  <c:v>736.56659851205734</c:v>
                </c:pt>
                <c:pt idx="121">
                  <c:v>745.78918219647505</c:v>
                </c:pt>
                <c:pt idx="122">
                  <c:v>755.0094468203414</c:v>
                </c:pt>
                <c:pt idx="123">
                  <c:v>764.22742468587649</c:v>
                </c:pt>
                <c:pt idx="124">
                  <c:v>773.44314725282811</c:v>
                </c:pt>
                <c:pt idx="125">
                  <c:v>782.65664517043285</c:v>
                </c:pt>
                <c:pt idx="126">
                  <c:v>692.61666551890141</c:v>
                </c:pt>
                <c:pt idx="127">
                  <c:v>701.41110134898747</c:v>
                </c:pt>
                <c:pt idx="128">
                  <c:v>710.20328112121695</c:v>
                </c:pt>
                <c:pt idx="129">
                  <c:v>718.99323669563512</c:v>
                </c:pt>
                <c:pt idx="130">
                  <c:v>727.78099908997785</c:v>
                </c:pt>
                <c:pt idx="131">
                  <c:v>736.56659851205734</c:v>
                </c:pt>
                <c:pt idx="132">
                  <c:v>745.35006439052552</c:v>
                </c:pt>
                <c:pt idx="133">
                  <c:v>754.13142540411081</c:v>
                </c:pt>
                <c:pt idx="134">
                  <c:v>762.91070950942412</c:v>
                </c:pt>
                <c:pt idx="135">
                  <c:v>771.68794396741851</c:v>
                </c:pt>
                <c:pt idx="136">
                  <c:v>685.35953439171578</c:v>
                </c:pt>
                <c:pt idx="137">
                  <c:v>693.49621155047362</c:v>
                </c:pt>
                <c:pt idx="138">
                  <c:v>701.63093320455812</c:v>
                </c:pt>
                <c:pt idx="139">
                  <c:v>709.76372521867142</c:v>
                </c:pt>
                <c:pt idx="140">
                  <c:v>717.89461281655906</c:v>
                </c:pt>
                <c:pt idx="141">
                  <c:v>726.02362060412997</c:v>
                </c:pt>
                <c:pt idx="142">
                  <c:v>734.15077259148404</c:v>
                </c:pt>
                <c:pt idx="143">
                  <c:v>742.27609221391697</c:v>
                </c:pt>
                <c:pt idx="144">
                  <c:v>750.39960235195679</c:v>
                </c:pt>
                <c:pt idx="145">
                  <c:v>758.52132535048838</c:v>
                </c:pt>
                <c:pt idx="146">
                  <c:v>765.9829733420903</c:v>
                </c:pt>
                <c:pt idx="147">
                  <c:v>773.44314725282777</c:v>
                </c:pt>
                <c:pt idx="148">
                  <c:v>780.90186330146344</c:v>
                </c:pt>
                <c:pt idx="149">
                  <c:v>788.35913737176395</c:v>
                </c:pt>
                <c:pt idx="150">
                  <c:v>795.81498502259058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2694208"/>
        <c:axId val="-1212692032"/>
      </c:scatterChart>
      <c:valAx>
        <c:axId val="-1212694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2692032"/>
        <c:crosses val="autoZero"/>
        <c:crossBetween val="midCat"/>
      </c:valAx>
      <c:valAx>
        <c:axId val="-121269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2694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665.20783246038218</c:v>
                </c:pt>
                <c:pt idx="147">
                  <c:v>671.68452142819604</c:v>
                </c:pt>
                <c:pt idx="148">
                  <c:v>678.15992699692333</c:v>
                </c:pt>
                <c:pt idx="149">
                  <c:v>684.63406314951362</c:v>
                </c:pt>
                <c:pt idx="150">
                  <c:v>691.10694358289231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5505440"/>
        <c:axId val="-1405504352"/>
      </c:scatterChart>
      <c:valAx>
        <c:axId val="-1405505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4352"/>
        <c:crosses val="autoZero"/>
        <c:crossBetween val="midCat"/>
      </c:valAx>
      <c:valAx>
        <c:axId val="-14055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5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3.0265804414992523</c:v>
                </c:pt>
                <c:pt idx="2">
                  <c:v>3.7770745260507002</c:v>
                </c:pt>
                <c:pt idx="3">
                  <c:v>4.7143818828782349</c:v>
                </c:pt>
                <c:pt idx="4">
                  <c:v>5.8851717832079489</c:v>
                </c:pt>
                <c:pt idx="5">
                  <c:v>7.3478114651845905</c:v>
                </c:pt>
                <c:pt idx="6">
                  <c:v>9.1753074202213316</c:v>
                </c:pt>
                <c:pt idx="7">
                  <c:v>11.458988337235455</c:v>
                </c:pt>
                <c:pt idx="8">
                  <c:v>14.313117205670153</c:v>
                </c:pt>
                <c:pt idx="9">
                  <c:v>17.880667593583876</c:v>
                </c:pt>
                <c:pt idx="10">
                  <c:v>22.34055869945179</c:v>
                </c:pt>
                <c:pt idx="11">
                  <c:v>27.916718496139335</c:v>
                </c:pt>
                <c:pt idx="12">
                  <c:v>34.889437995893097</c:v>
                </c:pt>
                <c:pt idx="13">
                  <c:v>43.609597201720852</c:v>
                </c:pt>
                <c:pt idx="14">
                  <c:v>54.516490742108687</c:v>
                </c:pt>
                <c:pt idx="15">
                  <c:v>68.160166129932051</c:v>
                </c:pt>
                <c:pt idx="16">
                  <c:v>85.229419603934645</c:v>
                </c:pt>
                <c:pt idx="17">
                  <c:v>106.58688560437186</c:v>
                </c:pt>
                <c:pt idx="18">
                  <c:v>133.31302117023171</c:v>
                </c:pt>
                <c:pt idx="19">
                  <c:v>166.76124483920745</c:v>
                </c:pt>
                <c:pt idx="20">
                  <c:v>208.62706473142649</c:v>
                </c:pt>
                <c:pt idx="21">
                  <c:v>228.33394726860402</c:v>
                </c:pt>
                <c:pt idx="22">
                  <c:v>248.00191632320661</c:v>
                </c:pt>
                <c:pt idx="23">
                  <c:v>267.63449169637636</c:v>
                </c:pt>
                <c:pt idx="24">
                  <c:v>287.23463438081916</c:v>
                </c:pt>
                <c:pt idx="25">
                  <c:v>306.80486817387464</c:v>
                </c:pt>
                <c:pt idx="26">
                  <c:v>241.04039351692231</c:v>
                </c:pt>
                <c:pt idx="27">
                  <c:v>261.09403976140408</c:v>
                </c:pt>
                <c:pt idx="28">
                  <c:v>281.1129136595859</c:v>
                </c:pt>
                <c:pt idx="29">
                  <c:v>301.09983903498318</c:v>
                </c:pt>
                <c:pt idx="30">
                  <c:v>321.05723416766966</c:v>
                </c:pt>
                <c:pt idx="31">
                  <c:v>340.58072012230485</c:v>
                </c:pt>
                <c:pt idx="32">
                  <c:v>360.07959913216501</c:v>
                </c:pt>
                <c:pt idx="33">
                  <c:v>379.55539054654463</c:v>
                </c:pt>
                <c:pt idx="34">
                  <c:v>399.00944512002997</c:v>
                </c:pt>
                <c:pt idx="35">
                  <c:v>418.44297119801394</c:v>
                </c:pt>
                <c:pt idx="36">
                  <c:v>353.58260936094575</c:v>
                </c:pt>
                <c:pt idx="37">
                  <c:v>371.84889400619687</c:v>
                </c:pt>
                <c:pt idx="38">
                  <c:v>390.09562155502158</c:v>
                </c:pt>
                <c:pt idx="39">
                  <c:v>408.3238351386106</c:v>
                </c:pt>
                <c:pt idx="40">
                  <c:v>426.53447718930823</c:v>
                </c:pt>
                <c:pt idx="41">
                  <c:v>444.32426956358063</c:v>
                </c:pt>
                <c:pt idx="42">
                  <c:v>462.09881038696238</c:v>
                </c:pt>
                <c:pt idx="43">
                  <c:v>479.85876858654404</c:v>
                </c:pt>
                <c:pt idx="44">
                  <c:v>497.60475956110281</c:v>
                </c:pt>
                <c:pt idx="45">
                  <c:v>515.33735125988142</c:v>
                </c:pt>
                <c:pt idx="46">
                  <c:v>443.11182156668536</c:v>
                </c:pt>
                <c:pt idx="47">
                  <c:v>459.67588238780223</c:v>
                </c:pt>
                <c:pt idx="48">
                  <c:v>476.22720551346396</c:v>
                </c:pt>
                <c:pt idx="49">
                  <c:v>492.76629578266898</c:v>
                </c:pt>
                <c:pt idx="50">
                  <c:v>509.29362139720428</c:v>
                </c:pt>
                <c:pt idx="51">
                  <c:v>524.60150533125068</c:v>
                </c:pt>
                <c:pt idx="52">
                  <c:v>539.89998139729266</c:v>
                </c:pt>
                <c:pt idx="53">
                  <c:v>555.18935360177841</c:v>
                </c:pt>
                <c:pt idx="54">
                  <c:v>570.46990784967454</c:v>
                </c:pt>
                <c:pt idx="55">
                  <c:v>585.7419134883047</c:v>
                </c:pt>
                <c:pt idx="56">
                  <c:v>512.1142160933565</c:v>
                </c:pt>
                <c:pt idx="57">
                  <c:v>527.01767161181431</c:v>
                </c:pt>
                <c:pt idx="58">
                  <c:v>541.91225469196945</c:v>
                </c:pt>
                <c:pt idx="59">
                  <c:v>556.79824344224187</c:v>
                </c:pt>
                <c:pt idx="60">
                  <c:v>571.67589989466626</c:v>
                </c:pt>
                <c:pt idx="61">
                  <c:v>585.7419134883047</c:v>
                </c:pt>
                <c:pt idx="62">
                  <c:v>599.80089073891156</c:v>
                </c:pt>
                <c:pt idx="63">
                  <c:v>613.85301973416733</c:v>
                </c:pt>
                <c:pt idx="64">
                  <c:v>627.8984792525431</c:v>
                </c:pt>
                <c:pt idx="65">
                  <c:v>641.93743942630658</c:v>
                </c:pt>
                <c:pt idx="66">
                  <c:v>567.2536682668956</c:v>
                </c:pt>
                <c:pt idx="67">
                  <c:v>580.92008269522148</c:v>
                </c:pt>
                <c:pt idx="68">
                  <c:v>594.57979415968305</c:v>
                </c:pt>
                <c:pt idx="69">
                  <c:v>608.23297828438228</c:v>
                </c:pt>
                <c:pt idx="70">
                  <c:v>621.8798021694812</c:v>
                </c:pt>
                <c:pt idx="71">
                  <c:v>634.31708611773058</c:v>
                </c:pt>
                <c:pt idx="72">
                  <c:v>646.74933039094424</c:v>
                </c:pt>
                <c:pt idx="73">
                  <c:v>659.17664547634035</c:v>
                </c:pt>
                <c:pt idx="74">
                  <c:v>671.59913735733869</c:v>
                </c:pt>
                <c:pt idx="75">
                  <c:v>684.01690777880265</c:v>
                </c:pt>
                <c:pt idx="76">
                  <c:v>611.64527417932254</c:v>
                </c:pt>
                <c:pt idx="77">
                  <c:v>623.48490017897257</c:v>
                </c:pt>
                <c:pt idx="78">
                  <c:v>635.31987178163763</c:v>
                </c:pt>
                <c:pt idx="79">
                  <c:v>647.15028788033294</c:v>
                </c:pt>
                <c:pt idx="80">
                  <c:v>658.97624345892939</c:v>
                </c:pt>
                <c:pt idx="81">
                  <c:v>670.7978298155308</c:v>
                </c:pt>
                <c:pt idx="82">
                  <c:v>682.61513476929429</c:v>
                </c:pt>
                <c:pt idx="83">
                  <c:v>694.42824285219058</c:v>
                </c:pt>
                <c:pt idx="84">
                  <c:v>706.23723548704709</c:v>
                </c:pt>
                <c:pt idx="85">
                  <c:v>718.04219115306705</c:v>
                </c:pt>
                <c:pt idx="86">
                  <c:v>648.75406662200533</c:v>
                </c:pt>
                <c:pt idx="87">
                  <c:v>659.57744574766457</c:v>
                </c:pt>
                <c:pt idx="88">
                  <c:v>670.39716866716606</c:v>
                </c:pt>
                <c:pt idx="89">
                  <c:v>681.21330268648455</c:v>
                </c:pt>
                <c:pt idx="90">
                  <c:v>692.02591280075592</c:v>
                </c:pt>
                <c:pt idx="91">
                  <c:v>702.83506180924326</c:v>
                </c:pt>
                <c:pt idx="92">
                  <c:v>713.64081042286762</c:v>
                </c:pt>
                <c:pt idx="93">
                  <c:v>724.44321736488746</c:v>
                </c:pt>
                <c:pt idx="94">
                  <c:v>735.24233946526829</c:v>
                </c:pt>
                <c:pt idx="95">
                  <c:v>746.03823174921956</c:v>
                </c:pt>
                <c:pt idx="96">
                  <c:v>682.01435683249235</c:v>
                </c:pt>
                <c:pt idx="97">
                  <c:v>692.02591280075546</c:v>
                </c:pt>
                <c:pt idx="98">
                  <c:v>702.03450144994724</c:v>
                </c:pt>
                <c:pt idx="99">
                  <c:v>712.04017103286753</c:v>
                </c:pt>
                <c:pt idx="100">
                  <c:v>722.04296833612</c:v>
                </c:pt>
                <c:pt idx="101">
                  <c:v>732.04293874478469</c:v>
                </c:pt>
                <c:pt idx="102">
                  <c:v>742.04012630338104</c:v>
                </c:pt>
                <c:pt idx="103">
                  <c:v>752.03457377337088</c:v>
                </c:pt>
                <c:pt idx="104">
                  <c:v>762.02632268745094</c:v>
                </c:pt>
                <c:pt idx="105">
                  <c:v>772.01541340085032</c:v>
                </c:pt>
                <c:pt idx="106">
                  <c:v>711.03973408794855</c:v>
                </c:pt>
                <c:pt idx="107">
                  <c:v>720.04263645967922</c:v>
                </c:pt>
                <c:pt idx="108">
                  <c:v>729.04324180015863</c:v>
                </c:pt>
                <c:pt idx="109">
                  <c:v>738.04158245712358</c:v>
                </c:pt>
                <c:pt idx="110">
                  <c:v>747.0376899254743</c:v>
                </c:pt>
                <c:pt idx="111">
                  <c:v>756.03159487997812</c:v>
                </c:pt>
                <c:pt idx="112">
                  <c:v>765.02332720633422</c:v>
                </c:pt>
                <c:pt idx="113">
                  <c:v>774.01291603070422</c:v>
                </c:pt>
                <c:pt idx="114">
                  <c:v>783.0003897478</c:v>
                </c:pt>
                <c:pt idx="115">
                  <c:v>791.98577604761533</c:v>
                </c:pt>
                <c:pt idx="116">
                  <c:v>800.37027711768985</c:v>
                </c:pt>
                <c:pt idx="117">
                  <c:v>808.75300479617442</c:v>
                </c:pt>
                <c:pt idx="118">
                  <c:v>817.13398004777048</c:v>
                </c:pt>
                <c:pt idx="119">
                  <c:v>825.51322337225247</c:v>
                </c:pt>
                <c:pt idx="120">
                  <c:v>833.8907548194951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5504896"/>
        <c:axId val="-1405498912"/>
      </c:scatterChart>
      <c:valAx>
        <c:axId val="-1405504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498912"/>
        <c:crosses val="autoZero"/>
        <c:crossBetween val="midCat"/>
      </c:valAx>
      <c:valAx>
        <c:axId val="-140549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4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2.0801803047891831</c:v>
                </c:pt>
                <c:pt idx="2">
                  <c:v>2.7905066044127733</c:v>
                </c:pt>
                <c:pt idx="3">
                  <c:v>3.74440534699754</c:v>
                </c:pt>
                <c:pt idx="4">
                  <c:v>5.0257259450507812</c:v>
                </c:pt>
                <c:pt idx="5">
                  <c:v>6.7472883259063394</c:v>
                </c:pt>
                <c:pt idx="6">
                  <c:v>9.0609262398723924</c:v>
                </c:pt>
                <c:pt idx="7">
                  <c:v>12.171023111680329</c:v>
                </c:pt>
                <c:pt idx="8">
                  <c:v>16.352758396569048</c:v>
                </c:pt>
                <c:pt idx="9">
                  <c:v>21.976708234197869</c:v>
                </c:pt>
                <c:pt idx="10">
                  <c:v>29.542019252430688</c:v>
                </c:pt>
                <c:pt idx="11">
                  <c:v>39.721151062240295</c:v>
                </c:pt>
                <c:pt idx="12">
                  <c:v>53.420232144414797</c:v>
                </c:pt>
                <c:pt idx="13">
                  <c:v>73.201093404762517</c:v>
                </c:pt>
                <c:pt idx="14">
                  <c:v>95.193802230849045</c:v>
                </c:pt>
                <c:pt idx="15">
                  <c:v>119.40669706000294</c:v>
                </c:pt>
                <c:pt idx="16">
                  <c:v>105.44872764883114</c:v>
                </c:pt>
                <c:pt idx="17">
                  <c:v>118.72814390822663</c:v>
                </c:pt>
                <c:pt idx="18">
                  <c:v>134.68918035095743</c:v>
                </c:pt>
                <c:pt idx="19">
                  <c:v>151.78802852533406</c:v>
                </c:pt>
                <c:pt idx="20">
                  <c:v>173.25204101823155</c:v>
                </c:pt>
                <c:pt idx="21">
                  <c:v>148.0711499146062</c:v>
                </c:pt>
                <c:pt idx="22">
                  <c:v>168.92923244181199</c:v>
                </c:pt>
                <c:pt idx="23">
                  <c:v>190.77159636850774</c:v>
                </c:pt>
                <c:pt idx="24">
                  <c:v>213.97096754156925</c:v>
                </c:pt>
                <c:pt idx="25">
                  <c:v>237.9113166552271</c:v>
                </c:pt>
                <c:pt idx="26">
                  <c:v>262.32090474724311</c:v>
                </c:pt>
                <c:pt idx="27">
                  <c:v>286.87538518437117</c:v>
                </c:pt>
                <c:pt idx="28">
                  <c:v>236.59799764047298</c:v>
                </c:pt>
                <c:pt idx="29">
                  <c:v>257.03469808962365</c:v>
                </c:pt>
                <c:pt idx="30">
                  <c:v>277.52190192244638</c:v>
                </c:pt>
                <c:pt idx="31">
                  <c:v>294.88813310014945</c:v>
                </c:pt>
                <c:pt idx="32">
                  <c:v>312.2315540880092</c:v>
                </c:pt>
                <c:pt idx="33">
                  <c:v>329.55360997969785</c:v>
                </c:pt>
                <c:pt idx="34">
                  <c:v>346.8555815579839</c:v>
                </c:pt>
                <c:pt idx="35">
                  <c:v>364.13861141287066</c:v>
                </c:pt>
                <c:pt idx="36">
                  <c:v>381.40372484013113</c:v>
                </c:pt>
                <c:pt idx="37">
                  <c:v>398.65184675714721</c:v>
                </c:pt>
                <c:pt idx="38">
                  <c:v>415.88381553796347</c:v>
                </c:pt>
                <c:pt idx="39">
                  <c:v>433.10039443558748</c:v>
                </c:pt>
                <c:pt idx="40">
                  <c:v>450.30228109339674</c:v>
                </c:pt>
                <c:pt idx="41">
                  <c:v>467.49011552757219</c:v>
                </c:pt>
                <c:pt idx="42">
                  <c:v>484.66448687463122</c:v>
                </c:pt>
                <c:pt idx="43">
                  <c:v>501.82593913296341</c:v>
                </c:pt>
                <c:pt idx="44">
                  <c:v>518.97497607830405</c:v>
                </c:pt>
                <c:pt idx="45">
                  <c:v>2.839744816738581E-12</c:v>
                </c:pt>
                <c:pt idx="46">
                  <c:v>2.839744816738581E-12</c:v>
                </c:pt>
                <c:pt idx="47">
                  <c:v>2.839744816738581E-12</c:v>
                </c:pt>
                <c:pt idx="48">
                  <c:v>2.839744816738581E-12</c:v>
                </c:pt>
                <c:pt idx="49">
                  <c:v>2.839744816738581E-12</c:v>
                </c:pt>
                <c:pt idx="50">
                  <c:v>2.839744816738581E-12</c:v>
                </c:pt>
                <c:pt idx="51">
                  <c:v>2.839744816738581E-12</c:v>
                </c:pt>
                <c:pt idx="52">
                  <c:v>2.839744816738581E-12</c:v>
                </c:pt>
                <c:pt idx="53">
                  <c:v>2.839744816738581E-12</c:v>
                </c:pt>
                <c:pt idx="54">
                  <c:v>2.839744816738581E-12</c:v>
                </c:pt>
                <c:pt idx="55">
                  <c:v>2.839744816738581E-12</c:v>
                </c:pt>
                <c:pt idx="56">
                  <c:v>2.839744816738581E-12</c:v>
                </c:pt>
                <c:pt idx="57">
                  <c:v>2.839744816738581E-12</c:v>
                </c:pt>
                <c:pt idx="58">
                  <c:v>2.839744816738581E-12</c:v>
                </c:pt>
                <c:pt idx="59">
                  <c:v>2.839744816738581E-12</c:v>
                </c:pt>
                <c:pt idx="60">
                  <c:v>2.839744816738581E-12</c:v>
                </c:pt>
                <c:pt idx="61">
                  <c:v>2.839744816738581E-12</c:v>
                </c:pt>
                <c:pt idx="62">
                  <c:v>2.839744816738581E-12</c:v>
                </c:pt>
                <c:pt idx="63">
                  <c:v>2.839744816738581E-12</c:v>
                </c:pt>
                <c:pt idx="64">
                  <c:v>2.839744816738581E-12</c:v>
                </c:pt>
                <c:pt idx="65">
                  <c:v>2.839744816738581E-12</c:v>
                </c:pt>
                <c:pt idx="66">
                  <c:v>2.839744816738581E-12</c:v>
                </c:pt>
                <c:pt idx="67">
                  <c:v>2.839744816738581E-12</c:v>
                </c:pt>
                <c:pt idx="68">
                  <c:v>2.839744816738581E-12</c:v>
                </c:pt>
                <c:pt idx="69">
                  <c:v>2.839744816738581E-12</c:v>
                </c:pt>
                <c:pt idx="70">
                  <c:v>2.839744816738581E-12</c:v>
                </c:pt>
                <c:pt idx="71">
                  <c:v>2.839744816738581E-12</c:v>
                </c:pt>
                <c:pt idx="72">
                  <c:v>2.839744816738581E-12</c:v>
                </c:pt>
                <c:pt idx="73">
                  <c:v>2.839744816738581E-12</c:v>
                </c:pt>
                <c:pt idx="74">
                  <c:v>2.839744816738581E-12</c:v>
                </c:pt>
                <c:pt idx="75">
                  <c:v>2.839744816738581E-12</c:v>
                </c:pt>
                <c:pt idx="76">
                  <c:v>2.839744816738581E-12</c:v>
                </c:pt>
                <c:pt idx="77">
                  <c:v>2.839744816738581E-12</c:v>
                </c:pt>
                <c:pt idx="78">
                  <c:v>2.839744816738581E-12</c:v>
                </c:pt>
                <c:pt idx="79">
                  <c:v>2.839744816738581E-12</c:v>
                </c:pt>
                <c:pt idx="80">
                  <c:v>2.839744816738581E-12</c:v>
                </c:pt>
                <c:pt idx="81">
                  <c:v>2.839744816738581E-12</c:v>
                </c:pt>
                <c:pt idx="82">
                  <c:v>2.839744816738581E-12</c:v>
                </c:pt>
                <c:pt idx="83">
                  <c:v>2.839744816738581E-12</c:v>
                </c:pt>
                <c:pt idx="84">
                  <c:v>2.839744816738581E-12</c:v>
                </c:pt>
                <c:pt idx="85">
                  <c:v>2.839744816738581E-12</c:v>
                </c:pt>
                <c:pt idx="86">
                  <c:v>2.839744816738581E-12</c:v>
                </c:pt>
                <c:pt idx="87">
                  <c:v>2.839744816738581E-12</c:v>
                </c:pt>
                <c:pt idx="88">
                  <c:v>2.839744816738581E-12</c:v>
                </c:pt>
                <c:pt idx="89">
                  <c:v>2.839744816738581E-12</c:v>
                </c:pt>
                <c:pt idx="90">
                  <c:v>2.839744816738581E-12</c:v>
                </c:pt>
                <c:pt idx="91">
                  <c:v>2.839744816738581E-12</c:v>
                </c:pt>
                <c:pt idx="92">
                  <c:v>2.839744816738581E-12</c:v>
                </c:pt>
                <c:pt idx="93">
                  <c:v>2.839744816738581E-12</c:v>
                </c:pt>
                <c:pt idx="94">
                  <c:v>2.839744816738581E-12</c:v>
                </c:pt>
                <c:pt idx="95">
                  <c:v>2.839744816738581E-12</c:v>
                </c:pt>
                <c:pt idx="96">
                  <c:v>2.839744816738581E-12</c:v>
                </c:pt>
                <c:pt idx="97">
                  <c:v>2.839744816738581E-12</c:v>
                </c:pt>
                <c:pt idx="98">
                  <c:v>2.839744816738581E-12</c:v>
                </c:pt>
                <c:pt idx="99">
                  <c:v>2.839744816738581E-12</c:v>
                </c:pt>
                <c:pt idx="100">
                  <c:v>2.839744816738581E-12</c:v>
                </c:pt>
                <c:pt idx="101">
                  <c:v>2.839744816738581E-12</c:v>
                </c:pt>
                <c:pt idx="102">
                  <c:v>2.839744816738581E-12</c:v>
                </c:pt>
                <c:pt idx="103">
                  <c:v>2.839744816738581E-12</c:v>
                </c:pt>
                <c:pt idx="104">
                  <c:v>2.839744816738581E-12</c:v>
                </c:pt>
                <c:pt idx="105">
                  <c:v>2.839744816738581E-12</c:v>
                </c:pt>
                <c:pt idx="106">
                  <c:v>2.839744816738581E-12</c:v>
                </c:pt>
                <c:pt idx="107">
                  <c:v>2.839744816738581E-12</c:v>
                </c:pt>
                <c:pt idx="108">
                  <c:v>2.839744816738581E-12</c:v>
                </c:pt>
                <c:pt idx="109">
                  <c:v>2.839744816738581E-12</c:v>
                </c:pt>
                <c:pt idx="110">
                  <c:v>2.839744816738581E-12</c:v>
                </c:pt>
                <c:pt idx="111">
                  <c:v>2.839744816738581E-12</c:v>
                </c:pt>
                <c:pt idx="112">
                  <c:v>2.839744816738581E-12</c:v>
                </c:pt>
                <c:pt idx="113">
                  <c:v>2.839744816738581E-12</c:v>
                </c:pt>
                <c:pt idx="114">
                  <c:v>2.839744816738581E-12</c:v>
                </c:pt>
                <c:pt idx="115">
                  <c:v>2.839744816738581E-12</c:v>
                </c:pt>
                <c:pt idx="116">
                  <c:v>2.839744816738581E-12</c:v>
                </c:pt>
                <c:pt idx="117">
                  <c:v>2.839744816738581E-12</c:v>
                </c:pt>
                <c:pt idx="118">
                  <c:v>2.839744816738581E-12</c:v>
                </c:pt>
                <c:pt idx="119">
                  <c:v>2.839744816738581E-12</c:v>
                </c:pt>
                <c:pt idx="120">
                  <c:v>2.839744816738581E-12</c:v>
                </c:pt>
                <c:pt idx="121">
                  <c:v>2.839744816738581E-12</c:v>
                </c:pt>
                <c:pt idx="122">
                  <c:v>2.839744816738581E-12</c:v>
                </c:pt>
                <c:pt idx="123">
                  <c:v>2.839744816738581E-12</c:v>
                </c:pt>
                <c:pt idx="124">
                  <c:v>2.839744816738581E-12</c:v>
                </c:pt>
                <c:pt idx="125">
                  <c:v>2.839744816738581E-12</c:v>
                </c:pt>
                <c:pt idx="126">
                  <c:v>2.839744816738581E-12</c:v>
                </c:pt>
                <c:pt idx="127">
                  <c:v>2.839744816738581E-12</c:v>
                </c:pt>
                <c:pt idx="128">
                  <c:v>2.839744816738581E-12</c:v>
                </c:pt>
                <c:pt idx="129">
                  <c:v>2.839744816738581E-12</c:v>
                </c:pt>
                <c:pt idx="130">
                  <c:v>2.839744816738581E-12</c:v>
                </c:pt>
                <c:pt idx="131">
                  <c:v>2.839744816738581E-12</c:v>
                </c:pt>
                <c:pt idx="132">
                  <c:v>2.839744816738581E-12</c:v>
                </c:pt>
                <c:pt idx="133">
                  <c:v>2.839744816738581E-12</c:v>
                </c:pt>
                <c:pt idx="134">
                  <c:v>2.839744816738581E-12</c:v>
                </c:pt>
                <c:pt idx="135">
                  <c:v>2.839744816738581E-12</c:v>
                </c:pt>
                <c:pt idx="136">
                  <c:v>2.839744816738581E-12</c:v>
                </c:pt>
                <c:pt idx="137">
                  <c:v>2.839744816738581E-12</c:v>
                </c:pt>
                <c:pt idx="138">
                  <c:v>2.839744816738581E-12</c:v>
                </c:pt>
                <c:pt idx="139">
                  <c:v>2.839744816738581E-12</c:v>
                </c:pt>
                <c:pt idx="140">
                  <c:v>2.839744816738581E-12</c:v>
                </c:pt>
                <c:pt idx="141">
                  <c:v>2.839744816738581E-12</c:v>
                </c:pt>
                <c:pt idx="142">
                  <c:v>2.839744816738581E-12</c:v>
                </c:pt>
                <c:pt idx="143">
                  <c:v>2.839744816738581E-12</c:v>
                </c:pt>
                <c:pt idx="144">
                  <c:v>2.839744816738581E-12</c:v>
                </c:pt>
                <c:pt idx="145">
                  <c:v>2.839744816738581E-12</c:v>
                </c:pt>
                <c:pt idx="146">
                  <c:v>2.839744816738581E-12</c:v>
                </c:pt>
                <c:pt idx="147">
                  <c:v>2.839744816738581E-12</c:v>
                </c:pt>
                <c:pt idx="148">
                  <c:v>2.839744816738581E-12</c:v>
                </c:pt>
                <c:pt idx="149">
                  <c:v>2.839744816738581E-12</c:v>
                </c:pt>
                <c:pt idx="150">
                  <c:v>2.839744816738581E-12</c:v>
                </c:pt>
                <c:pt idx="151">
                  <c:v>2.839744816738581E-12</c:v>
                </c:pt>
                <c:pt idx="152">
                  <c:v>2.839744816738581E-12</c:v>
                </c:pt>
                <c:pt idx="153">
                  <c:v>2.839744816738581E-12</c:v>
                </c:pt>
                <c:pt idx="154">
                  <c:v>2.839744816738581E-12</c:v>
                </c:pt>
                <c:pt idx="155">
                  <c:v>2.839744816738581E-12</c:v>
                </c:pt>
                <c:pt idx="156">
                  <c:v>2.839744816738581E-12</c:v>
                </c:pt>
                <c:pt idx="157">
                  <c:v>2.839744816738581E-12</c:v>
                </c:pt>
                <c:pt idx="158">
                  <c:v>2.839744816738581E-12</c:v>
                </c:pt>
                <c:pt idx="159">
                  <c:v>2.839744816738581E-12</c:v>
                </c:pt>
                <c:pt idx="160">
                  <c:v>2.839744816738581E-12</c:v>
                </c:pt>
                <c:pt idx="161">
                  <c:v>2.839744816738581E-12</c:v>
                </c:pt>
                <c:pt idx="162">
                  <c:v>2.839744816738581E-12</c:v>
                </c:pt>
                <c:pt idx="163">
                  <c:v>2.839744816738581E-12</c:v>
                </c:pt>
                <c:pt idx="164">
                  <c:v>2.839744816738581E-12</c:v>
                </c:pt>
                <c:pt idx="165">
                  <c:v>2.839744816738581E-12</c:v>
                </c:pt>
                <c:pt idx="166">
                  <c:v>2.839744816738581E-12</c:v>
                </c:pt>
                <c:pt idx="167">
                  <c:v>2.839744816738581E-12</c:v>
                </c:pt>
                <c:pt idx="168">
                  <c:v>2.839744816738581E-12</c:v>
                </c:pt>
                <c:pt idx="169">
                  <c:v>2.839744816738581E-12</c:v>
                </c:pt>
                <c:pt idx="170">
                  <c:v>2.839744816738581E-12</c:v>
                </c:pt>
                <c:pt idx="171">
                  <c:v>2.839744816738581E-12</c:v>
                </c:pt>
                <c:pt idx="172">
                  <c:v>2.839744816738581E-12</c:v>
                </c:pt>
                <c:pt idx="173">
                  <c:v>2.839744816738581E-12</c:v>
                </c:pt>
                <c:pt idx="174">
                  <c:v>2.839744816738581E-12</c:v>
                </c:pt>
                <c:pt idx="175">
                  <c:v>2.839744816738581E-12</c:v>
                </c:pt>
                <c:pt idx="176">
                  <c:v>2.839744816738581E-12</c:v>
                </c:pt>
                <c:pt idx="177">
                  <c:v>2.839744816738581E-12</c:v>
                </c:pt>
                <c:pt idx="178">
                  <c:v>2.839744816738581E-12</c:v>
                </c:pt>
                <c:pt idx="179">
                  <c:v>2.839744816738581E-12</c:v>
                </c:pt>
                <c:pt idx="180">
                  <c:v>2.839744816738581E-12</c:v>
                </c:pt>
                <c:pt idx="181">
                  <c:v>2.839744816738581E-12</c:v>
                </c:pt>
                <c:pt idx="182">
                  <c:v>2.839744816738581E-12</c:v>
                </c:pt>
                <c:pt idx="183">
                  <c:v>2.839744816738581E-12</c:v>
                </c:pt>
                <c:pt idx="184">
                  <c:v>2.839744816738581E-12</c:v>
                </c:pt>
                <c:pt idx="185">
                  <c:v>2.839744816738581E-12</c:v>
                </c:pt>
                <c:pt idx="186">
                  <c:v>2.839744816738581E-12</c:v>
                </c:pt>
                <c:pt idx="187">
                  <c:v>2.839744816738581E-12</c:v>
                </c:pt>
                <c:pt idx="188">
                  <c:v>2.839744816738581E-12</c:v>
                </c:pt>
                <c:pt idx="189">
                  <c:v>2.839744816738581E-12</c:v>
                </c:pt>
                <c:pt idx="190">
                  <c:v>2.839744816738581E-12</c:v>
                </c:pt>
                <c:pt idx="191">
                  <c:v>2.839744816738581E-12</c:v>
                </c:pt>
                <c:pt idx="192">
                  <c:v>2.839744816738581E-12</c:v>
                </c:pt>
                <c:pt idx="193">
                  <c:v>2.839744816738581E-12</c:v>
                </c:pt>
                <c:pt idx="194">
                  <c:v>2.839744816738581E-12</c:v>
                </c:pt>
                <c:pt idx="195">
                  <c:v>2.839744816738581E-12</c:v>
                </c:pt>
                <c:pt idx="196">
                  <c:v>2.839744816738581E-12</c:v>
                </c:pt>
                <c:pt idx="197">
                  <c:v>2.839744816738581E-12</c:v>
                </c:pt>
                <c:pt idx="198">
                  <c:v>2.839744816738581E-12</c:v>
                </c:pt>
                <c:pt idx="199">
                  <c:v>2.839744816738581E-12</c:v>
                </c:pt>
                <c:pt idx="200">
                  <c:v>2.839744816738581E-12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5499456"/>
        <c:axId val="-1405503264"/>
      </c:scatterChart>
      <c:valAx>
        <c:axId val="-1405499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3264"/>
        <c:crosses val="autoZero"/>
        <c:crossBetween val="midCat"/>
      </c:valAx>
      <c:valAx>
        <c:axId val="-140550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499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1.8775013892055243</c:v>
                </c:pt>
                <c:pt idx="2">
                  <c:v>2.2728621854783109</c:v>
                </c:pt>
                <c:pt idx="3">
                  <c:v>2.7517961823080284</c:v>
                </c:pt>
                <c:pt idx="4">
                  <c:v>3.3320332200725189</c:v>
                </c:pt>
                <c:pt idx="5">
                  <c:v>4.0350771764470057</c:v>
                </c:pt>
                <c:pt idx="6">
                  <c:v>4.8870118413095058</c:v>
                </c:pt>
                <c:pt idx="7">
                  <c:v>5.9194793695132857</c:v>
                </c:pt>
                <c:pt idx="8">
                  <c:v>7.1708683672920044</c:v>
                </c:pt>
                <c:pt idx="9">
                  <c:v>8.6877566439635796</c:v>
                </c:pt>
                <c:pt idx="10">
                  <c:v>10.526663357023937</c:v>
                </c:pt>
                <c:pt idx="11">
                  <c:v>12.756177067556301</c:v>
                </c:pt>
                <c:pt idx="12">
                  <c:v>15.459540556536325</c:v>
                </c:pt>
                <c:pt idx="13">
                  <c:v>18.737790681489745</c:v>
                </c:pt>
                <c:pt idx="14">
                  <c:v>22.713572746708071</c:v>
                </c:pt>
                <c:pt idx="15">
                  <c:v>27.535774633625838</c:v>
                </c:pt>
                <c:pt idx="16">
                  <c:v>33.385157282411114</c:v>
                </c:pt>
                <c:pt idx="17">
                  <c:v>40.481196237692238</c:v>
                </c:pt>
                <c:pt idx="18">
                  <c:v>49.090395338662489</c:v>
                </c:pt>
                <c:pt idx="19">
                  <c:v>59.536390033080686</c:v>
                </c:pt>
                <c:pt idx="20">
                  <c:v>72.212226400106019</c:v>
                </c:pt>
                <c:pt idx="21">
                  <c:v>87.595285424577526</c:v>
                </c:pt>
                <c:pt idx="22">
                  <c:v>106.26542359587431</c:v>
                </c:pt>
                <c:pt idx="23">
                  <c:v>128.92702442785975</c:v>
                </c:pt>
                <c:pt idx="24">
                  <c:v>156.43580578407878</c:v>
                </c:pt>
                <c:pt idx="25">
                  <c:v>189.83141075244791</c:v>
                </c:pt>
                <c:pt idx="26">
                  <c:v>160.0067319394324</c:v>
                </c:pt>
                <c:pt idx="27">
                  <c:v>172.98874990477893</c:v>
                </c:pt>
                <c:pt idx="28">
                  <c:v>185.9478634358592</c:v>
                </c:pt>
                <c:pt idx="29">
                  <c:v>198.88589463565651</c:v>
                </c:pt>
                <c:pt idx="30">
                  <c:v>211.80440891545263</c:v>
                </c:pt>
                <c:pt idx="31">
                  <c:v>228.82924230229631</c:v>
                </c:pt>
                <c:pt idx="32">
                  <c:v>245.82510561630218</c:v>
                </c:pt>
                <c:pt idx="33">
                  <c:v>262.79428372548284</c:v>
                </c:pt>
                <c:pt idx="34">
                  <c:v>279.73874219610627</c:v>
                </c:pt>
                <c:pt idx="35">
                  <c:v>296.6601889647884</c:v>
                </c:pt>
                <c:pt idx="36">
                  <c:v>218.77277702212461</c:v>
                </c:pt>
                <c:pt idx="37">
                  <c:v>237.33064408253642</c:v>
                </c:pt>
                <c:pt idx="38">
                  <c:v>255.85544021473845</c:v>
                </c:pt>
                <c:pt idx="39">
                  <c:v>274.34989649044331</c:v>
                </c:pt>
                <c:pt idx="40">
                  <c:v>292.81634557312492</c:v>
                </c:pt>
                <c:pt idx="41">
                  <c:v>314.07191886152776</c:v>
                </c:pt>
                <c:pt idx="42">
                  <c:v>335.29560709579096</c:v>
                </c:pt>
                <c:pt idx="43">
                  <c:v>356.48971133078356</c:v>
                </c:pt>
                <c:pt idx="44">
                  <c:v>377.65623675733718</c:v>
                </c:pt>
                <c:pt idx="45">
                  <c:v>398.79694553728081</c:v>
                </c:pt>
                <c:pt idx="46">
                  <c:v>301.01520311808832</c:v>
                </c:pt>
                <c:pt idx="47">
                  <c:v>323.28114705504538</c:v>
                </c:pt>
                <c:pt idx="48">
                  <c:v>345.513196505407</c:v>
                </c:pt>
                <c:pt idx="49">
                  <c:v>367.71383775268987</c:v>
                </c:pt>
                <c:pt idx="50">
                  <c:v>389.88523246274644</c:v>
                </c:pt>
                <c:pt idx="51">
                  <c:v>408.34042828106112</c:v>
                </c:pt>
                <c:pt idx="52">
                  <c:v>426.77761307453534</c:v>
                </c:pt>
                <c:pt idx="53">
                  <c:v>445.19767404919008</c:v>
                </c:pt>
                <c:pt idx="54">
                  <c:v>463.60141904065904</c:v>
                </c:pt>
                <c:pt idx="55">
                  <c:v>481.98958654831648</c:v>
                </c:pt>
                <c:pt idx="56">
                  <c:v>500.36285415876506</c:v>
                </c:pt>
                <c:pt idx="57">
                  <c:v>518.721845668029</c:v>
                </c:pt>
                <c:pt idx="58">
                  <c:v>537.06713714333148</c:v>
                </c:pt>
                <c:pt idx="59">
                  <c:v>394.02335674191119</c:v>
                </c:pt>
                <c:pt idx="60">
                  <c:v>417.2433301458077</c:v>
                </c:pt>
                <c:pt idx="61">
                  <c:v>440.43546056187211</c:v>
                </c:pt>
                <c:pt idx="62">
                  <c:v>463.60141904065904</c:v>
                </c:pt>
                <c:pt idx="63">
                  <c:v>486.74269613269013</c:v>
                </c:pt>
                <c:pt idx="64">
                  <c:v>509.8606292136231</c:v>
                </c:pt>
                <c:pt idx="65">
                  <c:v>532.95642459676958</c:v>
                </c:pt>
                <c:pt idx="66">
                  <c:v>556.03117561453939</c:v>
                </c:pt>
                <c:pt idx="67">
                  <c:v>576.71814073665644</c:v>
                </c:pt>
                <c:pt idx="68">
                  <c:v>597.38962582958061</c:v>
                </c:pt>
                <c:pt idx="69">
                  <c:v>618.04624143692376</c:v>
                </c:pt>
                <c:pt idx="70">
                  <c:v>638.68855400207781</c:v>
                </c:pt>
                <c:pt idx="71">
                  <c:v>659.31709040470287</c:v>
                </c:pt>
                <c:pt idx="72">
                  <c:v>679.93234190041414</c:v>
                </c:pt>
                <c:pt idx="73">
                  <c:v>700.53476755824647</c:v>
                </c:pt>
                <c:pt idx="74">
                  <c:v>721.12479727309312</c:v>
                </c:pt>
                <c:pt idx="75">
                  <c:v>734.00708540158746</c:v>
                </c:pt>
                <c:pt idx="76">
                  <c:v>746.88476912591068</c:v>
                </c:pt>
                <c:pt idx="77">
                  <c:v>759.75793897080496</c:v>
                </c:pt>
                <c:pt idx="78">
                  <c:v>772.62668214529265</c:v>
                </c:pt>
                <c:pt idx="79">
                  <c:v>785.4910827184716</c:v>
                </c:pt>
                <c:pt idx="80">
                  <c:v>798.35122178320944</c:v>
                </c:pt>
                <c:pt idx="81">
                  <c:v>811.20717760874447</c:v>
                </c:pt>
                <c:pt idx="82">
                  <c:v>824.05902578312396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5502720"/>
        <c:axId val="-1405500544"/>
      </c:scatterChart>
      <c:valAx>
        <c:axId val="-1405502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0544"/>
        <c:crosses val="autoZero"/>
        <c:crossBetween val="midCat"/>
      </c:valAx>
      <c:valAx>
        <c:axId val="-140550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2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270.56624463958929</c:v>
                </c:pt>
                <c:pt idx="23">
                  <c:v>282.56053853494785</c:v>
                </c:pt>
                <c:pt idx="24">
                  <c:v>294.54342815595749</c:v>
                </c:pt>
                <c:pt idx="25">
                  <c:v>306.51544301958103</c:v>
                </c:pt>
                <c:pt idx="26">
                  <c:v>318.47706788363638</c:v>
                </c:pt>
                <c:pt idx="27">
                  <c:v>330.4287481051519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591.78685479321405</c:v>
                </c:pt>
                <c:pt idx="51">
                  <c:v>612.17423315175517</c:v>
                </c:pt>
                <c:pt idx="52">
                  <c:v>632.54753173572942</c:v>
                </c:pt>
                <c:pt idx="53">
                  <c:v>652.90726742431355</c:v>
                </c:pt>
                <c:pt idx="54">
                  <c:v>673.25392226470251</c:v>
                </c:pt>
                <c:pt idx="55">
                  <c:v>693.58794682233918</c:v>
                </c:pt>
                <c:pt idx="56">
                  <c:v>713.90976311819679</c:v>
                </c:pt>
                <c:pt idx="57">
                  <c:v>537.79768652493601</c:v>
                </c:pt>
                <c:pt idx="58">
                  <c:v>556.19994499698726</c:v>
                </c:pt>
                <c:pt idx="59">
                  <c:v>574.5894555190788</c:v>
                </c:pt>
                <c:pt idx="60">
                  <c:v>592.96668321961147</c:v>
                </c:pt>
                <c:pt idx="61">
                  <c:v>611.33206206789168</c:v>
                </c:pt>
                <c:pt idx="62">
                  <c:v>629.68599785390018</c:v>
                </c:pt>
                <c:pt idx="63">
                  <c:v>648.02887080282335</c:v>
                </c:pt>
                <c:pt idx="64">
                  <c:v>664.34333155217803</c:v>
                </c:pt>
                <c:pt idx="65">
                  <c:v>680.64955158664054</c:v>
                </c:pt>
                <c:pt idx="66">
                  <c:v>696.94775598269678</c:v>
                </c:pt>
                <c:pt idx="67">
                  <c:v>713.23815844016565</c:v>
                </c:pt>
                <c:pt idx="68">
                  <c:v>729.52096210926993</c:v>
                </c:pt>
                <c:pt idx="69">
                  <c:v>745.79636034008774</c:v>
                </c:pt>
                <c:pt idx="70">
                  <c:v>762.06453736324374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5501632"/>
        <c:axId val="-1405503808"/>
      </c:scatterChart>
      <c:valAx>
        <c:axId val="-140550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3808"/>
        <c:crosses val="autoZero"/>
        <c:crossBetween val="midCat"/>
      </c:valAx>
      <c:valAx>
        <c:axId val="-140550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2.5694529942710149</c:v>
                </c:pt>
                <c:pt idx="2">
                  <c:v>2.9557020271535053</c:v>
                </c:pt>
                <c:pt idx="3">
                  <c:v>3.400222088440163</c:v>
                </c:pt>
                <c:pt idx="4">
                  <c:v>3.9118339409912095</c:v>
                </c:pt>
                <c:pt idx="5">
                  <c:v>4.5006978187982645</c:v>
                </c:pt>
                <c:pt idx="6">
                  <c:v>5.1785174305933843</c:v>
                </c:pt>
                <c:pt idx="7">
                  <c:v>5.9587751181146329</c:v>
                </c:pt>
                <c:pt idx="8">
                  <c:v>6.8570029387542633</c:v>
                </c:pt>
                <c:pt idx="9">
                  <c:v>7.8910951742241124</c:v>
                </c:pt>
                <c:pt idx="10">
                  <c:v>9.0816686113256022</c:v>
                </c:pt>
                <c:pt idx="11">
                  <c:v>10.452477915247465</c:v>
                </c:pt>
                <c:pt idx="12">
                  <c:v>12.030894540047221</c:v>
                </c:pt>
                <c:pt idx="13">
                  <c:v>13.848458918205758</c:v>
                </c:pt>
                <c:pt idx="14">
                  <c:v>15.941517168048684</c:v>
                </c:pt>
                <c:pt idx="15">
                  <c:v>18.351955285191647</c:v>
                </c:pt>
                <c:pt idx="16">
                  <c:v>21.128045777533597</c:v>
                </c:pt>
                <c:pt idx="17">
                  <c:v>24.325424003726408</c:v>
                </c:pt>
                <c:pt idx="18">
                  <c:v>28.008214129865518</c:v>
                </c:pt>
                <c:pt idx="19">
                  <c:v>32.250327683070239</c:v>
                </c:pt>
                <c:pt idx="20">
                  <c:v>37.136961216803456</c:v>
                </c:pt>
                <c:pt idx="21">
                  <c:v>52.194990647052201</c:v>
                </c:pt>
                <c:pt idx="22">
                  <c:v>67.137145953806694</c:v>
                </c:pt>
                <c:pt idx="23">
                  <c:v>81.993151944701324</c:v>
                </c:pt>
                <c:pt idx="24">
                  <c:v>96.780914414576557</c:v>
                </c:pt>
                <c:pt idx="25">
                  <c:v>111.51236819689086</c:v>
                </c:pt>
                <c:pt idx="26">
                  <c:v>92.281699699602655</c:v>
                </c:pt>
                <c:pt idx="27">
                  <c:v>106.2624863737425</c:v>
                </c:pt>
                <c:pt idx="28">
                  <c:v>120.19787751166437</c:v>
                </c:pt>
                <c:pt idx="29">
                  <c:v>134.09388641289874</c:v>
                </c:pt>
                <c:pt idx="30">
                  <c:v>147.95517411067519</c:v>
                </c:pt>
                <c:pt idx="31">
                  <c:v>160.45687965015426</c:v>
                </c:pt>
                <c:pt idx="32">
                  <c:v>172.93551534530604</c:v>
                </c:pt>
                <c:pt idx="33">
                  <c:v>185.39298161658976</c:v>
                </c:pt>
                <c:pt idx="34">
                  <c:v>197.83090229467953</c:v>
                </c:pt>
                <c:pt idx="35">
                  <c:v>210.25068011833778</c:v>
                </c:pt>
                <c:pt idx="36">
                  <c:v>168.15906134569903</c:v>
                </c:pt>
                <c:pt idx="37">
                  <c:v>179.03426074781248</c:v>
                </c:pt>
                <c:pt idx="38">
                  <c:v>189.89398250113427</c:v>
                </c:pt>
                <c:pt idx="39">
                  <c:v>200.73923724573285</c:v>
                </c:pt>
                <c:pt idx="40">
                  <c:v>211.57091737527423</c:v>
                </c:pt>
                <c:pt idx="41">
                  <c:v>220.73197011665931</c:v>
                </c:pt>
                <c:pt idx="42">
                  <c:v>229.88429588052566</c:v>
                </c:pt>
                <c:pt idx="43">
                  <c:v>239.02829144720786</c:v>
                </c:pt>
                <c:pt idx="44">
                  <c:v>248.16432072833879</c:v>
                </c:pt>
                <c:pt idx="45">
                  <c:v>257.29271862600729</c:v>
                </c:pt>
                <c:pt idx="46">
                  <c:v>212.47611303961864</c:v>
                </c:pt>
                <c:pt idx="47">
                  <c:v>220.35514708008029</c:v>
                </c:pt>
                <c:pt idx="48">
                  <c:v>228.22771336800648</c:v>
                </c:pt>
                <c:pt idx="49">
                  <c:v>236.09406674821017</c:v>
                </c:pt>
                <c:pt idx="50">
                  <c:v>243.95444367508625</c:v>
                </c:pt>
                <c:pt idx="51">
                  <c:v>250.68195251403026</c:v>
                </c:pt>
                <c:pt idx="52">
                  <c:v>257.40536852824368</c:v>
                </c:pt>
                <c:pt idx="53">
                  <c:v>264.12481384943067</c:v>
                </c:pt>
                <c:pt idx="54">
                  <c:v>270.84040387949898</c:v>
                </c:pt>
                <c:pt idx="55">
                  <c:v>277.55224782280578</c:v>
                </c:pt>
                <c:pt idx="56">
                  <c:v>246.36028801318966</c:v>
                </c:pt>
                <c:pt idx="57">
                  <c:v>252.14717525278971</c:v>
                </c:pt>
                <c:pt idx="58">
                  <c:v>257.93105333598834</c:v>
                </c:pt>
                <c:pt idx="59">
                  <c:v>263.71199936688453</c:v>
                </c:pt>
                <c:pt idx="60">
                  <c:v>269.49008678800766</c:v>
                </c:pt>
                <c:pt idx="61">
                  <c:v>274.29052793225452</c:v>
                </c:pt>
                <c:pt idx="62">
                  <c:v>279.08908119679324</c:v>
                </c:pt>
                <c:pt idx="63">
                  <c:v>283.88578367606402</c:v>
                </c:pt>
                <c:pt idx="64">
                  <c:v>288.6806711066169</c:v>
                </c:pt>
                <c:pt idx="65">
                  <c:v>293.47377793906486</c:v>
                </c:pt>
                <c:pt idx="66">
                  <c:v>273.57808268324311</c:v>
                </c:pt>
                <c:pt idx="67">
                  <c:v>277.47727546304486</c:v>
                </c:pt>
                <c:pt idx="68">
                  <c:v>281.37523833720201</c:v>
                </c:pt>
                <c:pt idx="69">
                  <c:v>285.27199078035324</c:v>
                </c:pt>
                <c:pt idx="70">
                  <c:v>289.16755169071325</c:v>
                </c:pt>
                <c:pt idx="71">
                  <c:v>292.6875295412982</c:v>
                </c:pt>
                <c:pt idx="72">
                  <c:v>296.20656215300323</c:v>
                </c:pt>
                <c:pt idx="73">
                  <c:v>299.72466236145789</c:v>
                </c:pt>
                <c:pt idx="74">
                  <c:v>303.24184267583183</c:v>
                </c:pt>
                <c:pt idx="75">
                  <c:v>306.75811529091652</c:v>
                </c:pt>
                <c:pt idx="76">
                  <c:v>309.93695192564911</c:v>
                </c:pt>
                <c:pt idx="77">
                  <c:v>313.11506466918644</c:v>
                </c:pt>
                <c:pt idx="78">
                  <c:v>316.2924619195544</c:v>
                </c:pt>
                <c:pt idx="79">
                  <c:v>319.46915189197949</c:v>
                </c:pt>
                <c:pt idx="80">
                  <c:v>322.64514262468697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5502176"/>
        <c:axId val="-1405501088"/>
      </c:scatterChart>
      <c:valAx>
        <c:axId val="-1405502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1088"/>
        <c:crosses val="autoZero"/>
        <c:crossBetween val="midCat"/>
      </c:valAx>
      <c:valAx>
        <c:axId val="-140550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2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464.5744185371193</c:v>
                </c:pt>
                <c:pt idx="62">
                  <c:v>479.34284452811448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496.76537106586352</c:v>
                </c:pt>
                <c:pt idx="77">
                  <c:v>508.85101573406081</c:v>
                </c:pt>
                <c:pt idx="78">
                  <c:v>520.93059595978104</c:v>
                </c:pt>
                <c:pt idx="79">
                  <c:v>533.00427216719811</c:v>
                </c:pt>
                <c:pt idx="80">
                  <c:v>545.07219692102865</c:v>
                </c:pt>
                <c:pt idx="81">
                  <c:v>557.13451548073306</c:v>
                </c:pt>
                <c:pt idx="82">
                  <c:v>569.19136630423441</c:v>
                </c:pt>
                <c:pt idx="83">
                  <c:v>581.24288150675147</c:v>
                </c:pt>
                <c:pt idx="84">
                  <c:v>593.28918727960843</c:v>
                </c:pt>
                <c:pt idx="85">
                  <c:v>605.33040427327217</c:v>
                </c:pt>
                <c:pt idx="86">
                  <c:v>530.13985807619997</c:v>
                </c:pt>
                <c:pt idx="87">
                  <c:v>540.77748384329061</c:v>
                </c:pt>
                <c:pt idx="88">
                  <c:v>551.41071534837431</c:v>
                </c:pt>
                <c:pt idx="89">
                  <c:v>562.03964926820072</c:v>
                </c:pt>
                <c:pt idx="90">
                  <c:v>572.6643783250679</c:v>
                </c:pt>
                <c:pt idx="91">
                  <c:v>583.28499152050119</c:v>
                </c:pt>
                <c:pt idx="92">
                  <c:v>593.90157435102799</c:v>
                </c:pt>
                <c:pt idx="93">
                  <c:v>604.51420900772746</c:v>
                </c:pt>
                <c:pt idx="94">
                  <c:v>615.12297456104159</c:v>
                </c:pt>
                <c:pt idx="95">
                  <c:v>625.72794713217718</c:v>
                </c:pt>
                <c:pt idx="96">
                  <c:v>549.5706585484287</c:v>
                </c:pt>
                <c:pt idx="97">
                  <c:v>559.17843064711349</c:v>
                </c:pt>
                <c:pt idx="98">
                  <c:v>568.78274759401631</c:v>
                </c:pt>
                <c:pt idx="99">
                  <c:v>578.38367595679654</c:v>
                </c:pt>
                <c:pt idx="100">
                  <c:v>587.98127991295814</c:v>
                </c:pt>
                <c:pt idx="101">
                  <c:v>597.57562137411787</c:v>
                </c:pt>
                <c:pt idx="102">
                  <c:v>607.166760101877</c:v>
                </c:pt>
                <c:pt idx="103">
                  <c:v>616.75475381599449</c:v>
                </c:pt>
                <c:pt idx="104">
                  <c:v>626.33965829548379</c:v>
                </c:pt>
                <c:pt idx="105">
                  <c:v>635.92152747320199</c:v>
                </c:pt>
                <c:pt idx="106">
                  <c:v>560.40470463156839</c:v>
                </c:pt>
                <c:pt idx="107">
                  <c:v>568.57843593837197</c:v>
                </c:pt>
                <c:pt idx="108">
                  <c:v>576.74971189331563</c:v>
                </c:pt>
                <c:pt idx="109">
                  <c:v>584.91857219258861</c:v>
                </c:pt>
                <c:pt idx="110">
                  <c:v>593.08505533306948</c:v>
                </c:pt>
                <c:pt idx="111">
                  <c:v>601.24919866493144</c:v>
                </c:pt>
                <c:pt idx="112">
                  <c:v>609.41103844124234</c:v>
                </c:pt>
                <c:pt idx="113">
                  <c:v>617.57060986476847</c:v>
                </c:pt>
                <c:pt idx="114">
                  <c:v>625.72794713217684</c:v>
                </c:pt>
                <c:pt idx="115">
                  <c:v>633.88308347581403</c:v>
                </c:pt>
                <c:pt idx="116">
                  <c:v>565.30924032241217</c:v>
                </c:pt>
                <c:pt idx="117">
                  <c:v>572.2558115651201</c:v>
                </c:pt>
                <c:pt idx="118">
                  <c:v>579.20062185262373</c:v>
                </c:pt>
                <c:pt idx="119">
                  <c:v>586.14369528207601</c:v>
                </c:pt>
                <c:pt idx="120">
                  <c:v>593.08505533306914</c:v>
                </c:pt>
                <c:pt idx="121">
                  <c:v>600.02472489066042</c:v>
                </c:pt>
                <c:pt idx="122">
                  <c:v>606.96272626727841</c:v>
                </c:pt>
                <c:pt idx="123">
                  <c:v>613.89908122357554</c:v>
                </c:pt>
                <c:pt idx="124">
                  <c:v>620.83381098828852</c:v>
                </c:pt>
                <c:pt idx="125">
                  <c:v>627.766936277166</c:v>
                </c:pt>
                <c:pt idx="126">
                  <c:v>566.53523487867528</c:v>
                </c:pt>
                <c:pt idx="127">
                  <c:v>572.6643783250671</c:v>
                </c:pt>
                <c:pt idx="128">
                  <c:v>578.79215191198784</c:v>
                </c:pt>
                <c:pt idx="129">
                  <c:v>584.91857219258816</c:v>
                </c:pt>
                <c:pt idx="130">
                  <c:v>591.04365534487738</c:v>
                </c:pt>
                <c:pt idx="131">
                  <c:v>597.16741718410879</c:v>
                </c:pt>
                <c:pt idx="132">
                  <c:v>603.28987317463304</c:v>
                </c:pt>
                <c:pt idx="133">
                  <c:v>609.41103844124189</c:v>
                </c:pt>
                <c:pt idx="134">
                  <c:v>615.53092778003656</c:v>
                </c:pt>
                <c:pt idx="135">
                  <c:v>621.64955566883771</c:v>
                </c:pt>
                <c:pt idx="136">
                  <c:v>567.76117396419511</c:v>
                </c:pt>
                <c:pt idx="137">
                  <c:v>573.07293899689319</c:v>
                </c:pt>
                <c:pt idx="138">
                  <c:v>578.38367595679597</c:v>
                </c:pt>
                <c:pt idx="139">
                  <c:v>583.69339561912909</c:v>
                </c:pt>
                <c:pt idx="140">
                  <c:v>589.0021085470114</c:v>
                </c:pt>
                <c:pt idx="141">
                  <c:v>594.30982509754745</c:v>
                </c:pt>
                <c:pt idx="142">
                  <c:v>599.61655542768824</c:v>
                </c:pt>
                <c:pt idx="143">
                  <c:v>604.92230949987606</c:v>
                </c:pt>
                <c:pt idx="144">
                  <c:v>610.22709708748118</c:v>
                </c:pt>
                <c:pt idx="145">
                  <c:v>615.53092778003713</c:v>
                </c:pt>
                <c:pt idx="146">
                  <c:v>620.0180441010242</c:v>
                </c:pt>
                <c:pt idx="147">
                  <c:v>624.50448765243209</c:v>
                </c:pt>
                <c:pt idx="148">
                  <c:v>628.99026395095802</c:v>
                </c:pt>
                <c:pt idx="149">
                  <c:v>633.47537842816757</c:v>
                </c:pt>
                <c:pt idx="150">
                  <c:v>637.95983643241379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5500000"/>
        <c:axId val="-1212698016"/>
      </c:scatterChart>
      <c:valAx>
        <c:axId val="-1405500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2698016"/>
        <c:crosses val="autoZero"/>
        <c:crossBetween val="midCat"/>
      </c:valAx>
      <c:valAx>
        <c:axId val="-121269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550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249.16956379358496</c:v>
                </c:pt>
                <c:pt idx="32">
                  <c:v>267.6746881557828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323.02541433745813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342.34646391464634</c:v>
                </c:pt>
                <c:pt idx="42">
                  <c:v>361.64355082638082</c:v>
                </c:pt>
                <c:pt idx="43">
                  <c:v>380.91813301943733</c:v>
                </c:pt>
                <c:pt idx="44">
                  <c:v>400.17150890331305</c:v>
                </c:pt>
                <c:pt idx="45">
                  <c:v>419.40484180194306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435.41806774560104</c:v>
                </c:pt>
                <c:pt idx="52">
                  <c:v>453.70345497828936</c:v>
                </c:pt>
                <c:pt idx="53">
                  <c:v>471.97309508291988</c:v>
                </c:pt>
                <c:pt idx="54">
                  <c:v>490.22768306866254</c:v>
                </c:pt>
                <c:pt idx="55">
                  <c:v>508.46785799243213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515.76002588713061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12693664"/>
        <c:axId val="-1212696384"/>
      </c:scatterChart>
      <c:valAx>
        <c:axId val="-121269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2696384"/>
        <c:crosses val="autoZero"/>
        <c:crossBetween val="midCat"/>
      </c:valAx>
      <c:valAx>
        <c:axId val="-121269638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1269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25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25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25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25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25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25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25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25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25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25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25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25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25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25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25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25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25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25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D1" zoomScale="85" zoomScaleNormal="85" workbookViewId="0">
      <selection activeCell="A270" sqref="A270:H28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82" t="s">
        <v>231</v>
      </c>
      <c r="B5" s="282"/>
      <c r="C5" s="26">
        <v>10.02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.25" x14ac:dyDescent="0.25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0.1726</v>
      </c>
      <c r="D9" s="36">
        <f t="shared" ref="D9:D18" si="0">C9*$C$5</f>
        <v>1.729452</v>
      </c>
      <c r="E9" s="37">
        <v>100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0.24590000000000001</v>
      </c>
      <c r="D10" s="36">
        <f t="shared" si="0"/>
        <v>2.4639180000000001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6</v>
      </c>
      <c r="C11" s="35">
        <v>0.19070000000000001</v>
      </c>
      <c r="D11" s="36">
        <f t="shared" si="0"/>
        <v>1.910814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36</v>
      </c>
      <c r="C12" s="35">
        <v>2.9899999999999999E-2</v>
      </c>
      <c r="D12" s="36">
        <f t="shared" si="0"/>
        <v>0.29959799999999998</v>
      </c>
      <c r="E12" s="37">
        <v>44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0.10979999999999999</v>
      </c>
      <c r="D13" s="36">
        <f t="shared" si="0"/>
        <v>1.100196</v>
      </c>
      <c r="E13" s="37">
        <v>82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18</v>
      </c>
      <c r="C14" s="35">
        <v>6.4699999999999994E-2</v>
      </c>
      <c r="D14" s="36">
        <f t="shared" si="0"/>
        <v>0.64829399999999993</v>
      </c>
      <c r="E14" s="37">
        <v>70</v>
      </c>
      <c r="F14" s="38" t="str">
        <f t="array" ref="F14">IF(E14="","",IF(INDEX(A:A,MAX(IF(ISNUMBER($A$166:$A$185),ROW($A$166:$A$185),"")))&lt;&gt;E14,"Corrigez : révolution incorrecte","OK"))</f>
        <v>OK</v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21</v>
      </c>
      <c r="C15" s="35">
        <v>7.8299999999999995E-2</v>
      </c>
      <c r="D15" s="36">
        <f t="shared" si="0"/>
        <v>0.78456599999999987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</v>
      </c>
      <c r="C16" s="35">
        <v>7.4999999999999997E-3</v>
      </c>
      <c r="D16" s="36">
        <f t="shared" si="0"/>
        <v>7.5149999999999995E-2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52</v>
      </c>
      <c r="C17" s="35">
        <v>7.4999999999999997E-3</v>
      </c>
      <c r="D17" s="36">
        <f t="shared" si="0"/>
        <v>7.5149999999999995E-2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9</v>
      </c>
      <c r="C18" s="35">
        <v>2.9899999999999999E-2</v>
      </c>
      <c r="D18" s="36">
        <f t="shared" si="0"/>
        <v>0.29959799999999998</v>
      </c>
      <c r="E18" s="37">
        <v>150</v>
      </c>
      <c r="F18" s="38" t="str">
        <f t="array" ref="F18">IF(E18="","",IF(INDEX(A:A,MAX(IF(ISNUMBER($A$270:$A$289),ROW($A$270:$A$289),"")))&lt;&gt;E18,"Corrigez : révolution incorrecte","OK"))</f>
        <v>OK</v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1"/>
      <c r="B19" s="39" t="s">
        <v>175</v>
      </c>
      <c r="C19" s="40">
        <f>SUM(C9:C18)</f>
        <v>0.93679999999999997</v>
      </c>
      <c r="D19" s="41">
        <f>SUM(D9:D18)</f>
        <v>9.3867360000000009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5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5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28</v>
      </c>
      <c r="C36" s="63"/>
      <c r="D36" s="63"/>
      <c r="E36" s="54"/>
      <c r="F36" s="54"/>
      <c r="G36" s="54"/>
      <c r="H36" s="54"/>
      <c r="I36" s="52">
        <f>IFERROR(B36/A36,"")</f>
        <v>1.4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121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9.3000000000000007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267</v>
      </c>
      <c r="C38" s="63">
        <v>1</v>
      </c>
      <c r="D38" s="63">
        <v>91</v>
      </c>
      <c r="E38" s="54"/>
      <c r="F38" s="54"/>
      <c r="G38" s="54"/>
      <c r="H38" s="54">
        <v>1</v>
      </c>
      <c r="I38" s="56">
        <f t="shared" si="1"/>
        <v>14.6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380</v>
      </c>
      <c r="C39" s="63">
        <v>2</v>
      </c>
      <c r="D39" s="63">
        <v>91</v>
      </c>
      <c r="E39" s="54"/>
      <c r="F39" s="54"/>
      <c r="G39" s="54"/>
      <c r="H39" s="54"/>
      <c r="I39" s="52">
        <f t="shared" si="1"/>
        <v>20.399999999999999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516</v>
      </c>
      <c r="C40" s="63">
        <v>3</v>
      </c>
      <c r="D40" s="63">
        <v>112</v>
      </c>
      <c r="E40" s="54"/>
      <c r="F40" s="54"/>
      <c r="G40" s="54"/>
      <c r="H40" s="54"/>
      <c r="I40" s="52">
        <f t="shared" si="1"/>
        <v>22.7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631</v>
      </c>
      <c r="C41" s="63">
        <v>4</v>
      </c>
      <c r="D41" s="63">
        <v>109</v>
      </c>
      <c r="E41" s="54"/>
      <c r="F41" s="54"/>
      <c r="G41" s="54"/>
      <c r="H41" s="54"/>
      <c r="I41" s="56">
        <f t="shared" si="1"/>
        <v>22.7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734</v>
      </c>
      <c r="C42" s="63">
        <v>5</v>
      </c>
      <c r="D42" s="63">
        <v>110</v>
      </c>
      <c r="E42" s="54"/>
      <c r="F42" s="54"/>
      <c r="G42" s="54"/>
      <c r="H42" s="54"/>
      <c r="I42" s="56">
        <f t="shared" si="1"/>
        <v>21.2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90</v>
      </c>
      <c r="B43" s="63">
        <v>802</v>
      </c>
      <c r="C43" s="63">
        <v>6</v>
      </c>
      <c r="D43" s="63">
        <v>97</v>
      </c>
      <c r="E43" s="54"/>
      <c r="F43" s="54"/>
      <c r="G43" s="54"/>
      <c r="H43" s="54"/>
      <c r="I43" s="52">
        <f t="shared" si="1"/>
        <v>17.8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100</v>
      </c>
      <c r="B44" s="63">
        <v>855</v>
      </c>
      <c r="C44" s="63">
        <v>7</v>
      </c>
      <c r="D44" s="63">
        <v>855</v>
      </c>
      <c r="E44" s="54"/>
      <c r="F44" s="54"/>
      <c r="G44" s="54"/>
      <c r="H44" s="54"/>
      <c r="I44" s="52">
        <f t="shared" si="1"/>
        <v>15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73</v>
      </c>
      <c r="C62" s="53"/>
      <c r="D62" s="53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109</v>
      </c>
      <c r="C63" s="53">
        <v>1</v>
      </c>
      <c r="D63" s="53"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121</v>
      </c>
      <c r="C64" s="53"/>
      <c r="D64" s="53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175</v>
      </c>
      <c r="C65" s="53">
        <v>2</v>
      </c>
      <c r="D65" s="53"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175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232</v>
      </c>
      <c r="C67" s="53">
        <v>3</v>
      </c>
      <c r="D67" s="53"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231</v>
      </c>
      <c r="C68" s="53"/>
      <c r="D68" s="53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282</v>
      </c>
      <c r="C69" s="53">
        <v>4</v>
      </c>
      <c r="D69" s="53"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/>
      <c r="D70" s="53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317</v>
      </c>
      <c r="C71" s="53">
        <v>5</v>
      </c>
      <c r="D71" s="53"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/>
      <c r="D72" s="53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340</v>
      </c>
      <c r="C73" s="53">
        <v>6</v>
      </c>
      <c r="D73" s="53"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354</v>
      </c>
      <c r="C74" s="53">
        <v>7</v>
      </c>
      <c r="D74" s="53">
        <v>56</v>
      </c>
      <c r="E74" s="54"/>
      <c r="F74" s="54"/>
      <c r="G74" s="54"/>
      <c r="H74" s="54"/>
      <c r="I74" s="52">
        <f t="shared" si="2"/>
        <v>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95</v>
      </c>
      <c r="B75" s="53">
        <v>361</v>
      </c>
      <c r="C75" s="53">
        <v>8</v>
      </c>
      <c r="D75" s="53">
        <v>56</v>
      </c>
      <c r="E75" s="54"/>
      <c r="F75" s="54"/>
      <c r="G75" s="54"/>
      <c r="H75" s="54"/>
      <c r="I75" s="52">
        <f t="shared" si="2"/>
        <v>6.3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105</v>
      </c>
      <c r="B76" s="53">
        <v>360</v>
      </c>
      <c r="C76" s="53">
        <v>9</v>
      </c>
      <c r="D76" s="53">
        <v>53</v>
      </c>
      <c r="E76" s="54"/>
      <c r="F76" s="54"/>
      <c r="G76" s="54"/>
      <c r="H76" s="54"/>
      <c r="I76" s="52">
        <f t="shared" si="2"/>
        <v>5.5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115</v>
      </c>
      <c r="B77" s="53">
        <v>356</v>
      </c>
      <c r="C77" s="53">
        <v>10</v>
      </c>
      <c r="D77" s="53">
        <v>49</v>
      </c>
      <c r="E77" s="54"/>
      <c r="F77" s="54"/>
      <c r="G77" s="54"/>
      <c r="H77" s="54"/>
      <c r="I77" s="52">
        <f t="shared" si="2"/>
        <v>4.9000000000000004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125</v>
      </c>
      <c r="B78" s="53">
        <v>349</v>
      </c>
      <c r="C78" s="53">
        <v>11</v>
      </c>
      <c r="D78" s="53">
        <v>45</v>
      </c>
      <c r="E78" s="54"/>
      <c r="F78" s="54"/>
      <c r="G78" s="54"/>
      <c r="H78" s="54"/>
      <c r="I78" s="52">
        <f t="shared" si="2"/>
        <v>4.2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135</v>
      </c>
      <c r="B79" s="53">
        <v>344</v>
      </c>
      <c r="C79" s="53">
        <v>12</v>
      </c>
      <c r="D79" s="53">
        <v>43</v>
      </c>
      <c r="E79" s="54"/>
      <c r="F79" s="54"/>
      <c r="G79" s="54"/>
      <c r="H79" s="54"/>
      <c r="I79" s="52">
        <f t="shared" si="2"/>
        <v>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145</v>
      </c>
      <c r="B80" s="53">
        <v>338</v>
      </c>
      <c r="C80" s="53"/>
      <c r="D80" s="53"/>
      <c r="E80" s="54"/>
      <c r="F80" s="54"/>
      <c r="G80" s="54"/>
      <c r="H80" s="54"/>
      <c r="I80" s="52">
        <f t="shared" si="2"/>
        <v>3.7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355</v>
      </c>
      <c r="C81" s="53">
        <v>13</v>
      </c>
      <c r="D81" s="53">
        <v>355</v>
      </c>
      <c r="E81" s="54"/>
      <c r="F81" s="54"/>
      <c r="G81" s="54"/>
      <c r="H81" s="54"/>
      <c r="I81" s="52">
        <f t="shared" si="2"/>
        <v>3.4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Charme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63">
        <v>20</v>
      </c>
      <c r="B88" s="63">
        <v>99</v>
      </c>
      <c r="C88" s="63"/>
      <c r="D88" s="63"/>
      <c r="E88" s="94"/>
      <c r="F88" s="94"/>
      <c r="G88" s="94"/>
      <c r="H88" s="94"/>
      <c r="I88" s="56">
        <f>IFERROR(B88/A88,"")</f>
        <v>4.95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63">
        <v>25</v>
      </c>
      <c r="B89" s="63">
        <v>147</v>
      </c>
      <c r="C89" s="63">
        <v>1</v>
      </c>
      <c r="D89" s="63">
        <v>42</v>
      </c>
      <c r="E89" s="94"/>
      <c r="F89" s="94"/>
      <c r="G89" s="94"/>
      <c r="H89" s="94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63">
        <v>30</v>
      </c>
      <c r="B90" s="63">
        <v>154</v>
      </c>
      <c r="C90" s="63"/>
      <c r="D90" s="63"/>
      <c r="E90" s="94"/>
      <c r="F90" s="94"/>
      <c r="G90" s="94"/>
      <c r="H90" s="94"/>
      <c r="I90" s="56">
        <f t="shared" si="3"/>
        <v>9.8000000000000007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63">
        <v>35</v>
      </c>
      <c r="B91" s="63">
        <v>202</v>
      </c>
      <c r="C91" s="63">
        <v>2</v>
      </c>
      <c r="D91" s="63">
        <v>41</v>
      </c>
      <c r="E91" s="94"/>
      <c r="F91" s="94"/>
      <c r="G91" s="94"/>
      <c r="H91" s="94"/>
      <c r="I91" s="56">
        <f t="shared" si="3"/>
        <v>9.6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63">
        <v>40</v>
      </c>
      <c r="B92" s="63">
        <v>206</v>
      </c>
      <c r="C92" s="63"/>
      <c r="D92" s="63"/>
      <c r="E92" s="94"/>
      <c r="F92" s="94"/>
      <c r="G92" s="94"/>
      <c r="H92" s="94"/>
      <c r="I92" s="56">
        <f t="shared" si="3"/>
        <v>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63">
        <v>45</v>
      </c>
      <c r="B93" s="63">
        <v>250</v>
      </c>
      <c r="C93" s="63">
        <v>3</v>
      </c>
      <c r="D93" s="63">
        <v>44</v>
      </c>
      <c r="E93" s="94"/>
      <c r="F93" s="94"/>
      <c r="G93" s="94"/>
      <c r="H93" s="94"/>
      <c r="I93" s="56">
        <f t="shared" si="3"/>
        <v>8.8000000000000007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>
        <v>50</v>
      </c>
      <c r="B94" s="63">
        <v>247</v>
      </c>
      <c r="C94" s="63"/>
      <c r="D94" s="63"/>
      <c r="E94" s="94"/>
      <c r="F94" s="94"/>
      <c r="G94" s="94"/>
      <c r="H94" s="9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285</v>
      </c>
      <c r="C95" s="63">
        <v>4</v>
      </c>
      <c r="D95" s="63">
        <v>44</v>
      </c>
      <c r="E95" s="94"/>
      <c r="F95" s="94"/>
      <c r="G95" s="94"/>
      <c r="H95" s="94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278</v>
      </c>
      <c r="C96" s="63"/>
      <c r="D96" s="63"/>
      <c r="E96" s="94"/>
      <c r="F96" s="94"/>
      <c r="G96" s="94"/>
      <c r="H96" s="94"/>
      <c r="I96" s="56">
        <f t="shared" si="3"/>
        <v>7.4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313</v>
      </c>
      <c r="C97" s="63">
        <v>5</v>
      </c>
      <c r="D97" s="63">
        <v>44</v>
      </c>
      <c r="E97" s="94"/>
      <c r="F97" s="94"/>
      <c r="G97" s="94"/>
      <c r="H97" s="94"/>
      <c r="I97" s="56">
        <f t="shared" si="3"/>
        <v>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303</v>
      </c>
      <c r="C98" s="63"/>
      <c r="D98" s="63"/>
      <c r="E98" s="94"/>
      <c r="F98" s="94"/>
      <c r="G98" s="94"/>
      <c r="H98" s="9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334</v>
      </c>
      <c r="C99" s="63">
        <v>6</v>
      </c>
      <c r="D99" s="63">
        <v>42</v>
      </c>
      <c r="E99" s="94"/>
      <c r="F99" s="94"/>
      <c r="G99" s="94"/>
      <c r="H99" s="9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351</v>
      </c>
      <c r="C100" s="63">
        <v>7</v>
      </c>
      <c r="D100" s="63">
        <v>40</v>
      </c>
      <c r="E100" s="68"/>
      <c r="F100" s="68"/>
      <c r="G100" s="68"/>
      <c r="H100" s="68"/>
      <c r="I100" s="56">
        <f t="shared" si="3"/>
        <v>5.9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95</v>
      </c>
      <c r="B101" s="63">
        <v>365</v>
      </c>
      <c r="C101" s="63">
        <v>8</v>
      </c>
      <c r="D101" s="63">
        <v>37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105</v>
      </c>
      <c r="B102" s="53">
        <v>378</v>
      </c>
      <c r="C102" s="53">
        <v>9</v>
      </c>
      <c r="D102" s="53">
        <v>35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115</v>
      </c>
      <c r="B103" s="53">
        <v>388</v>
      </c>
      <c r="C103" s="53"/>
      <c r="D103" s="53"/>
      <c r="E103" s="57"/>
      <c r="F103" s="57"/>
      <c r="G103" s="57"/>
      <c r="H103" s="57"/>
      <c r="I103" s="56">
        <f t="shared" si="3"/>
        <v>4.5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409</v>
      </c>
      <c r="C104" s="53">
        <v>10</v>
      </c>
      <c r="D104" s="53">
        <v>409</v>
      </c>
      <c r="E104" s="57"/>
      <c r="F104" s="57"/>
      <c r="G104" s="57"/>
      <c r="H104" s="57"/>
      <c r="I104" s="56">
        <f t="shared" si="3"/>
        <v>4.2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maritime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63">
        <v>12</v>
      </c>
      <c r="B114" s="63">
        <v>38.8705</v>
      </c>
      <c r="C114" s="63"/>
      <c r="D114" s="63"/>
      <c r="E114" s="94"/>
      <c r="F114" s="94"/>
      <c r="G114" s="94"/>
      <c r="H114" s="94"/>
      <c r="I114" s="56">
        <f>IFERROR(B114/A114,"")</f>
        <v>3.2392083333333335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63">
        <v>13</v>
      </c>
      <c r="B115" s="63">
        <v>53.7455</v>
      </c>
      <c r="C115" s="63"/>
      <c r="D115" s="63"/>
      <c r="E115" s="94"/>
      <c r="F115" s="94"/>
      <c r="G115" s="94"/>
      <c r="H115" s="94"/>
      <c r="I115" s="56">
        <f t="shared" ref="I115:I133" si="4">IF(A115&lt;&gt;0,(B115-(B114-D114))/(A115-A114),"")</f>
        <v>14.875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63">
        <v>14</v>
      </c>
      <c r="B116" s="63">
        <v>70.405500000000004</v>
      </c>
      <c r="C116" s="63"/>
      <c r="D116" s="63"/>
      <c r="E116" s="94"/>
      <c r="F116" s="94"/>
      <c r="G116" s="94"/>
      <c r="H116" s="94"/>
      <c r="I116" s="56">
        <f t="shared" si="4"/>
        <v>16.660000000000004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63">
        <v>15</v>
      </c>
      <c r="B117" s="63">
        <v>88.859000000000009</v>
      </c>
      <c r="C117" s="63">
        <v>1</v>
      </c>
      <c r="D117" s="63">
        <v>23.3</v>
      </c>
      <c r="E117" s="94"/>
      <c r="F117" s="94"/>
      <c r="G117" s="94">
        <v>1</v>
      </c>
      <c r="H117" s="94"/>
      <c r="I117" s="56">
        <f t="shared" si="4"/>
        <v>18.453500000000005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63">
        <v>16</v>
      </c>
      <c r="B118" s="63">
        <v>78.208500000000001</v>
      </c>
      <c r="C118" s="63"/>
      <c r="D118" s="63"/>
      <c r="E118" s="94"/>
      <c r="F118" s="94"/>
      <c r="G118" s="94"/>
      <c r="H118" s="94"/>
      <c r="I118" s="56">
        <f t="shared" si="4"/>
        <v>12.649499999999989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63">
        <v>17</v>
      </c>
      <c r="B119" s="63">
        <v>88.340500000000006</v>
      </c>
      <c r="C119" s="63"/>
      <c r="D119" s="63"/>
      <c r="E119" s="94"/>
      <c r="F119" s="94"/>
      <c r="G119" s="94"/>
      <c r="H119" s="94"/>
      <c r="I119" s="56">
        <f t="shared" si="4"/>
        <v>10.132000000000005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18</v>
      </c>
      <c r="B120" s="63">
        <v>100.55499999999999</v>
      </c>
      <c r="C120" s="63"/>
      <c r="D120" s="63"/>
      <c r="E120" s="94"/>
      <c r="F120" s="94"/>
      <c r="G120" s="94"/>
      <c r="H120" s="94"/>
      <c r="I120" s="56">
        <f t="shared" si="4"/>
        <v>12.214499999999987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19</v>
      </c>
      <c r="B121" s="63">
        <v>113.679</v>
      </c>
      <c r="C121" s="63"/>
      <c r="D121" s="63"/>
      <c r="E121" s="94"/>
      <c r="F121" s="94"/>
      <c r="G121" s="94"/>
      <c r="H121" s="94"/>
      <c r="I121" s="56">
        <f t="shared" si="4"/>
        <v>13.124000000000009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20</v>
      </c>
      <c r="B122" s="63">
        <v>130.203</v>
      </c>
      <c r="C122" s="63">
        <v>2</v>
      </c>
      <c r="D122" s="63">
        <v>34.1</v>
      </c>
      <c r="E122" s="94">
        <v>0.25</v>
      </c>
      <c r="F122" s="94"/>
      <c r="G122" s="94">
        <v>0.75</v>
      </c>
      <c r="H122" s="94"/>
      <c r="I122" s="56">
        <f t="shared" si="4"/>
        <v>16.524000000000001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21</v>
      </c>
      <c r="B123" s="63">
        <v>110.82299999999999</v>
      </c>
      <c r="C123" s="63"/>
      <c r="D123" s="63"/>
      <c r="E123" s="94"/>
      <c r="F123" s="94"/>
      <c r="G123" s="94"/>
      <c r="H123" s="94"/>
      <c r="I123" s="56">
        <f t="shared" si="4"/>
        <v>14.719999999999985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22</v>
      </c>
      <c r="B124" s="63">
        <v>126.871</v>
      </c>
      <c r="C124" s="63"/>
      <c r="D124" s="63"/>
      <c r="E124" s="94"/>
      <c r="F124" s="94"/>
      <c r="G124" s="94"/>
      <c r="H124" s="94"/>
      <c r="I124" s="56">
        <f t="shared" si="4"/>
        <v>16.048000000000002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23</v>
      </c>
      <c r="B125" s="63">
        <v>143.72650000000002</v>
      </c>
      <c r="C125" s="63"/>
      <c r="D125" s="63"/>
      <c r="E125" s="94"/>
      <c r="F125" s="94"/>
      <c r="G125" s="94"/>
      <c r="H125" s="94"/>
      <c r="I125" s="56">
        <f t="shared" si="4"/>
        <v>16.855500000000021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24</v>
      </c>
      <c r="B126" s="63">
        <v>161.67850000000001</v>
      </c>
      <c r="C126" s="63"/>
      <c r="D126" s="63"/>
      <c r="E126" s="68"/>
      <c r="F126" s="68"/>
      <c r="G126" s="68"/>
      <c r="H126" s="68"/>
      <c r="I126" s="56">
        <f t="shared" si="4"/>
        <v>17.951999999999998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25</v>
      </c>
      <c r="B127" s="63">
        <v>180.251</v>
      </c>
      <c r="C127" s="63"/>
      <c r="D127" s="63"/>
      <c r="E127" s="68"/>
      <c r="F127" s="68"/>
      <c r="G127" s="68"/>
      <c r="H127" s="68"/>
      <c r="I127" s="56">
        <f t="shared" si="4"/>
        <v>18.572499999999991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26</v>
      </c>
      <c r="B128" s="53">
        <v>199.23149999999998</v>
      </c>
      <c r="C128" s="53"/>
      <c r="D128" s="53"/>
      <c r="E128" s="57"/>
      <c r="F128" s="57"/>
      <c r="G128" s="57"/>
      <c r="H128" s="57"/>
      <c r="I128" s="56">
        <f t="shared" si="4"/>
        <v>18.980499999999978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27</v>
      </c>
      <c r="B129" s="53">
        <v>218.36499999999998</v>
      </c>
      <c r="C129" s="53">
        <v>3</v>
      </c>
      <c r="D129" s="53">
        <v>54.5</v>
      </c>
      <c r="E129" s="57">
        <v>0.25</v>
      </c>
      <c r="F129" s="57"/>
      <c r="G129" s="57">
        <v>0.75</v>
      </c>
      <c r="H129" s="57"/>
      <c r="I129" s="56">
        <f t="shared" si="4"/>
        <v>19.133499999999998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28</v>
      </c>
      <c r="B130" s="53">
        <v>179.23100000000002</v>
      </c>
      <c r="C130" s="53"/>
      <c r="D130" s="53"/>
      <c r="E130" s="57"/>
      <c r="F130" s="57"/>
      <c r="G130" s="57"/>
      <c r="H130" s="57"/>
      <c r="I130" s="56">
        <f t="shared" si="4"/>
        <v>15.366000000000042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29</v>
      </c>
      <c r="B131" s="53">
        <v>195.11750000000001</v>
      </c>
      <c r="C131" s="53"/>
      <c r="D131" s="53"/>
      <c r="E131" s="57"/>
      <c r="F131" s="57"/>
      <c r="G131" s="57"/>
      <c r="H131" s="57"/>
      <c r="I131" s="56">
        <f t="shared" si="4"/>
        <v>15.886499999999984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30</v>
      </c>
      <c r="B132" s="53">
        <v>211.072</v>
      </c>
      <c r="C132" s="53"/>
      <c r="D132" s="53"/>
      <c r="E132" s="57"/>
      <c r="F132" s="57"/>
      <c r="G132" s="57"/>
      <c r="H132" s="57"/>
      <c r="I132" s="56">
        <f t="shared" si="4"/>
        <v>15.954499999999996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44</v>
      </c>
      <c r="B133" s="53">
        <v>400.7</v>
      </c>
      <c r="C133" s="53">
        <v>4</v>
      </c>
      <c r="D133" s="53">
        <v>400.7</v>
      </c>
      <c r="E133" s="57">
        <v>0.6</v>
      </c>
      <c r="F133" s="57"/>
      <c r="G133" s="57">
        <v>0.4</v>
      </c>
      <c r="H133" s="57"/>
      <c r="I133" s="56">
        <f t="shared" si="4"/>
        <v>13.544857142857142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143</v>
      </c>
      <c r="C140" s="53">
        <v>1</v>
      </c>
      <c r="D140" s="63">
        <v>33</v>
      </c>
      <c r="E140" s="54"/>
      <c r="F140" s="54"/>
      <c r="G140" s="54"/>
      <c r="H140" s="54">
        <v>1</v>
      </c>
      <c r="I140" s="60">
        <f>IFERROR(B140/A140,"")</f>
        <v>5.72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160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10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v>226</v>
      </c>
      <c r="C142" s="53">
        <v>2</v>
      </c>
      <c r="D142" s="63">
        <v>75</v>
      </c>
      <c r="E142" s="54"/>
      <c r="F142" s="54"/>
      <c r="G142" s="54"/>
      <c r="H142" s="54"/>
      <c r="I142" s="60">
        <f t="shared" si="5"/>
        <v>13.2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v>223</v>
      </c>
      <c r="C143" s="53"/>
      <c r="D143" s="63"/>
      <c r="E143" s="54"/>
      <c r="F143" s="54"/>
      <c r="G143" s="54"/>
      <c r="H143" s="54"/>
      <c r="I143" s="60">
        <f t="shared" si="5"/>
        <v>14.4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v>306</v>
      </c>
      <c r="C144" s="53">
        <v>3</v>
      </c>
      <c r="D144" s="63">
        <v>94</v>
      </c>
      <c r="E144" s="54"/>
      <c r="F144" s="54"/>
      <c r="G144" s="54"/>
      <c r="H144" s="54"/>
      <c r="I144" s="60">
        <f t="shared" si="5"/>
        <v>16.600000000000001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v>299</v>
      </c>
      <c r="C145" s="53"/>
      <c r="D145" s="63"/>
      <c r="E145" s="54"/>
      <c r="F145" s="54"/>
      <c r="G145" s="54"/>
      <c r="H145" s="54"/>
      <c r="I145" s="60">
        <f t="shared" si="5"/>
        <v>17.399999999999999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58</v>
      </c>
      <c r="B146" s="63">
        <v>415</v>
      </c>
      <c r="C146" s="53">
        <v>4</v>
      </c>
      <c r="D146" s="63">
        <v>131</v>
      </c>
      <c r="E146" s="54"/>
      <c r="F146" s="54"/>
      <c r="G146" s="54"/>
      <c r="H146" s="54"/>
      <c r="I146" s="60">
        <f t="shared" si="5"/>
        <v>14.5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66</v>
      </c>
      <c r="B147" s="63">
        <v>430</v>
      </c>
      <c r="C147" s="53"/>
      <c r="D147" s="63"/>
      <c r="E147" s="54"/>
      <c r="F147" s="54"/>
      <c r="G147" s="54"/>
      <c r="H147" s="54"/>
      <c r="I147" s="60">
        <f>IF(A147&lt;&gt;0,(B147-(B146-D146))/(A147-A146),"")</f>
        <v>18.25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74</v>
      </c>
      <c r="B148" s="63">
        <v>561</v>
      </c>
      <c r="C148" s="53"/>
      <c r="D148" s="63"/>
      <c r="E148" s="54"/>
      <c r="F148" s="54"/>
      <c r="G148" s="54"/>
      <c r="H148" s="54"/>
      <c r="I148" s="60">
        <f t="shared" si="5"/>
        <v>16.375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82</v>
      </c>
      <c r="B149" s="63">
        <v>643</v>
      </c>
      <c r="C149" s="53">
        <v>5</v>
      </c>
      <c r="D149" s="63">
        <v>643</v>
      </c>
      <c r="E149" s="54"/>
      <c r="F149" s="54"/>
      <c r="G149" s="54"/>
      <c r="H149" s="54"/>
      <c r="I149" s="60">
        <f t="shared" si="5"/>
        <v>10.25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Douglas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21</v>
      </c>
      <c r="B166" s="53">
        <v>210</v>
      </c>
      <c r="C166" s="53"/>
      <c r="D166" s="53"/>
      <c r="E166" s="54"/>
      <c r="F166" s="54"/>
      <c r="G166" s="54"/>
      <c r="H166" s="54"/>
      <c r="I166" s="52">
        <f>IFERROR(B166/A166,"")</f>
        <v>10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28</v>
      </c>
      <c r="B167" s="53">
        <v>280</v>
      </c>
      <c r="C167" s="53">
        <v>1</v>
      </c>
      <c r="D167" s="53">
        <v>64</v>
      </c>
      <c r="E167" s="54">
        <v>0.2</v>
      </c>
      <c r="F167" s="54"/>
      <c r="G167" s="54">
        <v>0.8</v>
      </c>
      <c r="H167" s="54"/>
      <c r="I167" s="52">
        <f t="shared" ref="I167:I185" si="6">IF(A167&lt;&gt;0,(B167-(B166-D166))/(A167-A166),"")</f>
        <v>10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53">
        <v>355</v>
      </c>
      <c r="C168" s="53">
        <v>2</v>
      </c>
      <c r="D168" s="53">
        <v>73</v>
      </c>
      <c r="E168" s="54"/>
      <c r="F168" s="54"/>
      <c r="G168" s="54"/>
      <c r="H168" s="54"/>
      <c r="I168" s="52">
        <f t="shared" si="6"/>
        <v>19.857142857142858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42</v>
      </c>
      <c r="B169" s="53">
        <v>419</v>
      </c>
      <c r="C169" s="53">
        <v>3</v>
      </c>
      <c r="D169" s="53">
        <v>77</v>
      </c>
      <c r="E169" s="54"/>
      <c r="F169" s="54"/>
      <c r="G169" s="54"/>
      <c r="H169" s="54"/>
      <c r="I169" s="52">
        <f t="shared" si="6"/>
        <v>19.571428571428573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49</v>
      </c>
      <c r="B170" s="53">
        <v>473</v>
      </c>
      <c r="C170" s="53"/>
      <c r="D170" s="53"/>
      <c r="E170" s="54"/>
      <c r="F170" s="54"/>
      <c r="G170" s="54"/>
      <c r="H170" s="54"/>
      <c r="I170" s="52">
        <f t="shared" si="6"/>
        <v>18.714285714285715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56</v>
      </c>
      <c r="B171" s="53">
        <v>594</v>
      </c>
      <c r="C171" s="53">
        <v>4</v>
      </c>
      <c r="D171" s="53">
        <v>165</v>
      </c>
      <c r="E171" s="54"/>
      <c r="F171" s="54"/>
      <c r="G171" s="54"/>
      <c r="H171" s="54"/>
      <c r="I171" s="52">
        <f t="shared" si="6"/>
        <v>17.285714285714285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63</v>
      </c>
      <c r="B172" s="53">
        <v>538</v>
      </c>
      <c r="C172" s="53"/>
      <c r="D172" s="53"/>
      <c r="E172" s="54"/>
      <c r="F172" s="54"/>
      <c r="G172" s="54"/>
      <c r="H172" s="54"/>
      <c r="I172" s="52">
        <f t="shared" si="6"/>
        <v>15.571428571428571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70</v>
      </c>
      <c r="B173" s="53">
        <v>635</v>
      </c>
      <c r="C173" s="53">
        <v>5</v>
      </c>
      <c r="D173" s="53">
        <v>635</v>
      </c>
      <c r="E173" s="54"/>
      <c r="F173" s="54"/>
      <c r="G173" s="54"/>
      <c r="H173" s="54"/>
      <c r="I173" s="52">
        <f t="shared" si="6"/>
        <v>13.857142857142858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Erable champêtre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53">
        <v>18.3</v>
      </c>
      <c r="C192" s="53"/>
      <c r="D192" s="53"/>
      <c r="E192" s="54"/>
      <c r="F192" s="54"/>
      <c r="G192" s="54"/>
      <c r="H192" s="54"/>
      <c r="I192" s="52">
        <f>IFERROR(B192/A192,"")</f>
        <v>0.91500000000000004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53">
        <v>56.699999999999996</v>
      </c>
      <c r="C193" s="53">
        <v>1</v>
      </c>
      <c r="D193" s="53">
        <v>17.3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7.6799999999999979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53">
        <v>75.8</v>
      </c>
      <c r="C194" s="53"/>
      <c r="D194" s="53"/>
      <c r="E194" s="54"/>
      <c r="F194" s="54"/>
      <c r="G194" s="54"/>
      <c r="H194" s="54"/>
      <c r="I194" s="52">
        <f t="shared" si="7"/>
        <v>7.2800000000000011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53">
        <v>108.7</v>
      </c>
      <c r="C195" s="53">
        <v>2</v>
      </c>
      <c r="D195" s="53">
        <v>28</v>
      </c>
      <c r="E195" s="54"/>
      <c r="F195" s="54"/>
      <c r="G195" s="54"/>
      <c r="H195" s="54"/>
      <c r="I195" s="52">
        <f t="shared" si="7"/>
        <v>6.580000000000001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53">
        <v>109.4</v>
      </c>
      <c r="C196" s="53"/>
      <c r="D196" s="53"/>
      <c r="E196" s="54"/>
      <c r="F196" s="54"/>
      <c r="G196" s="54"/>
      <c r="H196" s="54"/>
      <c r="I196" s="52">
        <f t="shared" si="7"/>
        <v>5.74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53">
        <v>133.69999999999999</v>
      </c>
      <c r="C197" s="53">
        <v>3</v>
      </c>
      <c r="D197" s="53">
        <v>28</v>
      </c>
      <c r="E197" s="54"/>
      <c r="F197" s="54"/>
      <c r="G197" s="54"/>
      <c r="H197" s="54"/>
      <c r="I197" s="52">
        <f t="shared" si="7"/>
        <v>4.8599999999999968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53">
        <v>126.60000000000001</v>
      </c>
      <c r="C198" s="53"/>
      <c r="D198" s="53"/>
      <c r="E198" s="54"/>
      <c r="F198" s="54"/>
      <c r="G198" s="54"/>
      <c r="H198" s="54"/>
      <c r="I198" s="52">
        <f t="shared" si="7"/>
        <v>4.1800000000000042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v>144.5</v>
      </c>
      <c r="C199" s="53">
        <v>4</v>
      </c>
      <c r="D199" s="53">
        <v>19.7</v>
      </c>
      <c r="E199" s="54"/>
      <c r="F199" s="54"/>
      <c r="G199" s="54"/>
      <c r="H199" s="54"/>
      <c r="I199" s="52">
        <f t="shared" si="7"/>
        <v>3.5799999999999983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140.20000000000002</v>
      </c>
      <c r="C200" s="53"/>
      <c r="D200" s="53"/>
      <c r="E200" s="54"/>
      <c r="F200" s="54"/>
      <c r="G200" s="54"/>
      <c r="H200" s="54"/>
      <c r="I200" s="52">
        <f t="shared" si="7"/>
        <v>3.0800000000000041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153</v>
      </c>
      <c r="C201" s="53">
        <v>5</v>
      </c>
      <c r="D201" s="53">
        <v>12.7</v>
      </c>
      <c r="E201" s="54"/>
      <c r="F201" s="54"/>
      <c r="G201" s="54"/>
      <c r="H201" s="54"/>
      <c r="I201" s="52">
        <f t="shared" si="7"/>
        <v>2.5599999999999965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150.69999999999999</v>
      </c>
      <c r="C202" s="53"/>
      <c r="D202" s="53"/>
      <c r="E202" s="54"/>
      <c r="F202" s="54"/>
      <c r="G202" s="54"/>
      <c r="H202" s="54"/>
      <c r="I202" s="52">
        <f t="shared" si="7"/>
        <v>2.0799999999999956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160.1</v>
      </c>
      <c r="C203" s="53"/>
      <c r="D203" s="53"/>
      <c r="E203" s="54"/>
      <c r="F203" s="54"/>
      <c r="G203" s="54"/>
      <c r="H203" s="54"/>
      <c r="I203" s="52">
        <f t="shared" si="7"/>
        <v>1.8800000000000012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168.6</v>
      </c>
      <c r="C204" s="53">
        <v>6</v>
      </c>
      <c r="D204" s="53">
        <v>168.6</v>
      </c>
      <c r="E204" s="54"/>
      <c r="F204" s="54"/>
      <c r="G204" s="54"/>
      <c r="H204" s="54"/>
      <c r="I204" s="52">
        <f t="shared" si="7"/>
        <v>1.7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Alisier torminal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>
        <v>20</v>
      </c>
      <c r="B218" s="58">
        <v>42</v>
      </c>
      <c r="C218" s="58"/>
      <c r="D218" s="58"/>
      <c r="E218" s="66"/>
      <c r="F218" s="66"/>
      <c r="G218" s="66"/>
      <c r="H218" s="66"/>
      <c r="I218" s="56">
        <f>IFERROR(B218/A218,"")</f>
        <v>2.1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>
        <v>25</v>
      </c>
      <c r="B219" s="58">
        <v>70</v>
      </c>
      <c r="C219" s="58">
        <v>1</v>
      </c>
      <c r="D219" s="58">
        <v>8</v>
      </c>
      <c r="E219" s="66"/>
      <c r="F219" s="66"/>
      <c r="G219" s="66"/>
      <c r="H219" s="66">
        <v>1</v>
      </c>
      <c r="I219" s="56">
        <f t="shared" ref="I219:I237" si="8">IF(A219&lt;&gt;0,(B219-(B218-D218))/(A219-A218),"")</f>
        <v>5.6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>
        <v>30</v>
      </c>
      <c r="B220" s="58">
        <v>97</v>
      </c>
      <c r="C220" s="58"/>
      <c r="D220" s="58"/>
      <c r="E220" s="66"/>
      <c r="F220" s="66"/>
      <c r="G220" s="66"/>
      <c r="H220" s="66"/>
      <c r="I220" s="56">
        <f t="shared" si="8"/>
        <v>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35</v>
      </c>
      <c r="B221" s="58">
        <v>137</v>
      </c>
      <c r="C221" s="58">
        <v>2</v>
      </c>
      <c r="D221" s="58">
        <v>42</v>
      </c>
      <c r="E221" s="66"/>
      <c r="F221" s="66"/>
      <c r="G221" s="66"/>
      <c r="H221" s="66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40</v>
      </c>
      <c r="B222" s="58">
        <v>137</v>
      </c>
      <c r="C222" s="58"/>
      <c r="D222" s="58"/>
      <c r="E222" s="66"/>
      <c r="F222" s="66"/>
      <c r="G222" s="66"/>
      <c r="H222" s="66"/>
      <c r="I222" s="56">
        <f t="shared" si="8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45</v>
      </c>
      <c r="B223" s="58">
        <v>179</v>
      </c>
      <c r="C223" s="58">
        <v>3</v>
      </c>
      <c r="D223" s="58">
        <v>42</v>
      </c>
      <c r="E223" s="66"/>
      <c r="F223" s="66"/>
      <c r="G223" s="66"/>
      <c r="H223" s="66"/>
      <c r="I223" s="56">
        <f t="shared" si="8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50</v>
      </c>
      <c r="B224" s="58">
        <v>178</v>
      </c>
      <c r="C224" s="58"/>
      <c r="D224" s="58"/>
      <c r="E224" s="66"/>
      <c r="F224" s="66"/>
      <c r="G224" s="66"/>
      <c r="H224" s="66"/>
      <c r="I224" s="56">
        <f t="shared" si="8"/>
        <v>8.1999999999999993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55</v>
      </c>
      <c r="B225" s="58">
        <v>218</v>
      </c>
      <c r="C225" s="58">
        <v>4</v>
      </c>
      <c r="D225" s="58">
        <v>42</v>
      </c>
      <c r="E225" s="66"/>
      <c r="F225" s="66"/>
      <c r="G225" s="66"/>
      <c r="H225" s="66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60</v>
      </c>
      <c r="B226" s="58">
        <v>214</v>
      </c>
      <c r="C226" s="58"/>
      <c r="D226" s="58"/>
      <c r="E226" s="66"/>
      <c r="F226" s="66"/>
      <c r="G226" s="66"/>
      <c r="H226" s="66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65</v>
      </c>
      <c r="B227" s="58">
        <v>250</v>
      </c>
      <c r="C227" s="58">
        <v>5</v>
      </c>
      <c r="D227" s="58">
        <v>42</v>
      </c>
      <c r="E227" s="66"/>
      <c r="F227" s="66"/>
      <c r="G227" s="66"/>
      <c r="H227" s="66"/>
      <c r="I227" s="56">
        <f t="shared" si="8"/>
        <v>7.2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70</v>
      </c>
      <c r="B228" s="58">
        <v>242</v>
      </c>
      <c r="C228" s="58"/>
      <c r="D228" s="58"/>
      <c r="E228" s="66"/>
      <c r="F228" s="66"/>
      <c r="G228" s="66"/>
      <c r="H228" s="66"/>
      <c r="I228" s="56">
        <f t="shared" si="8"/>
        <v>6.8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75</v>
      </c>
      <c r="B229" s="58">
        <v>273</v>
      </c>
      <c r="C229" s="58">
        <v>6</v>
      </c>
      <c r="D229" s="58">
        <v>42</v>
      </c>
      <c r="E229" s="66"/>
      <c r="F229" s="66"/>
      <c r="G229" s="66"/>
      <c r="H229" s="66"/>
      <c r="I229" s="56">
        <f t="shared" si="8"/>
        <v>6.2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85</v>
      </c>
      <c r="B230" s="58">
        <v>290</v>
      </c>
      <c r="C230" s="58">
        <v>7</v>
      </c>
      <c r="D230" s="58">
        <v>42</v>
      </c>
      <c r="E230" s="67"/>
      <c r="F230" s="67"/>
      <c r="G230" s="67"/>
      <c r="H230" s="67"/>
      <c r="I230" s="56">
        <f t="shared" si="8"/>
        <v>5.9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5">
        <v>95</v>
      </c>
      <c r="B231" s="63">
        <v>300</v>
      </c>
      <c r="C231" s="95">
        <v>8</v>
      </c>
      <c r="D231" s="63">
        <v>42</v>
      </c>
      <c r="E231" s="57"/>
      <c r="F231" s="57"/>
      <c r="G231" s="57"/>
      <c r="H231" s="57"/>
      <c r="I231" s="56">
        <f t="shared" si="8"/>
        <v>5.2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105</v>
      </c>
      <c r="B232" s="53">
        <v>305</v>
      </c>
      <c r="C232" s="53">
        <v>9</v>
      </c>
      <c r="D232" s="53">
        <v>41</v>
      </c>
      <c r="E232" s="57"/>
      <c r="F232" s="57"/>
      <c r="G232" s="57"/>
      <c r="H232" s="57"/>
      <c r="I232" s="56">
        <f t="shared" si="8"/>
        <v>4.7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115</v>
      </c>
      <c r="B233" s="53">
        <v>304</v>
      </c>
      <c r="C233" s="53">
        <v>10</v>
      </c>
      <c r="D233" s="53">
        <v>37</v>
      </c>
      <c r="E233" s="57"/>
      <c r="F233" s="57"/>
      <c r="G233" s="57"/>
      <c r="H233" s="57"/>
      <c r="I233" s="56">
        <f t="shared" si="8"/>
        <v>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125</v>
      </c>
      <c r="B234" s="53">
        <v>301</v>
      </c>
      <c r="C234" s="53">
        <v>11</v>
      </c>
      <c r="D234" s="53">
        <v>33</v>
      </c>
      <c r="E234" s="57"/>
      <c r="F234" s="57"/>
      <c r="G234" s="57"/>
      <c r="H234" s="57"/>
      <c r="I234" s="56">
        <f t="shared" si="8"/>
        <v>3.4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135</v>
      </c>
      <c r="B235" s="53">
        <v>298</v>
      </c>
      <c r="C235" s="53">
        <v>12</v>
      </c>
      <c r="D235" s="53">
        <v>29</v>
      </c>
      <c r="E235" s="57"/>
      <c r="F235" s="57"/>
      <c r="G235" s="57"/>
      <c r="H235" s="57"/>
      <c r="I235" s="56">
        <f t="shared" si="8"/>
        <v>3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145</v>
      </c>
      <c r="B236" s="53">
        <v>295</v>
      </c>
      <c r="C236" s="53"/>
      <c r="D236" s="53"/>
      <c r="E236" s="57"/>
      <c r="F236" s="57"/>
      <c r="G236" s="57"/>
      <c r="H236" s="57"/>
      <c r="I236" s="56">
        <f t="shared" si="8"/>
        <v>2.6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150</v>
      </c>
      <c r="B237" s="53">
        <v>306</v>
      </c>
      <c r="C237" s="53">
        <v>13</v>
      </c>
      <c r="D237" s="53">
        <v>306</v>
      </c>
      <c r="E237" s="57"/>
      <c r="F237" s="57"/>
      <c r="G237" s="57"/>
      <c r="H237" s="57"/>
      <c r="I237" s="56">
        <f t="shared" si="8"/>
        <v>2.2000000000000002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Cormier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8">
        <v>20</v>
      </c>
      <c r="B244" s="58">
        <v>42</v>
      </c>
      <c r="C244" s="58"/>
      <c r="D244" s="58"/>
      <c r="E244" s="66"/>
      <c r="F244" s="66"/>
      <c r="G244" s="66"/>
      <c r="H244" s="66"/>
      <c r="I244" s="56">
        <f>IFERROR(B244/A244,"")</f>
        <v>2.1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8">
        <v>25</v>
      </c>
      <c r="B245" s="58">
        <v>70</v>
      </c>
      <c r="C245" s="58">
        <v>1</v>
      </c>
      <c r="D245" s="58">
        <v>8</v>
      </c>
      <c r="E245" s="66"/>
      <c r="F245" s="66"/>
      <c r="G245" s="66"/>
      <c r="H245" s="66">
        <v>1</v>
      </c>
      <c r="I245" s="56">
        <f>IF(A245&lt;&gt;0,(B245-(B244-D244))/(A245-A244),"")</f>
        <v>5.6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>
        <v>30</v>
      </c>
      <c r="B246" s="58">
        <v>97</v>
      </c>
      <c r="C246" s="58"/>
      <c r="D246" s="58"/>
      <c r="E246" s="66"/>
      <c r="F246" s="66"/>
      <c r="G246" s="66"/>
      <c r="H246" s="66"/>
      <c r="I246" s="56">
        <f>IF(A246&lt;&gt;0,(B246-(B245-D245))/(A246-A245),"")</f>
        <v>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>
        <v>35</v>
      </c>
      <c r="B247" s="58">
        <v>137</v>
      </c>
      <c r="C247" s="58">
        <v>2</v>
      </c>
      <c r="D247" s="58">
        <v>42</v>
      </c>
      <c r="E247" s="66"/>
      <c r="F247" s="66"/>
      <c r="G247" s="66"/>
      <c r="H247" s="66"/>
      <c r="I247" s="56">
        <f t="shared" ref="I247:I263" si="9">IF(A247&lt;&gt;0,(B247-(B246-D246))/(A247-A246),"")</f>
        <v>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>
        <v>40</v>
      </c>
      <c r="B248" s="58">
        <v>137</v>
      </c>
      <c r="C248" s="58"/>
      <c r="D248" s="58"/>
      <c r="E248" s="66"/>
      <c r="F248" s="66"/>
      <c r="G248" s="66"/>
      <c r="H248" s="66"/>
      <c r="I248" s="56">
        <f t="shared" si="9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>
        <v>45</v>
      </c>
      <c r="B249" s="58">
        <v>179</v>
      </c>
      <c r="C249" s="58">
        <v>3</v>
      </c>
      <c r="D249" s="58">
        <v>42</v>
      </c>
      <c r="E249" s="66"/>
      <c r="F249" s="66"/>
      <c r="G249" s="66"/>
      <c r="H249" s="66"/>
      <c r="I249" s="56">
        <f t="shared" si="9"/>
        <v>8.4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>
        <v>50</v>
      </c>
      <c r="B250" s="58">
        <v>178</v>
      </c>
      <c r="C250" s="58"/>
      <c r="D250" s="58"/>
      <c r="E250" s="66"/>
      <c r="F250" s="66"/>
      <c r="G250" s="66"/>
      <c r="H250" s="66"/>
      <c r="I250" s="56">
        <f t="shared" si="9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55</v>
      </c>
      <c r="B251" s="58">
        <v>218</v>
      </c>
      <c r="C251" s="58">
        <v>4</v>
      </c>
      <c r="D251" s="58">
        <v>42</v>
      </c>
      <c r="E251" s="66"/>
      <c r="F251" s="66"/>
      <c r="G251" s="66"/>
      <c r="H251" s="66"/>
      <c r="I251" s="56">
        <f t="shared" si="9"/>
        <v>8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60</v>
      </c>
      <c r="B252" s="58">
        <v>214</v>
      </c>
      <c r="C252" s="58"/>
      <c r="D252" s="58"/>
      <c r="E252" s="66"/>
      <c r="F252" s="66"/>
      <c r="G252" s="66"/>
      <c r="H252" s="66"/>
      <c r="I252" s="56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65</v>
      </c>
      <c r="B253" s="58">
        <v>250</v>
      </c>
      <c r="C253" s="58">
        <v>5</v>
      </c>
      <c r="D253" s="58">
        <v>42</v>
      </c>
      <c r="E253" s="66"/>
      <c r="F253" s="66"/>
      <c r="G253" s="66"/>
      <c r="H253" s="66"/>
      <c r="I253" s="56">
        <f t="shared" si="9"/>
        <v>7.2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70</v>
      </c>
      <c r="B254" s="58">
        <v>242</v>
      </c>
      <c r="C254" s="58"/>
      <c r="D254" s="58"/>
      <c r="E254" s="66"/>
      <c r="F254" s="66"/>
      <c r="G254" s="66"/>
      <c r="H254" s="66"/>
      <c r="I254" s="56">
        <f t="shared" si="9"/>
        <v>6.8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>
        <v>75</v>
      </c>
      <c r="B255" s="58">
        <v>273</v>
      </c>
      <c r="C255" s="58">
        <v>6</v>
      </c>
      <c r="D255" s="58">
        <v>42</v>
      </c>
      <c r="E255" s="66"/>
      <c r="F255" s="66"/>
      <c r="G255" s="66"/>
      <c r="H255" s="66"/>
      <c r="I255" s="56">
        <f t="shared" si="9"/>
        <v>6.2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>
        <v>85</v>
      </c>
      <c r="B256" s="58">
        <v>290</v>
      </c>
      <c r="C256" s="58">
        <v>7</v>
      </c>
      <c r="D256" s="58">
        <v>42</v>
      </c>
      <c r="E256" s="67"/>
      <c r="F256" s="67"/>
      <c r="G256" s="67"/>
      <c r="H256" s="67"/>
      <c r="I256" s="56">
        <f t="shared" si="9"/>
        <v>5.9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5">
        <v>95</v>
      </c>
      <c r="B257" s="63">
        <v>300</v>
      </c>
      <c r="C257" s="95">
        <v>8</v>
      </c>
      <c r="D257" s="63">
        <v>42</v>
      </c>
      <c r="E257" s="57"/>
      <c r="F257" s="57"/>
      <c r="G257" s="57"/>
      <c r="H257" s="57"/>
      <c r="I257" s="56">
        <f t="shared" si="9"/>
        <v>5.2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105</v>
      </c>
      <c r="B258" s="53">
        <v>305</v>
      </c>
      <c r="C258" s="53">
        <v>9</v>
      </c>
      <c r="D258" s="53">
        <v>41</v>
      </c>
      <c r="E258" s="57"/>
      <c r="F258" s="57"/>
      <c r="G258" s="57"/>
      <c r="H258" s="57"/>
      <c r="I258" s="56">
        <f t="shared" si="9"/>
        <v>4.7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115</v>
      </c>
      <c r="B259" s="53">
        <v>304</v>
      </c>
      <c r="C259" s="53">
        <v>10</v>
      </c>
      <c r="D259" s="53">
        <v>37</v>
      </c>
      <c r="E259" s="57"/>
      <c r="F259" s="57"/>
      <c r="G259" s="57"/>
      <c r="H259" s="57"/>
      <c r="I259" s="56">
        <f t="shared" si="9"/>
        <v>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125</v>
      </c>
      <c r="B260" s="53">
        <v>301</v>
      </c>
      <c r="C260" s="53">
        <v>11</v>
      </c>
      <c r="D260" s="53">
        <v>33</v>
      </c>
      <c r="E260" s="57"/>
      <c r="F260" s="57"/>
      <c r="G260" s="57"/>
      <c r="H260" s="57"/>
      <c r="I260" s="56">
        <f t="shared" si="9"/>
        <v>3.4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135</v>
      </c>
      <c r="B261" s="53">
        <v>298</v>
      </c>
      <c r="C261" s="53">
        <v>12</v>
      </c>
      <c r="D261" s="53">
        <v>29</v>
      </c>
      <c r="E261" s="57"/>
      <c r="F261" s="57"/>
      <c r="G261" s="57"/>
      <c r="H261" s="57"/>
      <c r="I261" s="56">
        <f t="shared" si="9"/>
        <v>3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145</v>
      </c>
      <c r="B262" s="53">
        <v>295</v>
      </c>
      <c r="C262" s="53"/>
      <c r="D262" s="53"/>
      <c r="E262" s="57"/>
      <c r="F262" s="57"/>
      <c r="G262" s="57"/>
      <c r="H262" s="57"/>
      <c r="I262" s="56">
        <f t="shared" si="9"/>
        <v>2.6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150</v>
      </c>
      <c r="B263" s="53">
        <v>306</v>
      </c>
      <c r="C263" s="53">
        <v>13</v>
      </c>
      <c r="D263" s="53">
        <v>306</v>
      </c>
      <c r="E263" s="57"/>
      <c r="F263" s="57"/>
      <c r="G263" s="57"/>
      <c r="H263" s="57"/>
      <c r="I263" s="56">
        <f t="shared" si="9"/>
        <v>2.2000000000000002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Chêne chevelu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8">
        <v>20</v>
      </c>
      <c r="B270" s="58">
        <v>73</v>
      </c>
      <c r="C270" s="58"/>
      <c r="D270" s="58"/>
      <c r="E270" s="66"/>
      <c r="F270" s="66"/>
      <c r="G270" s="66"/>
      <c r="H270" s="66"/>
      <c r="I270" s="56">
        <f>IFERROR(B270/A270,"")</f>
        <v>3.65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8">
        <v>25</v>
      </c>
      <c r="B271" s="58">
        <v>109</v>
      </c>
      <c r="C271" s="58">
        <v>1</v>
      </c>
      <c r="D271" s="58">
        <v>34</v>
      </c>
      <c r="E271" s="66"/>
      <c r="F271" s="66"/>
      <c r="G271" s="66"/>
      <c r="H271" s="66">
        <v>1</v>
      </c>
      <c r="I271" s="56">
        <f>IF(A271&lt;&gt;0,(B271-(B270-D270))/(A271-A270),"")</f>
        <v>7.2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8">
        <v>30</v>
      </c>
      <c r="B272" s="58">
        <v>121</v>
      </c>
      <c r="C272" s="58"/>
      <c r="D272" s="58"/>
      <c r="E272" s="66"/>
      <c r="F272" s="66"/>
      <c r="G272" s="66"/>
      <c r="H272" s="66"/>
      <c r="I272" s="56">
        <f t="shared" ref="I272:I289" si="10">IF(A272&lt;&gt;0,(B272-(B271-D271))/(A272-A271),"")</f>
        <v>9.1999999999999993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8">
        <v>35</v>
      </c>
      <c r="B273" s="58">
        <v>175</v>
      </c>
      <c r="C273" s="58">
        <v>2</v>
      </c>
      <c r="D273" s="58">
        <v>56</v>
      </c>
      <c r="E273" s="66"/>
      <c r="F273" s="66"/>
      <c r="G273" s="66"/>
      <c r="H273" s="66"/>
      <c r="I273" s="56">
        <f t="shared" si="10"/>
        <v>10.8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8">
        <v>40</v>
      </c>
      <c r="B274" s="58">
        <v>175</v>
      </c>
      <c r="C274" s="58"/>
      <c r="D274" s="58"/>
      <c r="E274" s="66"/>
      <c r="F274" s="66"/>
      <c r="G274" s="66"/>
      <c r="H274" s="66"/>
      <c r="I274" s="56">
        <f t="shared" si="10"/>
        <v>11.2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>
        <v>45</v>
      </c>
      <c r="B275" s="58">
        <v>232</v>
      </c>
      <c r="C275" s="58">
        <v>3</v>
      </c>
      <c r="D275" s="58">
        <v>56</v>
      </c>
      <c r="E275" s="66"/>
      <c r="F275" s="66"/>
      <c r="G275" s="66"/>
      <c r="H275" s="66"/>
      <c r="I275" s="56">
        <f t="shared" si="10"/>
        <v>11.4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>
        <v>50</v>
      </c>
      <c r="B276" s="58">
        <v>231</v>
      </c>
      <c r="C276" s="58"/>
      <c r="D276" s="58"/>
      <c r="E276" s="66"/>
      <c r="F276" s="66"/>
      <c r="G276" s="66"/>
      <c r="H276" s="66"/>
      <c r="I276" s="56">
        <f t="shared" si="10"/>
        <v>11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>
        <v>55</v>
      </c>
      <c r="B277" s="58">
        <v>282</v>
      </c>
      <c r="C277" s="58">
        <v>4</v>
      </c>
      <c r="D277" s="58">
        <v>56</v>
      </c>
      <c r="E277" s="66"/>
      <c r="F277" s="66"/>
      <c r="G277" s="66"/>
      <c r="H277" s="66"/>
      <c r="I277" s="56">
        <f t="shared" si="10"/>
        <v>10.199999999999999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>
        <v>60</v>
      </c>
      <c r="B278" s="58">
        <v>273</v>
      </c>
      <c r="C278" s="58"/>
      <c r="D278" s="58"/>
      <c r="E278" s="66"/>
      <c r="F278" s="66"/>
      <c r="G278" s="66"/>
      <c r="H278" s="66"/>
      <c r="I278" s="56">
        <f t="shared" si="10"/>
        <v>9.4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>
        <v>65</v>
      </c>
      <c r="B279" s="58">
        <v>317</v>
      </c>
      <c r="C279" s="58">
        <v>5</v>
      </c>
      <c r="D279" s="58">
        <v>56</v>
      </c>
      <c r="E279" s="66"/>
      <c r="F279" s="66"/>
      <c r="G279" s="66"/>
      <c r="H279" s="66"/>
      <c r="I279" s="56">
        <f t="shared" si="10"/>
        <v>8.8000000000000007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>
        <v>70</v>
      </c>
      <c r="B280" s="58">
        <v>302</v>
      </c>
      <c r="C280" s="58"/>
      <c r="D280" s="58"/>
      <c r="E280" s="66"/>
      <c r="F280" s="66"/>
      <c r="G280" s="66"/>
      <c r="H280" s="66"/>
      <c r="I280" s="56">
        <f t="shared" si="10"/>
        <v>8.1999999999999993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>
        <v>75</v>
      </c>
      <c r="B281" s="58">
        <v>340</v>
      </c>
      <c r="C281" s="58">
        <v>6</v>
      </c>
      <c r="D281" s="58">
        <v>56</v>
      </c>
      <c r="E281" s="66"/>
      <c r="F281" s="66"/>
      <c r="G281" s="66"/>
      <c r="H281" s="66"/>
      <c r="I281" s="56">
        <f t="shared" si="10"/>
        <v>7.6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>
        <v>85</v>
      </c>
      <c r="B282" s="58">
        <v>354</v>
      </c>
      <c r="C282" s="58">
        <v>7</v>
      </c>
      <c r="D282" s="58">
        <v>56</v>
      </c>
      <c r="E282" s="67"/>
      <c r="F282" s="67"/>
      <c r="G282" s="67"/>
      <c r="H282" s="67"/>
      <c r="I282" s="56">
        <f t="shared" si="10"/>
        <v>7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5">
        <v>95</v>
      </c>
      <c r="B283" s="63">
        <v>361</v>
      </c>
      <c r="C283" s="95">
        <v>8</v>
      </c>
      <c r="D283" s="63">
        <v>56</v>
      </c>
      <c r="E283" s="57"/>
      <c r="F283" s="57"/>
      <c r="G283" s="57"/>
      <c r="H283" s="57"/>
      <c r="I283" s="56">
        <f t="shared" si="10"/>
        <v>6.3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>
        <v>105</v>
      </c>
      <c r="B284" s="53">
        <v>360</v>
      </c>
      <c r="C284" s="53">
        <v>9</v>
      </c>
      <c r="D284" s="53">
        <v>53</v>
      </c>
      <c r="E284" s="54"/>
      <c r="F284" s="54"/>
      <c r="G284" s="54"/>
      <c r="H284" s="54"/>
      <c r="I284" s="56">
        <f t="shared" si="10"/>
        <v>5.5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>
        <v>115</v>
      </c>
      <c r="B285" s="53">
        <v>356</v>
      </c>
      <c r="C285" s="53">
        <v>10</v>
      </c>
      <c r="D285" s="53">
        <v>49</v>
      </c>
      <c r="E285" s="54"/>
      <c r="F285" s="54"/>
      <c r="G285" s="54"/>
      <c r="H285" s="54"/>
      <c r="I285" s="56">
        <f t="shared" si="10"/>
        <v>4.9000000000000004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>
        <v>125</v>
      </c>
      <c r="B286" s="53">
        <v>349</v>
      </c>
      <c r="C286" s="53">
        <v>11</v>
      </c>
      <c r="D286" s="53">
        <v>45</v>
      </c>
      <c r="E286" s="54"/>
      <c r="F286" s="54"/>
      <c r="G286" s="54"/>
      <c r="H286" s="54"/>
      <c r="I286" s="56">
        <f t="shared" si="10"/>
        <v>4.2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>
        <v>135</v>
      </c>
      <c r="B287" s="53">
        <v>344</v>
      </c>
      <c r="C287" s="53">
        <v>12</v>
      </c>
      <c r="D287" s="53">
        <v>43</v>
      </c>
      <c r="E287" s="54"/>
      <c r="F287" s="54"/>
      <c r="G287" s="54"/>
      <c r="H287" s="54"/>
      <c r="I287" s="56">
        <f t="shared" si="10"/>
        <v>4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>
        <v>145</v>
      </c>
      <c r="B288" s="53">
        <v>338</v>
      </c>
      <c r="C288" s="53"/>
      <c r="D288" s="53"/>
      <c r="E288" s="54"/>
      <c r="F288" s="54"/>
      <c r="G288" s="54"/>
      <c r="H288" s="54"/>
      <c r="I288" s="56">
        <f t="shared" si="10"/>
        <v>3.7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>
        <v>150</v>
      </c>
      <c r="B289" s="53">
        <v>355</v>
      </c>
      <c r="C289" s="53">
        <v>13</v>
      </c>
      <c r="D289" s="53">
        <v>355</v>
      </c>
      <c r="E289" s="54"/>
      <c r="F289" s="54"/>
      <c r="G289" s="54"/>
      <c r="H289" s="54"/>
      <c r="I289" s="56">
        <f t="shared" si="10"/>
        <v>3.4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abSelected="1" zoomScaleNormal="100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25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25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25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Cèdre de l'Atlas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Chêne sessile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Charme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Pin maritime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>Pin laricio</v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>Douglas</v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>Erable champêtre</v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>Alisier torminal</v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>Cormier</v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>Chêne chevelu</v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399.92909819003523</v>
      </c>
      <c r="T3" s="62">
        <f>IF('Données projet'!E9&gt;30,$R$33-$H$33,LOOKUP('Données projet'!$E$9,$A$3:$A$203,R3:R203)-LOOKUP('Données projet'!$E$9,$A$3:$A$203,$H$3:$H$203))</f>
        <v>163.7053537268381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510.56580450928806</v>
      </c>
      <c r="AO3" s="62">
        <f>IF('Données projet'!E10&gt;30,$AM$33-$H$33,LOOKUP('Données projet'!$E$10,$A$3:$A$203,AM3:AM203)-LOOKUP('Données projet'!$E$10,$A$3:$A$203,$H$3:$H$203))</f>
        <v>278.21741231699929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525.51330555662139</v>
      </c>
      <c r="BJ3" s="62">
        <f>IF('Données projet'!E11&gt;30,$BH$33-$H$33,LOOKUP('Données projet'!$E$11,$A$3:$A$203,BH3:BH203)-LOOKUP('Données projet'!$E$11,$A$3:$A$203,$H$3:$H$203))</f>
        <v>357.72390083433635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227.46616726010473</v>
      </c>
      <c r="CE3" s="62">
        <f>IF('Données projet'!E12&gt;30,$CC$33-$H$33,LOOKUP('Données projet'!$E$12,$A$3:$A$203,CC3:CC203)-LOOKUP('Données projet'!$E$12,$A$3:$A$203,$H$3:$H$203))</f>
        <v>314.188568589113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356.46794174556311</v>
      </c>
      <c r="CZ3" s="62">
        <f>IF('Données projet'!E13&gt;30,$CX$33-$H$33,LOOKUP('Données projet'!$E$13,$A$3:$A$203,CX3:CX203)-LOOKUP('Données projet'!$E$13,$A$3:$A$203,$H$3:$H$203))</f>
        <v>248.47107558211923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397.04445188588369</v>
      </c>
      <c r="DU3" s="62">
        <f>IF('Données projet'!E14&gt;30,$DS$33-$H$33,LOOKUP('Données projet'!$E$14,$A$3:$A$203,DS3:DS203)-LOOKUP('Données projet'!$E$14,$A$3:$A$203,$H$3:$H$203))</f>
        <v>350.01856672839466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202.5548390231225</v>
      </c>
      <c r="EP3" s="62">
        <f>IF('Données projet'!E15&gt;30,$EN$33-$H$33,LOOKUP('Données projet'!$E$15,$A$3:$A$203,EN3:EN203)-LOOKUP('Données projet'!$E$15,$A$3:$A$203,$H$3:$H$203))</f>
        <v>184.62184077734179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456.96274622094955</v>
      </c>
      <c r="FK3" s="62">
        <f>IF('Données projet'!E16&gt;30,$FI$33-$H$33,LOOKUP('Données projet'!$E$16,$A$3:$A$203,FI3:FI203)-LOOKUP('Données projet'!$E$16,$A$3:$A$203,$H$3:$H$203))</f>
        <v>244.45149244446094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projet'!$B$17,Paramètres!$A$1:$I$88,3,0)*VLOOKUP('Données projet'!$B$17,Paramètres!$A$1:$I$88,5,0)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503.69304261527651</v>
      </c>
      <c r="GF3" s="62">
        <f>IF('Données projet'!E17&gt;30,$GD$33-$H$33,LOOKUP('Données projet'!$E$17,$A$3:$A$203,GD3:GD203)-LOOKUP('Données projet'!$E$17,$A$3:$A$203,$H$3:$H$203))</f>
        <v>267.2998309535638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projet'!$B$18,Paramètres!$A$1:$I$88,3,0)*VLOOKUP('Données projet'!$B$18,Paramètres!$A$1:$I$88,5,0)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582.89879210197682</v>
      </c>
      <c r="HA3" s="62">
        <f>IF('Données projet'!E18&gt;30,$GY$33-$H$33,LOOKUP('Données projet'!$E$18,$A$3:$A$203,GY3:GY203)-LOOKUP('Données projet'!$E$18,$A$3:$A$203,$H$3:$H$203))</f>
        <v>314.72094983133326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</v>
      </c>
      <c r="N4" s="14">
        <f>IF('Données projet'!$A$36&gt;35,N3+M4-V3,IF(A4&lt;'Données projet'!$A$36,$K$205^A4,IF(A4='Données projet'!$A$36,'Données projet'!$B$36,N3+M4-V3)))</f>
        <v>1.1812937373976771</v>
      </c>
      <c r="O4" s="14">
        <f>N4*VLOOKUP('Données projet'!$B$9,Paramètres!$A$1:$I$88,3,0)*VLOOKUP('Données projet'!$B$9,Paramètres!$A$1:$I$88,5,0)</f>
        <v>0.55284546910211285</v>
      </c>
      <c r="P4" s="14">
        <f>EXP(-1.0587+0.8836*LN(O4)+0.284)</f>
        <v>0.27297114564908254</v>
      </c>
      <c r="Q4" s="22">
        <f t="shared" ref="Q4:Q34" si="2">(O4+P4)*0.475*44/12</f>
        <v>1.4382972706916652</v>
      </c>
      <c r="R4" s="62">
        <f t="shared" si="0"/>
        <v>259.32718615958055</v>
      </c>
      <c r="S4" s="62">
        <f ca="1">AVERAGE(OFFSET($R$3,0,0,'Données projet'!$E$9+1,1))-AVERAGE(OFFSET($H$3,0,0,'Données projet'!$E$9+1,1))</f>
        <v>399.92909819003523</v>
      </c>
      <c r="T4" s="62">
        <f>$T$3</f>
        <v>163.7053537268381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projet'!$B$10,Paramètres!$A$1:$I$88,3,0)*VLOOKUP('Données projet'!$B$10,Paramètres!$A$1:$I$88,5,0)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260.72987866106189</v>
      </c>
      <c r="AN4" s="62">
        <f ca="1">AVERAGE(OFFSET($AM$3,0,0,'Données projet'!$E$10+1,1))-AVERAGE(OFFSET($H$3,0,0,'Données projet'!$E$10+1,1))</f>
        <v>510.56580450928806</v>
      </c>
      <c r="AO4" s="62">
        <f>$AO$3</f>
        <v>278.21741231699929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4.95</v>
      </c>
      <c r="BD4" s="13">
        <f>IF('Données projet'!$A$88&gt;35,BD3+BC4-BL3,IF(A4&lt;'Données projet'!$A$88,$BA$205^A4,IF(A4='Données projet'!$A$88,'Données projet'!$B$88,BD3+BC4-BL3)))</f>
        <v>1.2582929395612836</v>
      </c>
      <c r="BE4" s="14">
        <f>BD4*VLOOKUP('Données projet'!$B$11,Paramètres!$A$1:$I$88,3,0)*VLOOKUP('Données projet'!$B$11,Paramètres!$A$1:$I$88,5,0)</f>
        <v>1.1973915612865176</v>
      </c>
      <c r="BF4" s="14">
        <f>EXP(-1.0587+0.8836*LN(BE4)+0.284)</f>
        <v>0.54035797450252687</v>
      </c>
      <c r="BG4" s="22">
        <f t="shared" ref="BG4:BG67" si="7">(BE4+BF4)*0.475*44/12</f>
        <v>3.0265804414992523</v>
      </c>
      <c r="BH4" s="62">
        <f t="shared" ref="BH4:BH67" si="8">BG4+(AY4+AZ4)*44/12</f>
        <v>260.91546933038813</v>
      </c>
      <c r="BI4" s="62">
        <f ca="1">AVERAGE(OFFSET($BH$3,0,0,'Données projet'!$E$11+1,1))-AVERAGE(OFFSET($H$3,0,0,'Données projet'!$E$11+1,1))</f>
        <v>525.51330555662139</v>
      </c>
      <c r="BJ4" s="62">
        <f>$BJ$3</f>
        <v>357.72390083433635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3.2392083333333335</v>
      </c>
      <c r="BY4" s="13">
        <f>IF('Données projet'!$A$114&gt;35,BY3+BX4-CG3,IF(A4&lt;'Données projet'!$A$114,$BV$205^A4,IF(A4='Données projet'!$A$114,'Données projet'!$B$114,BY3+BX4-CG3)))</f>
        <v>1.3566516392624868</v>
      </c>
      <c r="BZ4" s="14">
        <f>BY4*VLOOKUP('Données projet'!$B$12,Paramètres!$A$1:$I$88,3,0)*VLOOKUP('Données projet'!$B$12,Paramètres!$A$1:$I$88,5,0)</f>
        <v>0.81127768027896718</v>
      </c>
      <c r="CA4" s="14">
        <f>EXP(-1.0587+0.8836*LN(BZ4)+0.284)</f>
        <v>0.38308421720764524</v>
      </c>
      <c r="CB4" s="22">
        <f t="shared" ref="CB4:CB67" si="10">(BZ4+CA4)*0.475*44/12</f>
        <v>2.0801803047891831</v>
      </c>
      <c r="CC4" s="62">
        <f t="shared" ref="CC4:CC67" si="11">CB4+(BT4+BU4)*44/12</f>
        <v>259.96906919367802</v>
      </c>
      <c r="CD4" s="62">
        <f ca="1">AVERAGE(OFFSET($CC$3,0,0,'Données projet'!$E$12+1,1))-AVERAGE(OFFSET($H$3,0,0,'Données projet'!$E$12+1,1))</f>
        <v>227.46616726010473</v>
      </c>
      <c r="CE4" s="62">
        <f>$CE$3</f>
        <v>314.188568589113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5.72</v>
      </c>
      <c r="CT4" s="13">
        <f>IF('Données projet'!$A$140&gt;35,CT3+CS4-DB3,IF(A4&lt;'Données projet'!$A$140,$CQ$205^A4,IF(A4='Données projet'!$A$140,'Données projet'!$B$140,CT3+CS4-DB3)))</f>
        <v>1.2195888395871217</v>
      </c>
      <c r="CU4" s="18">
        <f>CT4*VLOOKUP('Données projet'!$B$13,Paramètres!$A$1:$I$88,3,0)*VLOOKUP('Données projet'!$B$13,Paramètres!$A$1:$I$88,5,0)</f>
        <v>0.72931412607309887</v>
      </c>
      <c r="CV4" s="14">
        <f>EXP(-1.0587+0.8836*LN(CU4)+0.284)</f>
        <v>0.34867710217887687</v>
      </c>
      <c r="CW4" s="22">
        <f t="shared" ref="CW4:CW67" si="13">(CU4+CV4)*0.475*44/12</f>
        <v>1.8775013892055243</v>
      </c>
      <c r="CX4" s="62">
        <f t="shared" ref="CX4:CX67" si="14">CW4+(CO4+CP4)*44/12</f>
        <v>259.76639027809438</v>
      </c>
      <c r="CY4" s="62">
        <f ca="1">AVERAGE(OFFSET($CX$3,0,0,'Données projet'!$E$13+1,1))-AVERAGE(OFFSET($H$3,0,0,'Données projet'!$E$13+1,1))</f>
        <v>356.46794174556311</v>
      </c>
      <c r="CZ4" s="62">
        <f>$CZ$3</f>
        <v>248.47107558211923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10</v>
      </c>
      <c r="DO4" s="13">
        <f>IF('Données projet'!$A$166&gt;35,DO3+DN4-DW3,IF(A4&lt;'Données projet'!$A$166,$DL$205^A4,IF(A4='Données projet'!$A$166,'Données projet'!$B$166,DO3+DN4-DW3)))</f>
        <v>1.289976715395158</v>
      </c>
      <c r="DP4" s="18">
        <f>DO4*VLOOKUP('Données projet'!$B$14,Paramètres!$A$1:$I$88,3,0)*VLOOKUP('Données projet'!$B$14,Paramètres!$A$1:$I$88,5,0)</f>
        <v>0.72109698390589339</v>
      </c>
      <c r="DQ4" s="14">
        <f>EXP(-1.0587+0.8836*LN(DP4)+0.284)</f>
        <v>0.34520357101002697</v>
      </c>
      <c r="DR4" s="22">
        <f t="shared" ref="DR4:DR67" si="16">(DP4+DQ4)*0.475*44/12</f>
        <v>1.8571401331452277</v>
      </c>
      <c r="DS4" s="62">
        <f t="shared" ref="DS4:DS67" si="17">DR4+(DJ4+DK4)*44/12</f>
        <v>259.74602902203407</v>
      </c>
      <c r="DT4" s="62">
        <f ca="1">AVERAGE(OFFSET($DS$3,0,0,'Données projet'!$E$14+1,1))-AVERAGE(OFFSET($H$3,0,0,'Données projet'!$E$14+1,1))</f>
        <v>397.04445188588369</v>
      </c>
      <c r="DU4" s="62">
        <f>$DU$3</f>
        <v>350.01856672839466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0.91500000000000004</v>
      </c>
      <c r="EJ4" s="13">
        <f>IF('Données projet'!$A$192&gt;35,EJ3+EI4-ER3,IF(A4&lt;'Données projet'!$A$192,$EG$205^A4,IF(A4='Données projet'!$A$192,'Données projet'!$B$192,EJ3+EI4-ER3)))</f>
        <v>1.1564385340088972</v>
      </c>
      <c r="EK4" s="18">
        <f>EJ4*VLOOKUP('Données projet'!$B$15,Paramètres!$A$1:$I$88,3,0)*VLOOKUP('Données projet'!$B$15,Paramètres!$A$1:$I$88,5,0)</f>
        <v>1.0102647033101728</v>
      </c>
      <c r="EL4" s="14">
        <f>EXP(-1.0587+0.8836*LN(EK4)+0.284)</f>
        <v>0.46501931253921397</v>
      </c>
      <c r="EM4" s="22">
        <f t="shared" ref="EM4:EM67" si="19">(EK4+EL4)*0.475*44/12</f>
        <v>2.5694529942710149</v>
      </c>
      <c r="EN4" s="62">
        <f t="shared" ref="EN4:EN67" si="20">EM4+(EE4+EF4)*44/12</f>
        <v>260.45834188315985</v>
      </c>
      <c r="EO4" s="62">
        <f ca="1">AVERAGE(OFFSET($EN$3,0,0,'Données projet'!$E$15+1,1))-AVERAGE(OFFSET($H$3,0,0,'Données projet'!$E$15+1,1))</f>
        <v>202.5548390231225</v>
      </c>
      <c r="EP4" s="62">
        <f>$EP$3</f>
        <v>184.62184077734179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projet'!$B$15,Paramètres!$A$1:$I$88,3,0)*0.475*44/12</f>
        <v>0</v>
      </c>
      <c r="EW4" s="23">
        <f>EXP(-LN(2)/25)*EW3+(1-EXP(-LN(2)/25))/(LN(2)/25)*Calculateur!ER4*Calculateur!ET4*VLOOKUP('Données projet'!$B$15,Paramètres!$A$1:$I$88,3,0)*0.475*44/12</f>
        <v>0</v>
      </c>
      <c r="EX4" s="23">
        <f>EXP(-LN(2)/2)*EX3+(1-EXP(-LN(2)/2))/(LN(2)/2)*ER4*EU4*VLOOKUP('Données projet'!$B$15,Paramètres!$A$1:$I$88,3,0)*0.475*44/12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IF('Données projet'!$A$218&gt;35,FE3+FD4-FM3,IF(A4&lt;'Données projet'!$A$218,$FB$205^A4,IF(A4='Données projet'!$A$218,'Données projet'!$B$218,FE3+FD4-FM3)))</f>
        <v>1.2054868146447177</v>
      </c>
      <c r="FF4" s="18">
        <f>FE4*VLOOKUP('Données projet'!$B$16,Paramètres!$A$1:$I$88,3,0)*VLOOKUP('Données projet'!$B$16,Paramètres!$A$1:$I$88,5,0)</f>
        <v>1.165946847124371</v>
      </c>
      <c r="FG4" s="14">
        <f>EXP(-1.0587+0.8836*LN(FF4)+0.284)</f>
        <v>0.52780002987456354</v>
      </c>
      <c r="FH4" s="22">
        <f t="shared" ref="FH4:FH67" si="22">(FF4+FG4)*0.475*44/12</f>
        <v>2.9499424774398109</v>
      </c>
      <c r="FI4" s="62">
        <f t="shared" ref="FI4:FI67" si="23">FH4+(EZ4+FA4)*44/12</f>
        <v>260.83883136632869</v>
      </c>
      <c r="FJ4" s="62">
        <f ca="1">AVERAGE(OFFSET($FI$3,0,0,'Données projet'!$E$16+1,1))-AVERAGE(OFFSET($H$3,0,0,'Données projet'!$E$16+1,1))</f>
        <v>456.96274622094955</v>
      </c>
      <c r="FK4" s="62">
        <f>$FK$3</f>
        <v>244.45149244446094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projet'!$B$16,Paramètres!$A$1:$I$88,3,0)*0.475*44/12</f>
        <v>0</v>
      </c>
      <c r="FR4" s="23">
        <f>EXP(-LN(2)/25)*FR3+(1-EXP(-LN(2)/25))/(LN(2)/25)*Calculateur!FM4*Calculateur!FO4*VLOOKUP('Données projet'!$B$16,Paramètres!$A$1:$I$88,3,0)*0.475*44/12</f>
        <v>0</v>
      </c>
      <c r="FS4" s="23">
        <f>EXP(-LN(2)/2)*FS3+(1-EXP(-LN(2)/2))/(LN(2)/2)*FM4*FP4*VLOOKUP('Données projet'!$B$16,Paramètres!$A$1:$I$88,3,0)*0.475*44/12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IF('Données projet'!$A$244&gt;35,FZ3+FY4-GH3,IF(A4&lt;'Données projet'!$A$244,$FW$205^A4,IF(A4='Données projet'!$A$244,'Données projet'!$B$244,FZ3+FY4-GH3)))</f>
        <v>1.2054868146447177</v>
      </c>
      <c r="GA4" s="18">
        <f>FZ4*VLOOKUP('Données projet'!$B$17,Paramètres!$A$1:$I$88,3,0)*VLOOKUP('Données projet'!$B$17,Paramètres!$A$1:$I$88,5,0)</f>
        <v>1.2975860072835741</v>
      </c>
      <c r="GB4" s="14">
        <f>EXP(-1.0587+0.8836*LN(GA4)+0.284)</f>
        <v>0.58012177912374829</v>
      </c>
      <c r="GC4" s="22">
        <f t="shared" ref="GC4:GC67" si="25">(GA4+GB4)*0.475*44/12</f>
        <v>3.2703410613260862</v>
      </c>
      <c r="GD4" s="62">
        <f t="shared" ref="GD4:GD67" si="26">GC4+(FU4+FV4)*44/12</f>
        <v>261.15922995021492</v>
      </c>
      <c r="GE4" s="62">
        <f ca="1">AVERAGE(OFFSET($GD$3,0,0,'Données projet'!$E$17+1,1))-AVERAGE(OFFSET($H$3,0,0,'Données projet'!$E$17+1,1))</f>
        <v>503.69304261527651</v>
      </c>
      <c r="GF4" s="62">
        <f>$GF$3</f>
        <v>267.2998309535638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projet'!$B$17,Paramètres!$A$1:$I$88,3,0)*0.475*44/12</f>
        <v>0</v>
      </c>
      <c r="GM4" s="23">
        <f>EXP(-LN(2)/25)*GM3+(1-EXP(-LN(2)/25))/(LN(2)/25)*Calculateur!GH4*Calculateur!GJ4*VLOOKUP('Données projet'!$B$17,Paramètres!$A$1:$I$88,3,0)*0.475*44/12</f>
        <v>0</v>
      </c>
      <c r="GN4" s="23">
        <f>EXP(-LN(2)/2)*GN3+(1-EXP(-LN(2)/2))/(LN(2)/2)*GH4*GK4*VLOOKUP('Données projet'!$B$17,Paramètres!$A$1:$I$88,3,0)*0.475*44/12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3.65</v>
      </c>
      <c r="GU4" s="13">
        <f>IF('Données projet'!$A$270&gt;35,GU3+GT4-HC3,IF(A4&lt;'Données projet'!$A$270,$GR$205^A4,IF(A4='Données projet'!$A$270,'Données projet'!$B$270,GU3+GT4-HC3)))</f>
        <v>1.2392705892426346</v>
      </c>
      <c r="GV4" s="18">
        <f>GU4*VLOOKUP('Données projet'!$B$18,Paramètres!$A$1:$I$88,3,0)*VLOOKUP('Données projet'!$B$18,Paramètres!$A$1:$I$88,5,0)</f>
        <v>1.2952856198764018</v>
      </c>
      <c r="GW4" s="14">
        <f>EXP(-1.0587+0.8836*LN(GV4)+0.284)</f>
        <v>0.57921294517312394</v>
      </c>
      <c r="GX4" s="22">
        <f t="shared" ref="GX4:GX67" si="28">(GV4+GW4)*0.475*44/12</f>
        <v>3.2647516674612578</v>
      </c>
      <c r="GY4" s="62">
        <f t="shared" ref="GY4:GY67" si="29">GX4+(GP4+GQ4)*44/12</f>
        <v>261.15364055635013</v>
      </c>
      <c r="GZ4" s="62">
        <f ca="1">AVERAGE(OFFSET($GY$3,0,0,'Données projet'!$E$18+1,1))-AVERAGE(OFFSET($H$3,0,0,'Données projet'!$E$18+1,1))</f>
        <v>582.89879210197682</v>
      </c>
      <c r="HA4" s="62">
        <f>$HA$3</f>
        <v>314.72094983133326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projet'!$B$18,Paramètres!$A$1:$I$88,3,0)*0.475*44/12</f>
        <v>0</v>
      </c>
      <c r="HH4" s="23">
        <f>EXP(-LN(2)/25)*HH3+(1-EXP(-LN(2)/25))/(LN(2)/25)*Calculateur!HC4*Calculateur!HE4*VLOOKUP('Données projet'!$B$18,Paramètres!$A$1:$I$88,3,0)*0.475*44/12</f>
        <v>0</v>
      </c>
      <c r="HI4" s="23">
        <f>EXP(-LN(2)/2)*HI3+(1-EXP(-LN(2)/2))/(LN(2)/2)*HC4*HF4*VLOOKUP('Données projet'!$B$18,Paramètres!$A$1:$I$88,3,0)*0.475*44/12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</v>
      </c>
      <c r="N5" s="14">
        <f>IF('Données projet'!$A$36&gt;35,N4+M5-V4,IF(A5&lt;'Données projet'!$A$36,$K$205^A5,IF(A5='Données projet'!$A$36,'Données projet'!$B$36,N4+M5-V4)))</f>
        <v>1.395454894014972</v>
      </c>
      <c r="O5" s="14">
        <f>N5*VLOOKUP('Données projet'!$B$9,Paramètres!$A$1:$I$88,3,0)*VLOOKUP('Données projet'!$B$9,Paramètres!$A$1:$I$88,5,0)</f>
        <v>0.65307289039900684</v>
      </c>
      <c r="P5" s="14">
        <f t="shared" ref="P5:P68" si="33">EXP(-1.0587+0.8836*LN(O5)+0.284)</f>
        <v>0.31626576584246652</v>
      </c>
      <c r="Q5" s="22">
        <f t="shared" si="2"/>
        <v>1.6882648262872328</v>
      </c>
      <c r="R5" s="62">
        <f t="shared" si="0"/>
        <v>260.79937593739839</v>
      </c>
      <c r="S5" s="62">
        <f ca="1">AVERAGE(OFFSET($R$3,0,0,'Données projet'!$E$9+1,1))-AVERAGE(OFFSET($H$3,0,0,'Données projet'!$E$9+1,1))</f>
        <v>399.92909819003523</v>
      </c>
      <c r="T5" s="62">
        <f t="shared" ref="T5:T68" si="34">$T$3</f>
        <v>163.7053537268381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projet'!$B$10,Paramètres!$A$1:$I$88,3,0)*VLOOKUP('Données projet'!$B$10,Paramètres!$A$1:$I$88,5,0)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262.60472488787678</v>
      </c>
      <c r="AN5" s="62">
        <f ca="1">AVERAGE(OFFSET($AM$3,0,0,'Données projet'!$E$10+1,1))-AVERAGE(OFFSET($H$3,0,0,'Données projet'!$E$10+1,1))</f>
        <v>510.56580450928806</v>
      </c>
      <c r="AO5" s="62">
        <f t="shared" ref="AO5:AO68" si="36">$AO$3</f>
        <v>278.21741231699929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4.95</v>
      </c>
      <c r="BD5" s="13">
        <f>IF('Données projet'!$A$88&gt;35,BD4+BC5-BL4,IF(A5&lt;'Données projet'!$A$88,$BA$205^A5,IF(A5='Données projet'!$A$88,'Données projet'!$B$88,BD4+BC5-BL4)))</f>
        <v>1.5833011217497761</v>
      </c>
      <c r="BE5" s="14">
        <f>BD5*VLOOKUP('Données projet'!$B$11,Paramètres!$A$1:$I$88,3,0)*VLOOKUP('Données projet'!$B$11,Paramètres!$A$1:$I$88,5,0)</f>
        <v>1.5066693474570869</v>
      </c>
      <c r="BF5" s="14">
        <f t="shared" ref="BF5:BF68" si="37">EXP(-1.0587+0.8836*LN(BE5)+0.284)</f>
        <v>0.66198588281125781</v>
      </c>
      <c r="BG5" s="22">
        <f t="shared" si="7"/>
        <v>3.7770745260507002</v>
      </c>
      <c r="BH5" s="62">
        <f t="shared" si="8"/>
        <v>262.88818563716183</v>
      </c>
      <c r="BI5" s="62">
        <f ca="1">AVERAGE(OFFSET($BH$3,0,0,'Données projet'!$E$11+1,1))-AVERAGE(OFFSET($H$3,0,0,'Données projet'!$E$11+1,1))</f>
        <v>525.51330555662139</v>
      </c>
      <c r="BJ5" s="62">
        <f t="shared" ref="BJ5:BJ68" si="38">$BJ$3</f>
        <v>357.72390083433635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3.2392083333333335</v>
      </c>
      <c r="BY5" s="13">
        <f>IF('Données projet'!$A$114&gt;35,BY4+BX5-CG4,IF(A5&lt;'Données projet'!$A$114,$BV$205^A5,IF(A5='Données projet'!$A$114,'Données projet'!$B$114,BY4+BX5-CG4)))</f>
        <v>1.8405036703135926</v>
      </c>
      <c r="BZ5" s="14">
        <f>BY5*VLOOKUP('Données projet'!$B$12,Paramètres!$A$1:$I$88,3,0)*VLOOKUP('Données projet'!$B$12,Paramètres!$A$1:$I$88,5,0)</f>
        <v>1.1006211948475284</v>
      </c>
      <c r="CA5" s="14">
        <f t="shared" ref="CA5:CA68" si="39">EXP(-1.0587+0.8836*LN(BZ5)+0.284)</f>
        <v>0.5015835540976048</v>
      </c>
      <c r="CB5" s="22">
        <f t="shared" si="10"/>
        <v>2.7905066044127733</v>
      </c>
      <c r="CC5" s="62">
        <f t="shared" si="11"/>
        <v>261.90161771552391</v>
      </c>
      <c r="CD5" s="62">
        <f ca="1">AVERAGE(OFFSET($CC$3,0,0,'Données projet'!$E$12+1,1))-AVERAGE(OFFSET($H$3,0,0,'Données projet'!$E$12+1,1))</f>
        <v>227.46616726010473</v>
      </c>
      <c r="CE5" s="62">
        <f t="shared" ref="CE5:CE68" si="40">$CE$3</f>
        <v>314.188568589113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5.72</v>
      </c>
      <c r="CT5" s="13">
        <f>IF('Données projet'!$A$140&gt;35,CT4+CS5-DB4,IF(A5&lt;'Données projet'!$A$140,$CQ$205^A5,IF(A5='Données projet'!$A$140,'Données projet'!$B$140,CT4+CS5-DB4)))</f>
        <v>1.4873969376454621</v>
      </c>
      <c r="CU5" s="18">
        <f>CT5*VLOOKUP('Données projet'!$B$13,Paramètres!$A$1:$I$88,3,0)*VLOOKUP('Données projet'!$B$13,Paramètres!$A$1:$I$88,5,0)</f>
        <v>0.8894633687119865</v>
      </c>
      <c r="CV5" s="14">
        <f t="shared" ref="CV5:CV68" si="41">EXP(-1.0587+0.8836*LN(CU5)+0.284)</f>
        <v>0.41552927366790499</v>
      </c>
      <c r="CW5" s="22">
        <f t="shared" si="13"/>
        <v>2.2728621854783109</v>
      </c>
      <c r="CX5" s="62">
        <f t="shared" si="14"/>
        <v>261.38397329658943</v>
      </c>
      <c r="CY5" s="62">
        <f ca="1">AVERAGE(OFFSET($CX$3,0,0,'Données projet'!$E$13+1,1))-AVERAGE(OFFSET($H$3,0,0,'Données projet'!$E$13+1,1))</f>
        <v>356.46794174556311</v>
      </c>
      <c r="CZ5" s="62">
        <f t="shared" ref="CZ5:CZ68" si="42">$CZ$3</f>
        <v>248.47107558211923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10</v>
      </c>
      <c r="DO5" s="13">
        <f>IF('Données projet'!$A$166&gt;35,DO4+DN5-DW4,IF(A5&lt;'Données projet'!$A$166,$DL$205^A5,IF(A5='Données projet'!$A$166,'Données projet'!$B$166,DO4+DN5-DW4)))</f>
        <v>1.6640399262616805</v>
      </c>
      <c r="DP5" s="18">
        <f>DO5*VLOOKUP('Données projet'!$B$14,Paramètres!$A$1:$I$88,3,0)*VLOOKUP('Données projet'!$B$14,Paramètres!$A$1:$I$88,5,0)</f>
        <v>0.93019831878027937</v>
      </c>
      <c r="DQ5" s="14">
        <f t="shared" ref="DQ5:DQ68" si="43">EXP(-1.0587+0.8836*LN(DP5)+0.284)</f>
        <v>0.43230018467776149</v>
      </c>
      <c r="DR5" s="22">
        <f t="shared" si="16"/>
        <v>2.3730182268560873</v>
      </c>
      <c r="DS5" s="62">
        <f t="shared" si="17"/>
        <v>261.4841293379672</v>
      </c>
      <c r="DT5" s="62">
        <f ca="1">AVERAGE(OFFSET($DS$3,0,0,'Données projet'!$E$14+1,1))-AVERAGE(OFFSET($H$3,0,0,'Données projet'!$E$14+1,1))</f>
        <v>397.04445188588369</v>
      </c>
      <c r="DU5" s="62">
        <f t="shared" ref="DU5:DU68" si="44">$DU$3</f>
        <v>350.01856672839466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0.91500000000000004</v>
      </c>
      <c r="EJ5" s="13">
        <f>IF('Données projet'!$A$192&gt;35,EJ4+EI5-ER4,IF(A5&lt;'Données projet'!$A$192,$EG$205^A5,IF(A5='Données projet'!$A$192,'Données projet'!$B$192,EJ4+EI5-ER4)))</f>
        <v>1.3373500829406473</v>
      </c>
      <c r="EK5" s="18">
        <f>EJ5*VLOOKUP('Données projet'!$B$15,Paramètres!$A$1:$I$88,3,0)*VLOOKUP('Données projet'!$B$15,Paramètres!$A$1:$I$88,5,0)</f>
        <v>1.1683090324569496</v>
      </c>
      <c r="EL5" s="14">
        <f t="shared" ref="EL5:EL68" si="45">EXP(-1.0587+0.8836*LN(EK5)+0.284)</f>
        <v>0.52874476303788609</v>
      </c>
      <c r="EM5" s="22">
        <f t="shared" si="19"/>
        <v>2.9557020271535053</v>
      </c>
      <c r="EN5" s="62">
        <f t="shared" si="20"/>
        <v>262.06681313826465</v>
      </c>
      <c r="EO5" s="62">
        <f ca="1">AVERAGE(OFFSET($EN$3,0,0,'Données projet'!$E$15+1,1))-AVERAGE(OFFSET($H$3,0,0,'Données projet'!$E$15+1,1))</f>
        <v>202.5548390231225</v>
      </c>
      <c r="EP5" s="62">
        <f t="shared" ref="EP5:EP68" si="46">$EP$3</f>
        <v>184.62184077734179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projet'!$B$15,Paramètres!$A$1:$I$88,3,0)*0.475*44/12</f>
        <v>0</v>
      </c>
      <c r="EW5" s="23">
        <f>EXP(-LN(2)/25)*EW4+(1-EXP(-LN(2)/25))/(LN(2)/25)*Calculateur!ER5*Calculateur!ET5*VLOOKUP('Données projet'!$B$15,Paramètres!$A$1:$I$88,3,0)*0.475*44/12</f>
        <v>0</v>
      </c>
      <c r="EX5" s="23">
        <f>EXP(-LN(2)/2)*EX4+(1-EXP(-LN(2)/2))/(LN(2)/2)*ER5*EU5*VLOOKUP('Données projet'!$B$15,Paramètres!$A$1:$I$88,3,0)*0.475*44/12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IF('Données projet'!$A$218&gt;35,FE4+FD5-FM4,IF(A5&lt;'Données projet'!$A$218,$FB$205^A5,IF(A5='Données projet'!$A$218,'Données projet'!$B$218,FE4+FD5-FM4)))</f>
        <v>1.4531984602822681</v>
      </c>
      <c r="FF5" s="18">
        <f>FE5*VLOOKUP('Données projet'!$B$16,Paramètres!$A$1:$I$88,3,0)*VLOOKUP('Données projet'!$B$16,Paramètres!$A$1:$I$88,5,0)</f>
        <v>1.4055335507850097</v>
      </c>
      <c r="FG5" s="14">
        <f t="shared" ref="FG5:FG68" si="47">EXP(-1.0587+0.8836*LN(FF5)+0.284)</f>
        <v>0.62256480317525631</v>
      </c>
      <c r="FH5" s="22">
        <f t="shared" si="22"/>
        <v>3.5322712998141292</v>
      </c>
      <c r="FI5" s="62">
        <f t="shared" si="23"/>
        <v>262.64338241092526</v>
      </c>
      <c r="FJ5" s="62">
        <f ca="1">AVERAGE(OFFSET($FI$3,0,0,'Données projet'!$E$16+1,1))-AVERAGE(OFFSET($H$3,0,0,'Données projet'!$E$16+1,1))</f>
        <v>456.96274622094955</v>
      </c>
      <c r="FK5" s="62">
        <f t="shared" ref="FK5:FK68" si="48">$FK$3</f>
        <v>244.45149244446094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projet'!$B$16,Paramètres!$A$1:$I$88,3,0)*0.475*44/12</f>
        <v>0</v>
      </c>
      <c r="FR5" s="23">
        <f>EXP(-LN(2)/25)*FR4+(1-EXP(-LN(2)/25))/(LN(2)/25)*Calculateur!FM5*Calculateur!FO5*VLOOKUP('Données projet'!$B$16,Paramètres!$A$1:$I$88,3,0)*0.475*44/12</f>
        <v>0</v>
      </c>
      <c r="FS5" s="23">
        <f>EXP(-LN(2)/2)*FS4+(1-EXP(-LN(2)/2))/(LN(2)/2)*FM5*FP5*VLOOKUP('Données projet'!$B$16,Paramètres!$A$1:$I$88,3,0)*0.475*44/12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IF('Données projet'!$A$244&gt;35,FZ4+FY5-GH4,IF(A5&lt;'Données projet'!$A$244,$FW$205^A5,IF(A5='Données projet'!$A$244,'Données projet'!$B$244,FZ4+FY5-GH4)))</f>
        <v>1.4531984602822681</v>
      </c>
      <c r="GA5" s="18">
        <f>FZ5*VLOOKUP('Données projet'!$B$17,Paramètres!$A$1:$I$88,3,0)*VLOOKUP('Données projet'!$B$17,Paramètres!$A$1:$I$88,5,0)</f>
        <v>1.5642228226478332</v>
      </c>
      <c r="GB5" s="14">
        <f t="shared" ref="GB5:GB68" si="49">EXP(-1.0587+0.8836*LN(GA5)+0.284)</f>
        <v>0.68428075179095682</v>
      </c>
      <c r="GC5" s="22">
        <f t="shared" si="25"/>
        <v>3.9161437254808931</v>
      </c>
      <c r="GD5" s="62">
        <f t="shared" si="26"/>
        <v>263.02725483659202</v>
      </c>
      <c r="GE5" s="62">
        <f ca="1">AVERAGE(OFFSET($GD$3,0,0,'Données projet'!$E$17+1,1))-AVERAGE(OFFSET($H$3,0,0,'Données projet'!$E$17+1,1))</f>
        <v>503.69304261527651</v>
      </c>
      <c r="GF5" s="62">
        <f t="shared" ref="GF5:GF68" si="50">$GF$3</f>
        <v>267.2998309535638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projet'!$B$17,Paramètres!$A$1:$I$88,3,0)*0.475*44/12</f>
        <v>0</v>
      </c>
      <c r="GM5" s="23">
        <f>EXP(-LN(2)/25)*GM4+(1-EXP(-LN(2)/25))/(LN(2)/25)*Calculateur!GH5*Calculateur!GJ5*VLOOKUP('Données projet'!$B$17,Paramètres!$A$1:$I$88,3,0)*0.475*44/12</f>
        <v>0</v>
      </c>
      <c r="GN5" s="23">
        <f>EXP(-LN(2)/2)*GN4+(1-EXP(-LN(2)/2))/(LN(2)/2)*GH5*GK5*VLOOKUP('Données projet'!$B$17,Paramètres!$A$1:$I$88,3,0)*0.475*44/12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3.65</v>
      </c>
      <c r="GU5" s="13">
        <f>IF('Données projet'!$A$270&gt;35,GU4+GT5-HC4,IF(A5&lt;'Données projet'!$A$270,$GR$205^A5,IF(A5='Données projet'!$A$270,'Données projet'!$B$270,GU4+GT5-HC4)))</f>
        <v>1.5357915933617867</v>
      </c>
      <c r="GV5" s="18">
        <f>GU5*VLOOKUP('Données projet'!$B$18,Paramètres!$A$1:$I$88,3,0)*VLOOKUP('Données projet'!$B$18,Paramètres!$A$1:$I$88,5,0)</f>
        <v>1.6052093733817396</v>
      </c>
      <c r="GW5" s="14">
        <f t="shared" ref="GW5:GW68" si="51">EXP(-1.0587+0.8836*LN(GV5)+0.284)</f>
        <v>0.70009965487896453</v>
      </c>
      <c r="GX5" s="22">
        <f t="shared" si="28"/>
        <v>4.0150798908873933</v>
      </c>
      <c r="GY5" s="62">
        <f t="shared" si="29"/>
        <v>263.12619100199856</v>
      </c>
      <c r="GZ5" s="62">
        <f ca="1">AVERAGE(OFFSET($GY$3,0,0,'Données projet'!$E$18+1,1))-AVERAGE(OFFSET($H$3,0,0,'Données projet'!$E$18+1,1))</f>
        <v>582.89879210197682</v>
      </c>
      <c r="HA5" s="62">
        <f t="shared" ref="HA5:HA68" si="52">$HA$3</f>
        <v>314.72094983133326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projet'!$B$18,Paramètres!$A$1:$I$88,3,0)*0.475*44/12</f>
        <v>0</v>
      </c>
      <c r="HH5" s="23">
        <f>EXP(-LN(2)/25)*HH4+(1-EXP(-LN(2)/25))/(LN(2)/25)*Calculateur!HC5*Calculateur!HE5*VLOOKUP('Données projet'!$B$18,Paramètres!$A$1:$I$88,3,0)*0.475*44/12</f>
        <v>0</v>
      </c>
      <c r="HI5" s="23">
        <f>EXP(-LN(2)/2)*HI4+(1-EXP(-LN(2)/2))/(LN(2)/2)*HC5*HF5*VLOOKUP('Données projet'!$B$18,Paramètres!$A$1:$I$88,3,0)*0.475*44/12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</v>
      </c>
      <c r="N6" s="14">
        <f>IF('Données projet'!$A$36&gt;35,N5+M6-V5,IF(A6&lt;'Données projet'!$A$36,$K$205^A6,IF(A6='Données projet'!$A$36,'Données projet'!$B$36,N5+M6-V5)))</f>
        <v>1.6484421271208256</v>
      </c>
      <c r="O6" s="14">
        <f>N6*VLOOKUP('Données projet'!$B$9,Paramètres!$A$1:$I$88,3,0)*VLOOKUP('Données projet'!$B$9,Paramètres!$A$1:$I$88,5,0)</f>
        <v>0.77147091549254643</v>
      </c>
      <c r="P6" s="14">
        <f t="shared" si="33"/>
        <v>0.36642713428952517</v>
      </c>
      <c r="Q6" s="22">
        <f t="shared" si="2"/>
        <v>1.9818391033704412</v>
      </c>
      <c r="R6" s="62">
        <f t="shared" si="0"/>
        <v>262.31517243670373</v>
      </c>
      <c r="S6" s="62">
        <f ca="1">AVERAGE(OFFSET($R$3,0,0,'Données projet'!$E$9+1,1))-AVERAGE(OFFSET($H$3,0,0,'Données projet'!$E$9+1,1))</f>
        <v>399.92909819003523</v>
      </c>
      <c r="T6" s="62">
        <f t="shared" si="34"/>
        <v>163.7053537268381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projet'!$B$10,Paramètres!$A$1:$I$88,3,0)*VLOOKUP('Données projet'!$B$10,Paramètres!$A$1:$I$88,5,0)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264.63006022433916</v>
      </c>
      <c r="AN6" s="62">
        <f ca="1">AVERAGE(OFFSET($AM$3,0,0,'Données projet'!$E$10+1,1))-AVERAGE(OFFSET($H$3,0,0,'Données projet'!$E$10+1,1))</f>
        <v>510.56580450928806</v>
      </c>
      <c r="AO6" s="62">
        <f t="shared" si="36"/>
        <v>278.21741231699929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4.95</v>
      </c>
      <c r="BD6" s="13">
        <f>IF('Données projet'!$A$88&gt;35,BD5+BC6-BL5,IF(A6&lt;'Données projet'!$A$88,$BA$205^A6,IF(A6='Données projet'!$A$88,'Données projet'!$B$88,BD5+BC6-BL5)))</f>
        <v>1.9922566226972036</v>
      </c>
      <c r="BE6" s="14">
        <f>BD6*VLOOKUP('Données projet'!$B$11,Paramètres!$A$1:$I$88,3,0)*VLOOKUP('Données projet'!$B$11,Paramètres!$A$1:$I$88,5,0)</f>
        <v>1.8958314021586591</v>
      </c>
      <c r="BF6" s="14">
        <f t="shared" si="37"/>
        <v>0.81099073155133239</v>
      </c>
      <c r="BG6" s="22">
        <f t="shared" si="7"/>
        <v>4.7143818828782349</v>
      </c>
      <c r="BH6" s="62">
        <f t="shared" si="8"/>
        <v>265.04771521621154</v>
      </c>
      <c r="BI6" s="62">
        <f ca="1">AVERAGE(OFFSET($BH$3,0,0,'Données projet'!$E$11+1,1))-AVERAGE(OFFSET($H$3,0,0,'Données projet'!$E$11+1,1))</f>
        <v>525.51330555662139</v>
      </c>
      <c r="BJ6" s="62">
        <f t="shared" si="38"/>
        <v>357.72390083433635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3.2392083333333335</v>
      </c>
      <c r="BY6" s="13">
        <f>IF('Données projet'!$A$114&gt;35,BY5+BX6-CG5,IF(A6&lt;'Données projet'!$A$114,$BV$205^A6,IF(A6='Données projet'!$A$114,'Données projet'!$B$114,BY5+BX6-CG5)))</f>
        <v>2.4969223213995591</v>
      </c>
      <c r="BZ6" s="14">
        <f>BY6*VLOOKUP('Données projet'!$B$12,Paramètres!$A$1:$I$88,3,0)*VLOOKUP('Données projet'!$B$12,Paramètres!$A$1:$I$88,5,0)</f>
        <v>1.4931595481969364</v>
      </c>
      <c r="CA6" s="14">
        <f t="shared" si="39"/>
        <v>0.6567382586916034</v>
      </c>
      <c r="CB6" s="22">
        <f t="shared" si="10"/>
        <v>3.74440534699754</v>
      </c>
      <c r="CC6" s="62">
        <f t="shared" si="11"/>
        <v>264.07773868033087</v>
      </c>
      <c r="CD6" s="62">
        <f ca="1">AVERAGE(OFFSET($CC$3,0,0,'Données projet'!$E$12+1,1))-AVERAGE(OFFSET($H$3,0,0,'Données projet'!$E$12+1,1))</f>
        <v>227.46616726010473</v>
      </c>
      <c r="CE6" s="62">
        <f t="shared" si="40"/>
        <v>314.188568589113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5.72</v>
      </c>
      <c r="CT6" s="13">
        <f>IF('Données projet'!$A$140&gt;35,CT5+CS6-DB5,IF(A6&lt;'Données projet'!$A$140,$CQ$205^A6,IF(A6='Données projet'!$A$140,'Données projet'!$B$140,CT5+CS6-DB5)))</f>
        <v>1.8140127051884676</v>
      </c>
      <c r="CU6" s="18">
        <f>CT6*VLOOKUP('Données projet'!$B$13,Paramètres!$A$1:$I$88,3,0)*VLOOKUP('Données projet'!$B$13,Paramètres!$A$1:$I$88,5,0)</f>
        <v>1.0847795977027037</v>
      </c>
      <c r="CV6" s="14">
        <f t="shared" si="41"/>
        <v>0.49519907156506371</v>
      </c>
      <c r="CW6" s="22">
        <f t="shared" si="13"/>
        <v>2.7517961823080284</v>
      </c>
      <c r="CX6" s="62">
        <f t="shared" si="14"/>
        <v>263.08512951564137</v>
      </c>
      <c r="CY6" s="62">
        <f ca="1">AVERAGE(OFFSET($CX$3,0,0,'Données projet'!$E$13+1,1))-AVERAGE(OFFSET($H$3,0,0,'Données projet'!$E$13+1,1))</f>
        <v>356.46794174556311</v>
      </c>
      <c r="CZ6" s="62">
        <f t="shared" si="42"/>
        <v>248.47107558211923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10</v>
      </c>
      <c r="DO6" s="13">
        <f>IF('Données projet'!$A$166&gt;35,DO5+DN6-DW5,IF(A6&lt;'Données projet'!$A$166,$DL$205^A6,IF(A6='Données projet'!$A$166,'Données projet'!$B$166,DO5+DN6-DW5)))</f>
        <v>2.1465727583654437</v>
      </c>
      <c r="DP6" s="18">
        <f>DO6*VLOOKUP('Données projet'!$B$14,Paramètres!$A$1:$I$88,3,0)*VLOOKUP('Données projet'!$B$14,Paramètres!$A$1:$I$88,5,0)</f>
        <v>1.199934171926283</v>
      </c>
      <c r="DQ6" s="14">
        <f t="shared" si="43"/>
        <v>0.54137171618945512</v>
      </c>
      <c r="DR6" s="22">
        <f t="shared" si="16"/>
        <v>3.0327744218015771</v>
      </c>
      <c r="DS6" s="62">
        <f t="shared" si="17"/>
        <v>263.36610775513492</v>
      </c>
      <c r="DT6" s="62">
        <f ca="1">AVERAGE(OFFSET($DS$3,0,0,'Données projet'!$E$14+1,1))-AVERAGE(OFFSET($H$3,0,0,'Données projet'!$E$14+1,1))</f>
        <v>397.04445188588369</v>
      </c>
      <c r="DU6" s="62">
        <f t="shared" si="44"/>
        <v>350.01856672839466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0.91500000000000004</v>
      </c>
      <c r="EJ6" s="13">
        <f>IF('Données projet'!$A$192&gt;35,EJ5+EI6-ER5,IF(A6&lt;'Données projet'!$A$192,$EG$205^A6,IF(A6='Données projet'!$A$192,'Données projet'!$B$192,EJ5+EI6-ER5)))</f>
        <v>1.5465631693725592</v>
      </c>
      <c r="EK6" s="18">
        <f>EJ6*VLOOKUP('Données projet'!$B$15,Paramètres!$A$1:$I$88,3,0)*VLOOKUP('Données projet'!$B$15,Paramètres!$A$1:$I$88,5,0)</f>
        <v>1.3510775847638681</v>
      </c>
      <c r="EL6" s="14">
        <f t="shared" si="45"/>
        <v>0.60120304017785242</v>
      </c>
      <c r="EM6" s="22">
        <f t="shared" si="19"/>
        <v>3.400222088440163</v>
      </c>
      <c r="EN6" s="62">
        <f t="shared" si="20"/>
        <v>263.73355542177347</v>
      </c>
      <c r="EO6" s="62">
        <f ca="1">AVERAGE(OFFSET($EN$3,0,0,'Données projet'!$E$15+1,1))-AVERAGE(OFFSET($H$3,0,0,'Données projet'!$E$15+1,1))</f>
        <v>202.5548390231225</v>
      </c>
      <c r="EP6" s="62">
        <f t="shared" si="46"/>
        <v>184.62184077734179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projet'!$B$15,Paramètres!$A$1:$I$88,3,0)*0.475*44/12</f>
        <v>0</v>
      </c>
      <c r="EW6" s="23">
        <f>EXP(-LN(2)/25)*EW5+(1-EXP(-LN(2)/25))/(LN(2)/25)*Calculateur!ER6*Calculateur!ET6*VLOOKUP('Données projet'!$B$15,Paramètres!$A$1:$I$88,3,0)*0.475*44/12</f>
        <v>0</v>
      </c>
      <c r="EX6" s="23">
        <f>EXP(-LN(2)/2)*EX5+(1-EXP(-LN(2)/2))/(LN(2)/2)*ER6*EU6*VLOOKUP('Données projet'!$B$15,Paramètres!$A$1:$I$88,3,0)*0.475*44/12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IF('Données projet'!$A$218&gt;35,FE5+FD6-FM5,IF(A6&lt;'Données projet'!$A$218,$FB$205^A6,IF(A6='Données projet'!$A$218,'Données projet'!$B$218,FE5+FD6-FM5)))</f>
        <v>1.7518115829322798</v>
      </c>
      <c r="FF6" s="18">
        <f>FE6*VLOOKUP('Données projet'!$B$16,Paramètres!$A$1:$I$88,3,0)*VLOOKUP('Données projet'!$B$16,Paramètres!$A$1:$I$88,5,0)</f>
        <v>1.694352163012101</v>
      </c>
      <c r="FG6" s="14">
        <f t="shared" si="47"/>
        <v>0.73434428233124405</v>
      </c>
      <c r="FH6" s="22">
        <f t="shared" si="22"/>
        <v>4.2299796423063247</v>
      </c>
      <c r="FI6" s="62">
        <f t="shared" si="23"/>
        <v>264.56331297563963</v>
      </c>
      <c r="FJ6" s="62">
        <f ca="1">AVERAGE(OFFSET($FI$3,0,0,'Données projet'!$E$16+1,1))-AVERAGE(OFFSET($H$3,0,0,'Données projet'!$E$16+1,1))</f>
        <v>456.96274622094955</v>
      </c>
      <c r="FK6" s="62">
        <f t="shared" si="48"/>
        <v>244.45149244446094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projet'!$B$16,Paramètres!$A$1:$I$88,3,0)*0.475*44/12</f>
        <v>0</v>
      </c>
      <c r="FR6" s="23">
        <f>EXP(-LN(2)/25)*FR5+(1-EXP(-LN(2)/25))/(LN(2)/25)*Calculateur!FM6*Calculateur!FO6*VLOOKUP('Données projet'!$B$16,Paramètres!$A$1:$I$88,3,0)*0.475*44/12</f>
        <v>0</v>
      </c>
      <c r="FS6" s="23">
        <f>EXP(-LN(2)/2)*FS5+(1-EXP(-LN(2)/2))/(LN(2)/2)*FM6*FP6*VLOOKUP('Données projet'!$B$16,Paramètres!$A$1:$I$88,3,0)*0.475*44/12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IF('Données projet'!$A$244&gt;35,FZ5+FY6-GH5,IF(A6&lt;'Données projet'!$A$244,$FW$205^A6,IF(A6='Données projet'!$A$244,'Données projet'!$B$244,FZ5+FY6-GH5)))</f>
        <v>1.7518115829322798</v>
      </c>
      <c r="GA6" s="18">
        <f>FZ6*VLOOKUP('Données projet'!$B$17,Paramètres!$A$1:$I$88,3,0)*VLOOKUP('Données projet'!$B$17,Paramètres!$A$1:$I$88,5,0)</f>
        <v>1.885649987868306</v>
      </c>
      <c r="GB6" s="14">
        <f t="shared" si="49"/>
        <v>0.8071411281590839</v>
      </c>
      <c r="GC6" s="22">
        <f t="shared" si="25"/>
        <v>4.6899445270810372</v>
      </c>
      <c r="GD6" s="62">
        <f t="shared" si="26"/>
        <v>265.02327786041434</v>
      </c>
      <c r="GE6" s="62">
        <f ca="1">AVERAGE(OFFSET($GD$3,0,0,'Données projet'!$E$17+1,1))-AVERAGE(OFFSET($H$3,0,0,'Données projet'!$E$17+1,1))</f>
        <v>503.69304261527651</v>
      </c>
      <c r="GF6" s="62">
        <f t="shared" si="50"/>
        <v>267.2998309535638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projet'!$B$17,Paramètres!$A$1:$I$88,3,0)*0.475*44/12</f>
        <v>0</v>
      </c>
      <c r="GM6" s="23">
        <f>EXP(-LN(2)/25)*GM5+(1-EXP(-LN(2)/25))/(LN(2)/25)*Calculateur!GH6*Calculateur!GJ6*VLOOKUP('Données projet'!$B$17,Paramètres!$A$1:$I$88,3,0)*0.475*44/12</f>
        <v>0</v>
      </c>
      <c r="GN6" s="23">
        <f>EXP(-LN(2)/2)*GN5+(1-EXP(-LN(2)/2))/(LN(2)/2)*GH6*GK6*VLOOKUP('Données projet'!$B$17,Paramètres!$A$1:$I$88,3,0)*0.475*44/12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3.65</v>
      </c>
      <c r="GU6" s="13">
        <f>IF('Données projet'!$A$270&gt;35,GU5+GT6-HC5,IF(A6&lt;'Données projet'!$A$270,$GR$205^A6,IF(A6='Données projet'!$A$270,'Données projet'!$B$270,GU5+GT6-HC5)))</f>
        <v>1.9032613528593461</v>
      </c>
      <c r="GV6" s="18">
        <f>GU6*VLOOKUP('Données projet'!$B$18,Paramètres!$A$1:$I$88,3,0)*VLOOKUP('Données projet'!$B$18,Paramètres!$A$1:$I$88,5,0)</f>
        <v>1.9892887660085887</v>
      </c>
      <c r="GW6" s="14">
        <f t="shared" si="51"/>
        <v>0.84621645777468746</v>
      </c>
      <c r="GX6" s="22">
        <f t="shared" si="28"/>
        <v>4.9385049314225391</v>
      </c>
      <c r="GY6" s="62">
        <f t="shared" si="29"/>
        <v>265.27183826475584</v>
      </c>
      <c r="GZ6" s="62">
        <f ca="1">AVERAGE(OFFSET($GY$3,0,0,'Données projet'!$E$18+1,1))-AVERAGE(OFFSET($H$3,0,0,'Données projet'!$E$18+1,1))</f>
        <v>582.89879210197682</v>
      </c>
      <c r="HA6" s="62">
        <f t="shared" si="52"/>
        <v>314.72094983133326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projet'!$B$18,Paramètres!$A$1:$I$88,3,0)*0.475*44/12</f>
        <v>0</v>
      </c>
      <c r="HH6" s="23">
        <f>EXP(-LN(2)/25)*HH5+(1-EXP(-LN(2)/25))/(LN(2)/25)*Calculateur!HC6*Calculateur!HE6*VLOOKUP('Données projet'!$B$18,Paramètres!$A$1:$I$88,3,0)*0.475*44/12</f>
        <v>0</v>
      </c>
      <c r="HI6" s="23">
        <f>EXP(-LN(2)/2)*HI5+(1-EXP(-LN(2)/2))/(LN(2)/2)*HC6*HF6*VLOOKUP('Données projet'!$B$18,Paramètres!$A$1:$I$88,3,0)*0.475*44/12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</v>
      </c>
      <c r="N7" s="14">
        <f>IF('Données projet'!$A$36&gt;35,N6+M7-V6,IF(A7&lt;'Données projet'!$A$36,$K$205^A7,IF(A7='Données projet'!$A$36,'Données projet'!$B$36,N6+M7-V6)))</f>
        <v>1.9472943612303368</v>
      </c>
      <c r="O7" s="14">
        <f>N7*VLOOKUP('Données projet'!$B$9,Paramètres!$A$1:$I$88,3,0)*VLOOKUP('Données projet'!$B$9,Paramètres!$A$1:$I$88,5,0)</f>
        <v>0.91133376105579766</v>
      </c>
      <c r="P7" s="14">
        <f t="shared" si="33"/>
        <v>0.42454435239289751</v>
      </c>
      <c r="Q7" s="22">
        <f t="shared" si="2"/>
        <v>2.3266543809231437</v>
      </c>
      <c r="R7" s="62">
        <f t="shared" si="0"/>
        <v>263.88220993647866</v>
      </c>
      <c r="S7" s="62">
        <f ca="1">AVERAGE(OFFSET($R$3,0,0,'Données projet'!$E$9+1,1))-AVERAGE(OFFSET($H$3,0,0,'Données projet'!$E$9+1,1))</f>
        <v>399.92909819003523</v>
      </c>
      <c r="T7" s="62">
        <f t="shared" si="34"/>
        <v>163.7053537268381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projet'!$B$10,Paramètres!$A$1:$I$88,3,0)*VLOOKUP('Données projet'!$B$10,Paramètres!$A$1:$I$88,5,0)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266.84071003350698</v>
      </c>
      <c r="AN7" s="62">
        <f ca="1">AVERAGE(OFFSET($AM$3,0,0,'Données projet'!$E$10+1,1))-AVERAGE(OFFSET($H$3,0,0,'Données projet'!$E$10+1,1))</f>
        <v>510.56580450928806</v>
      </c>
      <c r="AO7" s="62">
        <f t="shared" si="36"/>
        <v>278.21741231699929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4.95</v>
      </c>
      <c r="BD7" s="13">
        <f>IF('Données projet'!$A$88&gt;35,BD6+BC7-BL6,IF(A7&lt;'Données projet'!$A$88,$BA$205^A7,IF(A7='Données projet'!$A$88,'Données projet'!$B$88,BD6+BC7-BL6)))</f>
        <v>2.5068424421340993</v>
      </c>
      <c r="BE7" s="14">
        <f>BD7*VLOOKUP('Données projet'!$B$11,Paramètres!$A$1:$I$88,3,0)*VLOOKUP('Données projet'!$B$11,Paramètres!$A$1:$I$88,5,0)</f>
        <v>2.3855112679348092</v>
      </c>
      <c r="BF7" s="14">
        <f t="shared" si="37"/>
        <v>0.99353473199320019</v>
      </c>
      <c r="BG7" s="22">
        <f t="shared" si="7"/>
        <v>5.8851717832079489</v>
      </c>
      <c r="BH7" s="62">
        <f t="shared" si="8"/>
        <v>267.44072733876351</v>
      </c>
      <c r="BI7" s="62">
        <f ca="1">AVERAGE(OFFSET($BH$3,0,0,'Données projet'!$E$11+1,1))-AVERAGE(OFFSET($H$3,0,0,'Données projet'!$E$11+1,1))</f>
        <v>525.51330555662139</v>
      </c>
      <c r="BJ7" s="62">
        <f t="shared" si="38"/>
        <v>357.72390083433635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3.2392083333333335</v>
      </c>
      <c r="BY7" s="13">
        <f>IF('Données projet'!$A$114&gt;35,BY6+BX7-CG6,IF(A7&lt;'Données projet'!$A$114,$BV$205^A7,IF(A7='Données projet'!$A$114,'Données projet'!$B$114,BY6+BX7-CG6)))</f>
        <v>3.3874537604378059</v>
      </c>
      <c r="BZ7" s="14">
        <f>BY7*VLOOKUP('Données projet'!$B$12,Paramètres!$A$1:$I$88,3,0)*VLOOKUP('Données projet'!$B$12,Paramètres!$A$1:$I$88,5,0)</f>
        <v>2.025697348741808</v>
      </c>
      <c r="CA7" s="14">
        <f t="shared" si="39"/>
        <v>0.85988692592849703</v>
      </c>
      <c r="CB7" s="22">
        <f t="shared" si="10"/>
        <v>5.0257259450507812</v>
      </c>
      <c r="CC7" s="62">
        <f t="shared" si="11"/>
        <v>266.58128150060634</v>
      </c>
      <c r="CD7" s="62">
        <f ca="1">AVERAGE(OFFSET($CC$3,0,0,'Données projet'!$E$12+1,1))-AVERAGE(OFFSET($H$3,0,0,'Données projet'!$E$12+1,1))</f>
        <v>227.46616726010473</v>
      </c>
      <c r="CE7" s="62">
        <f t="shared" si="40"/>
        <v>314.188568589113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5.72</v>
      </c>
      <c r="CT7" s="13">
        <f>IF('Données projet'!$A$140&gt;35,CT6+CS7-DB6,IF(A7&lt;'Données projet'!$A$140,$CQ$205^A7,IF(A7='Données projet'!$A$140,'Données projet'!$B$140,CT6+CS7-DB6)))</f>
        <v>2.2123496501170985</v>
      </c>
      <c r="CU7" s="18">
        <f>CT7*VLOOKUP('Données projet'!$B$13,Paramètres!$A$1:$I$88,3,0)*VLOOKUP('Données projet'!$B$13,Paramètres!$A$1:$I$88,5,0)</f>
        <v>1.3229850907700251</v>
      </c>
      <c r="CV7" s="14">
        <f t="shared" si="41"/>
        <v>0.59014403080271294</v>
      </c>
      <c r="CW7" s="22">
        <f t="shared" si="13"/>
        <v>3.3320332200725189</v>
      </c>
      <c r="CX7" s="62">
        <f t="shared" si="14"/>
        <v>264.88758877562805</v>
      </c>
      <c r="CY7" s="62">
        <f ca="1">AVERAGE(OFFSET($CX$3,0,0,'Données projet'!$E$13+1,1))-AVERAGE(OFFSET($H$3,0,0,'Données projet'!$E$13+1,1))</f>
        <v>356.46794174556311</v>
      </c>
      <c r="CZ7" s="62">
        <f t="shared" si="42"/>
        <v>248.47107558211923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10</v>
      </c>
      <c r="DO7" s="13">
        <f>IF('Données projet'!$A$166&gt;35,DO6+DN7-DW6,IF(A7&lt;'Données projet'!$A$166,$DL$205^A7,IF(A7='Données projet'!$A$166,'Données projet'!$B$166,DO6+DN7-DW6)))</f>
        <v>2.7690288761929791</v>
      </c>
      <c r="DP7" s="18">
        <f>DO7*VLOOKUP('Données projet'!$B$14,Paramètres!$A$1:$I$88,3,0)*VLOOKUP('Données projet'!$B$14,Paramètres!$A$1:$I$88,5,0)</f>
        <v>1.5478871417918754</v>
      </c>
      <c r="DQ7" s="14">
        <f t="shared" si="43"/>
        <v>0.67796254889037699</v>
      </c>
      <c r="DR7" s="22">
        <f t="shared" si="16"/>
        <v>3.8766882112715897</v>
      </c>
      <c r="DS7" s="62">
        <f t="shared" si="17"/>
        <v>265.43224376682713</v>
      </c>
      <c r="DT7" s="62">
        <f ca="1">AVERAGE(OFFSET($DS$3,0,0,'Données projet'!$E$14+1,1))-AVERAGE(OFFSET($H$3,0,0,'Données projet'!$E$14+1,1))</f>
        <v>397.04445188588369</v>
      </c>
      <c r="DU7" s="62">
        <f t="shared" si="44"/>
        <v>350.01856672839466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0.91500000000000004</v>
      </c>
      <c r="EJ7" s="13">
        <f>IF('Données projet'!$A$192&gt;35,EJ6+EI7-ER6,IF(A7&lt;'Données projet'!$A$192,$EG$205^A7,IF(A7='Données projet'!$A$192,'Données projet'!$B$192,EJ6+EI7-ER6)))</f>
        <v>1.788505244341356</v>
      </c>
      <c r="EK7" s="18">
        <f>EJ7*VLOOKUP('Données projet'!$B$15,Paramètres!$A$1:$I$88,3,0)*VLOOKUP('Données projet'!$B$15,Paramètres!$A$1:$I$88,5,0)</f>
        <v>1.5624381814566086</v>
      </c>
      <c r="EL7" s="14">
        <f t="shared" si="45"/>
        <v>0.68359087557183751</v>
      </c>
      <c r="EM7" s="22">
        <f t="shared" si="19"/>
        <v>3.9118339409912095</v>
      </c>
      <c r="EN7" s="62">
        <f t="shared" si="20"/>
        <v>265.46738949654673</v>
      </c>
      <c r="EO7" s="62">
        <f ca="1">AVERAGE(OFFSET($EN$3,0,0,'Données projet'!$E$15+1,1))-AVERAGE(OFFSET($H$3,0,0,'Données projet'!$E$15+1,1))</f>
        <v>202.5548390231225</v>
      </c>
      <c r="EP7" s="62">
        <f t="shared" si="46"/>
        <v>184.62184077734179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projet'!$B$15,Paramètres!$A$1:$I$88,3,0)*0.475*44/12</f>
        <v>0</v>
      </c>
      <c r="EW7" s="23">
        <f>EXP(-LN(2)/25)*EW6+(1-EXP(-LN(2)/25))/(LN(2)/25)*Calculateur!ER7*Calculateur!ET7*VLOOKUP('Données projet'!$B$15,Paramètres!$A$1:$I$88,3,0)*0.475*44/12</f>
        <v>0</v>
      </c>
      <c r="EX7" s="23">
        <f>EXP(-LN(2)/2)*EX6+(1-EXP(-LN(2)/2))/(LN(2)/2)*ER7*EU7*VLOOKUP('Données projet'!$B$15,Paramètres!$A$1:$I$88,3,0)*0.475*44/12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IF('Données projet'!$A$218&gt;35,FE6+FD7-FM6,IF(A7&lt;'Données projet'!$A$218,$FB$205^A7,IF(A7='Données projet'!$A$218,'Données projet'!$B$218,FE6+FD7-FM6)))</f>
        <v>2.1117857649667546</v>
      </c>
      <c r="FF7" s="18">
        <f>FE7*VLOOKUP('Données projet'!$B$16,Paramètres!$A$1:$I$88,3,0)*VLOOKUP('Données projet'!$B$16,Paramètres!$A$1:$I$88,5,0)</f>
        <v>2.042519191875845</v>
      </c>
      <c r="FG7" s="14">
        <f t="shared" si="47"/>
        <v>0.86619340226463792</v>
      </c>
      <c r="FH7" s="22">
        <f t="shared" si="22"/>
        <v>5.0660077681280073</v>
      </c>
      <c r="FI7" s="62">
        <f t="shared" si="23"/>
        <v>266.62156332368357</v>
      </c>
      <c r="FJ7" s="62">
        <f ca="1">AVERAGE(OFFSET($FI$3,0,0,'Données projet'!$E$16+1,1))-AVERAGE(OFFSET($H$3,0,0,'Données projet'!$E$16+1,1))</f>
        <v>456.96274622094955</v>
      </c>
      <c r="FK7" s="62">
        <f t="shared" si="48"/>
        <v>244.45149244446094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projet'!$B$16,Paramètres!$A$1:$I$88,3,0)*0.475*44/12</f>
        <v>0</v>
      </c>
      <c r="FR7" s="23">
        <f>EXP(-LN(2)/25)*FR6+(1-EXP(-LN(2)/25))/(LN(2)/25)*Calculateur!FM7*Calculateur!FO7*VLOOKUP('Données projet'!$B$16,Paramètres!$A$1:$I$88,3,0)*0.475*44/12</f>
        <v>0</v>
      </c>
      <c r="FS7" s="23">
        <f>EXP(-LN(2)/2)*FS6+(1-EXP(-LN(2)/2))/(LN(2)/2)*FM7*FP7*VLOOKUP('Données projet'!$B$16,Paramètres!$A$1:$I$88,3,0)*0.475*44/12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IF('Données projet'!$A$244&gt;35,FZ6+FY7-GH6,IF(A7&lt;'Données projet'!$A$244,$FW$205^A7,IF(A7='Données projet'!$A$244,'Données projet'!$B$244,FZ6+FY7-GH6)))</f>
        <v>2.1117857649667546</v>
      </c>
      <c r="GA7" s="18">
        <f>FZ7*VLOOKUP('Données projet'!$B$17,Paramètres!$A$1:$I$88,3,0)*VLOOKUP('Données projet'!$B$17,Paramètres!$A$1:$I$88,5,0)</f>
        <v>2.2731261974102144</v>
      </c>
      <c r="GB7" s="14">
        <f t="shared" si="49"/>
        <v>0.95206068424520052</v>
      </c>
      <c r="GC7" s="22">
        <f t="shared" si="25"/>
        <v>5.617200485549847</v>
      </c>
      <c r="GD7" s="62">
        <f t="shared" si="26"/>
        <v>267.1727560411054</v>
      </c>
      <c r="GE7" s="62">
        <f ca="1">AVERAGE(OFFSET($GD$3,0,0,'Données projet'!$E$17+1,1))-AVERAGE(OFFSET($H$3,0,0,'Données projet'!$E$17+1,1))</f>
        <v>503.69304261527651</v>
      </c>
      <c r="GF7" s="62">
        <f t="shared" si="50"/>
        <v>267.2998309535638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projet'!$B$17,Paramètres!$A$1:$I$88,3,0)*0.475*44/12</f>
        <v>0</v>
      </c>
      <c r="GM7" s="23">
        <f>EXP(-LN(2)/25)*GM6+(1-EXP(-LN(2)/25))/(LN(2)/25)*Calculateur!GH7*Calculateur!GJ7*VLOOKUP('Données projet'!$B$17,Paramètres!$A$1:$I$88,3,0)*0.475*44/12</f>
        <v>0</v>
      </c>
      <c r="GN7" s="23">
        <f>EXP(-LN(2)/2)*GN6+(1-EXP(-LN(2)/2))/(LN(2)/2)*GH7*GK7*VLOOKUP('Données projet'!$B$17,Paramètres!$A$1:$I$88,3,0)*0.475*44/12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3.65</v>
      </c>
      <c r="GU7" s="13">
        <f>IF('Données projet'!$A$270&gt;35,GU6+GT7-HC6,IF(A7&lt;'Données projet'!$A$270,$GR$205^A7,IF(A7='Données projet'!$A$270,'Données projet'!$B$270,GU6+GT7-HC6)))</f>
        <v>2.3586558182407358</v>
      </c>
      <c r="GV7" s="18">
        <f>GU7*VLOOKUP('Données projet'!$B$18,Paramètres!$A$1:$I$88,3,0)*VLOOKUP('Données projet'!$B$18,Paramètres!$A$1:$I$88,5,0)</f>
        <v>2.4652670612252172</v>
      </c>
      <c r="GW7" s="14">
        <f t="shared" si="51"/>
        <v>1.0228290907135758</v>
      </c>
      <c r="GX7" s="22">
        <f t="shared" si="28"/>
        <v>6.0751007979600642</v>
      </c>
      <c r="GY7" s="62">
        <f t="shared" si="29"/>
        <v>267.63065635351563</v>
      </c>
      <c r="GZ7" s="62">
        <f ca="1">AVERAGE(OFFSET($GY$3,0,0,'Données projet'!$E$18+1,1))-AVERAGE(OFFSET($H$3,0,0,'Données projet'!$E$18+1,1))</f>
        <v>582.89879210197682</v>
      </c>
      <c r="HA7" s="62">
        <f t="shared" si="52"/>
        <v>314.72094983133326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projet'!$B$18,Paramètres!$A$1:$I$88,3,0)*0.475*44/12</f>
        <v>0</v>
      </c>
      <c r="HH7" s="23">
        <f>EXP(-LN(2)/25)*HH6+(1-EXP(-LN(2)/25))/(LN(2)/25)*Calculateur!HC7*Calculateur!HE7*VLOOKUP('Données projet'!$B$18,Paramètres!$A$1:$I$88,3,0)*0.475*44/12</f>
        <v>0</v>
      </c>
      <c r="HI7" s="23">
        <f>EXP(-LN(2)/2)*HI6+(1-EXP(-LN(2)/2))/(LN(2)/2)*HC7*HF7*VLOOKUP('Données projet'!$B$18,Paramètres!$A$1:$I$88,3,0)*0.475*44/12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</v>
      </c>
      <c r="N8" s="14">
        <f>IF('Données projet'!$A$36&gt;35,N7+M8-V7,IF(A8&lt;'Données projet'!$A$36,$K$205^A8,IF(A8='Données projet'!$A$36,'Données projet'!$B$36,N7+M8-V7)))</f>
        <v>2.3003266337912067</v>
      </c>
      <c r="O8" s="14">
        <f>N8*VLOOKUP('Données projet'!$B$9,Paramètres!$A$1:$I$88,3,0)*VLOOKUP('Données projet'!$B$9,Paramètres!$A$1:$I$88,5,0)</f>
        <v>1.0765528646142848</v>
      </c>
      <c r="P8" s="14">
        <f t="shared" si="33"/>
        <v>0.49187925860941634</v>
      </c>
      <c r="Q8" s="22">
        <f t="shared" si="2"/>
        <v>2.7316859479479461</v>
      </c>
      <c r="R8" s="62">
        <f t="shared" si="0"/>
        <v>265.50946372572571</v>
      </c>
      <c r="S8" s="62">
        <f ca="1">AVERAGE(OFFSET($R$3,0,0,'Données projet'!$E$9+1,1))-AVERAGE(OFFSET($H$3,0,0,'Données projet'!$E$9+1,1))</f>
        <v>399.92909819003523</v>
      </c>
      <c r="T8" s="62">
        <f t="shared" si="34"/>
        <v>163.7053537268381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projet'!$B$10,Paramètres!$A$1:$I$88,3,0)*VLOOKUP('Données projet'!$B$10,Paramètres!$A$1:$I$88,5,0)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269.27958561684324</v>
      </c>
      <c r="AN8" s="62">
        <f ca="1">AVERAGE(OFFSET($AM$3,0,0,'Données projet'!$E$10+1,1))-AVERAGE(OFFSET($H$3,0,0,'Données projet'!$E$10+1,1))</f>
        <v>510.56580450928806</v>
      </c>
      <c r="AO8" s="62">
        <f t="shared" si="36"/>
        <v>278.21741231699929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4.95</v>
      </c>
      <c r="BD8" s="13">
        <f>IF('Données projet'!$A$88&gt;35,BD7+BC8-BL7,IF(A8&lt;'Données projet'!$A$88,$BA$205^A8,IF(A8='Données projet'!$A$88,'Données projet'!$B$88,BD7+BC8-BL7)))</f>
        <v>3.154342145529903</v>
      </c>
      <c r="BE8" s="14">
        <f>BD8*VLOOKUP('Données projet'!$B$11,Paramètres!$A$1:$I$88,3,0)*VLOOKUP('Données projet'!$B$11,Paramètres!$A$1:$I$88,5,0)</f>
        <v>3.0016719856862557</v>
      </c>
      <c r="BF8" s="14">
        <f t="shared" si="37"/>
        <v>1.217167133080016</v>
      </c>
      <c r="BG8" s="22">
        <f t="shared" si="7"/>
        <v>7.3478114651845905</v>
      </c>
      <c r="BH8" s="62">
        <f t="shared" si="8"/>
        <v>270.12558924296235</v>
      </c>
      <c r="BI8" s="62">
        <f ca="1">AVERAGE(OFFSET($BH$3,0,0,'Données projet'!$E$11+1,1))-AVERAGE(OFFSET($H$3,0,0,'Données projet'!$E$11+1,1))</f>
        <v>525.51330555662139</v>
      </c>
      <c r="BJ8" s="62">
        <f t="shared" si="38"/>
        <v>357.72390083433635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3.2392083333333335</v>
      </c>
      <c r="BY8" s="13">
        <f>IF('Données projet'!$A$114&gt;35,BY7+BX8-CG7,IF(A8&lt;'Données projet'!$A$114,$BV$205^A8,IF(A8='Données projet'!$A$114,'Données projet'!$B$114,BY7+BX8-CG7)))</f>
        <v>4.5955946970238246</v>
      </c>
      <c r="BZ8" s="14">
        <f>BY8*VLOOKUP('Données projet'!$B$12,Paramètres!$A$1:$I$88,3,0)*VLOOKUP('Données projet'!$B$12,Paramètres!$A$1:$I$88,5,0)</f>
        <v>2.7481656288202476</v>
      </c>
      <c r="CA8" s="14">
        <f t="shared" si="39"/>
        <v>1.1258755152408089</v>
      </c>
      <c r="CB8" s="22">
        <f t="shared" si="10"/>
        <v>6.7472883259063394</v>
      </c>
      <c r="CC8" s="62">
        <f t="shared" si="11"/>
        <v>269.52506610368414</v>
      </c>
      <c r="CD8" s="62">
        <f ca="1">AVERAGE(OFFSET($CC$3,0,0,'Données projet'!$E$12+1,1))-AVERAGE(OFFSET($H$3,0,0,'Données projet'!$E$12+1,1))</f>
        <v>227.46616726010473</v>
      </c>
      <c r="CE8" s="62">
        <f t="shared" si="40"/>
        <v>314.188568589113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5.72</v>
      </c>
      <c r="CT8" s="13">
        <f>IF('Données projet'!$A$140&gt;35,CT7+CS8-DB7,IF(A8&lt;'Données projet'!$A$140,$CQ$205^A8,IF(A8='Données projet'!$A$140,'Données projet'!$B$140,CT7+CS8-DB7)))</f>
        <v>2.6981569425472869</v>
      </c>
      <c r="CU8" s="18">
        <f>CT8*VLOOKUP('Données projet'!$B$13,Paramètres!$A$1:$I$88,3,0)*VLOOKUP('Données projet'!$B$13,Paramètres!$A$1:$I$88,5,0)</f>
        <v>1.6134978516432776</v>
      </c>
      <c r="CV8" s="14">
        <f t="shared" si="41"/>
        <v>0.70329287167557741</v>
      </c>
      <c r="CW8" s="22">
        <f t="shared" si="13"/>
        <v>4.0350771764470057</v>
      </c>
      <c r="CX8" s="62">
        <f t="shared" si="14"/>
        <v>266.8128549542248</v>
      </c>
      <c r="CY8" s="62">
        <f ca="1">AVERAGE(OFFSET($CX$3,0,0,'Données projet'!$E$13+1,1))-AVERAGE(OFFSET($H$3,0,0,'Données projet'!$E$13+1,1))</f>
        <v>356.46794174556311</v>
      </c>
      <c r="CZ8" s="62">
        <f t="shared" si="42"/>
        <v>248.47107558211923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10</v>
      </c>
      <c r="DO8" s="13">
        <f>IF('Données projet'!$A$166&gt;35,DO7+DN8-DW7,IF(A8&lt;'Données projet'!$A$166,$DL$205^A8,IF(A8='Données projet'!$A$166,'Données projet'!$B$166,DO7+DN8-DW7)))</f>
        <v>3.5719827745457646</v>
      </c>
      <c r="DP8" s="18">
        <f>DO8*VLOOKUP('Données projet'!$B$14,Paramètres!$A$1:$I$88,3,0)*VLOOKUP('Données projet'!$B$14,Paramètres!$A$1:$I$88,5,0)</f>
        <v>1.9967383709710824</v>
      </c>
      <c r="DQ8" s="14">
        <f t="shared" si="43"/>
        <v>0.84901594219430265</v>
      </c>
      <c r="DR8" s="22">
        <f t="shared" si="16"/>
        <v>4.9563554287630449</v>
      </c>
      <c r="DS8" s="62">
        <f t="shared" si="17"/>
        <v>267.73413320654083</v>
      </c>
      <c r="DT8" s="62">
        <f ca="1">AVERAGE(OFFSET($DS$3,0,0,'Données projet'!$E$14+1,1))-AVERAGE(OFFSET($H$3,0,0,'Données projet'!$E$14+1,1))</f>
        <v>397.04445188588369</v>
      </c>
      <c r="DU8" s="62">
        <f t="shared" si="44"/>
        <v>350.01856672839466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0.91500000000000004</v>
      </c>
      <c r="EJ8" s="13">
        <f>IF('Données projet'!$A$192&gt;35,EJ7+EI8-ER7,IF(A8&lt;'Données projet'!$A$192,$EG$205^A8,IF(A8='Données projet'!$A$192,'Données projet'!$B$192,EJ7+EI8-ER7)))</f>
        <v>2.0682963828333421</v>
      </c>
      <c r="EK8" s="18">
        <f>EJ8*VLOOKUP('Données projet'!$B$15,Paramètres!$A$1:$I$88,3,0)*VLOOKUP('Données projet'!$B$15,Paramètres!$A$1:$I$88,5,0)</f>
        <v>1.8068637200432081</v>
      </c>
      <c r="EL8" s="14">
        <f t="shared" si="45"/>
        <v>0.77726899888402501</v>
      </c>
      <c r="EM8" s="22">
        <f t="shared" si="19"/>
        <v>4.5006978187982645</v>
      </c>
      <c r="EN8" s="62">
        <f t="shared" si="20"/>
        <v>267.27847559657602</v>
      </c>
      <c r="EO8" s="62">
        <f ca="1">AVERAGE(OFFSET($EN$3,0,0,'Données projet'!$E$15+1,1))-AVERAGE(OFFSET($H$3,0,0,'Données projet'!$E$15+1,1))</f>
        <v>202.5548390231225</v>
      </c>
      <c r="EP8" s="62">
        <f t="shared" si="46"/>
        <v>184.62184077734179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projet'!$B$15,Paramètres!$A$1:$I$88,3,0)*0.475*44/12</f>
        <v>0</v>
      </c>
      <c r="EW8" s="23">
        <f>EXP(-LN(2)/25)*EW7+(1-EXP(-LN(2)/25))/(LN(2)/25)*Calculateur!ER8*Calculateur!ET8*VLOOKUP('Données projet'!$B$15,Paramètres!$A$1:$I$88,3,0)*0.475*44/12</f>
        <v>0</v>
      </c>
      <c r="EX8" s="23">
        <f>EXP(-LN(2)/2)*EX7+(1-EXP(-LN(2)/2))/(LN(2)/2)*ER8*EU8*VLOOKUP('Données projet'!$B$15,Paramètres!$A$1:$I$88,3,0)*0.475*44/12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IF('Données projet'!$A$218&gt;35,FE7+FD8-FM7,IF(A8&lt;'Données projet'!$A$218,$FB$205^A8,IF(A8='Données projet'!$A$218,'Données projet'!$B$218,FE7+FD8-FM7)))</f>
        <v>2.5457298950218314</v>
      </c>
      <c r="FF8" s="18">
        <f>FE8*VLOOKUP('Données projet'!$B$16,Paramètres!$A$1:$I$88,3,0)*VLOOKUP('Données projet'!$B$16,Paramètres!$A$1:$I$88,5,0)</f>
        <v>2.4622299544651152</v>
      </c>
      <c r="FG8" s="14">
        <f t="shared" si="47"/>
        <v>1.021715601495419</v>
      </c>
      <c r="FH8" s="22">
        <f t="shared" si="22"/>
        <v>6.0678718432979295</v>
      </c>
      <c r="FI8" s="62">
        <f t="shared" si="23"/>
        <v>268.84564962107572</v>
      </c>
      <c r="FJ8" s="62">
        <f ca="1">AVERAGE(OFFSET($FI$3,0,0,'Données projet'!$E$16+1,1))-AVERAGE(OFFSET($H$3,0,0,'Données projet'!$E$16+1,1))</f>
        <v>456.96274622094955</v>
      </c>
      <c r="FK8" s="62">
        <f t="shared" si="48"/>
        <v>244.45149244446094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projet'!$B$16,Paramètres!$A$1:$I$88,3,0)*0.475*44/12</f>
        <v>0</v>
      </c>
      <c r="FR8" s="23">
        <f>EXP(-LN(2)/25)*FR7+(1-EXP(-LN(2)/25))/(LN(2)/25)*Calculateur!FM8*Calculateur!FO8*VLOOKUP('Données projet'!$B$16,Paramètres!$A$1:$I$88,3,0)*0.475*44/12</f>
        <v>0</v>
      </c>
      <c r="FS8" s="23">
        <f>EXP(-LN(2)/2)*FS7+(1-EXP(-LN(2)/2))/(LN(2)/2)*FM8*FP8*VLOOKUP('Données projet'!$B$16,Paramètres!$A$1:$I$88,3,0)*0.475*44/12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IF('Données projet'!$A$244&gt;35,FZ7+FY8-GH7,IF(A8&lt;'Données projet'!$A$244,$FW$205^A8,IF(A8='Données projet'!$A$244,'Données projet'!$B$244,FZ7+FY8-GH7)))</f>
        <v>2.5457298950218314</v>
      </c>
      <c r="GA8" s="18">
        <f>FZ8*VLOOKUP('Données projet'!$B$17,Paramètres!$A$1:$I$88,3,0)*VLOOKUP('Données projet'!$B$17,Paramètres!$A$1:$I$88,5,0)</f>
        <v>2.740223659001499</v>
      </c>
      <c r="GB8" s="14">
        <f t="shared" si="49"/>
        <v>1.1230000737947632</v>
      </c>
      <c r="GC8" s="22">
        <f t="shared" si="25"/>
        <v>6.7284480012868242</v>
      </c>
      <c r="GD8" s="62">
        <f t="shared" si="26"/>
        <v>269.50622577906461</v>
      </c>
      <c r="GE8" s="62">
        <f ca="1">AVERAGE(OFFSET($GD$3,0,0,'Données projet'!$E$17+1,1))-AVERAGE(OFFSET($H$3,0,0,'Données projet'!$E$17+1,1))</f>
        <v>503.69304261527651</v>
      </c>
      <c r="GF8" s="62">
        <f t="shared" si="50"/>
        <v>267.2998309535638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projet'!$B$17,Paramètres!$A$1:$I$88,3,0)*0.475*44/12</f>
        <v>0</v>
      </c>
      <c r="GM8" s="23">
        <f>EXP(-LN(2)/25)*GM7+(1-EXP(-LN(2)/25))/(LN(2)/25)*Calculateur!GH8*Calculateur!GJ8*VLOOKUP('Données projet'!$B$17,Paramètres!$A$1:$I$88,3,0)*0.475*44/12</f>
        <v>0</v>
      </c>
      <c r="GN8" s="23">
        <f>EXP(-LN(2)/2)*GN7+(1-EXP(-LN(2)/2))/(LN(2)/2)*GH8*GK8*VLOOKUP('Données projet'!$B$17,Paramètres!$A$1:$I$88,3,0)*0.475*44/12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3.65</v>
      </c>
      <c r="GU8" s="13">
        <f>IF('Données projet'!$A$270&gt;35,GU7+GT8-HC7,IF(A8&lt;'Données projet'!$A$270,$GR$205^A8,IF(A8='Données projet'!$A$270,'Données projet'!$B$270,GU7+GT8-HC7)))</f>
        <v>2.9230127856917649</v>
      </c>
      <c r="GV8" s="18">
        <f>GU8*VLOOKUP('Données projet'!$B$18,Paramètres!$A$1:$I$88,3,0)*VLOOKUP('Données projet'!$B$18,Paramètres!$A$1:$I$88,5,0)</f>
        <v>3.0551329636050331</v>
      </c>
      <c r="GW8" s="14">
        <f t="shared" si="51"/>
        <v>1.2363022949956788</v>
      </c>
      <c r="GX8" s="22">
        <f t="shared" si="28"/>
        <v>7.4742497420629066</v>
      </c>
      <c r="GY8" s="62">
        <f t="shared" si="29"/>
        <v>270.25202751984068</v>
      </c>
      <c r="GZ8" s="62">
        <f ca="1">AVERAGE(OFFSET($GY$3,0,0,'Données projet'!$E$18+1,1))-AVERAGE(OFFSET($H$3,0,0,'Données projet'!$E$18+1,1))</f>
        <v>582.89879210197682</v>
      </c>
      <c r="HA8" s="62">
        <f t="shared" si="52"/>
        <v>314.72094983133326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projet'!$B$18,Paramètres!$A$1:$I$88,3,0)*0.475*44/12</f>
        <v>0</v>
      </c>
      <c r="HH8" s="23">
        <f>EXP(-LN(2)/25)*HH7+(1-EXP(-LN(2)/25))/(LN(2)/25)*Calculateur!HC8*Calculateur!HE8*VLOOKUP('Données projet'!$B$18,Paramètres!$A$1:$I$88,3,0)*0.475*44/12</f>
        <v>0</v>
      </c>
      <c r="HI8" s="23">
        <f>EXP(-LN(2)/2)*HI7+(1-EXP(-LN(2)/2))/(LN(2)/2)*HC8*HF8*VLOOKUP('Données projet'!$B$18,Paramètres!$A$1:$I$88,3,0)*0.475*44/12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</v>
      </c>
      <c r="N9" s="14">
        <f>IF('Données projet'!$A$36&gt;35,N8+M9-V8,IF(A9&lt;'Données projet'!$A$36,$K$205^A9,IF(A9='Données projet'!$A$36,'Données projet'!$B$36,N8+M9-V8)))</f>
        <v>2.7173614464666325</v>
      </c>
      <c r="O9" s="14">
        <f>N9*VLOOKUP('Données projet'!$B$9,Paramètres!$A$1:$I$88,3,0)*VLOOKUP('Données projet'!$B$9,Paramètres!$A$1:$I$88,5,0)</f>
        <v>1.2717251569463841</v>
      </c>
      <c r="P9" s="14">
        <f t="shared" si="33"/>
        <v>0.56989382543060962</v>
      </c>
      <c r="Q9" s="22">
        <f t="shared" si="2"/>
        <v>3.2074863943065974</v>
      </c>
      <c r="R9" s="62">
        <f t="shared" si="0"/>
        <v>267.20748639430661</v>
      </c>
      <c r="S9" s="62">
        <f ca="1">AVERAGE(OFFSET($R$3,0,0,'Données projet'!$E$9+1,1))-AVERAGE(OFFSET($H$3,0,0,'Données projet'!$E$9+1,1))</f>
        <v>399.92909819003523</v>
      </c>
      <c r="T9" s="62">
        <f t="shared" si="34"/>
        <v>163.7053537268381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projet'!$B$10,Paramètres!$A$1:$I$88,3,0)*VLOOKUP('Données projet'!$B$10,Paramètres!$A$1:$I$88,5,0)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271.99956744330279</v>
      </c>
      <c r="AN9" s="62">
        <f ca="1">AVERAGE(OFFSET($AM$3,0,0,'Données projet'!$E$10+1,1))-AVERAGE(OFFSET($H$3,0,0,'Données projet'!$E$10+1,1))</f>
        <v>510.56580450928806</v>
      </c>
      <c r="AO9" s="62">
        <f t="shared" si="36"/>
        <v>278.21741231699929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4.95</v>
      </c>
      <c r="BD9" s="13">
        <f>IF('Données projet'!$A$88&gt;35,BD8+BC9-BL8,IF(A9&lt;'Données projet'!$A$88,$BA$205^A9,IF(A9='Données projet'!$A$88,'Données projet'!$B$88,BD8+BC9-BL8)))</f>
        <v>3.9690864506808676</v>
      </c>
      <c r="BE9" s="14">
        <f>BD9*VLOOKUP('Données projet'!$B$11,Paramètres!$A$1:$I$88,3,0)*VLOOKUP('Données projet'!$B$11,Paramètres!$A$1:$I$88,5,0)</f>
        <v>3.7769826664679136</v>
      </c>
      <c r="BF9" s="14">
        <f t="shared" si="37"/>
        <v>1.4911364264821341</v>
      </c>
      <c r="BG9" s="22">
        <f t="shared" si="7"/>
        <v>9.1753074202213316</v>
      </c>
      <c r="BH9" s="62">
        <f t="shared" si="8"/>
        <v>273.17530742022132</v>
      </c>
      <c r="BI9" s="62">
        <f ca="1">AVERAGE(OFFSET($BH$3,0,0,'Données projet'!$E$11+1,1))-AVERAGE(OFFSET($H$3,0,0,'Données projet'!$E$11+1,1))</f>
        <v>525.51330555662139</v>
      </c>
      <c r="BJ9" s="62">
        <f t="shared" si="38"/>
        <v>357.72390083433635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3.2392083333333335</v>
      </c>
      <c r="BY9" s="13">
        <f>IF('Données projet'!$A$114&gt;35,BY8+BX9-CG8,IF(A9&lt;'Données projet'!$A$114,$BV$205^A9,IF(A9='Données projet'!$A$114,'Données projet'!$B$114,BY8+BX9-CG8)))</f>
        <v>6.2346210791033627</v>
      </c>
      <c r="BZ9" s="14">
        <f>BY9*VLOOKUP('Données projet'!$B$12,Paramètres!$A$1:$I$88,3,0)*VLOOKUP('Données projet'!$B$12,Paramètres!$A$1:$I$88,5,0)</f>
        <v>3.7283034053038109</v>
      </c>
      <c r="CA9" s="14">
        <f t="shared" si="39"/>
        <v>1.4741422826611996</v>
      </c>
      <c r="CB9" s="22">
        <f t="shared" si="10"/>
        <v>9.0609262398723924</v>
      </c>
      <c r="CC9" s="62">
        <f t="shared" si="11"/>
        <v>273.0609262398724</v>
      </c>
      <c r="CD9" s="62">
        <f ca="1">AVERAGE(OFFSET($CC$3,0,0,'Données projet'!$E$12+1,1))-AVERAGE(OFFSET($H$3,0,0,'Données projet'!$E$12+1,1))</f>
        <v>227.46616726010473</v>
      </c>
      <c r="CE9" s="62">
        <f t="shared" si="40"/>
        <v>314.188568589113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5.72</v>
      </c>
      <c r="CT9" s="13">
        <f>IF('Données projet'!$A$140&gt;35,CT8+CS9-DB8,IF(A9&lt;'Données projet'!$A$140,$CQ$205^A9,IF(A9='Données projet'!$A$140,'Données projet'!$B$140,CT8+CS9-DB8)))</f>
        <v>3.290642094585182</v>
      </c>
      <c r="CU9" s="18">
        <f>CT9*VLOOKUP('Données projet'!$B$13,Paramètres!$A$1:$I$88,3,0)*VLOOKUP('Données projet'!$B$13,Paramètres!$A$1:$I$88,5,0)</f>
        <v>1.9678039725619392</v>
      </c>
      <c r="CV9" s="14">
        <f t="shared" si="41"/>
        <v>0.8381358406301217</v>
      </c>
      <c r="CW9" s="22">
        <f t="shared" si="13"/>
        <v>4.8870118413095058</v>
      </c>
      <c r="CX9" s="62">
        <f t="shared" si="14"/>
        <v>268.88701184130952</v>
      </c>
      <c r="CY9" s="62">
        <f ca="1">AVERAGE(OFFSET($CX$3,0,0,'Données projet'!$E$13+1,1))-AVERAGE(OFFSET($H$3,0,0,'Données projet'!$E$13+1,1))</f>
        <v>356.46794174556311</v>
      </c>
      <c r="CZ9" s="62">
        <f t="shared" si="42"/>
        <v>248.47107558211923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10</v>
      </c>
      <c r="DO9" s="13">
        <f>IF('Données projet'!$A$166&gt;35,DO8+DN9-DW8,IF(A9&lt;'Données projet'!$A$166,$DL$205^A9,IF(A9='Données projet'!$A$166,'Données projet'!$B$166,DO8+DN9-DW8)))</f>
        <v>4.607774606956629</v>
      </c>
      <c r="DP9" s="18">
        <f>DO9*VLOOKUP('Données projet'!$B$14,Paramètres!$A$1:$I$88,3,0)*VLOOKUP('Données projet'!$B$14,Paramètres!$A$1:$I$88,5,0)</f>
        <v>2.5757460052887557</v>
      </c>
      <c r="DQ9" s="14">
        <f t="shared" si="43"/>
        <v>1.0632269751181105</v>
      </c>
      <c r="DR9" s="22">
        <f t="shared" si="16"/>
        <v>6.3378779408752912</v>
      </c>
      <c r="DS9" s="62">
        <f t="shared" si="17"/>
        <v>270.33787794087527</v>
      </c>
      <c r="DT9" s="62">
        <f ca="1">AVERAGE(OFFSET($DS$3,0,0,'Données projet'!$E$14+1,1))-AVERAGE(OFFSET($H$3,0,0,'Données projet'!$E$14+1,1))</f>
        <v>397.04445188588369</v>
      </c>
      <c r="DU9" s="62">
        <f t="shared" si="44"/>
        <v>350.01856672839466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0.91500000000000004</v>
      </c>
      <c r="EJ9" s="13">
        <f>IF('Données projet'!$A$192&gt;35,EJ8+EI9-ER8,IF(A9&lt;'Données projet'!$A$192,$EG$205^A9,IF(A9='Données projet'!$A$192,'Données projet'!$B$192,EJ8+EI9-ER8)))</f>
        <v>2.3918576368596951</v>
      </c>
      <c r="EK9" s="18">
        <f>EJ9*VLOOKUP('Données projet'!$B$15,Paramètres!$A$1:$I$88,3,0)*VLOOKUP('Données projet'!$B$15,Paramètres!$A$1:$I$88,5,0)</f>
        <v>2.0895268315606299</v>
      </c>
      <c r="EL9" s="14">
        <f t="shared" si="45"/>
        <v>0.88378461184227064</v>
      </c>
      <c r="EM9" s="22">
        <f t="shared" si="19"/>
        <v>5.1785174305933843</v>
      </c>
      <c r="EN9" s="62">
        <f t="shared" si="20"/>
        <v>269.17851743059339</v>
      </c>
      <c r="EO9" s="62">
        <f ca="1">AVERAGE(OFFSET($EN$3,0,0,'Données projet'!$E$15+1,1))-AVERAGE(OFFSET($H$3,0,0,'Données projet'!$E$15+1,1))</f>
        <v>202.5548390231225</v>
      </c>
      <c r="EP9" s="62">
        <f t="shared" si="46"/>
        <v>184.62184077734179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projet'!$B$15,Paramètres!$A$1:$I$88,3,0)*0.475*44/12</f>
        <v>0</v>
      </c>
      <c r="EW9" s="23">
        <f>EXP(-LN(2)/25)*EW8+(1-EXP(-LN(2)/25))/(LN(2)/25)*Calculateur!ER9*Calculateur!ET9*VLOOKUP('Données projet'!$B$15,Paramètres!$A$1:$I$88,3,0)*0.475*44/12</f>
        <v>0</v>
      </c>
      <c r="EX9" s="23">
        <f>EXP(-LN(2)/2)*EX8+(1-EXP(-LN(2)/2))/(LN(2)/2)*ER9*EU9*VLOOKUP('Données projet'!$B$15,Paramètres!$A$1:$I$88,3,0)*0.475*44/12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IF('Données projet'!$A$218&gt;35,FE8+FD9-FM8,IF(A9&lt;'Données projet'!$A$218,$FB$205^A9,IF(A9='Données projet'!$A$218,'Données projet'!$B$218,FE8+FD9-FM8)))</f>
        <v>3.0688438220956993</v>
      </c>
      <c r="FF9" s="18">
        <f>FE9*VLOOKUP('Données projet'!$B$16,Paramètres!$A$1:$I$88,3,0)*VLOOKUP('Données projet'!$B$16,Paramètres!$A$1:$I$88,5,0)</f>
        <v>2.9681857447309605</v>
      </c>
      <c r="FG9" s="14">
        <f t="shared" si="47"/>
        <v>1.2051613041728233</v>
      </c>
      <c r="FH9" s="22">
        <f t="shared" si="22"/>
        <v>7.2685794435074236</v>
      </c>
      <c r="FI9" s="62">
        <f t="shared" si="23"/>
        <v>271.26857944350741</v>
      </c>
      <c r="FJ9" s="62">
        <f ca="1">AVERAGE(OFFSET($FI$3,0,0,'Données projet'!$E$16+1,1))-AVERAGE(OFFSET($H$3,0,0,'Données projet'!$E$16+1,1))</f>
        <v>456.96274622094955</v>
      </c>
      <c r="FK9" s="62">
        <f t="shared" si="48"/>
        <v>244.45149244446094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projet'!$B$16,Paramètres!$A$1:$I$88,3,0)*0.475*44/12</f>
        <v>0</v>
      </c>
      <c r="FR9" s="23">
        <f>EXP(-LN(2)/25)*FR8+(1-EXP(-LN(2)/25))/(LN(2)/25)*Calculateur!FM9*Calculateur!FO9*VLOOKUP('Données projet'!$B$16,Paramètres!$A$1:$I$88,3,0)*0.475*44/12</f>
        <v>0</v>
      </c>
      <c r="FS9" s="23">
        <f>EXP(-LN(2)/2)*FS8+(1-EXP(-LN(2)/2))/(LN(2)/2)*FM9*FP9*VLOOKUP('Données projet'!$B$16,Paramètres!$A$1:$I$88,3,0)*0.475*44/12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IF('Données projet'!$A$244&gt;35,FZ8+FY9-GH8,IF(A9&lt;'Données projet'!$A$244,$FW$205^A9,IF(A9='Données projet'!$A$244,'Données projet'!$B$244,FZ8+FY9-GH8)))</f>
        <v>3.0688438220956993</v>
      </c>
      <c r="GA9" s="18">
        <f>FZ9*VLOOKUP('Données projet'!$B$17,Paramètres!$A$1:$I$88,3,0)*VLOOKUP('Données projet'!$B$17,Paramètres!$A$1:$I$88,5,0)</f>
        <v>3.3033034901038101</v>
      </c>
      <c r="GB9" s="14">
        <f t="shared" si="49"/>
        <v>1.3246310730107231</v>
      </c>
      <c r="GC9" s="22">
        <f t="shared" si="25"/>
        <v>8.0603193640911446</v>
      </c>
      <c r="GD9" s="62">
        <f t="shared" si="26"/>
        <v>272.06031936409113</v>
      </c>
      <c r="GE9" s="62">
        <f ca="1">AVERAGE(OFFSET($GD$3,0,0,'Données projet'!$E$17+1,1))-AVERAGE(OFFSET($H$3,0,0,'Données projet'!$E$17+1,1))</f>
        <v>503.69304261527651</v>
      </c>
      <c r="GF9" s="62">
        <f t="shared" si="50"/>
        <v>267.2998309535638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projet'!$B$17,Paramètres!$A$1:$I$88,3,0)*0.475*44/12</f>
        <v>0</v>
      </c>
      <c r="GM9" s="23">
        <f>EXP(-LN(2)/25)*GM8+(1-EXP(-LN(2)/25))/(LN(2)/25)*Calculateur!GH9*Calculateur!GJ9*VLOOKUP('Données projet'!$B$17,Paramètres!$A$1:$I$88,3,0)*0.475*44/12</f>
        <v>0</v>
      </c>
      <c r="GN9" s="23">
        <f>EXP(-LN(2)/2)*GN8+(1-EXP(-LN(2)/2))/(LN(2)/2)*GH9*GK9*VLOOKUP('Données projet'!$B$17,Paramètres!$A$1:$I$88,3,0)*0.475*44/12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3.65</v>
      </c>
      <c r="GU9" s="13">
        <f>IF('Données projet'!$A$270&gt;35,GU8+GT9-HC8,IF(A9&lt;'Données projet'!$A$270,$GR$205^A9,IF(A9='Données projet'!$A$270,'Données projet'!$B$270,GU8+GT9-HC8)))</f>
        <v>3.6224037772879885</v>
      </c>
      <c r="GV9" s="18">
        <f>GU9*VLOOKUP('Données projet'!$B$18,Paramètres!$A$1:$I$88,3,0)*VLOOKUP('Données projet'!$B$18,Paramètres!$A$1:$I$88,5,0)</f>
        <v>3.7861364280214058</v>
      </c>
      <c r="GW9" s="14">
        <f t="shared" si="51"/>
        <v>1.494329188022278</v>
      </c>
      <c r="GX9" s="22">
        <f t="shared" si="28"/>
        <v>9.1968109479427493</v>
      </c>
      <c r="GY9" s="62">
        <f t="shared" si="29"/>
        <v>273.19681094794277</v>
      </c>
      <c r="GZ9" s="62">
        <f ca="1">AVERAGE(OFFSET($GY$3,0,0,'Données projet'!$E$18+1,1))-AVERAGE(OFFSET($H$3,0,0,'Données projet'!$E$18+1,1))</f>
        <v>582.89879210197682</v>
      </c>
      <c r="HA9" s="62">
        <f t="shared" si="52"/>
        <v>314.72094983133326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projet'!$B$18,Paramètres!$A$1:$I$88,3,0)*0.475*44/12</f>
        <v>0</v>
      </c>
      <c r="HH9" s="23">
        <f>EXP(-LN(2)/25)*HH8+(1-EXP(-LN(2)/25))/(LN(2)/25)*Calculateur!HC9*Calculateur!HE9*VLOOKUP('Données projet'!$B$18,Paramètres!$A$1:$I$88,3,0)*0.475*44/12</f>
        <v>0</v>
      </c>
      <c r="HI9" s="23">
        <f>EXP(-LN(2)/2)*HI8+(1-EXP(-LN(2)/2))/(LN(2)/2)*HC9*HF9*VLOOKUP('Données projet'!$B$18,Paramètres!$A$1:$I$88,3,0)*0.475*44/12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1.4</v>
      </c>
      <c r="N10" s="14">
        <f>IF('Données projet'!$A$36&gt;35,N9+M10-V9,IF(A10&lt;'Données projet'!$A$36,$K$205^A10,IF(A10='Données projet'!$A$36,'Données projet'!$B$36,N9+M10-V9)))</f>
        <v>3.2100020589569258</v>
      </c>
      <c r="O10" s="14">
        <f>N10*VLOOKUP('Données projet'!$B$9,Paramètres!$A$1:$I$88,3,0)*VLOOKUP('Données projet'!$B$9,Paramètres!$A$1:$I$88,5,0)</f>
        <v>1.5022809635918413</v>
      </c>
      <c r="P10" s="14">
        <f t="shared" si="33"/>
        <v>0.66028190166446799</v>
      </c>
      <c r="Q10" s="22">
        <f t="shared" si="2"/>
        <v>3.7664636569880714</v>
      </c>
      <c r="R10" s="62">
        <f t="shared" si="0"/>
        <v>268.98868587921032</v>
      </c>
      <c r="S10" s="62">
        <f ca="1">AVERAGE(OFFSET($R$3,0,0,'Données projet'!$E$9+1,1))-AVERAGE(OFFSET($H$3,0,0,'Données projet'!$E$9+1,1))</f>
        <v>399.92909819003523</v>
      </c>
      <c r="T10" s="62">
        <f t="shared" si="34"/>
        <v>163.7053537268381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projet'!$B$10,Paramètres!$A$1:$I$88,3,0)*VLOOKUP('Données projet'!$B$10,Paramètres!$A$1:$I$88,5,0)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275.06582823164507</v>
      </c>
      <c r="AN10" s="62">
        <f ca="1">AVERAGE(OFFSET($AM$3,0,0,'Données projet'!$E$10+1,1))-AVERAGE(OFFSET($H$3,0,0,'Données projet'!$E$10+1,1))</f>
        <v>510.56580450928806</v>
      </c>
      <c r="AO10" s="62">
        <f t="shared" si="36"/>
        <v>278.21741231699929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4.95</v>
      </c>
      <c r="BD10" s="13">
        <f>IF('Données projet'!$A$88&gt;35,BD9+BC10-BL9,IF(A10&lt;'Données projet'!$A$88,$BA$205^A10,IF(A10='Données projet'!$A$88,'Données projet'!$B$88,BD9+BC10-BL9)))</f>
        <v>4.9942734574000909</v>
      </c>
      <c r="BE10" s="14">
        <f>BD10*VLOOKUP('Données projet'!$B$11,Paramètres!$A$1:$I$88,3,0)*VLOOKUP('Données projet'!$B$11,Paramètres!$A$1:$I$88,5,0)</f>
        <v>4.7525506220619267</v>
      </c>
      <c r="BF10" s="14">
        <f t="shared" si="37"/>
        <v>1.8267728251546032</v>
      </c>
      <c r="BG10" s="22">
        <f t="shared" si="7"/>
        <v>11.458988337235455</v>
      </c>
      <c r="BH10" s="62">
        <f t="shared" si="8"/>
        <v>276.68121055945767</v>
      </c>
      <c r="BI10" s="62">
        <f ca="1">AVERAGE(OFFSET($BH$3,0,0,'Données projet'!$E$11+1,1))-AVERAGE(OFFSET($H$3,0,0,'Données projet'!$E$11+1,1))</f>
        <v>525.51330555662139</v>
      </c>
      <c r="BJ10" s="62">
        <f t="shared" si="38"/>
        <v>357.72390083433635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3.2392083333333335</v>
      </c>
      <c r="BY10" s="13">
        <f>IF('Données projet'!$A$114&gt;35,BY9+BX10-CG9,IF(A10&lt;'Données projet'!$A$114,$BV$205^A10,IF(A10='Données projet'!$A$114,'Données projet'!$B$114,BY9+BX10-CG9)))</f>
        <v>8.458208907146032</v>
      </c>
      <c r="BZ10" s="14">
        <f>BY10*VLOOKUP('Données projet'!$B$12,Paramètres!$A$1:$I$88,3,0)*VLOOKUP('Données projet'!$B$12,Paramètres!$A$1:$I$88,5,0)</f>
        <v>5.0580089264733274</v>
      </c>
      <c r="CA10" s="14">
        <f t="shared" si="39"/>
        <v>1.9301383146828432</v>
      </c>
      <c r="CB10" s="22">
        <f t="shared" si="10"/>
        <v>12.171023111680329</v>
      </c>
      <c r="CC10" s="62">
        <f t="shared" si="11"/>
        <v>277.39324533390254</v>
      </c>
      <c r="CD10" s="62">
        <f ca="1">AVERAGE(OFFSET($CC$3,0,0,'Données projet'!$E$12+1,1))-AVERAGE(OFFSET($H$3,0,0,'Données projet'!$E$12+1,1))</f>
        <v>227.46616726010473</v>
      </c>
      <c r="CE10" s="62">
        <f t="shared" si="40"/>
        <v>314.188568589113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5.72</v>
      </c>
      <c r="CT10" s="13">
        <f>IF('Données projet'!$A$140&gt;35,CT9+CS10-DB9,IF(A10&lt;'Données projet'!$A$140,$CQ$205^A10,IF(A10='Données projet'!$A$140,'Données projet'!$B$140,CT9+CS10-DB9)))</f>
        <v>4.0132303736316777</v>
      </c>
      <c r="CU10" s="18">
        <f>CT10*VLOOKUP('Données projet'!$B$13,Paramètres!$A$1:$I$88,3,0)*VLOOKUP('Données projet'!$B$13,Paramètres!$A$1:$I$88,5,0)</f>
        <v>2.3999117634317435</v>
      </c>
      <c r="CV10" s="14">
        <f t="shared" si="41"/>
        <v>0.99883237217397036</v>
      </c>
      <c r="CW10" s="22">
        <f t="shared" si="13"/>
        <v>5.9194793695132857</v>
      </c>
      <c r="CX10" s="62">
        <f t="shared" si="14"/>
        <v>271.14170159173551</v>
      </c>
      <c r="CY10" s="62">
        <f ca="1">AVERAGE(OFFSET($CX$3,0,0,'Données projet'!$E$13+1,1))-AVERAGE(OFFSET($H$3,0,0,'Données projet'!$E$13+1,1))</f>
        <v>356.46794174556311</v>
      </c>
      <c r="CZ10" s="62">
        <f t="shared" si="42"/>
        <v>248.47107558211923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10</v>
      </c>
      <c r="DO10" s="13">
        <f>IF('Données projet'!$A$166&gt;35,DO9+DN10-DW9,IF(A10&lt;'Données projet'!$A$166,$DL$205^A10,IF(A10='Données projet'!$A$166,'Données projet'!$B$166,DO9+DN10-DW9)))</f>
        <v>5.9439219527631275</v>
      </c>
      <c r="DP10" s="18">
        <f>DO10*VLOOKUP('Données projet'!$B$14,Paramètres!$A$1:$I$88,3,0)*VLOOKUP('Données projet'!$B$14,Paramètres!$A$1:$I$88,5,0)</f>
        <v>3.3226523715945881</v>
      </c>
      <c r="DQ10" s="14">
        <f t="shared" si="43"/>
        <v>1.3314845392621566</v>
      </c>
      <c r="DR10" s="22">
        <f t="shared" si="16"/>
        <v>8.1059551197421627</v>
      </c>
      <c r="DS10" s="62">
        <f t="shared" si="17"/>
        <v>273.32817734196442</v>
      </c>
      <c r="DT10" s="62">
        <f ca="1">AVERAGE(OFFSET($DS$3,0,0,'Données projet'!$E$14+1,1))-AVERAGE(OFFSET($H$3,0,0,'Données projet'!$E$14+1,1))</f>
        <v>397.04445188588369</v>
      </c>
      <c r="DU10" s="62">
        <f t="shared" si="44"/>
        <v>350.01856672839466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0.91500000000000004</v>
      </c>
      <c r="EJ10" s="13">
        <f>IF('Données projet'!$A$192&gt;35,EJ9+EI10-ER9,IF(A10&lt;'Données projet'!$A$192,$EG$205^A10,IF(A10='Données projet'!$A$192,'Données projet'!$B$192,EJ9+EI10-ER9)))</f>
        <v>2.7660363391280112</v>
      </c>
      <c r="EK10" s="18">
        <f>EJ10*VLOOKUP('Données projet'!$B$15,Paramètres!$A$1:$I$88,3,0)*VLOOKUP('Données projet'!$B$15,Paramètres!$A$1:$I$88,5,0)</f>
        <v>2.4164093458622307</v>
      </c>
      <c r="EL10" s="14">
        <f t="shared" si="45"/>
        <v>1.0048969420504779</v>
      </c>
      <c r="EM10" s="22">
        <f t="shared" si="19"/>
        <v>5.9587751181146329</v>
      </c>
      <c r="EN10" s="62">
        <f t="shared" si="20"/>
        <v>271.18099734033689</v>
      </c>
      <c r="EO10" s="62">
        <f ca="1">AVERAGE(OFFSET($EN$3,0,0,'Données projet'!$E$15+1,1))-AVERAGE(OFFSET($H$3,0,0,'Données projet'!$E$15+1,1))</f>
        <v>202.5548390231225</v>
      </c>
      <c r="EP10" s="62">
        <f t="shared" si="46"/>
        <v>184.62184077734179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projet'!$B$15,Paramètres!$A$1:$I$88,3,0)*0.475*44/12</f>
        <v>0</v>
      </c>
      <c r="EW10" s="23">
        <f>EXP(-LN(2)/25)*EW9+(1-EXP(-LN(2)/25))/(LN(2)/25)*Calculateur!ER10*Calculateur!ET10*VLOOKUP('Données projet'!$B$15,Paramètres!$A$1:$I$88,3,0)*0.475*44/12</f>
        <v>0</v>
      </c>
      <c r="EX10" s="23">
        <f>EXP(-LN(2)/2)*EX9+(1-EXP(-LN(2)/2))/(LN(2)/2)*ER10*EU10*VLOOKUP('Données projet'!$B$15,Paramètres!$A$1:$I$88,3,0)*0.475*44/12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IF('Données projet'!$A$218&gt;35,FE9+FD10-FM9,IF(A10&lt;'Données projet'!$A$218,$FB$205^A10,IF(A10='Données projet'!$A$218,'Données projet'!$B$218,FE9+FD10-FM9)))</f>
        <v>3.6994507637402658</v>
      </c>
      <c r="FF10" s="18">
        <f>FE10*VLOOKUP('Données projet'!$B$16,Paramètres!$A$1:$I$88,3,0)*VLOOKUP('Données projet'!$B$16,Paramètres!$A$1:$I$88,5,0)</f>
        <v>3.5781087786895851</v>
      </c>
      <c r="FG10" s="14">
        <f t="shared" si="47"/>
        <v>1.4215440842341414</v>
      </c>
      <c r="FH10" s="22">
        <f t="shared" si="22"/>
        <v>8.707728736258824</v>
      </c>
      <c r="FI10" s="62">
        <f t="shared" si="23"/>
        <v>273.92995095848107</v>
      </c>
      <c r="FJ10" s="62">
        <f ca="1">AVERAGE(OFFSET($FI$3,0,0,'Données projet'!$E$16+1,1))-AVERAGE(OFFSET($H$3,0,0,'Données projet'!$E$16+1,1))</f>
        <v>456.96274622094955</v>
      </c>
      <c r="FK10" s="62">
        <f t="shared" si="48"/>
        <v>244.45149244446094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projet'!$B$16,Paramètres!$A$1:$I$88,3,0)*0.475*44/12</f>
        <v>0</v>
      </c>
      <c r="FR10" s="23">
        <f>EXP(-LN(2)/25)*FR9+(1-EXP(-LN(2)/25))/(LN(2)/25)*Calculateur!FM10*Calculateur!FO10*VLOOKUP('Données projet'!$B$16,Paramètres!$A$1:$I$88,3,0)*0.475*44/12</f>
        <v>0</v>
      </c>
      <c r="FS10" s="23">
        <f>EXP(-LN(2)/2)*FS9+(1-EXP(-LN(2)/2))/(LN(2)/2)*FM10*FP10*VLOOKUP('Données projet'!$B$16,Paramètres!$A$1:$I$88,3,0)*0.475*44/12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IF('Données projet'!$A$244&gt;35,FZ9+FY10-GH9,IF(A10&lt;'Données projet'!$A$244,$FW$205^A10,IF(A10='Données projet'!$A$244,'Données projet'!$B$244,FZ9+FY10-GH9)))</f>
        <v>3.6994507637402658</v>
      </c>
      <c r="GA10" s="18">
        <f>FZ10*VLOOKUP('Données projet'!$B$17,Paramètres!$A$1:$I$88,3,0)*VLOOKUP('Données projet'!$B$17,Paramètres!$A$1:$I$88,5,0)</f>
        <v>3.982088802090022</v>
      </c>
      <c r="GB10" s="14">
        <f t="shared" si="49"/>
        <v>1.5624642602705792</v>
      </c>
      <c r="GC10" s="22">
        <f t="shared" si="25"/>
        <v>9.6567632502780452</v>
      </c>
      <c r="GD10" s="62">
        <f t="shared" si="26"/>
        <v>274.87898547250029</v>
      </c>
      <c r="GE10" s="62">
        <f ca="1">AVERAGE(OFFSET($GD$3,0,0,'Données projet'!$E$17+1,1))-AVERAGE(OFFSET($H$3,0,0,'Données projet'!$E$17+1,1))</f>
        <v>503.69304261527651</v>
      </c>
      <c r="GF10" s="62">
        <f t="shared" si="50"/>
        <v>267.2998309535638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projet'!$B$17,Paramètres!$A$1:$I$88,3,0)*0.475*44/12</f>
        <v>0</v>
      </c>
      <c r="GM10" s="23">
        <f>EXP(-LN(2)/25)*GM9+(1-EXP(-LN(2)/25))/(LN(2)/25)*Calculateur!GH10*Calculateur!GJ10*VLOOKUP('Données projet'!$B$17,Paramètres!$A$1:$I$88,3,0)*0.475*44/12</f>
        <v>0</v>
      </c>
      <c r="GN10" s="23">
        <f>EXP(-LN(2)/2)*GN9+(1-EXP(-LN(2)/2))/(LN(2)/2)*GH10*GK10*VLOOKUP('Données projet'!$B$17,Paramètres!$A$1:$I$88,3,0)*0.475*44/12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3.65</v>
      </c>
      <c r="GU10" s="13">
        <f>IF('Données projet'!$A$270&gt;35,GU9+GT10-HC9,IF(A10&lt;'Données projet'!$A$270,$GR$205^A10,IF(A10='Données projet'!$A$270,'Données projet'!$B$270,GU9+GT10-HC9)))</f>
        <v>4.4891384635544309</v>
      </c>
      <c r="GV10" s="18">
        <f>GU10*VLOOKUP('Données projet'!$B$18,Paramètres!$A$1:$I$88,3,0)*VLOOKUP('Données projet'!$B$18,Paramètres!$A$1:$I$88,5,0)</f>
        <v>4.6920475221070923</v>
      </c>
      <c r="GW10" s="14">
        <f t="shared" si="51"/>
        <v>1.8062085067820133</v>
      </c>
      <c r="GX10" s="22">
        <f t="shared" si="28"/>
        <v>11.317795916981858</v>
      </c>
      <c r="GY10" s="62">
        <f t="shared" si="29"/>
        <v>276.54001813920411</v>
      </c>
      <c r="GZ10" s="62">
        <f ca="1">AVERAGE(OFFSET($GY$3,0,0,'Données projet'!$E$18+1,1))-AVERAGE(OFFSET($H$3,0,0,'Données projet'!$E$18+1,1))</f>
        <v>582.89879210197682</v>
      </c>
      <c r="HA10" s="62">
        <f t="shared" si="52"/>
        <v>314.72094983133326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projet'!$B$18,Paramètres!$A$1:$I$88,3,0)*0.475*44/12</f>
        <v>0</v>
      </c>
      <c r="HH10" s="23">
        <f>EXP(-LN(2)/25)*HH9+(1-EXP(-LN(2)/25))/(LN(2)/25)*Calculateur!HC10*Calculateur!HE10*VLOOKUP('Données projet'!$B$18,Paramètres!$A$1:$I$88,3,0)*0.475*44/12</f>
        <v>0</v>
      </c>
      <c r="HI10" s="23">
        <f>EXP(-LN(2)/2)*HI9+(1-EXP(-LN(2)/2))/(LN(2)/2)*HC10*HF10*VLOOKUP('Données projet'!$B$18,Paramètres!$A$1:$I$88,3,0)*0.475*44/12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1.4</v>
      </c>
      <c r="N11" s="14">
        <f>IF('Données projet'!$A$36&gt;35,N10+M11-V10,IF(A11&lt;'Données projet'!$A$36,$K$205^A11,IF(A11='Données projet'!$A$36,'Données projet'!$B$36,N10+M11-V10)))</f>
        <v>3.7919553292794657</v>
      </c>
      <c r="O11" s="14">
        <f>N11*VLOOKUP('Données projet'!$B$9,Paramètres!$A$1:$I$88,3,0)*VLOOKUP('Données projet'!$B$9,Paramètres!$A$1:$I$88,5,0)</f>
        <v>1.7746350941027897</v>
      </c>
      <c r="P11" s="14">
        <f t="shared" si="33"/>
        <v>0.76500598920549345</v>
      </c>
      <c r="Q11" s="22">
        <f t="shared" si="2"/>
        <v>4.42320822009526</v>
      </c>
      <c r="R11" s="62">
        <f t="shared" si="0"/>
        <v>270.86765266453972</v>
      </c>
      <c r="S11" s="62">
        <f ca="1">AVERAGE(OFFSET($R$3,0,0,'Données projet'!$E$9+1,1))-AVERAGE(OFFSET($H$3,0,0,'Données projet'!$E$9+1,1))</f>
        <v>399.92909819003523</v>
      </c>
      <c r="T11" s="62">
        <f t="shared" si="34"/>
        <v>163.7053537268381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projet'!$B$10,Paramètres!$A$1:$I$88,3,0)*VLOOKUP('Données projet'!$B$10,Paramètres!$A$1:$I$88,5,0)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278.55869888669031</v>
      </c>
      <c r="AN11" s="62">
        <f ca="1">AVERAGE(OFFSET($AM$3,0,0,'Données projet'!$E$10+1,1))-AVERAGE(OFFSET($H$3,0,0,'Données projet'!$E$10+1,1))</f>
        <v>510.56580450928806</v>
      </c>
      <c r="AO11" s="62">
        <f t="shared" si="36"/>
        <v>278.21741231699929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4.95</v>
      </c>
      <c r="BD11" s="13">
        <f>IF('Données projet'!$A$88&gt;35,BD10+BC11-BL10,IF(A11&lt;'Données projet'!$A$88,$BA$205^A11,IF(A11='Données projet'!$A$88,'Données projet'!$B$88,BD10+BC11-BL10)))</f>
        <v>6.2842590296848551</v>
      </c>
      <c r="BE11" s="14">
        <f>BD11*VLOOKUP('Données projet'!$B$11,Paramètres!$A$1:$I$88,3,0)*VLOOKUP('Données projet'!$B$11,Paramètres!$A$1:$I$88,5,0)</f>
        <v>5.9801008926481076</v>
      </c>
      <c r="BF11" s="14">
        <f t="shared" si="37"/>
        <v>2.2379568330955211</v>
      </c>
      <c r="BG11" s="22">
        <f t="shared" si="7"/>
        <v>14.313117205670153</v>
      </c>
      <c r="BH11" s="62">
        <f t="shared" si="8"/>
        <v>280.75756165011461</v>
      </c>
      <c r="BI11" s="62">
        <f ca="1">AVERAGE(OFFSET($BH$3,0,0,'Données projet'!$E$11+1,1))-AVERAGE(OFFSET($H$3,0,0,'Données projet'!$E$11+1,1))</f>
        <v>525.51330555662139</v>
      </c>
      <c r="BJ11" s="62">
        <f t="shared" si="38"/>
        <v>357.72390083433635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3.2392083333333335</v>
      </c>
      <c r="BY11" s="13">
        <f>IF('Données projet'!$A$114&gt;35,BY10+BX11-CG10,IF(A11&lt;'Données projet'!$A$114,$BV$205^A11,IF(A11='Données projet'!$A$114,'Données projet'!$B$114,BY10+BX11-CG10)))</f>
        <v>11.474842979104231</v>
      </c>
      <c r="BZ11" s="14">
        <f>BY11*VLOOKUP('Données projet'!$B$12,Paramètres!$A$1:$I$88,3,0)*VLOOKUP('Données projet'!$B$12,Paramètres!$A$1:$I$88,5,0)</f>
        <v>6.8619561015043313</v>
      </c>
      <c r="CA11" s="14">
        <f t="shared" si="39"/>
        <v>2.5271874754731107</v>
      </c>
      <c r="CB11" s="22">
        <f t="shared" si="10"/>
        <v>16.352758396569048</v>
      </c>
      <c r="CC11" s="62">
        <f t="shared" si="11"/>
        <v>282.79720284101353</v>
      </c>
      <c r="CD11" s="62">
        <f ca="1">AVERAGE(OFFSET($CC$3,0,0,'Données projet'!$E$12+1,1))-AVERAGE(OFFSET($H$3,0,0,'Données projet'!$E$12+1,1))</f>
        <v>227.46616726010473</v>
      </c>
      <c r="CE11" s="62">
        <f t="shared" si="40"/>
        <v>314.188568589113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5.72</v>
      </c>
      <c r="CT11" s="13">
        <f>IF('Données projet'!$A$140&gt;35,CT10+CS11-DB10,IF(A11&lt;'Données projet'!$A$140,$CQ$205^A11,IF(A11='Données projet'!$A$140,'Données projet'!$B$140,CT10+CS11-DB10)))</f>
        <v>4.8944909743732481</v>
      </c>
      <c r="CU11" s="18">
        <f>CT11*VLOOKUP('Données projet'!$B$13,Paramètres!$A$1:$I$88,3,0)*VLOOKUP('Données projet'!$B$13,Paramètres!$A$1:$I$88,5,0)</f>
        <v>2.9269056026752027</v>
      </c>
      <c r="CV11" s="14">
        <f t="shared" si="41"/>
        <v>1.1903393928991535</v>
      </c>
      <c r="CW11" s="22">
        <f t="shared" si="13"/>
        <v>7.1708683672920044</v>
      </c>
      <c r="CX11" s="62">
        <f t="shared" si="14"/>
        <v>273.61531281173649</v>
      </c>
      <c r="CY11" s="62">
        <f ca="1">AVERAGE(OFFSET($CX$3,0,0,'Données projet'!$E$13+1,1))-AVERAGE(OFFSET($H$3,0,0,'Données projet'!$E$13+1,1))</f>
        <v>356.46794174556311</v>
      </c>
      <c r="CZ11" s="62">
        <f t="shared" si="42"/>
        <v>248.47107558211923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10</v>
      </c>
      <c r="DO11" s="13">
        <f>IF('Données projet'!$A$166&gt;35,DO10+DN11-DW10,IF(A11&lt;'Données projet'!$A$166,$DL$205^A11,IF(A11='Données projet'!$A$166,'Données projet'!$B$166,DO10+DN11-DW10)))</f>
        <v>7.6675209171905525</v>
      </c>
      <c r="DP11" s="18">
        <f>DO11*VLOOKUP('Données projet'!$B$14,Paramètres!$A$1:$I$88,3,0)*VLOOKUP('Données projet'!$B$14,Paramètres!$A$1:$I$88,5,0)</f>
        <v>4.2861441927095187</v>
      </c>
      <c r="DQ11" s="14">
        <f t="shared" si="43"/>
        <v>1.6674248488637313</v>
      </c>
      <c r="DR11" s="22">
        <f t="shared" si="16"/>
        <v>10.369132747406743</v>
      </c>
      <c r="DS11" s="62">
        <f t="shared" si="17"/>
        <v>276.81357719185121</v>
      </c>
      <c r="DT11" s="62">
        <f ca="1">AVERAGE(OFFSET($DS$3,0,0,'Données projet'!$E$14+1,1))-AVERAGE(OFFSET($H$3,0,0,'Données projet'!$E$14+1,1))</f>
        <v>397.04445188588369</v>
      </c>
      <c r="DU11" s="62">
        <f t="shared" si="44"/>
        <v>350.01856672839466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0.91500000000000004</v>
      </c>
      <c r="EJ11" s="13">
        <f>IF('Données projet'!$A$192&gt;35,EJ10+EI11-ER10,IF(A11&lt;'Données projet'!$A$192,$EG$205^A11,IF(A11='Données projet'!$A$192,'Données projet'!$B$192,EJ10+EI11-ER10)))</f>
        <v>3.1987510090365339</v>
      </c>
      <c r="EK11" s="18">
        <f>EJ11*VLOOKUP('Données projet'!$B$15,Paramètres!$A$1:$I$88,3,0)*VLOOKUP('Données projet'!$B$15,Paramètres!$A$1:$I$88,5,0)</f>
        <v>2.7944288814943166</v>
      </c>
      <c r="EL11" s="14">
        <f t="shared" si="45"/>
        <v>1.1426062986516723</v>
      </c>
      <c r="EM11" s="22">
        <f t="shared" si="19"/>
        <v>6.8570029387542633</v>
      </c>
      <c r="EN11" s="62">
        <f t="shared" si="20"/>
        <v>273.30144738319871</v>
      </c>
      <c r="EO11" s="62">
        <f ca="1">AVERAGE(OFFSET($EN$3,0,0,'Données projet'!$E$15+1,1))-AVERAGE(OFFSET($H$3,0,0,'Données projet'!$E$15+1,1))</f>
        <v>202.5548390231225</v>
      </c>
      <c r="EP11" s="62">
        <f t="shared" si="46"/>
        <v>184.62184077734179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projet'!$B$15,Paramètres!$A$1:$I$88,3,0)*0.475*44/12</f>
        <v>0</v>
      </c>
      <c r="EW11" s="23">
        <f>EXP(-LN(2)/25)*EW10+(1-EXP(-LN(2)/25))/(LN(2)/25)*Calculateur!ER11*Calculateur!ET11*VLOOKUP('Données projet'!$B$15,Paramètres!$A$1:$I$88,3,0)*0.475*44/12</f>
        <v>0</v>
      </c>
      <c r="EX11" s="23">
        <f>EXP(-LN(2)/2)*EX10+(1-EXP(-LN(2)/2))/(LN(2)/2)*ER11*EU11*VLOOKUP('Données projet'!$B$15,Paramètres!$A$1:$I$88,3,0)*0.475*44/12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IF('Données projet'!$A$218&gt;35,FE10+FD11-FM10,IF(A11&lt;'Données projet'!$A$218,$FB$205^A11,IF(A11='Données projet'!$A$218,'Données projet'!$B$218,FE10+FD11-FM10)))</f>
        <v>4.4596391171162209</v>
      </c>
      <c r="FF11" s="18">
        <f>FE11*VLOOKUP('Données projet'!$B$16,Paramètres!$A$1:$I$88,3,0)*VLOOKUP('Données projet'!$B$16,Paramètres!$A$1:$I$88,5,0)</f>
        <v>4.3133629540748091</v>
      </c>
      <c r="FG11" s="14">
        <f t="shared" si="47"/>
        <v>1.6767776864592203</v>
      </c>
      <c r="FH11" s="22">
        <f t="shared" si="22"/>
        <v>10.432828282263435</v>
      </c>
      <c r="FI11" s="62">
        <f t="shared" si="23"/>
        <v>276.87727272670787</v>
      </c>
      <c r="FJ11" s="62">
        <f ca="1">AVERAGE(OFFSET($FI$3,0,0,'Données projet'!$E$16+1,1))-AVERAGE(OFFSET($H$3,0,0,'Données projet'!$E$16+1,1))</f>
        <v>456.96274622094955</v>
      </c>
      <c r="FK11" s="62">
        <f t="shared" si="48"/>
        <v>244.45149244446094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projet'!$B$16,Paramètres!$A$1:$I$88,3,0)*0.475*44/12</f>
        <v>0</v>
      </c>
      <c r="FR11" s="23">
        <f>EXP(-LN(2)/25)*FR10+(1-EXP(-LN(2)/25))/(LN(2)/25)*Calculateur!FM11*Calculateur!FO11*VLOOKUP('Données projet'!$B$16,Paramètres!$A$1:$I$88,3,0)*0.475*44/12</f>
        <v>0</v>
      </c>
      <c r="FS11" s="23">
        <f>EXP(-LN(2)/2)*FS10+(1-EXP(-LN(2)/2))/(LN(2)/2)*FM11*FP11*VLOOKUP('Données projet'!$B$16,Paramètres!$A$1:$I$88,3,0)*0.475*44/12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IF('Données projet'!$A$244&gt;35,FZ10+FY11-GH10,IF(A11&lt;'Données projet'!$A$244,$FW$205^A11,IF(A11='Données projet'!$A$244,'Données projet'!$B$244,FZ10+FY11-GH10)))</f>
        <v>4.4596391171162209</v>
      </c>
      <c r="GA11" s="18">
        <f>FZ11*VLOOKUP('Données projet'!$B$17,Paramètres!$A$1:$I$88,3,0)*VLOOKUP('Données projet'!$B$17,Paramètres!$A$1:$I$88,5,0)</f>
        <v>4.8003555456638995</v>
      </c>
      <c r="GB11" s="14">
        <f t="shared" si="49"/>
        <v>1.8429996203200378</v>
      </c>
      <c r="GC11" s="22">
        <f t="shared" si="25"/>
        <v>11.570510247422023</v>
      </c>
      <c r="GD11" s="62">
        <f t="shared" si="26"/>
        <v>278.01495469186648</v>
      </c>
      <c r="GE11" s="62">
        <f ca="1">AVERAGE(OFFSET($GD$3,0,0,'Données projet'!$E$17+1,1))-AVERAGE(OFFSET($H$3,0,0,'Données projet'!$E$17+1,1))</f>
        <v>503.69304261527651</v>
      </c>
      <c r="GF11" s="62">
        <f t="shared" si="50"/>
        <v>267.2998309535638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projet'!$B$17,Paramètres!$A$1:$I$88,3,0)*0.475*44/12</f>
        <v>0</v>
      </c>
      <c r="GM11" s="23">
        <f>EXP(-LN(2)/25)*GM10+(1-EXP(-LN(2)/25))/(LN(2)/25)*Calculateur!GH11*Calculateur!GJ11*VLOOKUP('Données projet'!$B$17,Paramètres!$A$1:$I$88,3,0)*0.475*44/12</f>
        <v>0</v>
      </c>
      <c r="GN11" s="23">
        <f>EXP(-LN(2)/2)*GN10+(1-EXP(-LN(2)/2))/(LN(2)/2)*GH11*GK11*VLOOKUP('Données projet'!$B$17,Paramètres!$A$1:$I$88,3,0)*0.475*44/12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3.65</v>
      </c>
      <c r="GU11" s="13">
        <f>IF('Données projet'!$A$270&gt;35,GU10+GT11-HC10,IF(A11&lt;'Données projet'!$A$270,$GR$205^A11,IF(A11='Données projet'!$A$270,'Données projet'!$B$270,GU10+GT11-HC10)))</f>
        <v>5.563257268920875</v>
      </c>
      <c r="GV11" s="18">
        <f>GU11*VLOOKUP('Données projet'!$B$18,Paramètres!$A$1:$I$88,3,0)*VLOOKUP('Données projet'!$B$18,Paramètres!$A$1:$I$88,5,0)</f>
        <v>5.8147164974760992</v>
      </c>
      <c r="GW11" s="14">
        <f t="shared" si="51"/>
        <v>2.1831797144305476</v>
      </c>
      <c r="GX11" s="22">
        <f t="shared" si="28"/>
        <v>13.929669235737409</v>
      </c>
      <c r="GY11" s="62">
        <f t="shared" si="29"/>
        <v>280.37411368018189</v>
      </c>
      <c r="GZ11" s="62">
        <f ca="1">AVERAGE(OFFSET($GY$3,0,0,'Données projet'!$E$18+1,1))-AVERAGE(OFFSET($H$3,0,0,'Données projet'!$E$18+1,1))</f>
        <v>582.89879210197682</v>
      </c>
      <c r="HA11" s="62">
        <f t="shared" si="52"/>
        <v>314.72094983133326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projet'!$B$18,Paramètres!$A$1:$I$88,3,0)*0.475*44/12</f>
        <v>0</v>
      </c>
      <c r="HH11" s="23">
        <f>EXP(-LN(2)/25)*HH10+(1-EXP(-LN(2)/25))/(LN(2)/25)*Calculateur!HC11*Calculateur!HE11*VLOOKUP('Données projet'!$B$18,Paramètres!$A$1:$I$88,3,0)*0.475*44/12</f>
        <v>0</v>
      </c>
      <c r="HI11" s="23">
        <f>EXP(-LN(2)/2)*HI10+(1-EXP(-LN(2)/2))/(LN(2)/2)*HC11*HF11*VLOOKUP('Données projet'!$B$18,Paramètres!$A$1:$I$88,3,0)*0.475*44/12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1.4</v>
      </c>
      <c r="N12" s="14">
        <f>IF('Données projet'!$A$36&gt;35,N11+M12-V11,IF(A12&lt;'Données projet'!$A$36,$K$205^A12,IF(A12='Données projet'!$A$36,'Données projet'!$B$36,N11+M12-V11)))</f>
        <v>4.4794130829695789</v>
      </c>
      <c r="O12" s="14">
        <f>N12*VLOOKUP('Données projet'!$B$9,Paramètres!$A$1:$I$88,3,0)*VLOOKUP('Données projet'!$B$9,Paramètres!$A$1:$I$88,5,0)</f>
        <v>2.096365322829763</v>
      </c>
      <c r="P12" s="14">
        <f t="shared" si="33"/>
        <v>0.88633985278862137</v>
      </c>
      <c r="Q12" s="22">
        <f t="shared" si="2"/>
        <v>5.1948781808686864</v>
      </c>
      <c r="R12" s="62">
        <f t="shared" si="0"/>
        <v>272.86154484753536</v>
      </c>
      <c r="S12" s="62">
        <f ca="1">AVERAGE(OFFSET($R$3,0,0,'Données projet'!$E$9+1,1))-AVERAGE(OFFSET($H$3,0,0,'Données projet'!$E$9+1,1))</f>
        <v>399.92909819003523</v>
      </c>
      <c r="T12" s="62">
        <f t="shared" si="34"/>
        <v>163.7053537268381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projet'!$B$10,Paramètres!$A$1:$I$88,3,0)*VLOOKUP('Données projet'!$B$10,Paramètres!$A$1:$I$88,5,0)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282.5772044671009</v>
      </c>
      <c r="AN12" s="62">
        <f ca="1">AVERAGE(OFFSET($AM$3,0,0,'Données projet'!$E$10+1,1))-AVERAGE(OFFSET($H$3,0,0,'Données projet'!$E$10+1,1))</f>
        <v>510.56580450928806</v>
      </c>
      <c r="AO12" s="62">
        <f t="shared" si="36"/>
        <v>278.21741231699929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4.95</v>
      </c>
      <c r="BD12" s="13">
        <f>IF('Données projet'!$A$88&gt;35,BD11+BC12-BL11,IF(A12&lt;'Données projet'!$A$88,$BA$205^A12,IF(A12='Données projet'!$A$88,'Données projet'!$B$88,BD11+BC12-BL11)))</f>
        <v>7.9074387674266964</v>
      </c>
      <c r="BE12" s="14">
        <f>BD12*VLOOKUP('Données projet'!$B$11,Paramètres!$A$1:$I$88,3,0)*VLOOKUP('Données projet'!$B$11,Paramètres!$A$1:$I$88,5,0)</f>
        <v>7.5247187310832437</v>
      </c>
      <c r="BF12" s="14">
        <f t="shared" si="37"/>
        <v>2.7416932843716131</v>
      </c>
      <c r="BG12" s="22">
        <f t="shared" si="7"/>
        <v>17.880667593583876</v>
      </c>
      <c r="BH12" s="62">
        <f t="shared" si="8"/>
        <v>285.54733426025058</v>
      </c>
      <c r="BI12" s="62">
        <f ca="1">AVERAGE(OFFSET($BH$3,0,0,'Données projet'!$E$11+1,1))-AVERAGE(OFFSET($H$3,0,0,'Données projet'!$E$11+1,1))</f>
        <v>525.51330555662139</v>
      </c>
      <c r="BJ12" s="62">
        <f t="shared" si="38"/>
        <v>357.72390083433635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3.2392083333333335</v>
      </c>
      <c r="BY12" s="13">
        <f>IF('Données projet'!$A$114&gt;35,BY11+BX12-CG11,IF(A12&lt;'Données projet'!$A$114,$BV$205^A12,IF(A12='Données projet'!$A$114,'Données projet'!$B$114,BY11+BX12-CG11)))</f>
        <v>15.567364537881392</v>
      </c>
      <c r="BZ12" s="14">
        <f>BY12*VLOOKUP('Données projet'!$B$12,Paramètres!$A$1:$I$88,3,0)*VLOOKUP('Données projet'!$B$12,Paramètres!$A$1:$I$88,5,0)</f>
        <v>9.3092839936530734</v>
      </c>
      <c r="CA12" s="14">
        <f t="shared" si="39"/>
        <v>3.3089216910538366</v>
      </c>
      <c r="CB12" s="22">
        <f t="shared" si="10"/>
        <v>21.976708234197869</v>
      </c>
      <c r="CC12" s="62">
        <f t="shared" si="11"/>
        <v>289.64337490086456</v>
      </c>
      <c r="CD12" s="62">
        <f ca="1">AVERAGE(OFFSET($CC$3,0,0,'Données projet'!$E$12+1,1))-AVERAGE(OFFSET($H$3,0,0,'Données projet'!$E$12+1,1))</f>
        <v>227.46616726010473</v>
      </c>
      <c r="CE12" s="62">
        <f t="shared" si="40"/>
        <v>314.188568589113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5.72</v>
      </c>
      <c r="CT12" s="13">
        <f>IF('Données projet'!$A$140&gt;35,CT11+CS12-DB11,IF(A12&lt;'Données projet'!$A$140,$CQ$205^A12,IF(A12='Données projet'!$A$140,'Données projet'!$B$140,CT11+CS12-DB11)))</f>
        <v>5.9692665678055103</v>
      </c>
      <c r="CU12" s="18">
        <f>CT12*VLOOKUP('Données projet'!$B$13,Paramètres!$A$1:$I$88,3,0)*VLOOKUP('Données projet'!$B$13,Paramètres!$A$1:$I$88,5,0)</f>
        <v>3.5696214075476953</v>
      </c>
      <c r="CV12" s="14">
        <f t="shared" si="41"/>
        <v>1.4185642253500546</v>
      </c>
      <c r="CW12" s="22">
        <f t="shared" si="13"/>
        <v>8.6877566439635796</v>
      </c>
      <c r="CX12" s="62">
        <f t="shared" si="14"/>
        <v>276.35442331063024</v>
      </c>
      <c r="CY12" s="62">
        <f ca="1">AVERAGE(OFFSET($CX$3,0,0,'Données projet'!$E$13+1,1))-AVERAGE(OFFSET($H$3,0,0,'Données projet'!$E$13+1,1))</f>
        <v>356.46794174556311</v>
      </c>
      <c r="CZ12" s="62">
        <f t="shared" si="42"/>
        <v>248.47107558211923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10</v>
      </c>
      <c r="DO12" s="13">
        <f>IF('Données projet'!$A$166&gt;35,DO11+DN12-DW11,IF(A12&lt;'Données projet'!$A$166,$DL$205^A12,IF(A12='Données projet'!$A$166,'Données projet'!$B$166,DO11+DN12-DW11)))</f>
        <v>9.8909234479811374</v>
      </c>
      <c r="DP12" s="18">
        <f>DO12*VLOOKUP('Données projet'!$B$14,Paramètres!$A$1:$I$88,3,0)*VLOOKUP('Données projet'!$B$14,Paramètres!$A$1:$I$88,5,0)</f>
        <v>5.529026207421456</v>
      </c>
      <c r="DQ12" s="14">
        <f t="shared" si="43"/>
        <v>2.0881246042473354</v>
      </c>
      <c r="DR12" s="22">
        <f t="shared" si="16"/>
        <v>13.266537663656479</v>
      </c>
      <c r="DS12" s="62">
        <f t="shared" si="17"/>
        <v>280.93320433032318</v>
      </c>
      <c r="DT12" s="62">
        <f ca="1">AVERAGE(OFFSET($DS$3,0,0,'Données projet'!$E$14+1,1))-AVERAGE(OFFSET($H$3,0,0,'Données projet'!$E$14+1,1))</f>
        <v>397.04445188588369</v>
      </c>
      <c r="DU12" s="62">
        <f t="shared" si="44"/>
        <v>350.01856672839466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0.91500000000000004</v>
      </c>
      <c r="EJ12" s="13">
        <f>IF('Données projet'!$A$192&gt;35,EJ11+EI12-ER11,IF(A12&lt;'Données projet'!$A$192,$EG$205^A12,IF(A12='Données projet'!$A$192,'Données projet'!$B$192,EJ11+EI12-ER11)))</f>
        <v>3.6991589275496897</v>
      </c>
      <c r="EK12" s="18">
        <f>EJ12*VLOOKUP('Données projet'!$B$15,Paramètres!$A$1:$I$88,3,0)*VLOOKUP('Données projet'!$B$15,Paramètres!$A$1:$I$88,5,0)</f>
        <v>3.2315852391074094</v>
      </c>
      <c r="EL12" s="14">
        <f t="shared" si="45"/>
        <v>1.2991871097294014</v>
      </c>
      <c r="EM12" s="22">
        <f t="shared" si="19"/>
        <v>7.8910951742241124</v>
      </c>
      <c r="EN12" s="62">
        <f t="shared" si="20"/>
        <v>275.55776184089081</v>
      </c>
      <c r="EO12" s="62">
        <f ca="1">AVERAGE(OFFSET($EN$3,0,0,'Données projet'!$E$15+1,1))-AVERAGE(OFFSET($H$3,0,0,'Données projet'!$E$15+1,1))</f>
        <v>202.5548390231225</v>
      </c>
      <c r="EP12" s="62">
        <f t="shared" si="46"/>
        <v>184.62184077734179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projet'!$B$15,Paramètres!$A$1:$I$88,3,0)*0.475*44/12</f>
        <v>0</v>
      </c>
      <c r="EW12" s="23">
        <f>EXP(-LN(2)/25)*EW11+(1-EXP(-LN(2)/25))/(LN(2)/25)*Calculateur!ER12*Calculateur!ET12*VLOOKUP('Données projet'!$B$15,Paramètres!$A$1:$I$88,3,0)*0.475*44/12</f>
        <v>0</v>
      </c>
      <c r="EX12" s="23">
        <f>EXP(-LN(2)/2)*EX11+(1-EXP(-LN(2)/2))/(LN(2)/2)*ER12*EU12*VLOOKUP('Données projet'!$B$15,Paramètres!$A$1:$I$88,3,0)*0.475*44/12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IF('Données projet'!$A$218&gt;35,FE11+FD12-FM11,IF(A12&lt;'Données projet'!$A$218,$FB$205^A12,IF(A12='Données projet'!$A$218,'Données projet'!$B$218,FE11+FD12-FM11)))</f>
        <v>5.3760361537574148</v>
      </c>
      <c r="FF12" s="18">
        <f>FE12*VLOOKUP('Données projet'!$B$16,Paramètres!$A$1:$I$88,3,0)*VLOOKUP('Données projet'!$B$16,Paramètres!$A$1:$I$88,5,0)</f>
        <v>5.1997021679141717</v>
      </c>
      <c r="FG12" s="14">
        <f t="shared" si="47"/>
        <v>1.977837649208241</v>
      </c>
      <c r="FH12" s="22">
        <f t="shared" si="22"/>
        <v>12.500881848154869</v>
      </c>
      <c r="FI12" s="62">
        <f t="shared" si="23"/>
        <v>280.16754851482153</v>
      </c>
      <c r="FJ12" s="62">
        <f ca="1">AVERAGE(OFFSET($FI$3,0,0,'Données projet'!$E$16+1,1))-AVERAGE(OFFSET($H$3,0,0,'Données projet'!$E$16+1,1))</f>
        <v>456.96274622094955</v>
      </c>
      <c r="FK12" s="62">
        <f t="shared" si="48"/>
        <v>244.45149244446094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projet'!$B$16,Paramètres!$A$1:$I$88,3,0)*0.475*44/12</f>
        <v>0</v>
      </c>
      <c r="FR12" s="23">
        <f>EXP(-LN(2)/25)*FR11+(1-EXP(-LN(2)/25))/(LN(2)/25)*Calculateur!FM12*Calculateur!FO12*VLOOKUP('Données projet'!$B$16,Paramètres!$A$1:$I$88,3,0)*0.475*44/12</f>
        <v>0</v>
      </c>
      <c r="FS12" s="23">
        <f>EXP(-LN(2)/2)*FS11+(1-EXP(-LN(2)/2))/(LN(2)/2)*FM12*FP12*VLOOKUP('Données projet'!$B$16,Paramètres!$A$1:$I$88,3,0)*0.475*44/12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IF('Données projet'!$A$244&gt;35,FZ11+FY12-GH11,IF(A12&lt;'Données projet'!$A$244,$FW$205^A12,IF(A12='Données projet'!$A$244,'Données projet'!$B$244,FZ11+FY12-GH11)))</f>
        <v>5.3760361537574148</v>
      </c>
      <c r="GA12" s="18">
        <f>FZ12*VLOOKUP('Données projet'!$B$17,Paramètres!$A$1:$I$88,3,0)*VLOOKUP('Données projet'!$B$17,Paramètres!$A$1:$I$88,5,0)</f>
        <v>5.7867653159044812</v>
      </c>
      <c r="GB12" s="14">
        <f t="shared" si="49"/>
        <v>2.1739041889582755</v>
      </c>
      <c r="GC12" s="22">
        <f t="shared" si="25"/>
        <v>13.864832720969302</v>
      </c>
      <c r="GD12" s="62">
        <f t="shared" si="26"/>
        <v>281.53149938763596</v>
      </c>
      <c r="GE12" s="62">
        <f ca="1">AVERAGE(OFFSET($GD$3,0,0,'Données projet'!$E$17+1,1))-AVERAGE(OFFSET($H$3,0,0,'Données projet'!$E$17+1,1))</f>
        <v>503.69304261527651</v>
      </c>
      <c r="GF12" s="62">
        <f t="shared" si="50"/>
        <v>267.2998309535638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projet'!$B$17,Paramètres!$A$1:$I$88,3,0)*0.475*44/12</f>
        <v>0</v>
      </c>
      <c r="GM12" s="23">
        <f>EXP(-LN(2)/25)*GM11+(1-EXP(-LN(2)/25))/(LN(2)/25)*Calculateur!GH12*Calculateur!GJ12*VLOOKUP('Données projet'!$B$17,Paramètres!$A$1:$I$88,3,0)*0.475*44/12</f>
        <v>0</v>
      </c>
      <c r="GN12" s="23">
        <f>EXP(-LN(2)/2)*GN11+(1-EXP(-LN(2)/2))/(LN(2)/2)*GH12*GK12*VLOOKUP('Données projet'!$B$17,Paramètres!$A$1:$I$88,3,0)*0.475*44/12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3.65</v>
      </c>
      <c r="GU12" s="13">
        <f>IF('Données projet'!$A$270&gt;35,GU11+GT12-HC11,IF(A12&lt;'Données projet'!$A$270,$GR$205^A12,IF(A12='Données projet'!$A$270,'Données projet'!$B$270,GU11+GT12-HC11)))</f>
        <v>6.8943811137639424</v>
      </c>
      <c r="GV12" s="18">
        <f>GU12*VLOOKUP('Données projet'!$B$18,Paramètres!$A$1:$I$88,3,0)*VLOOKUP('Données projet'!$B$18,Paramètres!$A$1:$I$88,5,0)</f>
        <v>7.2060071401060739</v>
      </c>
      <c r="GW12" s="14">
        <f t="shared" si="51"/>
        <v>2.6388280464877014</v>
      </c>
      <c r="GX12" s="22">
        <f t="shared" si="28"/>
        <v>17.14642128331749</v>
      </c>
      <c r="GY12" s="62">
        <f t="shared" si="29"/>
        <v>284.81308794998415</v>
      </c>
      <c r="GZ12" s="62">
        <f ca="1">AVERAGE(OFFSET($GY$3,0,0,'Données projet'!$E$18+1,1))-AVERAGE(OFFSET($H$3,0,0,'Données projet'!$E$18+1,1))</f>
        <v>582.89879210197682</v>
      </c>
      <c r="HA12" s="62">
        <f t="shared" si="52"/>
        <v>314.72094983133326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projet'!$B$18,Paramètres!$A$1:$I$88,3,0)*0.475*44/12</f>
        <v>0</v>
      </c>
      <c r="HH12" s="23">
        <f>EXP(-LN(2)/25)*HH11+(1-EXP(-LN(2)/25))/(LN(2)/25)*Calculateur!HC12*Calculateur!HE12*VLOOKUP('Données projet'!$B$18,Paramètres!$A$1:$I$88,3,0)*0.475*44/12</f>
        <v>0</v>
      </c>
      <c r="HI12" s="23">
        <f>EXP(-LN(2)/2)*HI11+(1-EXP(-LN(2)/2))/(LN(2)/2)*HC12*HF12*VLOOKUP('Données projet'!$B$18,Paramètres!$A$1:$I$88,3,0)*0.475*44/12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1.4</v>
      </c>
      <c r="N13" s="14">
        <f>IF('Données projet'!$A$36&gt;35,N12+M13-V12,IF(A13&lt;'Données projet'!$A$36,$K$205^A13,IF(A13='Données projet'!$A$36,'Données projet'!$B$36,N12+M13-V12)))</f>
        <v>5.291502622129185</v>
      </c>
      <c r="O13" s="14">
        <f>N13*VLOOKUP('Données projet'!$B$9,Paramètres!$A$1:$I$88,3,0)*VLOOKUP('Données projet'!$B$9,Paramètres!$A$1:$I$88,5,0)</f>
        <v>2.4764232271564586</v>
      </c>
      <c r="P13" s="14">
        <f t="shared" si="33"/>
        <v>1.026917887868104</v>
      </c>
      <c r="Q13" s="22">
        <f t="shared" si="2"/>
        <v>6.1016524420011136</v>
      </c>
      <c r="R13" s="62">
        <f t="shared" si="0"/>
        <v>274.99054133088998</v>
      </c>
      <c r="S13" s="62">
        <f ca="1">AVERAGE(OFFSET($R$3,0,0,'Données projet'!$E$9+1,1))-AVERAGE(OFFSET($H$3,0,0,'Données projet'!$E$9+1,1))</f>
        <v>399.92909819003523</v>
      </c>
      <c r="T13" s="62">
        <f t="shared" si="34"/>
        <v>163.7053537268381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projet'!$B$10,Paramètres!$A$1:$I$88,3,0)*VLOOKUP('Données projet'!$B$10,Paramètres!$A$1:$I$88,5,0)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287.2434272262301</v>
      </c>
      <c r="AN13" s="62">
        <f ca="1">AVERAGE(OFFSET($AM$3,0,0,'Données projet'!$E$10+1,1))-AVERAGE(OFFSET($H$3,0,0,'Données projet'!$E$10+1,1))</f>
        <v>510.56580450928806</v>
      </c>
      <c r="AO13" s="62">
        <f t="shared" si="36"/>
        <v>278.21741231699929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4.95</v>
      </c>
      <c r="BD13" s="13">
        <f>IF('Données projet'!$A$88&gt;35,BD12+BC13-BL12,IF(A13&lt;'Données projet'!$A$88,$BA$205^A13,IF(A13='Données projet'!$A$88,'Données projet'!$B$88,BD12+BC13-BL12)))</f>
        <v>9.9498743710661905</v>
      </c>
      <c r="BE13" s="14">
        <f>BD13*VLOOKUP('Données projet'!$B$11,Paramètres!$A$1:$I$88,3,0)*VLOOKUP('Données projet'!$B$11,Paramètres!$A$1:$I$88,5,0)</f>
        <v>9.4683004515065878</v>
      </c>
      <c r="BF13" s="14">
        <f t="shared" si="37"/>
        <v>3.358814591240852</v>
      </c>
      <c r="BG13" s="22">
        <f t="shared" si="7"/>
        <v>22.34055869945179</v>
      </c>
      <c r="BH13" s="62">
        <f t="shared" si="8"/>
        <v>291.22944758834063</v>
      </c>
      <c r="BI13" s="62">
        <f ca="1">AVERAGE(OFFSET($BH$3,0,0,'Données projet'!$E$11+1,1))-AVERAGE(OFFSET($H$3,0,0,'Données projet'!$E$11+1,1))</f>
        <v>525.51330555662139</v>
      </c>
      <c r="BJ13" s="62">
        <f t="shared" si="38"/>
        <v>357.72390083433635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3.2392083333333335</v>
      </c>
      <c r="BY13" s="13">
        <f>IF('Données projet'!$A$114&gt;35,BY12+BX13-CG12,IF(A13&lt;'Données projet'!$A$114,$BV$205^A13,IF(A13='Données projet'!$A$114,'Données projet'!$B$114,BY12+BX13-CG12)))</f>
        <v>21.119490619313495</v>
      </c>
      <c r="BZ13" s="14">
        <f>BY13*VLOOKUP('Données projet'!$B$12,Paramètres!$A$1:$I$88,3,0)*VLOOKUP('Données projet'!$B$12,Paramètres!$A$1:$I$88,5,0)</f>
        <v>12.629455390349472</v>
      </c>
      <c r="CA13" s="14">
        <f t="shared" si="39"/>
        <v>4.3324695392758059</v>
      </c>
      <c r="CB13" s="22">
        <f t="shared" si="10"/>
        <v>29.542019252430688</v>
      </c>
      <c r="CC13" s="62">
        <f t="shared" si="11"/>
        <v>298.43090814131955</v>
      </c>
      <c r="CD13" s="62">
        <f ca="1">AVERAGE(OFFSET($CC$3,0,0,'Données projet'!$E$12+1,1))-AVERAGE(OFFSET($H$3,0,0,'Données projet'!$E$12+1,1))</f>
        <v>227.46616726010473</v>
      </c>
      <c r="CE13" s="62">
        <f t="shared" si="40"/>
        <v>314.188568589113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5.72</v>
      </c>
      <c r="CT13" s="13">
        <f>IF('Données projet'!$A$140&gt;35,CT12+CS13-DB12,IF(A13&lt;'Données projet'!$A$140,$CQ$205^A13,IF(A13='Données projet'!$A$140,'Données projet'!$B$140,CT12+CS13-DB12)))</f>
        <v>7.2800508866161229</v>
      </c>
      <c r="CU13" s="18">
        <f>CT13*VLOOKUP('Données projet'!$B$13,Paramètres!$A$1:$I$88,3,0)*VLOOKUP('Données projet'!$B$13,Paramètres!$A$1:$I$88,5,0)</f>
        <v>4.3534704301964418</v>
      </c>
      <c r="CV13" s="14">
        <f t="shared" si="41"/>
        <v>1.6905468082862023</v>
      </c>
      <c r="CW13" s="22">
        <f t="shared" si="13"/>
        <v>10.526663357023937</v>
      </c>
      <c r="CX13" s="62">
        <f t="shared" si="14"/>
        <v>279.41555224591281</v>
      </c>
      <c r="CY13" s="62">
        <f ca="1">AVERAGE(OFFSET($CX$3,0,0,'Données projet'!$E$13+1,1))-AVERAGE(OFFSET($H$3,0,0,'Données projet'!$E$13+1,1))</f>
        <v>356.46794174556311</v>
      </c>
      <c r="CZ13" s="62">
        <f t="shared" si="42"/>
        <v>248.47107558211923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10</v>
      </c>
      <c r="DO13" s="13">
        <f>IF('Données projet'!$A$166&gt;35,DO12+DN13-DW12,IF(A13&lt;'Données projet'!$A$166,$DL$205^A13,IF(A13='Données projet'!$A$166,'Données projet'!$B$166,DO12+DN13-DW12)))</f>
        <v>12.75906094165166</v>
      </c>
      <c r="DP13" s="18">
        <f>DO13*VLOOKUP('Données projet'!$B$14,Paramètres!$A$1:$I$88,3,0)*VLOOKUP('Données projet'!$B$14,Paramètres!$A$1:$I$88,5,0)</f>
        <v>7.1323150663832777</v>
      </c>
      <c r="DQ13" s="14">
        <f t="shared" si="43"/>
        <v>2.6149690439328648</v>
      </c>
      <c r="DR13" s="22">
        <f t="shared" si="16"/>
        <v>16.976519825467278</v>
      </c>
      <c r="DS13" s="62">
        <f t="shared" si="17"/>
        <v>285.86540871435614</v>
      </c>
      <c r="DT13" s="62">
        <f ca="1">AVERAGE(OFFSET($DS$3,0,0,'Données projet'!$E$14+1,1))-AVERAGE(OFFSET($H$3,0,0,'Données projet'!$E$14+1,1))</f>
        <v>397.04445188588369</v>
      </c>
      <c r="DU13" s="62">
        <f t="shared" si="44"/>
        <v>350.01856672839466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0.91500000000000004</v>
      </c>
      <c r="EJ13" s="13">
        <f>IF('Données projet'!$A$192&gt;35,EJ12+EI13-ER12,IF(A13&lt;'Données projet'!$A$192,$EG$205^A13,IF(A13='Données projet'!$A$192,'Données projet'!$B$192,EJ12+EI13-ER12)))</f>
        <v>4.2778499272414878</v>
      </c>
      <c r="EK13" s="18">
        <f>EJ13*VLOOKUP('Données projet'!$B$15,Paramètres!$A$1:$I$88,3,0)*VLOOKUP('Données projet'!$B$15,Paramètres!$A$1:$I$88,5,0)</f>
        <v>3.7371296964381644</v>
      </c>
      <c r="EL13" s="14">
        <f t="shared" si="45"/>
        <v>1.4772254870980666</v>
      </c>
      <c r="EM13" s="22">
        <f t="shared" si="19"/>
        <v>9.0816686113256022</v>
      </c>
      <c r="EN13" s="62">
        <f t="shared" si="20"/>
        <v>277.97055750021445</v>
      </c>
      <c r="EO13" s="62">
        <f ca="1">AVERAGE(OFFSET($EN$3,0,0,'Données projet'!$E$15+1,1))-AVERAGE(OFFSET($H$3,0,0,'Données projet'!$E$15+1,1))</f>
        <v>202.5548390231225</v>
      </c>
      <c r="EP13" s="62">
        <f t="shared" si="46"/>
        <v>184.62184077734179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projet'!$B$15,Paramètres!$A$1:$I$88,3,0)*0.475*44/12</f>
        <v>0</v>
      </c>
      <c r="EW13" s="23">
        <f>EXP(-LN(2)/25)*EW12+(1-EXP(-LN(2)/25))/(LN(2)/25)*Calculateur!ER13*Calculateur!ET13*VLOOKUP('Données projet'!$B$15,Paramètres!$A$1:$I$88,3,0)*0.475*44/12</f>
        <v>0</v>
      </c>
      <c r="EX13" s="23">
        <f>EXP(-LN(2)/2)*EX12+(1-EXP(-LN(2)/2))/(LN(2)/2)*ER13*EU13*VLOOKUP('Données projet'!$B$15,Paramètres!$A$1:$I$88,3,0)*0.475*44/12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IF('Données projet'!$A$218&gt;35,FE12+FD13-FM12,IF(A13&lt;'Données projet'!$A$218,$FB$205^A13,IF(A13='Données projet'!$A$218,'Données projet'!$B$218,FE12+FD13-FM12)))</f>
        <v>6.4807406984078657</v>
      </c>
      <c r="FF13" s="18">
        <f>FE13*VLOOKUP('Données projet'!$B$16,Paramètres!$A$1:$I$88,3,0)*VLOOKUP('Données projet'!$B$16,Paramètres!$A$1:$I$88,5,0)</f>
        <v>6.2681724035000874</v>
      </c>
      <c r="FG13" s="14">
        <f t="shared" si="47"/>
        <v>2.3329519459947301</v>
      </c>
      <c r="FH13" s="22">
        <f t="shared" si="22"/>
        <v>14.98029157537014</v>
      </c>
      <c r="FI13" s="62">
        <f t="shared" si="23"/>
        <v>283.86918046425899</v>
      </c>
      <c r="FJ13" s="62">
        <f ca="1">AVERAGE(OFFSET($FI$3,0,0,'Données projet'!$E$16+1,1))-AVERAGE(OFFSET($H$3,0,0,'Données projet'!$E$16+1,1))</f>
        <v>456.96274622094955</v>
      </c>
      <c r="FK13" s="62">
        <f t="shared" si="48"/>
        <v>244.45149244446094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projet'!$B$16,Paramètres!$A$1:$I$88,3,0)*0.475*44/12</f>
        <v>0</v>
      </c>
      <c r="FR13" s="23">
        <f>EXP(-LN(2)/25)*FR12+(1-EXP(-LN(2)/25))/(LN(2)/25)*Calculateur!FM13*Calculateur!FO13*VLOOKUP('Données projet'!$B$16,Paramètres!$A$1:$I$88,3,0)*0.475*44/12</f>
        <v>0</v>
      </c>
      <c r="FS13" s="23">
        <f>EXP(-LN(2)/2)*FS12+(1-EXP(-LN(2)/2))/(LN(2)/2)*FM13*FP13*VLOOKUP('Données projet'!$B$16,Paramètres!$A$1:$I$88,3,0)*0.475*44/12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IF('Données projet'!$A$244&gt;35,FZ12+FY13-GH12,IF(A13&lt;'Données projet'!$A$244,$FW$205^A13,IF(A13='Données projet'!$A$244,'Données projet'!$B$244,FZ12+FY13-GH12)))</f>
        <v>6.4807406984078657</v>
      </c>
      <c r="GA13" s="18">
        <f>FZ13*VLOOKUP('Données projet'!$B$17,Paramètres!$A$1:$I$88,3,0)*VLOOKUP('Données projet'!$B$17,Paramètres!$A$1:$I$88,5,0)</f>
        <v>6.9758692877662263</v>
      </c>
      <c r="GB13" s="14">
        <f t="shared" si="49"/>
        <v>2.5642215932468222</v>
      </c>
      <c r="GC13" s="22">
        <f t="shared" si="25"/>
        <v>16.61565828443106</v>
      </c>
      <c r="GD13" s="62">
        <f t="shared" si="26"/>
        <v>285.50454717331991</v>
      </c>
      <c r="GE13" s="62">
        <f ca="1">AVERAGE(OFFSET($GD$3,0,0,'Données projet'!$E$17+1,1))-AVERAGE(OFFSET($H$3,0,0,'Données projet'!$E$17+1,1))</f>
        <v>503.69304261527651</v>
      </c>
      <c r="GF13" s="62">
        <f t="shared" si="50"/>
        <v>267.2998309535638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projet'!$B$17,Paramètres!$A$1:$I$88,3,0)*0.475*44/12</f>
        <v>0</v>
      </c>
      <c r="GM13" s="23">
        <f>EXP(-LN(2)/25)*GM12+(1-EXP(-LN(2)/25))/(LN(2)/25)*Calculateur!GH13*Calculateur!GJ13*VLOOKUP('Données projet'!$B$17,Paramètres!$A$1:$I$88,3,0)*0.475*44/12</f>
        <v>0</v>
      </c>
      <c r="GN13" s="23">
        <f>EXP(-LN(2)/2)*GN12+(1-EXP(-LN(2)/2))/(LN(2)/2)*GH13*GK13*VLOOKUP('Données projet'!$B$17,Paramètres!$A$1:$I$88,3,0)*0.475*44/12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3.65</v>
      </c>
      <c r="GU13" s="13">
        <f>IF('Données projet'!$A$270&gt;35,GU12+GT13-HC12,IF(A13&lt;'Données projet'!$A$270,$GR$205^A13,IF(A13='Données projet'!$A$270,'Données projet'!$B$270,GU12+GT13-HC12)))</f>
        <v>8.5440037453175322</v>
      </c>
      <c r="GV13" s="18">
        <f>GU13*VLOOKUP('Données projet'!$B$18,Paramètres!$A$1:$I$88,3,0)*VLOOKUP('Données projet'!$B$18,Paramètres!$A$1:$I$88,5,0)</f>
        <v>8.9301927146058855</v>
      </c>
      <c r="GW13" s="14">
        <f t="shared" si="51"/>
        <v>3.1895740936500991</v>
      </c>
      <c r="GX13" s="22">
        <f t="shared" si="28"/>
        <v>21.108593857712506</v>
      </c>
      <c r="GY13" s="62">
        <f t="shared" si="29"/>
        <v>289.99748274660135</v>
      </c>
      <c r="GZ13" s="62">
        <f ca="1">AVERAGE(OFFSET($GY$3,0,0,'Données projet'!$E$18+1,1))-AVERAGE(OFFSET($H$3,0,0,'Données projet'!$E$18+1,1))</f>
        <v>582.89879210197682</v>
      </c>
      <c r="HA13" s="62">
        <f t="shared" si="52"/>
        <v>314.72094983133326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projet'!$B$18,Paramètres!$A$1:$I$88,3,0)*0.475*44/12</f>
        <v>0</v>
      </c>
      <c r="HH13" s="23">
        <f>EXP(-LN(2)/25)*HH12+(1-EXP(-LN(2)/25))/(LN(2)/25)*Calculateur!HC13*Calculateur!HE13*VLOOKUP('Données projet'!$B$18,Paramètres!$A$1:$I$88,3,0)*0.475*44/12</f>
        <v>0</v>
      </c>
      <c r="HI13" s="23">
        <f>EXP(-LN(2)/2)*HI12+(1-EXP(-LN(2)/2))/(LN(2)/2)*HC13*HF13*VLOOKUP('Données projet'!$B$18,Paramètres!$A$1:$I$88,3,0)*0.475*44/12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1.4</v>
      </c>
      <c r="N14" s="14">
        <f>IF('Données projet'!$A$36&gt;35,N13+M14-V13,IF(A14&lt;'Données projet'!$A$36,$K$205^A14,IF(A14='Données projet'!$A$36,'Données projet'!$B$36,N13+M14-V13)))</f>
        <v>6.2508189089445931</v>
      </c>
      <c r="O14" s="14">
        <f>N14*VLOOKUP('Données projet'!$B$9,Paramètres!$A$1:$I$88,3,0)*VLOOKUP('Données projet'!$B$9,Paramètres!$A$1:$I$88,5,0)</f>
        <v>2.9253832493860692</v>
      </c>
      <c r="P14" s="14">
        <f t="shared" si="33"/>
        <v>1.1897923184945451</v>
      </c>
      <c r="Q14" s="22">
        <f t="shared" si="2"/>
        <v>7.1672641140587361</v>
      </c>
      <c r="R14" s="62">
        <f t="shared" si="0"/>
        <v>277.2783752251699</v>
      </c>
      <c r="S14" s="62">
        <f ca="1">AVERAGE(OFFSET($R$3,0,0,'Données projet'!$E$9+1,1))-AVERAGE(OFFSET($H$3,0,0,'Données projet'!$E$9+1,1))</f>
        <v>399.92909819003523</v>
      </c>
      <c r="T14" s="62">
        <f t="shared" si="34"/>
        <v>163.7053537268381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projet'!$B$10,Paramètres!$A$1:$I$88,3,0)*VLOOKUP('Données projet'!$B$10,Paramètres!$A$1:$I$88,5,0)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292.70789065900522</v>
      </c>
      <c r="AN14" s="62">
        <f ca="1">AVERAGE(OFFSET($AM$3,0,0,'Données projet'!$E$10+1,1))-AVERAGE(OFFSET($H$3,0,0,'Données projet'!$E$10+1,1))</f>
        <v>510.56580450928806</v>
      </c>
      <c r="AO14" s="62">
        <f t="shared" si="36"/>
        <v>278.21741231699929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4.95</v>
      </c>
      <c r="BD14" s="13">
        <f>IF('Données projet'!$A$88&gt;35,BD13+BC14-BL13,IF(A14&lt;'Données projet'!$A$88,$BA$205^A14,IF(A14='Données projet'!$A$88,'Données projet'!$B$88,BD13+BC14-BL13)))</f>
        <v>12.519856670634356</v>
      </c>
      <c r="BE14" s="14">
        <f>BD14*VLOOKUP('Données projet'!$B$11,Paramètres!$A$1:$I$88,3,0)*VLOOKUP('Données projet'!$B$11,Paramètres!$A$1:$I$88,5,0)</f>
        <v>11.913895607775654</v>
      </c>
      <c r="BF14" s="14">
        <f t="shared" si="37"/>
        <v>4.1148422847445412</v>
      </c>
      <c r="BG14" s="22">
        <f t="shared" si="7"/>
        <v>27.916718496139335</v>
      </c>
      <c r="BH14" s="62">
        <f t="shared" si="8"/>
        <v>298.02782960725045</v>
      </c>
      <c r="BI14" s="62">
        <f ca="1">AVERAGE(OFFSET($BH$3,0,0,'Données projet'!$E$11+1,1))-AVERAGE(OFFSET($H$3,0,0,'Données projet'!$E$11+1,1))</f>
        <v>525.51330555662139</v>
      </c>
      <c r="BJ14" s="62">
        <f t="shared" si="38"/>
        <v>357.72390083433635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3.2392083333333335</v>
      </c>
      <c r="BY14" s="13">
        <f>IF('Données projet'!$A$114&gt;35,BY13+BX14-CG13,IF(A14&lt;'Données projet'!$A$114,$BV$205^A14,IF(A14='Données projet'!$A$114,'Données projet'!$B$114,BY13+BX14-CG13)))</f>
        <v>28.65179156908037</v>
      </c>
      <c r="BZ14" s="14">
        <f>BY14*VLOOKUP('Données projet'!$B$12,Paramètres!$A$1:$I$88,3,0)*VLOOKUP('Données projet'!$B$12,Paramètres!$A$1:$I$88,5,0)</f>
        <v>17.133771358310064</v>
      </c>
      <c r="CA14" s="14">
        <f t="shared" si="39"/>
        <v>5.6726311654642698</v>
      </c>
      <c r="CB14" s="22">
        <f t="shared" si="10"/>
        <v>39.721151062240295</v>
      </c>
      <c r="CC14" s="62">
        <f t="shared" si="11"/>
        <v>309.83226217335141</v>
      </c>
      <c r="CD14" s="62">
        <f ca="1">AVERAGE(OFFSET($CC$3,0,0,'Données projet'!$E$12+1,1))-AVERAGE(OFFSET($H$3,0,0,'Données projet'!$E$12+1,1))</f>
        <v>227.46616726010473</v>
      </c>
      <c r="CE14" s="62">
        <f t="shared" si="40"/>
        <v>314.188568589113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5.72</v>
      </c>
      <c r="CT14" s="13">
        <f>IF('Données projet'!$A$140&gt;35,CT13+CS14-DB13,IF(A14&lt;'Données projet'!$A$140,$CQ$205^A14,IF(A14='Données projet'!$A$140,'Données projet'!$B$140,CT13+CS14-DB13)))</f>
        <v>8.8786688129433546</v>
      </c>
      <c r="CU14" s="18">
        <f>CT14*VLOOKUP('Données projet'!$B$13,Paramètres!$A$1:$I$88,3,0)*VLOOKUP('Données projet'!$B$13,Paramètres!$A$1:$I$88,5,0)</f>
        <v>5.3094439501401265</v>
      </c>
      <c r="CV14" s="14">
        <f t="shared" si="41"/>
        <v>2.0146768541984206</v>
      </c>
      <c r="CW14" s="22">
        <f t="shared" si="13"/>
        <v>12.756177067556301</v>
      </c>
      <c r="CX14" s="62">
        <f t="shared" si="14"/>
        <v>282.86728817866742</v>
      </c>
      <c r="CY14" s="62">
        <f ca="1">AVERAGE(OFFSET($CX$3,0,0,'Données projet'!$E$13+1,1))-AVERAGE(OFFSET($H$3,0,0,'Données projet'!$E$13+1,1))</f>
        <v>356.46794174556311</v>
      </c>
      <c r="CZ14" s="62">
        <f t="shared" si="42"/>
        <v>248.47107558211923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</v>
      </c>
      <c r="DO14" s="13">
        <f>IF('Données projet'!$A$166&gt;35,DO13+DN14-DW13,IF(A14&lt;'Données projet'!$A$166,$DL$205^A14,IF(A14='Données projet'!$A$166,'Données projet'!$B$166,DO13+DN14-DW13)))</f>
        <v>16.45889152503846</v>
      </c>
      <c r="DP14" s="18">
        <f>DO14*VLOOKUP('Données projet'!$B$14,Paramètres!$A$1:$I$88,3,0)*VLOOKUP('Données projet'!$B$14,Paramètres!$A$1:$I$88,5,0)</f>
        <v>9.2005203624964995</v>
      </c>
      <c r="DQ14" s="14">
        <f t="shared" si="43"/>
        <v>3.2747390106980423</v>
      </c>
      <c r="DR14" s="22">
        <f t="shared" si="16"/>
        <v>21.727743408313824</v>
      </c>
      <c r="DS14" s="62">
        <f t="shared" si="17"/>
        <v>291.83885451942496</v>
      </c>
      <c r="DT14" s="62">
        <f ca="1">AVERAGE(OFFSET($DS$3,0,0,'Données projet'!$E$14+1,1))-AVERAGE(OFFSET($H$3,0,0,'Données projet'!$E$14+1,1))</f>
        <v>397.04445188588369</v>
      </c>
      <c r="DU14" s="62">
        <f t="shared" si="44"/>
        <v>350.01856672839466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0.91500000000000004</v>
      </c>
      <c r="EJ14" s="13">
        <f>IF('Données projet'!$A$192&gt;35,EJ13+EI14-ER13,IF(A14&lt;'Données projet'!$A$192,$EG$205^A14,IF(A14='Données projet'!$A$192,'Données projet'!$B$192,EJ13+EI14-ER13)))</f>
        <v>4.9470704985692135</v>
      </c>
      <c r="EK14" s="18">
        <f>EJ14*VLOOKUP('Données projet'!$B$15,Paramètres!$A$1:$I$88,3,0)*VLOOKUP('Données projet'!$B$15,Paramètres!$A$1:$I$88,5,0)</f>
        <v>4.3217607875500654</v>
      </c>
      <c r="EL14" s="14">
        <f t="shared" si="45"/>
        <v>1.6796619389078107</v>
      </c>
      <c r="EM14" s="22">
        <f t="shared" si="19"/>
        <v>10.452477915247465</v>
      </c>
      <c r="EN14" s="62">
        <f t="shared" si="20"/>
        <v>280.56358902635861</v>
      </c>
      <c r="EO14" s="62">
        <f ca="1">AVERAGE(OFFSET($EN$3,0,0,'Données projet'!$E$15+1,1))-AVERAGE(OFFSET($H$3,0,0,'Données projet'!$E$15+1,1))</f>
        <v>202.5548390231225</v>
      </c>
      <c r="EP14" s="62">
        <f t="shared" si="46"/>
        <v>184.62184077734179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projet'!$B$15,Paramètres!$A$1:$I$88,3,0)*0.475*44/12</f>
        <v>0</v>
      </c>
      <c r="EW14" s="23">
        <f>EXP(-LN(2)/25)*EW13+(1-EXP(-LN(2)/25))/(LN(2)/25)*Calculateur!ER14*Calculateur!ET14*VLOOKUP('Données projet'!$B$15,Paramètres!$A$1:$I$88,3,0)*0.475*44/12</f>
        <v>0</v>
      </c>
      <c r="EX14" s="23">
        <f>EXP(-LN(2)/2)*EX13+(1-EXP(-LN(2)/2))/(LN(2)/2)*ER14*EU14*VLOOKUP('Données projet'!$B$15,Paramètres!$A$1:$I$88,3,0)*0.475*44/12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IF('Données projet'!$A$218&gt;35,FE13+FD14-FM13,IF(A14&lt;'Données projet'!$A$218,$FB$205^A14,IF(A14='Données projet'!$A$218,'Données projet'!$B$218,FE13+FD14-FM13)))</f>
        <v>7.8124474610620815</v>
      </c>
      <c r="FF14" s="18">
        <f>FE14*VLOOKUP('Données projet'!$B$16,Paramètres!$A$1:$I$88,3,0)*VLOOKUP('Données projet'!$B$16,Paramètres!$A$1:$I$88,5,0)</f>
        <v>7.5561991843392455</v>
      </c>
      <c r="FG14" s="14">
        <f t="shared" si="47"/>
        <v>2.7518258561310041</v>
      </c>
      <c r="FH14" s="22">
        <f t="shared" si="22"/>
        <v>17.953143612152349</v>
      </c>
      <c r="FI14" s="62">
        <f t="shared" si="23"/>
        <v>288.0642547232635</v>
      </c>
      <c r="FJ14" s="62">
        <f ca="1">AVERAGE(OFFSET($FI$3,0,0,'Données projet'!$E$16+1,1))-AVERAGE(OFFSET($H$3,0,0,'Données projet'!$E$16+1,1))</f>
        <v>456.96274622094955</v>
      </c>
      <c r="FK14" s="62">
        <f t="shared" si="48"/>
        <v>244.45149244446094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projet'!$B$16,Paramètres!$A$1:$I$88,3,0)*0.475*44/12</f>
        <v>0</v>
      </c>
      <c r="FR14" s="23">
        <f>EXP(-LN(2)/25)*FR13+(1-EXP(-LN(2)/25))/(LN(2)/25)*Calculateur!FM14*Calculateur!FO14*VLOOKUP('Données projet'!$B$16,Paramètres!$A$1:$I$88,3,0)*0.475*44/12</f>
        <v>0</v>
      </c>
      <c r="FS14" s="23">
        <f>EXP(-LN(2)/2)*FS13+(1-EXP(-LN(2)/2))/(LN(2)/2)*FM14*FP14*VLOOKUP('Données projet'!$B$16,Paramètres!$A$1:$I$88,3,0)*0.475*44/12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IF('Données projet'!$A$244&gt;35,FZ13+FY14-GH13,IF(A14&lt;'Données projet'!$A$244,$FW$205^A14,IF(A14='Données projet'!$A$244,'Données projet'!$B$244,FZ13+FY14-GH13)))</f>
        <v>7.8124474610620815</v>
      </c>
      <c r="GA14" s="18">
        <f>FZ14*VLOOKUP('Données projet'!$B$17,Paramètres!$A$1:$I$88,3,0)*VLOOKUP('Données projet'!$B$17,Paramètres!$A$1:$I$88,5,0)</f>
        <v>8.4093184470872249</v>
      </c>
      <c r="GB14" s="14">
        <f t="shared" si="49"/>
        <v>3.0246192139792929</v>
      </c>
      <c r="GC14" s="22">
        <f t="shared" si="25"/>
        <v>19.914108093024186</v>
      </c>
      <c r="GD14" s="62">
        <f t="shared" si="26"/>
        <v>290.02521920413534</v>
      </c>
      <c r="GE14" s="62">
        <f ca="1">AVERAGE(OFFSET($GD$3,0,0,'Données projet'!$E$17+1,1))-AVERAGE(OFFSET($H$3,0,0,'Données projet'!$E$17+1,1))</f>
        <v>503.69304261527651</v>
      </c>
      <c r="GF14" s="62">
        <f t="shared" si="50"/>
        <v>267.2998309535638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projet'!$B$17,Paramètres!$A$1:$I$88,3,0)*0.475*44/12</f>
        <v>0</v>
      </c>
      <c r="GM14" s="23">
        <f>EXP(-LN(2)/25)*GM13+(1-EXP(-LN(2)/25))/(LN(2)/25)*Calculateur!GH14*Calculateur!GJ14*VLOOKUP('Données projet'!$B$17,Paramètres!$A$1:$I$88,3,0)*0.475*44/12</f>
        <v>0</v>
      </c>
      <c r="GN14" s="23">
        <f>EXP(-LN(2)/2)*GN13+(1-EXP(-LN(2)/2))/(LN(2)/2)*GH14*GK14*VLOOKUP('Données projet'!$B$17,Paramètres!$A$1:$I$88,3,0)*0.475*44/12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3.65</v>
      </c>
      <c r="GU14" s="13">
        <f>IF('Données projet'!$A$270&gt;35,GU13+GT14-HC13,IF(A14&lt;'Données projet'!$A$270,$GR$205^A14,IF(A14='Données projet'!$A$270,'Données projet'!$B$270,GU13+GT14-HC13)))</f>
        <v>10.588332555950936</v>
      </c>
      <c r="GV14" s="18">
        <f>GU14*VLOOKUP('Données projet'!$B$18,Paramètres!$A$1:$I$88,3,0)*VLOOKUP('Données projet'!$B$18,Paramètres!$A$1:$I$88,5,0)</f>
        <v>11.066925187479919</v>
      </c>
      <c r="GW14" s="14">
        <f t="shared" si="51"/>
        <v>3.8552655647360954</v>
      </c>
      <c r="GX14" s="22">
        <f t="shared" si="28"/>
        <v>25.989482226776222</v>
      </c>
      <c r="GY14" s="62">
        <f t="shared" si="29"/>
        <v>296.10059333788735</v>
      </c>
      <c r="GZ14" s="62">
        <f ca="1">AVERAGE(OFFSET($GY$3,0,0,'Données projet'!$E$18+1,1))-AVERAGE(OFFSET($H$3,0,0,'Données projet'!$E$18+1,1))</f>
        <v>582.89879210197682</v>
      </c>
      <c r="HA14" s="62">
        <f t="shared" si="52"/>
        <v>314.72094983133326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projet'!$B$18,Paramètres!$A$1:$I$88,3,0)*0.475*44/12</f>
        <v>0</v>
      </c>
      <c r="HH14" s="23">
        <f>EXP(-LN(2)/25)*HH13+(1-EXP(-LN(2)/25))/(LN(2)/25)*Calculateur!HC14*Calculateur!HE14*VLOOKUP('Données projet'!$B$18,Paramètres!$A$1:$I$88,3,0)*0.475*44/12</f>
        <v>0</v>
      </c>
      <c r="HI14" s="23">
        <f>EXP(-LN(2)/2)*HI13+(1-EXP(-LN(2)/2))/(LN(2)/2)*HC14*HF14*VLOOKUP('Données projet'!$B$18,Paramètres!$A$1:$I$88,3,0)*0.475*44/12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1.4</v>
      </c>
      <c r="N15" s="14">
        <f>IF('Données projet'!$A$36&gt;35,N14+M15-V14,IF(A15&lt;'Données projet'!$A$36,$K$205^A15,IF(A15='Données projet'!$A$36,'Données projet'!$B$36,N14+M15-V14)))</f>
        <v>7.3840532307432287</v>
      </c>
      <c r="O15" s="14">
        <f>N15*VLOOKUP('Données projet'!$B$9,Paramètres!$A$1:$I$88,3,0)*VLOOKUP('Données projet'!$B$9,Paramètres!$A$1:$I$88,5,0)</f>
        <v>3.455736911987831</v>
      </c>
      <c r="P15" s="14">
        <f t="shared" si="33"/>
        <v>1.3784994670678521</v>
      </c>
      <c r="Q15" s="22">
        <f t="shared" si="2"/>
        <v>8.4196283601886481</v>
      </c>
      <c r="R15" s="62">
        <f t="shared" si="0"/>
        <v>279.75296169352197</v>
      </c>
      <c r="S15" s="62">
        <f ca="1">AVERAGE(OFFSET($R$3,0,0,'Données projet'!$E$9+1,1))-AVERAGE(OFFSET($H$3,0,0,'Données projet'!$E$9+1,1))</f>
        <v>399.92909819003523</v>
      </c>
      <c r="T15" s="62">
        <f t="shared" si="34"/>
        <v>163.7053537268381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projet'!$B$10,Paramètres!$A$1:$I$88,3,0)*VLOOKUP('Données projet'!$B$10,Paramètres!$A$1:$I$88,5,0)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299.15620406350808</v>
      </c>
      <c r="AN15" s="62">
        <f ca="1">AVERAGE(OFFSET($AM$3,0,0,'Données projet'!$E$10+1,1))-AVERAGE(OFFSET($H$3,0,0,'Données projet'!$E$10+1,1))</f>
        <v>510.56580450928806</v>
      </c>
      <c r="AO15" s="62">
        <f t="shared" si="36"/>
        <v>278.21741231699929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4.95</v>
      </c>
      <c r="BD15" s="13">
        <f>IF('Données projet'!$A$88&gt;35,BD14+BC15-BL14,IF(A15&lt;'Données projet'!$A$88,$BA$205^A15,IF(A15='Données projet'!$A$88,'Données projet'!$B$88,BD14+BC15-BL14)))</f>
        <v>15.753647252978448</v>
      </c>
      <c r="BE15" s="14">
        <f>BD15*VLOOKUP('Données projet'!$B$11,Paramètres!$A$1:$I$88,3,0)*VLOOKUP('Données projet'!$B$11,Paramètres!$A$1:$I$88,5,0)</f>
        <v>14.991170725934291</v>
      </c>
      <c r="BF15" s="14">
        <f t="shared" si="37"/>
        <v>5.0410424774493068</v>
      </c>
      <c r="BG15" s="22">
        <f t="shared" si="7"/>
        <v>34.889437995893097</v>
      </c>
      <c r="BH15" s="62">
        <f t="shared" si="8"/>
        <v>306.22277132922642</v>
      </c>
      <c r="BI15" s="62">
        <f ca="1">AVERAGE(OFFSET($BH$3,0,0,'Données projet'!$E$11+1,1))-AVERAGE(OFFSET($H$3,0,0,'Données projet'!$E$11+1,1))</f>
        <v>525.51330555662139</v>
      </c>
      <c r="BJ15" s="62">
        <f t="shared" si="38"/>
        <v>357.72390083433635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38.8705</v>
      </c>
      <c r="BW15" s="13">
        <f>VLOOKUP(A15,'Données projet'!$A$113:$I$133,9,0)</f>
        <v>3.2392083333333335</v>
      </c>
      <c r="BX15" s="13">
        <f t="array" ref="BX15">INDEX(BW:BW,MIN(IF(ISNUMBER(BW15:BW211),ROW(BW15:BW211),"")))</f>
        <v>3.2392083333333335</v>
      </c>
      <c r="BY15" s="13">
        <f>IF('Données projet'!$A$114&gt;35,BY14+BX15-CG14,IF(A15&lt;'Données projet'!$A$114,$BV$205^A15,IF(A15='Données projet'!$A$114,'Données projet'!$B$114,BY14+BX15-CG14)))</f>
        <v>38.8705</v>
      </c>
      <c r="BZ15" s="14">
        <f>BY15*VLOOKUP('Données projet'!$B$12,Paramètres!$A$1:$I$88,3,0)*VLOOKUP('Données projet'!$B$12,Paramètres!$A$1:$I$88,5,0)</f>
        <v>23.244559000000002</v>
      </c>
      <c r="CA15" s="14">
        <f t="shared" si="39"/>
        <v>7.427344623587441</v>
      </c>
      <c r="CB15" s="22">
        <f t="shared" si="10"/>
        <v>53.420232144414797</v>
      </c>
      <c r="CC15" s="62">
        <f t="shared" si="11"/>
        <v>324.75356547774811</v>
      </c>
      <c r="CD15" s="62">
        <f ca="1">AVERAGE(OFFSET($CC$3,0,0,'Données projet'!$E$12+1,1))-AVERAGE(OFFSET($H$3,0,0,'Données projet'!$E$12+1,1))</f>
        <v>227.46616726010473</v>
      </c>
      <c r="CE15" s="62">
        <f t="shared" si="40"/>
        <v>314.188568589113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5.72</v>
      </c>
      <c r="CT15" s="13">
        <f>IF('Données projet'!$A$140&gt;35,CT14+CS15-DB14,IF(A15&lt;'Données projet'!$A$140,$CQ$205^A15,IF(A15='Données projet'!$A$140,'Données projet'!$B$140,CT14+CS15-DB14)))</f>
        <v>10.828325394655952</v>
      </c>
      <c r="CU15" s="18">
        <f>CT15*VLOOKUP('Données projet'!$B$13,Paramètres!$A$1:$I$88,3,0)*VLOOKUP('Données projet'!$B$13,Paramètres!$A$1:$I$88,5,0)</f>
        <v>6.47533858600426</v>
      </c>
      <c r="CV15" s="14">
        <f t="shared" si="41"/>
        <v>2.4009526426290373</v>
      </c>
      <c r="CW15" s="22">
        <f t="shared" si="13"/>
        <v>15.459540556536325</v>
      </c>
      <c r="CX15" s="62">
        <f t="shared" si="14"/>
        <v>286.79287388986961</v>
      </c>
      <c r="CY15" s="62">
        <f ca="1">AVERAGE(OFFSET($CX$3,0,0,'Données projet'!$E$13+1,1))-AVERAGE(OFFSET($H$3,0,0,'Données projet'!$E$13+1,1))</f>
        <v>356.46794174556311</v>
      </c>
      <c r="CZ15" s="62">
        <f t="shared" si="42"/>
        <v>248.47107558211923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</v>
      </c>
      <c r="DO15" s="13">
        <f>IF('Données projet'!$A$166&gt;35,DO14+DN15-DW14,IF(A15&lt;'Données projet'!$A$166,$DL$205^A15,IF(A15='Données projet'!$A$166,'Données projet'!$B$166,DO14+DN15-DW14)))</f>
        <v>21.231586828514317</v>
      </c>
      <c r="DP15" s="18">
        <f>DO15*VLOOKUP('Données projet'!$B$14,Paramètres!$A$1:$I$88,3,0)*VLOOKUP('Données projet'!$B$14,Paramètres!$A$1:$I$88,5,0)</f>
        <v>11.868457037139505</v>
      </c>
      <c r="DQ15" s="14">
        <f t="shared" si="43"/>
        <v>4.1009722899277703</v>
      </c>
      <c r="DR15" s="22">
        <f t="shared" si="16"/>
        <v>27.813422744642168</v>
      </c>
      <c r="DS15" s="62">
        <f t="shared" si="17"/>
        <v>299.14675607797551</v>
      </c>
      <c r="DT15" s="62">
        <f ca="1">AVERAGE(OFFSET($DS$3,0,0,'Données projet'!$E$14+1,1))-AVERAGE(OFFSET($H$3,0,0,'Données projet'!$E$14+1,1))</f>
        <v>397.04445188588369</v>
      </c>
      <c r="DU15" s="62">
        <f t="shared" si="44"/>
        <v>350.01856672839466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0.91500000000000004</v>
      </c>
      <c r="EJ15" s="13">
        <f>IF('Données projet'!$A$192&gt;35,EJ14+EI15-ER14,IF(A15&lt;'Données projet'!$A$192,$EG$205^A15,IF(A15='Données projet'!$A$192,'Données projet'!$B$192,EJ14+EI15-ER14)))</f>
        <v>5.720982955004045</v>
      </c>
      <c r="EK15" s="18">
        <f>EJ15*VLOOKUP('Données projet'!$B$15,Paramètres!$A$1:$I$88,3,0)*VLOOKUP('Données projet'!$B$15,Paramètres!$A$1:$I$88,5,0)</f>
        <v>4.9978507094915345</v>
      </c>
      <c r="EL15" s="14">
        <f t="shared" si="45"/>
        <v>1.9098399355116551</v>
      </c>
      <c r="EM15" s="22">
        <f t="shared" si="19"/>
        <v>12.030894540047221</v>
      </c>
      <c r="EN15" s="62">
        <f t="shared" si="20"/>
        <v>283.36422787338051</v>
      </c>
      <c r="EO15" s="62">
        <f ca="1">AVERAGE(OFFSET($EN$3,0,0,'Données projet'!$E$15+1,1))-AVERAGE(OFFSET($H$3,0,0,'Données projet'!$E$15+1,1))</f>
        <v>202.5548390231225</v>
      </c>
      <c r="EP15" s="62">
        <f t="shared" si="46"/>
        <v>184.62184077734179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projet'!$B$15,Paramètres!$A$1:$I$88,3,0)*0.475*44/12</f>
        <v>0</v>
      </c>
      <c r="EW15" s="23">
        <f>EXP(-LN(2)/25)*EW14+(1-EXP(-LN(2)/25))/(LN(2)/25)*Calculateur!ER15*Calculateur!ET15*VLOOKUP('Données projet'!$B$15,Paramètres!$A$1:$I$88,3,0)*0.475*44/12</f>
        <v>0</v>
      </c>
      <c r="EX15" s="23">
        <f>EXP(-LN(2)/2)*EX14+(1-EXP(-LN(2)/2))/(LN(2)/2)*ER15*EU15*VLOOKUP('Données projet'!$B$15,Paramètres!$A$1:$I$88,3,0)*0.475*44/12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IF('Données projet'!$A$218&gt;35,FE14+FD15-FM14,IF(A15&lt;'Données projet'!$A$218,$FB$205^A15,IF(A15='Données projet'!$A$218,'Données projet'!$B$218,FE14+FD15-FM14)))</f>
        <v>9.4178024044149407</v>
      </c>
      <c r="FF15" s="18">
        <f>FE15*VLOOKUP('Données projet'!$B$16,Paramètres!$A$1:$I$88,3,0)*VLOOKUP('Données projet'!$B$16,Paramètres!$A$1:$I$88,5,0)</f>
        <v>9.1088984855501316</v>
      </c>
      <c r="FG15" s="14">
        <f t="shared" si="47"/>
        <v>3.2459072101643005</v>
      </c>
      <c r="FH15" s="22">
        <f t="shared" si="22"/>
        <v>21.517953253369303</v>
      </c>
      <c r="FI15" s="62">
        <f t="shared" si="23"/>
        <v>292.8512865867026</v>
      </c>
      <c r="FJ15" s="62">
        <f ca="1">AVERAGE(OFFSET($FI$3,0,0,'Données projet'!$E$16+1,1))-AVERAGE(OFFSET($H$3,0,0,'Données projet'!$E$16+1,1))</f>
        <v>456.96274622094955</v>
      </c>
      <c r="FK15" s="62">
        <f t="shared" si="48"/>
        <v>244.45149244446094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projet'!$B$16,Paramètres!$A$1:$I$88,3,0)*0.475*44/12</f>
        <v>0</v>
      </c>
      <c r="FR15" s="23">
        <f>EXP(-LN(2)/25)*FR14+(1-EXP(-LN(2)/25))/(LN(2)/25)*Calculateur!FM15*Calculateur!FO15*VLOOKUP('Données projet'!$B$16,Paramètres!$A$1:$I$88,3,0)*0.475*44/12</f>
        <v>0</v>
      </c>
      <c r="FS15" s="23">
        <f>EXP(-LN(2)/2)*FS14+(1-EXP(-LN(2)/2))/(LN(2)/2)*FM15*FP15*VLOOKUP('Données projet'!$B$16,Paramètres!$A$1:$I$88,3,0)*0.475*44/12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IF('Données projet'!$A$244&gt;35,FZ14+FY15-GH14,IF(A15&lt;'Données projet'!$A$244,$FW$205^A15,IF(A15='Données projet'!$A$244,'Données projet'!$B$244,FZ14+FY15-GH14)))</f>
        <v>9.4178024044149407</v>
      </c>
      <c r="GA15" s="18">
        <f>FZ15*VLOOKUP('Données projet'!$B$17,Paramètres!$A$1:$I$88,3,0)*VLOOKUP('Données projet'!$B$17,Paramètres!$A$1:$I$88,5,0)</f>
        <v>10.137322508112241</v>
      </c>
      <c r="GB15" s="14">
        <f t="shared" si="49"/>
        <v>3.5676797253661268</v>
      </c>
      <c r="GC15" s="22">
        <f t="shared" si="25"/>
        <v>23.869545556641487</v>
      </c>
      <c r="GD15" s="62">
        <f t="shared" si="26"/>
        <v>295.20287888997478</v>
      </c>
      <c r="GE15" s="62">
        <f ca="1">AVERAGE(OFFSET($GD$3,0,0,'Données projet'!$E$17+1,1))-AVERAGE(OFFSET($H$3,0,0,'Données projet'!$E$17+1,1))</f>
        <v>503.69304261527651</v>
      </c>
      <c r="GF15" s="62">
        <f t="shared" si="50"/>
        <v>267.2998309535638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projet'!$B$17,Paramètres!$A$1:$I$88,3,0)*0.475*44/12</f>
        <v>0</v>
      </c>
      <c r="GM15" s="23">
        <f>EXP(-LN(2)/25)*GM14+(1-EXP(-LN(2)/25))/(LN(2)/25)*Calculateur!GH15*Calculateur!GJ15*VLOOKUP('Données projet'!$B$17,Paramètres!$A$1:$I$88,3,0)*0.475*44/12</f>
        <v>0</v>
      </c>
      <c r="GN15" s="23">
        <f>EXP(-LN(2)/2)*GN14+(1-EXP(-LN(2)/2))/(LN(2)/2)*GH15*GK15*VLOOKUP('Données projet'!$B$17,Paramètres!$A$1:$I$88,3,0)*0.475*44/12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3.65</v>
      </c>
      <c r="GU15" s="13">
        <f>IF('Données projet'!$A$270&gt;35,GU14+GT15-HC14,IF(A15&lt;'Données projet'!$A$270,$GR$205^A15,IF(A15='Données projet'!$A$270,'Données projet'!$B$270,GU14+GT15-HC14)))</f>
        <v>13.121809125710287</v>
      </c>
      <c r="GV15" s="18">
        <f>GU15*VLOOKUP('Données projet'!$B$18,Paramètres!$A$1:$I$88,3,0)*VLOOKUP('Données projet'!$B$18,Paramètres!$A$1:$I$88,5,0)</f>
        <v>13.714914898192394</v>
      </c>
      <c r="GW15" s="14">
        <f t="shared" si="51"/>
        <v>4.6598925556329869</v>
      </c>
      <c r="GX15" s="22">
        <f t="shared" si="28"/>
        <v>32.002789648745868</v>
      </c>
      <c r="GY15" s="62">
        <f t="shared" si="29"/>
        <v>303.33612298207919</v>
      </c>
      <c r="GZ15" s="62">
        <f ca="1">AVERAGE(OFFSET($GY$3,0,0,'Données projet'!$E$18+1,1))-AVERAGE(OFFSET($H$3,0,0,'Données projet'!$E$18+1,1))</f>
        <v>582.89879210197682</v>
      </c>
      <c r="HA15" s="62">
        <f t="shared" si="52"/>
        <v>314.72094983133326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projet'!$B$18,Paramètres!$A$1:$I$88,3,0)*0.475*44/12</f>
        <v>0</v>
      </c>
      <c r="HH15" s="23">
        <f>EXP(-LN(2)/25)*HH14+(1-EXP(-LN(2)/25))/(LN(2)/25)*Calculateur!HC15*Calculateur!HE15*VLOOKUP('Données projet'!$B$18,Paramètres!$A$1:$I$88,3,0)*0.475*44/12</f>
        <v>0</v>
      </c>
      <c r="HI15" s="23">
        <f>EXP(-LN(2)/2)*HI14+(1-EXP(-LN(2)/2))/(LN(2)/2)*HC15*HF15*VLOOKUP('Données projet'!$B$18,Paramètres!$A$1:$I$88,3,0)*0.475*44/12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1.4</v>
      </c>
      <c r="N16" s="14">
        <f>IF('Données projet'!$A$36&gt;35,N15+M16-V15,IF(A16&lt;'Données projet'!$A$36,$K$205^A16,IF(A16='Données projet'!$A$36,'Données projet'!$B$36,N15+M16-V15)))</f>
        <v>8.7227358380880595</v>
      </c>
      <c r="O16" s="14">
        <f>N16*VLOOKUP('Données projet'!$B$9,Paramètres!$A$1:$I$88,3,0)*VLOOKUP('Données projet'!$B$9,Paramètres!$A$1:$I$88,5,0)</f>
        <v>4.0822403722252121</v>
      </c>
      <c r="P16" s="14">
        <f t="shared" si="33"/>
        <v>1.5971365348120328</v>
      </c>
      <c r="Q16" s="22">
        <f t="shared" si="2"/>
        <v>9.891581446423201</v>
      </c>
      <c r="R16" s="62">
        <f t="shared" si="0"/>
        <v>282.44713700197872</v>
      </c>
      <c r="S16" s="62">
        <f ca="1">AVERAGE(OFFSET($R$3,0,0,'Données projet'!$E$9+1,1))-AVERAGE(OFFSET($H$3,0,0,'Données projet'!$E$9+1,1))</f>
        <v>399.92909819003523</v>
      </c>
      <c r="T16" s="62">
        <f t="shared" si="34"/>
        <v>163.7053537268381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projet'!$B$10,Paramètres!$A$1:$I$88,3,0)*VLOOKUP('Données projet'!$B$10,Paramètres!$A$1:$I$88,5,0)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306.81726343399242</v>
      </c>
      <c r="AN16" s="62">
        <f ca="1">AVERAGE(OFFSET($AM$3,0,0,'Données projet'!$E$10+1,1))-AVERAGE(OFFSET($H$3,0,0,'Données projet'!$E$10+1,1))</f>
        <v>510.56580450928806</v>
      </c>
      <c r="AO16" s="62">
        <f t="shared" si="36"/>
        <v>278.21741231699929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4.95</v>
      </c>
      <c r="BD16" s="13">
        <f>IF('Données projet'!$A$88&gt;35,BD15+BC16-BL15,IF(A16&lt;'Données projet'!$A$88,$BA$205^A16,IF(A16='Données projet'!$A$88,'Données projet'!$B$88,BD15+BC16-BL15)))</f>
        <v>19.822703110761793</v>
      </c>
      <c r="BE16" s="14">
        <f>BD16*VLOOKUP('Données projet'!$B$11,Paramètres!$A$1:$I$88,3,0)*VLOOKUP('Données projet'!$B$11,Paramètres!$A$1:$I$88,5,0)</f>
        <v>18.863284280200922</v>
      </c>
      <c r="BF16" s="14">
        <f t="shared" si="37"/>
        <v>6.175718897820623</v>
      </c>
      <c r="BG16" s="22">
        <f t="shared" si="7"/>
        <v>43.609597201720852</v>
      </c>
      <c r="BH16" s="62">
        <f t="shared" si="8"/>
        <v>316.16515275727642</v>
      </c>
      <c r="BI16" s="62">
        <f ca="1">AVERAGE(OFFSET($BH$3,0,0,'Données projet'!$E$11+1,1))-AVERAGE(OFFSET($H$3,0,0,'Données projet'!$E$11+1,1))</f>
        <v>525.51330555662139</v>
      </c>
      <c r="BJ16" s="62">
        <f t="shared" si="38"/>
        <v>357.72390083433635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53.7455</v>
      </c>
      <c r="BW16" s="13">
        <f>VLOOKUP(A16,'Données projet'!$A$113:$I$133,9,0)</f>
        <v>14.875</v>
      </c>
      <c r="BX16" s="13">
        <f t="array" ref="BX16">INDEX(BW:BW,MIN(IF(ISNUMBER(BW16:BW212),ROW(BW16:BW212),"")))</f>
        <v>14.875</v>
      </c>
      <c r="BY16" s="13">
        <f>IF('Données projet'!$A$114&gt;35,BY15+BX16-CG15,IF(A16&lt;'Données projet'!$A$114,$BV$205^A16,IF(A16='Données projet'!$A$114,'Données projet'!$B$114,BY15+BX16-CG15)))</f>
        <v>53.7455</v>
      </c>
      <c r="BZ16" s="14">
        <f>BY16*VLOOKUP('Données projet'!$B$12,Paramètres!$A$1:$I$88,3,0)*VLOOKUP('Données projet'!$B$12,Paramètres!$A$1:$I$88,5,0)</f>
        <v>32.139809000000007</v>
      </c>
      <c r="CA16" s="14">
        <f t="shared" si="39"/>
        <v>9.8895269261794354</v>
      </c>
      <c r="CB16" s="22">
        <f t="shared" si="10"/>
        <v>73.201093404762517</v>
      </c>
      <c r="CC16" s="62">
        <f t="shared" si="11"/>
        <v>345.75664896031805</v>
      </c>
      <c r="CD16" s="62">
        <f ca="1">AVERAGE(OFFSET($CC$3,0,0,'Données projet'!$E$12+1,1))-AVERAGE(OFFSET($H$3,0,0,'Données projet'!$E$12+1,1))</f>
        <v>227.46616726010473</v>
      </c>
      <c r="CE16" s="62">
        <f t="shared" si="40"/>
        <v>314.188568589113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5.72</v>
      </c>
      <c r="CT16" s="13">
        <f>IF('Données projet'!$A$140&gt;35,CT15+CS16-DB15,IF(A16&lt;'Données projet'!$A$140,$CQ$205^A16,IF(A16='Données projet'!$A$140,'Données projet'!$B$140,CT15+CS16-DB15)))</f>
        <v>13.206104802740214</v>
      </c>
      <c r="CU16" s="18">
        <f>CT16*VLOOKUP('Données projet'!$B$13,Paramètres!$A$1:$I$88,3,0)*VLOOKUP('Données projet'!$B$13,Paramètres!$A$1:$I$88,5,0)</f>
        <v>7.8972506720386484</v>
      </c>
      <c r="CV16" s="14">
        <f t="shared" si="41"/>
        <v>2.8612894321659885</v>
      </c>
      <c r="CW16" s="22">
        <f t="shared" si="13"/>
        <v>18.737790681489745</v>
      </c>
      <c r="CX16" s="62">
        <f t="shared" si="14"/>
        <v>291.29334623704528</v>
      </c>
      <c r="CY16" s="62">
        <f ca="1">AVERAGE(OFFSET($CX$3,0,0,'Données projet'!$E$13+1,1))-AVERAGE(OFFSET($H$3,0,0,'Données projet'!$E$13+1,1))</f>
        <v>356.46794174556311</v>
      </c>
      <c r="CZ16" s="62">
        <f t="shared" si="42"/>
        <v>248.47107558211923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</v>
      </c>
      <c r="DO16" s="13">
        <f>IF('Données projet'!$A$166&gt;35,DO15+DN16-DW15,IF(A16&lt;'Données projet'!$A$166,$DL$205^A16,IF(A16='Données projet'!$A$166,'Données projet'!$B$166,DO15+DN16-DW15)))</f>
        <v>27.388252639673997</v>
      </c>
      <c r="DP16" s="18">
        <f>DO16*VLOOKUP('Données projet'!$B$14,Paramètres!$A$1:$I$88,3,0)*VLOOKUP('Données projet'!$B$14,Paramètres!$A$1:$I$88,5,0)</f>
        <v>15.310033225577765</v>
      </c>
      <c r="DQ16" s="14">
        <f t="shared" si="43"/>
        <v>5.1356684205409415</v>
      </c>
      <c r="DR16" s="22">
        <f t="shared" si="16"/>
        <v>35.609597033656748</v>
      </c>
      <c r="DS16" s="62">
        <f t="shared" si="17"/>
        <v>308.16515258921231</v>
      </c>
      <c r="DT16" s="62">
        <f ca="1">AVERAGE(OFFSET($DS$3,0,0,'Données projet'!$E$14+1,1))-AVERAGE(OFFSET($H$3,0,0,'Données projet'!$E$14+1,1))</f>
        <v>397.04445188588369</v>
      </c>
      <c r="DU16" s="62">
        <f t="shared" si="44"/>
        <v>350.01856672839466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0.91500000000000004</v>
      </c>
      <c r="EJ16" s="13">
        <f>IF('Données projet'!$A$192&gt;35,EJ15+EI16-ER15,IF(A16&lt;'Données projet'!$A$192,$EG$205^A16,IF(A16='Données projet'!$A$192,'Données projet'!$B$192,EJ15+EI16-ER15)))</f>
        <v>6.6159651415747662</v>
      </c>
      <c r="EK16" s="18">
        <f>EJ16*VLOOKUP('Données projet'!$B$15,Paramètres!$A$1:$I$88,3,0)*VLOOKUP('Données projet'!$B$15,Paramètres!$A$1:$I$88,5,0)</f>
        <v>5.7797071476797166</v>
      </c>
      <c r="EL16" s="14">
        <f t="shared" si="45"/>
        <v>2.1715611307159342</v>
      </c>
      <c r="EM16" s="22">
        <f t="shared" si="19"/>
        <v>13.848458918205758</v>
      </c>
      <c r="EN16" s="62">
        <f t="shared" si="20"/>
        <v>286.40401447376132</v>
      </c>
      <c r="EO16" s="62">
        <f ca="1">AVERAGE(OFFSET($EN$3,0,0,'Données projet'!$E$15+1,1))-AVERAGE(OFFSET($H$3,0,0,'Données projet'!$E$15+1,1))</f>
        <v>202.5548390231225</v>
      </c>
      <c r="EP16" s="62">
        <f t="shared" si="46"/>
        <v>184.62184077734179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projet'!$B$15,Paramètres!$A$1:$I$88,3,0)*0.475*44/12</f>
        <v>0</v>
      </c>
      <c r="EW16" s="23">
        <f>EXP(-LN(2)/25)*EW15+(1-EXP(-LN(2)/25))/(LN(2)/25)*Calculateur!ER16*Calculateur!ET16*VLOOKUP('Données projet'!$B$15,Paramètres!$A$1:$I$88,3,0)*0.475*44/12</f>
        <v>0</v>
      </c>
      <c r="EX16" s="23">
        <f>EXP(-LN(2)/2)*EX15+(1-EXP(-LN(2)/2))/(LN(2)/2)*ER16*EU16*VLOOKUP('Données projet'!$B$15,Paramètres!$A$1:$I$88,3,0)*0.475*44/12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IF('Données projet'!$A$218&gt;35,FE15+FD16-FM15,IF(A16&lt;'Données projet'!$A$218,$FB$205^A16,IF(A16='Données projet'!$A$218,'Données projet'!$B$218,FE15+FD16-FM15)))</f>
        <v>11.35303662145153</v>
      </c>
      <c r="FF16" s="18">
        <f>FE16*VLOOKUP('Données projet'!$B$16,Paramètres!$A$1:$I$88,3,0)*VLOOKUP('Données projet'!$B$16,Paramètres!$A$1:$I$88,5,0)</f>
        <v>10.98065702026792</v>
      </c>
      <c r="FG16" s="14">
        <f t="shared" si="47"/>
        <v>3.8286992592655618</v>
      </c>
      <c r="FH16" s="22">
        <f t="shared" si="22"/>
        <v>25.792962186854144</v>
      </c>
      <c r="FI16" s="62">
        <f t="shared" si="23"/>
        <v>298.34851774240968</v>
      </c>
      <c r="FJ16" s="62">
        <f ca="1">AVERAGE(OFFSET($FI$3,0,0,'Données projet'!$E$16+1,1))-AVERAGE(OFFSET($H$3,0,0,'Données projet'!$E$16+1,1))</f>
        <v>456.96274622094955</v>
      </c>
      <c r="FK16" s="62">
        <f t="shared" si="48"/>
        <v>244.45149244446094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projet'!$B$16,Paramètres!$A$1:$I$88,3,0)*0.475*44/12</f>
        <v>0</v>
      </c>
      <c r="FR16" s="23">
        <f>EXP(-LN(2)/25)*FR15+(1-EXP(-LN(2)/25))/(LN(2)/25)*Calculateur!FM16*Calculateur!FO16*VLOOKUP('Données projet'!$B$16,Paramètres!$A$1:$I$88,3,0)*0.475*44/12</f>
        <v>0</v>
      </c>
      <c r="FS16" s="23">
        <f>EXP(-LN(2)/2)*FS15+(1-EXP(-LN(2)/2))/(LN(2)/2)*FM16*FP16*VLOOKUP('Données projet'!$B$16,Paramètres!$A$1:$I$88,3,0)*0.475*44/12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IF('Données projet'!$A$244&gt;35,FZ15+FY16-GH15,IF(A16&lt;'Données projet'!$A$244,$FW$205^A16,IF(A16='Données projet'!$A$244,'Données projet'!$B$244,FZ15+FY16-GH15)))</f>
        <v>11.35303662145153</v>
      </c>
      <c r="GA16" s="18">
        <f>FZ16*VLOOKUP('Données projet'!$B$17,Paramètres!$A$1:$I$88,3,0)*VLOOKUP('Données projet'!$B$17,Paramètres!$A$1:$I$88,5,0)</f>
        <v>12.220408619330426</v>
      </c>
      <c r="GB16" s="14">
        <f t="shared" si="49"/>
        <v>4.2082449797185175</v>
      </c>
      <c r="GC16" s="22">
        <f t="shared" si="25"/>
        <v>28.613238351676909</v>
      </c>
      <c r="GD16" s="62">
        <f t="shared" si="26"/>
        <v>301.16879390723244</v>
      </c>
      <c r="GE16" s="62">
        <f ca="1">AVERAGE(OFFSET($GD$3,0,0,'Données projet'!$E$17+1,1))-AVERAGE(OFFSET($H$3,0,0,'Données projet'!$E$17+1,1))</f>
        <v>503.69304261527651</v>
      </c>
      <c r="GF16" s="62">
        <f t="shared" si="50"/>
        <v>267.2998309535638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projet'!$B$17,Paramètres!$A$1:$I$88,3,0)*0.475*44/12</f>
        <v>0</v>
      </c>
      <c r="GM16" s="23">
        <f>EXP(-LN(2)/25)*GM15+(1-EXP(-LN(2)/25))/(LN(2)/25)*Calculateur!GH16*Calculateur!GJ16*VLOOKUP('Données projet'!$B$17,Paramètres!$A$1:$I$88,3,0)*0.475*44/12</f>
        <v>0</v>
      </c>
      <c r="GN16" s="23">
        <f>EXP(-LN(2)/2)*GN15+(1-EXP(-LN(2)/2))/(LN(2)/2)*GH16*GK16*VLOOKUP('Données projet'!$B$17,Paramètres!$A$1:$I$88,3,0)*0.475*44/12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3.65</v>
      </c>
      <c r="GU16" s="13">
        <f>IF('Données projet'!$A$270&gt;35,GU15+GT16-HC15,IF(A16&lt;'Données projet'!$A$270,$GR$205^A16,IF(A16='Données projet'!$A$270,'Données projet'!$B$270,GU15+GT16-HC15)))</f>
        <v>16.261472127148366</v>
      </c>
      <c r="GV16" s="18">
        <f>GU16*VLOOKUP('Données projet'!$B$18,Paramètres!$A$1:$I$88,3,0)*VLOOKUP('Données projet'!$B$18,Paramètres!$A$1:$I$88,5,0)</f>
        <v>16.996490667295472</v>
      </c>
      <c r="GW16" s="14">
        <f t="shared" si="51"/>
        <v>5.6324521010085444</v>
      </c>
      <c r="GX16" s="22">
        <f t="shared" si="28"/>
        <v>39.412075321462829</v>
      </c>
      <c r="GY16" s="62">
        <f t="shared" si="29"/>
        <v>311.96763087701839</v>
      </c>
      <c r="GZ16" s="62">
        <f ca="1">AVERAGE(OFFSET($GY$3,0,0,'Données projet'!$E$18+1,1))-AVERAGE(OFFSET($H$3,0,0,'Données projet'!$E$18+1,1))</f>
        <v>582.89879210197682</v>
      </c>
      <c r="HA16" s="62">
        <f t="shared" si="52"/>
        <v>314.72094983133326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projet'!$B$18,Paramètres!$A$1:$I$88,3,0)*0.475*44/12</f>
        <v>0</v>
      </c>
      <c r="HH16" s="23">
        <f>EXP(-LN(2)/25)*HH15+(1-EXP(-LN(2)/25))/(LN(2)/25)*Calculateur!HC16*Calculateur!HE16*VLOOKUP('Données projet'!$B$18,Paramètres!$A$1:$I$88,3,0)*0.475*44/12</f>
        <v>0</v>
      </c>
      <c r="HI16" s="23">
        <f>EXP(-LN(2)/2)*HI15+(1-EXP(-LN(2)/2))/(LN(2)/2)*HC16*HF16*VLOOKUP('Données projet'!$B$18,Paramètres!$A$1:$I$88,3,0)*0.475*44/12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1.4</v>
      </c>
      <c r="N17" s="14">
        <f>IF('Données projet'!$A$36&gt;35,N16+M17-V16,IF(A17&lt;'Données projet'!$A$36,$K$205^A17,IF(A17='Données projet'!$A$36,'Données projet'!$B$36,N16+M17-V16)))</f>
        <v>10.304113218507704</v>
      </c>
      <c r="O17" s="14">
        <f>N17*VLOOKUP('Données projet'!$B$9,Paramètres!$A$1:$I$88,3,0)*VLOOKUP('Données projet'!$B$9,Paramètres!$A$1:$I$88,5,0)</f>
        <v>4.8223249862616049</v>
      </c>
      <c r="P17" s="14">
        <f t="shared" si="33"/>
        <v>1.8504505600260996</v>
      </c>
      <c r="Q17" s="22">
        <f t="shared" si="2"/>
        <v>11.621750743117751</v>
      </c>
      <c r="R17" s="62">
        <f t="shared" si="0"/>
        <v>285.3995285208955</v>
      </c>
      <c r="S17" s="62">
        <f ca="1">AVERAGE(OFFSET($R$3,0,0,'Données projet'!$E$9+1,1))-AVERAGE(OFFSET($H$3,0,0,'Données projet'!$E$9+1,1))</f>
        <v>399.92909819003523</v>
      </c>
      <c r="T17" s="62">
        <f t="shared" si="34"/>
        <v>163.7053537268381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projet'!$B$10,Paramètres!$A$1:$I$88,3,0)*VLOOKUP('Données projet'!$B$10,Paramètres!$A$1:$I$88,5,0)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315.9733740744461</v>
      </c>
      <c r="AN17" s="62">
        <f ca="1">AVERAGE(OFFSET($AM$3,0,0,'Données projet'!$E$10+1,1))-AVERAGE(OFFSET($H$3,0,0,'Données projet'!$E$10+1,1))</f>
        <v>510.56580450928806</v>
      </c>
      <c r="AO17" s="62">
        <f t="shared" si="36"/>
        <v>278.21741231699929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4.95</v>
      </c>
      <c r="BD17" s="13">
        <f>IF('Données projet'!$A$88&gt;35,BD16+BC17-BL16,IF(A17&lt;'Données projet'!$A$88,$BA$205^A17,IF(A17='Données projet'!$A$88,'Données projet'!$B$88,BD16+BC17-BL16)))</f>
        <v>24.942767367291054</v>
      </c>
      <c r="BE17" s="14">
        <f>BD17*VLOOKUP('Données projet'!$B$11,Paramètres!$A$1:$I$88,3,0)*VLOOKUP('Données projet'!$B$11,Paramètres!$A$1:$I$88,5,0)</f>
        <v>23.735537426714167</v>
      </c>
      <c r="BF17" s="14">
        <f t="shared" si="37"/>
        <v>7.5657969706688117</v>
      </c>
      <c r="BG17" s="22">
        <f t="shared" si="7"/>
        <v>54.516490742108687</v>
      </c>
      <c r="BH17" s="62">
        <f t="shared" si="8"/>
        <v>328.29426851988649</v>
      </c>
      <c r="BI17" s="62">
        <f ca="1">AVERAGE(OFFSET($BH$3,0,0,'Données projet'!$E$11+1,1))-AVERAGE(OFFSET($H$3,0,0,'Données projet'!$E$11+1,1))</f>
        <v>525.51330555662139</v>
      </c>
      <c r="BJ17" s="62">
        <f t="shared" si="38"/>
        <v>357.72390083433635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>
        <f>VLOOKUP(A17,'Données projet'!$A$113:$I$133,2,0)</f>
        <v>70.405500000000004</v>
      </c>
      <c r="BW17" s="13">
        <f>VLOOKUP(A17,'Données projet'!$A$113:$I$133,9,0)</f>
        <v>16.660000000000004</v>
      </c>
      <c r="BX17" s="13">
        <f t="array" ref="BX17">INDEX(BW:BW,MIN(IF(ISNUMBER(BW17:BW213),ROW(BW17:BW213),"")))</f>
        <v>16.660000000000004</v>
      </c>
      <c r="BY17" s="13">
        <f>IF('Données projet'!$A$114&gt;35,BY16+BX17-CG16,IF(A17&lt;'Données projet'!$A$114,$BV$205^A17,IF(A17='Données projet'!$A$114,'Données projet'!$B$114,BY16+BX17-CG16)))</f>
        <v>70.405500000000004</v>
      </c>
      <c r="BZ17" s="14">
        <f>BY17*VLOOKUP('Données projet'!$B$12,Paramètres!$A$1:$I$88,3,0)*VLOOKUP('Données projet'!$B$12,Paramètres!$A$1:$I$88,5,0)</f>
        <v>42.102489000000006</v>
      </c>
      <c r="CA17" s="14">
        <f t="shared" si="39"/>
        <v>12.55423955359754</v>
      </c>
      <c r="CB17" s="22">
        <f t="shared" si="10"/>
        <v>95.193802230849045</v>
      </c>
      <c r="CC17" s="62">
        <f t="shared" si="11"/>
        <v>368.9715800086268</v>
      </c>
      <c r="CD17" s="62">
        <f ca="1">AVERAGE(OFFSET($CC$3,0,0,'Données projet'!$E$12+1,1))-AVERAGE(OFFSET($H$3,0,0,'Données projet'!$E$12+1,1))</f>
        <v>227.46616726010473</v>
      </c>
      <c r="CE17" s="62">
        <f t="shared" si="40"/>
        <v>314.188568589113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5.72</v>
      </c>
      <c r="CT17" s="13">
        <f>IF('Données projet'!$A$140&gt;35,CT16+CS17-DB16,IF(A17&lt;'Données projet'!$A$140,$CQ$205^A17,IF(A17='Données projet'!$A$140,'Données projet'!$B$140,CT16+CS17-DB16)))</f>
        <v>16.106018031839852</v>
      </c>
      <c r="CU17" s="18">
        <f>CT17*VLOOKUP('Données projet'!$B$13,Paramètres!$A$1:$I$88,3,0)*VLOOKUP('Données projet'!$B$13,Paramètres!$A$1:$I$88,5,0)</f>
        <v>9.6313987830402326</v>
      </c>
      <c r="CV17" s="14">
        <f t="shared" si="41"/>
        <v>3.4098870045433491</v>
      </c>
      <c r="CW17" s="22">
        <f t="shared" si="13"/>
        <v>22.713572746708071</v>
      </c>
      <c r="CX17" s="62">
        <f t="shared" si="14"/>
        <v>296.49135052448582</v>
      </c>
      <c r="CY17" s="62">
        <f ca="1">AVERAGE(OFFSET($CX$3,0,0,'Données projet'!$E$13+1,1))-AVERAGE(OFFSET($H$3,0,0,'Données projet'!$E$13+1,1))</f>
        <v>356.46794174556311</v>
      </c>
      <c r="CZ17" s="62">
        <f t="shared" si="42"/>
        <v>248.47107558211923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</v>
      </c>
      <c r="DO17" s="13">
        <f>IF('Données projet'!$A$166&gt;35,DO16+DN17-DW16,IF(A17&lt;'Données projet'!$A$166,$DL$205^A17,IF(A17='Données projet'!$A$166,'Données projet'!$B$166,DO16+DN17-DW16)))</f>
        <v>35.330208180539429</v>
      </c>
      <c r="DP17" s="18">
        <f>DO17*VLOOKUP('Données projet'!$B$14,Paramètres!$A$1:$I$88,3,0)*VLOOKUP('Données projet'!$B$14,Paramètres!$A$1:$I$88,5,0)</f>
        <v>19.749586372921542</v>
      </c>
      <c r="DQ17" s="14">
        <f t="shared" si="43"/>
        <v>6.4314236383699175</v>
      </c>
      <c r="DR17" s="22">
        <f t="shared" si="16"/>
        <v>45.598592436332616</v>
      </c>
      <c r="DS17" s="62">
        <f t="shared" si="17"/>
        <v>319.37637021411041</v>
      </c>
      <c r="DT17" s="62">
        <f ca="1">AVERAGE(OFFSET($DS$3,0,0,'Données projet'!$E$14+1,1))-AVERAGE(OFFSET($H$3,0,0,'Données projet'!$E$14+1,1))</f>
        <v>397.04445188588369</v>
      </c>
      <c r="DU17" s="62">
        <f t="shared" si="44"/>
        <v>350.01856672839466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0.91500000000000004</v>
      </c>
      <c r="EJ17" s="13">
        <f>IF('Données projet'!$A$192&gt;35,EJ16+EI17-ER16,IF(A17&lt;'Données projet'!$A$192,$EG$205^A17,IF(A17='Données projet'!$A$192,'Données projet'!$B$192,EJ16+EI17-ER16)))</f>
        <v>7.6509570293766895</v>
      </c>
      <c r="EK17" s="18">
        <f>EJ17*VLOOKUP('Données projet'!$B$15,Paramètres!$A$1:$I$88,3,0)*VLOOKUP('Données projet'!$B$15,Paramètres!$A$1:$I$88,5,0)</f>
        <v>6.6838760608634757</v>
      </c>
      <c r="EL17" s="14">
        <f t="shared" si="45"/>
        <v>2.4691481504563435</v>
      </c>
      <c r="EM17" s="22">
        <f t="shared" si="19"/>
        <v>15.941517168048684</v>
      </c>
      <c r="EN17" s="62">
        <f t="shared" si="20"/>
        <v>289.71929494582645</v>
      </c>
      <c r="EO17" s="62">
        <f ca="1">AVERAGE(OFFSET($EN$3,0,0,'Données projet'!$E$15+1,1))-AVERAGE(OFFSET($H$3,0,0,'Données projet'!$E$15+1,1))</f>
        <v>202.5548390231225</v>
      </c>
      <c r="EP17" s="62">
        <f t="shared" si="46"/>
        <v>184.62184077734179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projet'!$B$15,Paramètres!$A$1:$I$88,3,0)*0.475*44/12</f>
        <v>0</v>
      </c>
      <c r="EW17" s="23">
        <f>EXP(-LN(2)/25)*EW16+(1-EXP(-LN(2)/25))/(LN(2)/25)*Calculateur!ER17*Calculateur!ET17*VLOOKUP('Données projet'!$B$15,Paramètres!$A$1:$I$88,3,0)*0.475*44/12</f>
        <v>0</v>
      </c>
      <c r="EX17" s="23">
        <f>EXP(-LN(2)/2)*EX16+(1-EXP(-LN(2)/2))/(LN(2)/2)*ER17*EU17*VLOOKUP('Données projet'!$B$15,Paramètres!$A$1:$I$88,3,0)*0.475*44/12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IF('Données projet'!$A$218&gt;35,FE16+FD17-FM16,IF(A17&lt;'Données projet'!$A$218,$FB$205^A17,IF(A17='Données projet'!$A$218,'Données projet'!$B$218,FE16+FD17-FM16)))</f>
        <v>13.685935953338433</v>
      </c>
      <c r="FF17" s="18">
        <f>FE17*VLOOKUP('Données projet'!$B$16,Paramètres!$A$1:$I$88,3,0)*VLOOKUP('Données projet'!$B$16,Paramètres!$A$1:$I$88,5,0)</f>
        <v>13.237037254068934</v>
      </c>
      <c r="FG17" s="14">
        <f t="shared" si="47"/>
        <v>4.5161297192961545</v>
      </c>
      <c r="FH17" s="22">
        <f t="shared" si="22"/>
        <v>30.920099145277529</v>
      </c>
      <c r="FI17" s="62">
        <f t="shared" si="23"/>
        <v>304.69787692305528</v>
      </c>
      <c r="FJ17" s="62">
        <f ca="1">AVERAGE(OFFSET($FI$3,0,0,'Données projet'!$E$16+1,1))-AVERAGE(OFFSET($H$3,0,0,'Données projet'!$E$16+1,1))</f>
        <v>456.96274622094955</v>
      </c>
      <c r="FK17" s="62">
        <f t="shared" si="48"/>
        <v>244.45149244446094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projet'!$B$16,Paramètres!$A$1:$I$88,3,0)*0.475*44/12</f>
        <v>0</v>
      </c>
      <c r="FR17" s="23">
        <f>EXP(-LN(2)/25)*FR16+(1-EXP(-LN(2)/25))/(LN(2)/25)*Calculateur!FM17*Calculateur!FO17*VLOOKUP('Données projet'!$B$16,Paramètres!$A$1:$I$88,3,0)*0.475*44/12</f>
        <v>0</v>
      </c>
      <c r="FS17" s="23">
        <f>EXP(-LN(2)/2)*FS16+(1-EXP(-LN(2)/2))/(LN(2)/2)*FM17*FP17*VLOOKUP('Données projet'!$B$16,Paramètres!$A$1:$I$88,3,0)*0.475*44/12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IF('Données projet'!$A$244&gt;35,FZ16+FY17-GH16,IF(A17&lt;'Données projet'!$A$244,$FW$205^A17,IF(A17='Données projet'!$A$244,'Données projet'!$B$244,FZ16+FY17-GH16)))</f>
        <v>13.685935953338433</v>
      </c>
      <c r="GA17" s="18">
        <f>FZ17*VLOOKUP('Données projet'!$B$17,Paramètres!$A$1:$I$88,3,0)*VLOOKUP('Données projet'!$B$17,Paramètres!$A$1:$I$88,5,0)</f>
        <v>14.731541460173487</v>
      </c>
      <c r="GB17" s="14">
        <f t="shared" si="49"/>
        <v>4.9638216355053304</v>
      </c>
      <c r="GC17" s="22">
        <f t="shared" si="25"/>
        <v>34.302757391640604</v>
      </c>
      <c r="GD17" s="62">
        <f t="shared" si="26"/>
        <v>308.0805351694184</v>
      </c>
      <c r="GE17" s="62">
        <f ca="1">AVERAGE(OFFSET($GD$3,0,0,'Données projet'!$E$17+1,1))-AVERAGE(OFFSET($H$3,0,0,'Données projet'!$E$17+1,1))</f>
        <v>503.69304261527651</v>
      </c>
      <c r="GF17" s="62">
        <f t="shared" si="50"/>
        <v>267.2998309535638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projet'!$B$17,Paramètres!$A$1:$I$88,3,0)*0.475*44/12</f>
        <v>0</v>
      </c>
      <c r="GM17" s="23">
        <f>EXP(-LN(2)/25)*GM16+(1-EXP(-LN(2)/25))/(LN(2)/25)*Calculateur!GH17*Calculateur!GJ17*VLOOKUP('Données projet'!$B$17,Paramètres!$A$1:$I$88,3,0)*0.475*44/12</f>
        <v>0</v>
      </c>
      <c r="GN17" s="23">
        <f>EXP(-LN(2)/2)*GN16+(1-EXP(-LN(2)/2))/(LN(2)/2)*GH17*GK17*VLOOKUP('Données projet'!$B$17,Paramètres!$A$1:$I$88,3,0)*0.475*44/12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3.65</v>
      </c>
      <c r="GU17" s="13">
        <f>IF('Données projet'!$A$270&gt;35,GU16+GT17-HC16,IF(A17&lt;'Données projet'!$A$270,$GR$205^A17,IF(A17='Données projet'!$A$270,'Données projet'!$B$270,GU16+GT17-HC16)))</f>
        <v>20.152364144963837</v>
      </c>
      <c r="GV17" s="18">
        <f>GU17*VLOOKUP('Données projet'!$B$18,Paramètres!$A$1:$I$88,3,0)*VLOOKUP('Données projet'!$B$18,Paramètres!$A$1:$I$88,5,0)</f>
        <v>21.063251004316204</v>
      </c>
      <c r="GW17" s="14">
        <f t="shared" si="51"/>
        <v>6.8079931653802301</v>
      </c>
      <c r="GX17" s="22">
        <f t="shared" si="28"/>
        <v>48.542416928887945</v>
      </c>
      <c r="GY17" s="62">
        <f t="shared" si="29"/>
        <v>322.32019470666569</v>
      </c>
      <c r="GZ17" s="62">
        <f ca="1">AVERAGE(OFFSET($GY$3,0,0,'Données projet'!$E$18+1,1))-AVERAGE(OFFSET($H$3,0,0,'Données projet'!$E$18+1,1))</f>
        <v>582.89879210197682</v>
      </c>
      <c r="HA17" s="62">
        <f t="shared" si="52"/>
        <v>314.72094983133326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projet'!$B$18,Paramètres!$A$1:$I$88,3,0)*0.475*44/12</f>
        <v>0</v>
      </c>
      <c r="HH17" s="23">
        <f>EXP(-LN(2)/25)*HH16+(1-EXP(-LN(2)/25))/(LN(2)/25)*Calculateur!HC17*Calculateur!HE17*VLOOKUP('Données projet'!$B$18,Paramètres!$A$1:$I$88,3,0)*0.475*44/12</f>
        <v>0</v>
      </c>
      <c r="HI17" s="23">
        <f>EXP(-LN(2)/2)*HI16+(1-EXP(-LN(2)/2))/(LN(2)/2)*HC17*HF17*VLOOKUP('Données projet'!$B$18,Paramètres!$A$1:$I$88,3,0)*0.475*44/12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1.4</v>
      </c>
      <c r="N18" s="14">
        <f>IF('Données projet'!$A$36&gt;35,N17+M18-V17,IF(A18&lt;'Données projet'!$A$36,$K$205^A18,IF(A18='Données projet'!$A$36,'Données projet'!$B$36,N17+M18-V17)))</f>
        <v>12.172184414459773</v>
      </c>
      <c r="O18" s="14">
        <f>N18*VLOOKUP('Données projet'!$B$9,Paramètres!$A$1:$I$88,3,0)*VLOOKUP('Données projet'!$B$9,Paramètres!$A$1:$I$88,5,0)</f>
        <v>5.6965823059671736</v>
      </c>
      <c r="P18" s="14">
        <f t="shared" si="33"/>
        <v>2.1439414855686696</v>
      </c>
      <c r="Q18" s="22">
        <f t="shared" si="2"/>
        <v>13.655578936924925</v>
      </c>
      <c r="R18" s="62">
        <f t="shared" si="0"/>
        <v>288.65557893692494</v>
      </c>
      <c r="S18" s="62">
        <f ca="1">AVERAGE(OFFSET($R$3,0,0,'Données projet'!$E$9+1,1))-AVERAGE(OFFSET($H$3,0,0,'Données projet'!$E$9+1,1))</f>
        <v>399.92909819003523</v>
      </c>
      <c r="T18" s="62">
        <f t="shared" si="34"/>
        <v>163.7053537268381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projet'!$B$10,Paramètres!$A$1:$I$88,3,0)*VLOOKUP('Données projet'!$B$10,Paramètres!$A$1:$I$88,5,0)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326.97274628871452</v>
      </c>
      <c r="AN18" s="62">
        <f ca="1">AVERAGE(OFFSET($AM$3,0,0,'Données projet'!$E$10+1,1))-AVERAGE(OFFSET($H$3,0,0,'Données projet'!$E$10+1,1))</f>
        <v>510.56580450928806</v>
      </c>
      <c r="AO18" s="62">
        <f t="shared" si="36"/>
        <v>278.21741231699929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4.95</v>
      </c>
      <c r="BD18" s="13">
        <f>IF('Données projet'!$A$88&gt;35,BD17+BC18-BL17,IF(A18&lt;'Données projet'!$A$88,$BA$205^A18,IF(A18='Données projet'!$A$88,'Données projet'!$B$88,BD17+BC18-BL17)))</f>
        <v>31.385308071381921</v>
      </c>
      <c r="BE18" s="14">
        <f>BD18*VLOOKUP('Données projet'!$B$11,Paramètres!$A$1:$I$88,3,0)*VLOOKUP('Données projet'!$B$11,Paramètres!$A$1:$I$88,5,0)</f>
        <v>29.866259160727036</v>
      </c>
      <c r="BF18" s="14">
        <f t="shared" si="37"/>
        <v>9.268764454544959</v>
      </c>
      <c r="BG18" s="22">
        <f t="shared" si="7"/>
        <v>68.160166129932051</v>
      </c>
      <c r="BH18" s="62">
        <f t="shared" si="8"/>
        <v>343.16016612993207</v>
      </c>
      <c r="BI18" s="62">
        <f ca="1">AVERAGE(OFFSET($BH$3,0,0,'Données projet'!$E$11+1,1))-AVERAGE(OFFSET($H$3,0,0,'Données projet'!$E$11+1,1))</f>
        <v>525.51330555662139</v>
      </c>
      <c r="BJ18" s="62">
        <f t="shared" si="38"/>
        <v>357.72390083433635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88.859000000000009</v>
      </c>
      <c r="BW18" s="13">
        <f>VLOOKUP(A18,'Données projet'!$A$113:$I$133,9,0)</f>
        <v>18.453500000000005</v>
      </c>
      <c r="BX18" s="13">
        <f t="array" ref="BX18">INDEX(BW:BW,MIN(IF(ISNUMBER(BW18:BW214),ROW(BW18:BW214),"")))</f>
        <v>18.453500000000005</v>
      </c>
      <c r="BY18" s="13">
        <f>IF('Données projet'!$A$114&gt;35,BY17+BX18-CG17,IF(A18&lt;'Données projet'!$A$114,$BV$205^A18,IF(A18='Données projet'!$A$114,'Données projet'!$B$114,BY17+BX18-CG17)))</f>
        <v>88.859000000000009</v>
      </c>
      <c r="BZ18" s="14">
        <f>BY18*VLOOKUP('Données projet'!$B$12,Paramètres!$A$1:$I$88,3,0)*VLOOKUP('Données projet'!$B$12,Paramètres!$A$1:$I$88,5,0)</f>
        <v>53.137682000000012</v>
      </c>
      <c r="CA18" s="14">
        <f t="shared" si="39"/>
        <v>15.421187125360523</v>
      </c>
      <c r="CB18" s="22">
        <f t="shared" si="10"/>
        <v>119.40669706000294</v>
      </c>
      <c r="CC18" s="62">
        <f t="shared" si="11"/>
        <v>394.40669706000295</v>
      </c>
      <c r="CD18" s="62">
        <f ca="1">AVERAGE(OFFSET($CC$3,0,0,'Données projet'!$E$12+1,1))-AVERAGE(OFFSET($H$3,0,0,'Données projet'!$E$12+1,1))</f>
        <v>227.46616726010473</v>
      </c>
      <c r="CE18" s="62">
        <f t="shared" si="40"/>
        <v>314.188568589113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23.3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1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15.775845494355261</v>
      </c>
      <c r="CN18" s="24">
        <f t="shared" si="12"/>
        <v>15.775845494355261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5.72</v>
      </c>
      <c r="CT18" s="13">
        <f>IF('Données projet'!$A$140&gt;35,CT17+CS18-DB17,IF(A18&lt;'Données projet'!$A$140,$CQ$205^A18,IF(A18='Données projet'!$A$140,'Données projet'!$B$140,CT17+CS18-DB17)))</f>
        <v>19.642719841820824</v>
      </c>
      <c r="CU18" s="18">
        <f>CT18*VLOOKUP('Données projet'!$B$13,Paramètres!$A$1:$I$88,3,0)*VLOOKUP('Données projet'!$B$13,Paramètres!$A$1:$I$88,5,0)</f>
        <v>11.746346465408855</v>
      </c>
      <c r="CV18" s="14">
        <f t="shared" si="41"/>
        <v>4.0636676782997627</v>
      </c>
      <c r="CW18" s="22">
        <f t="shared" si="13"/>
        <v>27.535774633625838</v>
      </c>
      <c r="CX18" s="62">
        <f t="shared" si="14"/>
        <v>302.53577463362586</v>
      </c>
      <c r="CY18" s="62">
        <f ca="1">AVERAGE(OFFSET($CX$3,0,0,'Données projet'!$E$13+1,1))-AVERAGE(OFFSET($H$3,0,0,'Données projet'!$E$13+1,1))</f>
        <v>356.46794174556311</v>
      </c>
      <c r="CZ18" s="62">
        <f t="shared" si="42"/>
        <v>248.47107558211923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10</v>
      </c>
      <c r="DO18" s="13">
        <f>IF('Données projet'!$A$166&gt;35,DO17+DN18-DW17,IF(A18&lt;'Données projet'!$A$166,$DL$205^A18,IF(A18='Données projet'!$A$166,'Données projet'!$B$166,DO17+DN18-DW17)))</f>
        <v>45.575145902959399</v>
      </c>
      <c r="DP18" s="18">
        <f>DO18*VLOOKUP('Données projet'!$B$14,Paramètres!$A$1:$I$88,3,0)*VLOOKUP('Données projet'!$B$14,Paramètres!$A$1:$I$88,5,0)</f>
        <v>25.476506559754306</v>
      </c>
      <c r="DQ18" s="14">
        <f t="shared" si="43"/>
        <v>8.0541044765944179</v>
      </c>
      <c r="DR18" s="22">
        <f t="shared" si="16"/>
        <v>58.399147554974014</v>
      </c>
      <c r="DS18" s="62">
        <f t="shared" si="17"/>
        <v>333.39914755497404</v>
      </c>
      <c r="DT18" s="62">
        <f ca="1">AVERAGE(OFFSET($DS$3,0,0,'Données projet'!$E$14+1,1))-AVERAGE(OFFSET($H$3,0,0,'Données projet'!$E$14+1,1))</f>
        <v>397.04445188588369</v>
      </c>
      <c r="DU18" s="62">
        <f t="shared" si="44"/>
        <v>350.01856672839466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0.91500000000000004</v>
      </c>
      <c r="EJ18" s="13">
        <f>IF('Données projet'!$A$192&gt;35,EJ17+EI18-ER17,IF(A18&lt;'Données projet'!$A$192,$EG$205^A18,IF(A18='Données projet'!$A$192,'Données projet'!$B$192,EJ17+EI18-ER17)))</f>
        <v>8.8478615308174451</v>
      </c>
      <c r="EK18" s="18">
        <f>EJ18*VLOOKUP('Données projet'!$B$15,Paramètres!$A$1:$I$88,3,0)*VLOOKUP('Données projet'!$B$15,Paramètres!$A$1:$I$88,5,0)</f>
        <v>7.7294918333221201</v>
      </c>
      <c r="EL18" s="14">
        <f t="shared" si="45"/>
        <v>2.8075159859266714</v>
      </c>
      <c r="EM18" s="22">
        <f t="shared" si="19"/>
        <v>18.351955285191647</v>
      </c>
      <c r="EN18" s="62">
        <f t="shared" si="20"/>
        <v>293.35195528519165</v>
      </c>
      <c r="EO18" s="62">
        <f ca="1">AVERAGE(OFFSET($EN$3,0,0,'Données projet'!$E$15+1,1))-AVERAGE(OFFSET($H$3,0,0,'Données projet'!$E$15+1,1))</f>
        <v>202.5548390231225</v>
      </c>
      <c r="EP18" s="62">
        <f t="shared" si="46"/>
        <v>184.62184077734179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projet'!$B$15,Paramètres!$A$1:$I$88,3,0)*0.475*44/12</f>
        <v>0</v>
      </c>
      <c r="EW18" s="23">
        <f>EXP(-LN(2)/25)*EW17+(1-EXP(-LN(2)/25))/(LN(2)/25)*Calculateur!ER18*Calculateur!ET18*VLOOKUP('Données projet'!$B$15,Paramètres!$A$1:$I$88,3,0)*0.475*44/12</f>
        <v>0</v>
      </c>
      <c r="EX18" s="23">
        <f>EXP(-LN(2)/2)*EX17+(1-EXP(-LN(2)/2))/(LN(2)/2)*ER18*EU18*VLOOKUP('Données projet'!$B$15,Paramètres!$A$1:$I$88,3,0)*0.475*44/12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IF('Données projet'!$A$218&gt;35,FE17+FD18-FM17,IF(A18&lt;'Données projet'!$A$218,$FB$205^A18,IF(A18='Données projet'!$A$218,'Données projet'!$B$218,FE17+FD18-FM17)))</f>
        <v>16.498215337821566</v>
      </c>
      <c r="FF18" s="18">
        <f>FE18*VLOOKUP('Données projet'!$B$16,Paramètres!$A$1:$I$88,3,0)*VLOOKUP('Données projet'!$B$16,Paramètres!$A$1:$I$88,5,0)</f>
        <v>15.957073874741019</v>
      </c>
      <c r="FG18" s="14">
        <f t="shared" si="47"/>
        <v>5.3269860755326848</v>
      </c>
      <c r="FH18" s="22">
        <f t="shared" si="22"/>
        <v>37.069737746726702</v>
      </c>
      <c r="FI18" s="62">
        <f t="shared" si="23"/>
        <v>312.06973774672667</v>
      </c>
      <c r="FJ18" s="62">
        <f ca="1">AVERAGE(OFFSET($FI$3,0,0,'Données projet'!$E$16+1,1))-AVERAGE(OFFSET($H$3,0,0,'Données projet'!$E$16+1,1))</f>
        <v>456.96274622094955</v>
      </c>
      <c r="FK18" s="62">
        <f t="shared" si="48"/>
        <v>244.45149244446094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projet'!$B$16,Paramètres!$A$1:$I$88,3,0)*0.475*44/12</f>
        <v>0</v>
      </c>
      <c r="FR18" s="23">
        <f>EXP(-LN(2)/25)*FR17+(1-EXP(-LN(2)/25))/(LN(2)/25)*Calculateur!FM18*Calculateur!FO18*VLOOKUP('Données projet'!$B$16,Paramètres!$A$1:$I$88,3,0)*0.475*44/12</f>
        <v>0</v>
      </c>
      <c r="FS18" s="23">
        <f>EXP(-LN(2)/2)*FS17+(1-EXP(-LN(2)/2))/(LN(2)/2)*FM18*FP18*VLOOKUP('Données projet'!$B$16,Paramètres!$A$1:$I$88,3,0)*0.475*44/12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IF('Données projet'!$A$244&gt;35,FZ17+FY18-GH17,IF(A18&lt;'Données projet'!$A$244,$FW$205^A18,IF(A18='Données projet'!$A$244,'Données projet'!$B$244,FZ17+FY18-GH17)))</f>
        <v>16.498215337821566</v>
      </c>
      <c r="GA18" s="18">
        <f>FZ18*VLOOKUP('Données projet'!$B$17,Paramètres!$A$1:$I$88,3,0)*VLOOKUP('Données projet'!$B$17,Paramètres!$A$1:$I$88,5,0)</f>
        <v>17.758678989631132</v>
      </c>
      <c r="GB18" s="14">
        <f t="shared" si="49"/>
        <v>5.8550596146042126</v>
      </c>
      <c r="GC18" s="22">
        <f t="shared" si="25"/>
        <v>41.127261402376554</v>
      </c>
      <c r="GD18" s="62">
        <f t="shared" si="26"/>
        <v>316.12726140237658</v>
      </c>
      <c r="GE18" s="62">
        <f ca="1">AVERAGE(OFFSET($GD$3,0,0,'Données projet'!$E$17+1,1))-AVERAGE(OFFSET($H$3,0,0,'Données projet'!$E$17+1,1))</f>
        <v>503.69304261527651</v>
      </c>
      <c r="GF18" s="62">
        <f t="shared" si="50"/>
        <v>267.2998309535638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projet'!$B$17,Paramètres!$A$1:$I$88,3,0)*0.475*44/12</f>
        <v>0</v>
      </c>
      <c r="GM18" s="23">
        <f>EXP(-LN(2)/25)*GM17+(1-EXP(-LN(2)/25))/(LN(2)/25)*Calculateur!GH18*Calculateur!GJ18*VLOOKUP('Données projet'!$B$17,Paramètres!$A$1:$I$88,3,0)*0.475*44/12</f>
        <v>0</v>
      </c>
      <c r="GN18" s="23">
        <f>EXP(-LN(2)/2)*GN17+(1-EXP(-LN(2)/2))/(LN(2)/2)*GH18*GK18*VLOOKUP('Données projet'!$B$17,Paramètres!$A$1:$I$88,3,0)*0.475*44/12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3.65</v>
      </c>
      <c r="GU18" s="13">
        <f>IF('Données projet'!$A$270&gt;35,GU17+GT18-HC17,IF(A18&lt;'Données projet'!$A$270,$GR$205^A18,IF(A18='Données projet'!$A$270,'Données projet'!$B$270,GU17+GT18-HC17)))</f>
        <v>24.974232188561476</v>
      </c>
      <c r="GV18" s="18">
        <f>GU18*VLOOKUP('Données projet'!$B$18,Paramètres!$A$1:$I$88,3,0)*VLOOKUP('Données projet'!$B$18,Paramètres!$A$1:$I$88,5,0)</f>
        <v>26.103067483484455</v>
      </c>
      <c r="GW18" s="14">
        <f t="shared" si="51"/>
        <v>8.2288797327836498</v>
      </c>
      <c r="GX18" s="22">
        <f t="shared" si="28"/>
        <v>59.794808068333602</v>
      </c>
      <c r="GY18" s="62">
        <f t="shared" si="29"/>
        <v>334.79480806833362</v>
      </c>
      <c r="GZ18" s="62">
        <f ca="1">AVERAGE(OFFSET($GY$3,0,0,'Données projet'!$E$18+1,1))-AVERAGE(OFFSET($H$3,0,0,'Données projet'!$E$18+1,1))</f>
        <v>582.89879210197682</v>
      </c>
      <c r="HA18" s="62">
        <f t="shared" si="52"/>
        <v>314.72094983133326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projet'!$B$18,Paramètres!$A$1:$I$88,3,0)*0.475*44/12</f>
        <v>0</v>
      </c>
      <c r="HH18" s="23">
        <f>EXP(-LN(2)/25)*HH17+(1-EXP(-LN(2)/25))/(LN(2)/25)*Calculateur!HC18*Calculateur!HE18*VLOOKUP('Données projet'!$B$18,Paramètres!$A$1:$I$88,3,0)*0.475*44/12</f>
        <v>0</v>
      </c>
      <c r="HI18" s="23">
        <f>EXP(-LN(2)/2)*HI17+(1-EXP(-LN(2)/2))/(LN(2)/2)*HC18*HF18*VLOOKUP('Données projet'!$B$18,Paramètres!$A$1:$I$88,3,0)*0.475*44/12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1.4</v>
      </c>
      <c r="N19" s="14">
        <f>IF('Données projet'!$A$36&gt;35,N18+M19-V18,IF(A19&lt;'Données projet'!$A$36,$K$205^A19,IF(A19='Données projet'!$A$36,'Données projet'!$B$36,N18+M19-V18)))</f>
        <v>14.378925219250942</v>
      </c>
      <c r="O19" s="14">
        <f>N19*VLOOKUP('Données projet'!$B$9,Paramètres!$A$1:$I$88,3,0)*VLOOKUP('Données projet'!$B$9,Paramètres!$A$1:$I$88,5,0)</f>
        <v>6.7293370026094408</v>
      </c>
      <c r="P19" s="14">
        <f t="shared" si="33"/>
        <v>2.4839815733728994</v>
      </c>
      <c r="Q19" s="22">
        <f t="shared" si="2"/>
        <v>16.04652985316924</v>
      </c>
      <c r="R19" s="62">
        <f t="shared" si="0"/>
        <v>292.26875207539149</v>
      </c>
      <c r="S19" s="62">
        <f ca="1">AVERAGE(OFFSET($R$3,0,0,'Données projet'!$E$9+1,1))-AVERAGE(OFFSET($H$3,0,0,'Données projet'!$E$9+1,1))</f>
        <v>399.92909819003523</v>
      </c>
      <c r="T19" s="62">
        <f t="shared" si="34"/>
        <v>163.7053537268381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projet'!$B$10,Paramètres!$A$1:$I$88,3,0)*VLOOKUP('Données projet'!$B$10,Paramètres!$A$1:$I$88,5,0)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340.24492173474681</v>
      </c>
      <c r="AN19" s="62">
        <f ca="1">AVERAGE(OFFSET($AM$3,0,0,'Données projet'!$E$10+1,1))-AVERAGE(OFFSET($H$3,0,0,'Données projet'!$E$10+1,1))</f>
        <v>510.56580450928806</v>
      </c>
      <c r="AO19" s="62">
        <f t="shared" si="36"/>
        <v>278.21741231699929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4.95</v>
      </c>
      <c r="BD19" s="13">
        <f>IF('Données projet'!$A$88&gt;35,BD18+BC19-BL18,IF(A19&lt;'Données projet'!$A$88,$BA$205^A19,IF(A19='Données projet'!$A$88,'Données projet'!$B$88,BD18+BC19-BL18)))</f>
        <v>39.491911552175637</v>
      </c>
      <c r="BE19" s="14">
        <f>BD19*VLOOKUP('Données projet'!$B$11,Paramètres!$A$1:$I$88,3,0)*VLOOKUP('Données projet'!$B$11,Paramètres!$A$1:$I$88,5,0)</f>
        <v>37.580503033050334</v>
      </c>
      <c r="BF19" s="14">
        <f t="shared" si="37"/>
        <v>11.355048892653773</v>
      </c>
      <c r="BG19" s="22">
        <f t="shared" si="7"/>
        <v>85.229419603934645</v>
      </c>
      <c r="BH19" s="62">
        <f t="shared" si="8"/>
        <v>361.4516418261569</v>
      </c>
      <c r="BI19" s="62">
        <f ca="1">AVERAGE(OFFSET($BH$3,0,0,'Données projet'!$E$11+1,1))-AVERAGE(OFFSET($H$3,0,0,'Données projet'!$E$11+1,1))</f>
        <v>525.51330555662139</v>
      </c>
      <c r="BJ19" s="62">
        <f t="shared" si="38"/>
        <v>357.72390083433635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78.208500000000001</v>
      </c>
      <c r="BW19" s="13">
        <f>VLOOKUP(A19,'Données projet'!$A$113:$I$133,9,0)</f>
        <v>12.649499999999989</v>
      </c>
      <c r="BX19" s="13">
        <f t="array" ref="BX19">INDEX(BW:BW,MIN(IF(ISNUMBER(BW19:BW215),ROW(BW19:BW215),"")))</f>
        <v>12.649499999999989</v>
      </c>
      <c r="BY19" s="13">
        <f>IF('Données projet'!$A$114&gt;35,BY18+BX19-CG18,IF(A19&lt;'Données projet'!$A$114,$BV$205^A19,IF(A19='Données projet'!$A$114,'Données projet'!$B$114,BY18+BX19-CG18)))</f>
        <v>78.208500000000001</v>
      </c>
      <c r="BZ19" s="14">
        <f>BY19*VLOOKUP('Données projet'!$B$12,Paramètres!$A$1:$I$88,3,0)*VLOOKUP('Données projet'!$B$12,Paramètres!$A$1:$I$88,5,0)</f>
        <v>46.768683000000003</v>
      </c>
      <c r="CA19" s="14">
        <f t="shared" si="39"/>
        <v>13.776041008898259</v>
      </c>
      <c r="CB19" s="22">
        <f t="shared" si="10"/>
        <v>105.44872764883114</v>
      </c>
      <c r="CC19" s="62">
        <f t="shared" si="11"/>
        <v>381.67094987105338</v>
      </c>
      <c r="CD19" s="62">
        <f ca="1">AVERAGE(OFFSET($CC$3,0,0,'Données projet'!$E$12+1,1))-AVERAGE(OFFSET($H$3,0,0,'Données projet'!$E$12+1,1))</f>
        <v>227.46616726010473</v>
      </c>
      <c r="CE19" s="62">
        <f t="shared" si="40"/>
        <v>314.188568589113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11.155207328009848</v>
      </c>
      <c r="CN19" s="24">
        <f t="shared" si="12"/>
        <v>11.155207328009848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5.72</v>
      </c>
      <c r="CT19" s="13">
        <f>IF('Données projet'!$A$140&gt;35,CT18+CS19-DB18,IF(A19&lt;'Données projet'!$A$140,$CQ$205^A19,IF(A19='Données projet'!$A$140,'Données projet'!$B$140,CT18+CS19-DB18)))</f>
        <v>23.956041898221187</v>
      </c>
      <c r="CU19" s="18">
        <f>CT19*VLOOKUP('Données projet'!$B$13,Paramètres!$A$1:$I$88,3,0)*VLOOKUP('Données projet'!$B$13,Paramètres!$A$1:$I$88,5,0)</f>
        <v>14.325713055136271</v>
      </c>
      <c r="CV19" s="14">
        <f t="shared" si="41"/>
        <v>4.8427983031859014</v>
      </c>
      <c r="CW19" s="22">
        <f t="shared" si="13"/>
        <v>33.385157282411114</v>
      </c>
      <c r="CX19" s="62">
        <f t="shared" si="14"/>
        <v>309.60737950463334</v>
      </c>
      <c r="CY19" s="62">
        <f ca="1">AVERAGE(OFFSET($CX$3,0,0,'Données projet'!$E$13+1,1))-AVERAGE(OFFSET($H$3,0,0,'Données projet'!$E$13+1,1))</f>
        <v>356.46794174556311</v>
      </c>
      <c r="CZ19" s="62">
        <f t="shared" si="42"/>
        <v>248.47107558211923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10</v>
      </c>
      <c r="DO19" s="13">
        <f>IF('Données projet'!$A$166&gt;35,DO18+DN19-DW18,IF(A19&lt;'Données projet'!$A$166,$DL$205^A19,IF(A19='Données projet'!$A$166,'Données projet'!$B$166,DO18+DN19-DW18)))</f>
        <v>58.790877015554649</v>
      </c>
      <c r="DP19" s="18">
        <f>DO19*VLOOKUP('Données projet'!$B$14,Paramètres!$A$1:$I$88,3,0)*VLOOKUP('Données projet'!$B$14,Paramètres!$A$1:$I$88,5,0)</f>
        <v>32.864100251695049</v>
      </c>
      <c r="DQ19" s="14">
        <f t="shared" si="43"/>
        <v>10.086195929139501</v>
      </c>
      <c r="DR19" s="22">
        <f t="shared" si="16"/>
        <v>74.805099181620164</v>
      </c>
      <c r="DS19" s="62">
        <f t="shared" si="17"/>
        <v>351.02732140384239</v>
      </c>
      <c r="DT19" s="62">
        <f ca="1">AVERAGE(OFFSET($DS$3,0,0,'Données projet'!$E$14+1,1))-AVERAGE(OFFSET($H$3,0,0,'Données projet'!$E$14+1,1))</f>
        <v>397.04445188588369</v>
      </c>
      <c r="DU19" s="62">
        <f t="shared" si="44"/>
        <v>350.01856672839466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0.91500000000000004</v>
      </c>
      <c r="EJ19" s="13">
        <f>IF('Données projet'!$A$192&gt;35,EJ18+EI19-ER18,IF(A19&lt;'Données projet'!$A$192,$EG$205^A19,IF(A19='Données projet'!$A$192,'Données projet'!$B$192,EJ18+EI19-ER18)))</f>
        <v>10.232008017812243</v>
      </c>
      <c r="EK19" s="18">
        <f>EJ19*VLOOKUP('Données projet'!$B$15,Paramètres!$A$1:$I$88,3,0)*VLOOKUP('Données projet'!$B$15,Paramètres!$A$1:$I$88,5,0)</f>
        <v>8.9386822043607772</v>
      </c>
      <c r="EL19" s="14">
        <f t="shared" si="45"/>
        <v>3.1922531702996624</v>
      </c>
      <c r="EM19" s="22">
        <f t="shared" si="19"/>
        <v>21.128045777533597</v>
      </c>
      <c r="EN19" s="62">
        <f t="shared" si="20"/>
        <v>297.35026799975583</v>
      </c>
      <c r="EO19" s="62">
        <f ca="1">AVERAGE(OFFSET($EN$3,0,0,'Données projet'!$E$15+1,1))-AVERAGE(OFFSET($H$3,0,0,'Données projet'!$E$15+1,1))</f>
        <v>202.5548390231225</v>
      </c>
      <c r="EP19" s="62">
        <f t="shared" si="46"/>
        <v>184.62184077734179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projet'!$B$15,Paramètres!$A$1:$I$88,3,0)*0.475*44/12</f>
        <v>0</v>
      </c>
      <c r="EW19" s="23">
        <f>EXP(-LN(2)/25)*EW18+(1-EXP(-LN(2)/25))/(LN(2)/25)*Calculateur!ER19*Calculateur!ET19*VLOOKUP('Données projet'!$B$15,Paramètres!$A$1:$I$88,3,0)*0.475*44/12</f>
        <v>0</v>
      </c>
      <c r="EX19" s="23">
        <f>EXP(-LN(2)/2)*EX18+(1-EXP(-LN(2)/2))/(LN(2)/2)*ER19*EU19*VLOOKUP('Données projet'!$B$15,Paramètres!$A$1:$I$88,3,0)*0.475*44/12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IF('Données projet'!$A$218&gt;35,FE18+FD19-FM18,IF(A19&lt;'Données projet'!$A$218,$FB$205^A19,IF(A19='Données projet'!$A$218,'Données projet'!$B$218,FE18+FD19-FM18)))</f>
        <v>19.888381054913147</v>
      </c>
      <c r="FF19" s="18">
        <f>FE19*VLOOKUP('Données projet'!$B$16,Paramètres!$A$1:$I$88,3,0)*VLOOKUP('Données projet'!$B$16,Paramètres!$A$1:$I$88,5,0)</f>
        <v>19.236042156311996</v>
      </c>
      <c r="FG19" s="14">
        <f t="shared" si="47"/>
        <v>6.2834290449348904</v>
      </c>
      <c r="FH19" s="22">
        <f t="shared" si="22"/>
        <v>44.446412342171662</v>
      </c>
      <c r="FI19" s="62">
        <f t="shared" si="23"/>
        <v>320.66863456439387</v>
      </c>
      <c r="FJ19" s="62">
        <f ca="1">AVERAGE(OFFSET($FI$3,0,0,'Données projet'!$E$16+1,1))-AVERAGE(OFFSET($H$3,0,0,'Données projet'!$E$16+1,1))</f>
        <v>456.96274622094955</v>
      </c>
      <c r="FK19" s="62">
        <f t="shared" si="48"/>
        <v>244.45149244446094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projet'!$B$16,Paramètres!$A$1:$I$88,3,0)*0.475*44/12</f>
        <v>0</v>
      </c>
      <c r="FR19" s="23">
        <f>EXP(-LN(2)/25)*FR18+(1-EXP(-LN(2)/25))/(LN(2)/25)*Calculateur!FM19*Calculateur!FO19*VLOOKUP('Données projet'!$B$16,Paramètres!$A$1:$I$88,3,0)*0.475*44/12</f>
        <v>0</v>
      </c>
      <c r="FS19" s="23">
        <f>EXP(-LN(2)/2)*FS18+(1-EXP(-LN(2)/2))/(LN(2)/2)*FM19*FP19*VLOOKUP('Données projet'!$B$16,Paramètres!$A$1:$I$88,3,0)*0.475*44/12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IF('Données projet'!$A$244&gt;35,FZ18+FY19-GH18,IF(A19&lt;'Données projet'!$A$244,$FW$205^A19,IF(A19='Données projet'!$A$244,'Données projet'!$B$244,FZ18+FY19-GH18)))</f>
        <v>19.888381054913147</v>
      </c>
      <c r="GA19" s="18">
        <f>FZ19*VLOOKUP('Données projet'!$B$17,Paramètres!$A$1:$I$88,3,0)*VLOOKUP('Données projet'!$B$17,Paramètres!$A$1:$I$88,5,0)</f>
        <v>21.407853367508512</v>
      </c>
      <c r="GB19" s="14">
        <f t="shared" si="49"/>
        <v>6.906316464991046</v>
      </c>
      <c r="GC19" s="22">
        <f t="shared" si="25"/>
        <v>49.313845791603399</v>
      </c>
      <c r="GD19" s="62">
        <f t="shared" si="26"/>
        <v>325.53606801382563</v>
      </c>
      <c r="GE19" s="62">
        <f ca="1">AVERAGE(OFFSET($GD$3,0,0,'Données projet'!$E$17+1,1))-AVERAGE(OFFSET($H$3,0,0,'Données projet'!$E$17+1,1))</f>
        <v>503.69304261527651</v>
      </c>
      <c r="GF19" s="62">
        <f t="shared" si="50"/>
        <v>267.2998309535638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projet'!$B$17,Paramètres!$A$1:$I$88,3,0)*0.475*44/12</f>
        <v>0</v>
      </c>
      <c r="GM19" s="23">
        <f>EXP(-LN(2)/25)*GM18+(1-EXP(-LN(2)/25))/(LN(2)/25)*Calculateur!GH19*Calculateur!GJ19*VLOOKUP('Données projet'!$B$17,Paramètres!$A$1:$I$88,3,0)*0.475*44/12</f>
        <v>0</v>
      </c>
      <c r="GN19" s="23">
        <f>EXP(-LN(2)/2)*GN18+(1-EXP(-LN(2)/2))/(LN(2)/2)*GH19*GK19*VLOOKUP('Données projet'!$B$17,Paramètres!$A$1:$I$88,3,0)*0.475*44/12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3.65</v>
      </c>
      <c r="GU19" s="13">
        <f>IF('Données projet'!$A$270&gt;35,GU18+GT19-HC18,IF(A19&lt;'Données projet'!$A$270,$GR$205^A19,IF(A19='Données projet'!$A$270,'Données projet'!$B$270,GU18+GT19-HC18)))</f>
        <v>30.949831440200953</v>
      </c>
      <c r="GV19" s="18">
        <f>GU19*VLOOKUP('Données projet'!$B$18,Paramètres!$A$1:$I$88,3,0)*VLOOKUP('Données projet'!$B$18,Paramètres!$A$1:$I$88,5,0)</f>
        <v>32.348763821298036</v>
      </c>
      <c r="GW19" s="14">
        <f t="shared" si="51"/>
        <v>9.9463175140886975</v>
      </c>
      <c r="GX19" s="22">
        <f t="shared" si="28"/>
        <v>73.663933325798567</v>
      </c>
      <c r="GY19" s="62">
        <f t="shared" si="29"/>
        <v>349.88615554802078</v>
      </c>
      <c r="GZ19" s="62">
        <f ca="1">AVERAGE(OFFSET($GY$3,0,0,'Données projet'!$E$18+1,1))-AVERAGE(OFFSET($H$3,0,0,'Données projet'!$E$18+1,1))</f>
        <v>582.89879210197682</v>
      </c>
      <c r="HA19" s="62">
        <f t="shared" si="52"/>
        <v>314.72094983133326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projet'!$B$18,Paramètres!$A$1:$I$88,3,0)*0.475*44/12</f>
        <v>0</v>
      </c>
      <c r="HH19" s="23">
        <f>EXP(-LN(2)/25)*HH18+(1-EXP(-LN(2)/25))/(LN(2)/25)*Calculateur!HC19*Calculateur!HE19*VLOOKUP('Données projet'!$B$18,Paramètres!$A$1:$I$88,3,0)*0.475*44/12</f>
        <v>0</v>
      </c>
      <c r="HI19" s="23">
        <f>EXP(-LN(2)/2)*HI18+(1-EXP(-LN(2)/2))/(LN(2)/2)*HC19*HF19*VLOOKUP('Données projet'!$B$18,Paramètres!$A$1:$I$88,3,0)*0.475*44/12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1.4</v>
      </c>
      <c r="N20" s="14">
        <f>IF('Données projet'!$A$36&gt;35,N19+M20-V19,IF(A20&lt;'Données projet'!$A$36,$K$205^A20,IF(A20='Données projet'!$A$36,'Données projet'!$B$36,N19+M20-V19)))</f>
        <v>16.985734312010656</v>
      </c>
      <c r="O20" s="14">
        <f>N20*VLOOKUP('Données projet'!$B$9,Paramètres!$A$1:$I$88,3,0)*VLOOKUP('Données projet'!$B$9,Paramètres!$A$1:$I$88,5,0)</f>
        <v>7.9493236580209867</v>
      </c>
      <c r="P20" s="14">
        <f t="shared" si="33"/>
        <v>2.8779537587144066</v>
      </c>
      <c r="Q20" s="22">
        <f t="shared" si="2"/>
        <v>18.857508167480809</v>
      </c>
      <c r="R20" s="62">
        <f t="shared" si="0"/>
        <v>296.30195261192529</v>
      </c>
      <c r="S20" s="62">
        <f ca="1">AVERAGE(OFFSET($R$3,0,0,'Données projet'!$E$9+1,1))-AVERAGE(OFFSET($H$3,0,0,'Données projet'!$E$9+1,1))</f>
        <v>399.92909819003523</v>
      </c>
      <c r="T20" s="62">
        <f t="shared" si="34"/>
        <v>163.7053537268381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projet'!$B$10,Paramètres!$A$1:$I$88,3,0)*VLOOKUP('Données projet'!$B$10,Paramètres!$A$1:$I$88,5,0)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356.31981931185817</v>
      </c>
      <c r="AN20" s="62">
        <f ca="1">AVERAGE(OFFSET($AM$3,0,0,'Données projet'!$E$10+1,1))-AVERAGE(OFFSET($H$3,0,0,'Données projet'!$E$10+1,1))</f>
        <v>510.56580450928806</v>
      </c>
      <c r="AO20" s="62">
        <f t="shared" si="36"/>
        <v>278.21741231699929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4.95</v>
      </c>
      <c r="BD20" s="13">
        <f>IF('Données projet'!$A$88&gt;35,BD19+BC20-BL19,IF(A20&lt;'Données projet'!$A$88,$BA$205^A20,IF(A20='Données projet'!$A$88,'Données projet'!$B$88,BD19+BC20-BL19)))</f>
        <v>49.692393475881296</v>
      </c>
      <c r="BE20" s="14">
        <f>BD20*VLOOKUP('Données projet'!$B$11,Paramètres!$A$1:$I$88,3,0)*VLOOKUP('Données projet'!$B$11,Paramètres!$A$1:$I$88,5,0)</f>
        <v>47.287281631648639</v>
      </c>
      <c r="BF20" s="14">
        <f t="shared" si="37"/>
        <v>13.910930198612716</v>
      </c>
      <c r="BG20" s="22">
        <f t="shared" si="7"/>
        <v>106.58688560437186</v>
      </c>
      <c r="BH20" s="62">
        <f t="shared" si="8"/>
        <v>384.0313300488163</v>
      </c>
      <c r="BI20" s="62">
        <f ca="1">AVERAGE(OFFSET($BH$3,0,0,'Données projet'!$E$11+1,1))-AVERAGE(OFFSET($H$3,0,0,'Données projet'!$E$11+1,1))</f>
        <v>525.51330555662139</v>
      </c>
      <c r="BJ20" s="62">
        <f t="shared" si="38"/>
        <v>357.72390083433635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88.340500000000006</v>
      </c>
      <c r="BW20" s="13">
        <f>VLOOKUP(A20,'Données projet'!$A$113:$I$133,9,0)</f>
        <v>10.132000000000005</v>
      </c>
      <c r="BX20" s="13">
        <f t="array" ref="BX20">INDEX(BW:BW,MIN(IF(ISNUMBER(BW20:BW216),ROW(BW20:BW216),"")))</f>
        <v>10.132000000000005</v>
      </c>
      <c r="BY20" s="13">
        <f>IF('Données projet'!$A$114&gt;35,BY19+BX20-CG19,IF(A20&lt;'Données projet'!$A$114,$BV$205^A20,IF(A20='Données projet'!$A$114,'Données projet'!$B$114,BY19+BX20-CG19)))</f>
        <v>88.340500000000006</v>
      </c>
      <c r="BZ20" s="14">
        <f>BY20*VLOOKUP('Données projet'!$B$12,Paramètres!$A$1:$I$88,3,0)*VLOOKUP('Données projet'!$B$12,Paramètres!$A$1:$I$88,5,0)</f>
        <v>52.827619000000006</v>
      </c>
      <c r="CA20" s="14">
        <f t="shared" si="39"/>
        <v>15.341650229603808</v>
      </c>
      <c r="CB20" s="22">
        <f t="shared" si="10"/>
        <v>118.72814390822663</v>
      </c>
      <c r="CC20" s="62">
        <f t="shared" si="11"/>
        <v>396.17258835267108</v>
      </c>
      <c r="CD20" s="62">
        <f ca="1">AVERAGE(OFFSET($CC$3,0,0,'Données projet'!$E$12+1,1))-AVERAGE(OFFSET($H$3,0,0,'Données projet'!$E$12+1,1))</f>
        <v>227.46616726010473</v>
      </c>
      <c r="CE20" s="62">
        <f t="shared" si="40"/>
        <v>314.188568589113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7.8879227471776314</v>
      </c>
      <c r="CN20" s="24">
        <f t="shared" si="12"/>
        <v>7.8879227471776314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5.72</v>
      </c>
      <c r="CT20" s="13">
        <f>IF('Données projet'!$A$140&gt;35,CT19+CS20-DB19,IF(A20&lt;'Données projet'!$A$140,$CQ$205^A20,IF(A20='Données projet'!$A$140,'Données projet'!$B$140,CT19+CS20-DB19)))</f>
        <v>29.216521339752045</v>
      </c>
      <c r="CU20" s="18">
        <f>CT20*VLOOKUP('Données projet'!$B$13,Paramètres!$A$1:$I$88,3,0)*VLOOKUP('Données projet'!$B$13,Paramètres!$A$1:$I$88,5,0)</f>
        <v>17.471479761171725</v>
      </c>
      <c r="CV20" s="14">
        <f t="shared" si="41"/>
        <v>5.7713123370247743</v>
      </c>
      <c r="CW20" s="22">
        <f t="shared" si="13"/>
        <v>40.481196237692238</v>
      </c>
      <c r="CX20" s="62">
        <f t="shared" si="14"/>
        <v>317.9256406821367</v>
      </c>
      <c r="CY20" s="62">
        <f ca="1">AVERAGE(OFFSET($CX$3,0,0,'Données projet'!$E$13+1,1))-AVERAGE(OFFSET($H$3,0,0,'Données projet'!$E$13+1,1))</f>
        <v>356.46794174556311</v>
      </c>
      <c r="CZ20" s="62">
        <f t="shared" si="42"/>
        <v>248.47107558211923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10</v>
      </c>
      <c r="DO20" s="13">
        <f>IF('Données projet'!$A$166&gt;35,DO19+DN20-DW19,IF(A20&lt;'Données projet'!$A$166,$DL$205^A20,IF(A20='Données projet'!$A$166,'Données projet'!$B$166,DO19+DN20-DW19)))</f>
        <v>75.838862427725871</v>
      </c>
      <c r="DP20" s="18">
        <f>DO20*VLOOKUP('Données projet'!$B$14,Paramètres!$A$1:$I$88,3,0)*VLOOKUP('Données projet'!$B$14,Paramètres!$A$1:$I$88,5,0)</f>
        <v>42.393924097098761</v>
      </c>
      <c r="DQ20" s="14">
        <f t="shared" si="43"/>
        <v>12.630994372698538</v>
      </c>
      <c r="DR20" s="22">
        <f t="shared" si="16"/>
        <v>95.835066334896965</v>
      </c>
      <c r="DS20" s="62">
        <f t="shared" si="17"/>
        <v>373.27951077934142</v>
      </c>
      <c r="DT20" s="62">
        <f ca="1">AVERAGE(OFFSET($DS$3,0,0,'Données projet'!$E$14+1,1))-AVERAGE(OFFSET($H$3,0,0,'Données projet'!$E$14+1,1))</f>
        <v>397.04445188588369</v>
      </c>
      <c r="DU20" s="62">
        <f t="shared" si="44"/>
        <v>350.01856672839466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0.91500000000000004</v>
      </c>
      <c r="EJ20" s="13">
        <f>IF('Données projet'!$A$192&gt;35,EJ19+EI20-ER19,IF(A20&lt;'Données projet'!$A$192,$EG$205^A20,IF(A20='Données projet'!$A$192,'Données projet'!$B$192,EJ19+EI20-ER19)))</f>
        <v>11.832688352086072</v>
      </c>
      <c r="EK20" s="18">
        <f>EJ20*VLOOKUP('Données projet'!$B$15,Paramètres!$A$1:$I$88,3,0)*VLOOKUP('Données projet'!$B$15,Paramètres!$A$1:$I$88,5,0)</f>
        <v>10.337036544382393</v>
      </c>
      <c r="EL20" s="14">
        <f t="shared" si="45"/>
        <v>3.6297140797667402</v>
      </c>
      <c r="EM20" s="22">
        <f t="shared" si="19"/>
        <v>24.325424003726408</v>
      </c>
      <c r="EN20" s="62">
        <f t="shared" si="20"/>
        <v>301.76986844817088</v>
      </c>
      <c r="EO20" s="62">
        <f ca="1">AVERAGE(OFFSET($EN$3,0,0,'Données projet'!$E$15+1,1))-AVERAGE(OFFSET($H$3,0,0,'Données projet'!$E$15+1,1))</f>
        <v>202.5548390231225</v>
      </c>
      <c r="EP20" s="62">
        <f t="shared" si="46"/>
        <v>184.62184077734179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projet'!$B$15,Paramètres!$A$1:$I$88,3,0)*0.475*44/12</f>
        <v>0</v>
      </c>
      <c r="EW20" s="23">
        <f>EXP(-LN(2)/25)*EW19+(1-EXP(-LN(2)/25))/(LN(2)/25)*Calculateur!ER20*Calculateur!ET20*VLOOKUP('Données projet'!$B$15,Paramètres!$A$1:$I$88,3,0)*0.475*44/12</f>
        <v>0</v>
      </c>
      <c r="EX20" s="23">
        <f>EXP(-LN(2)/2)*EX19+(1-EXP(-LN(2)/2))/(LN(2)/2)*ER20*EU20*VLOOKUP('Données projet'!$B$15,Paramètres!$A$1:$I$88,3,0)*0.475*44/12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IF('Données projet'!$A$218&gt;35,FE19+FD20-FM19,IF(A20&lt;'Données projet'!$A$218,$FB$205^A20,IF(A20='Données projet'!$A$218,'Données projet'!$B$218,FE19+FD20-FM19)))</f>
        <v>23.975181126327602</v>
      </c>
      <c r="FF20" s="18">
        <f>FE20*VLOOKUP('Données projet'!$B$16,Paramètres!$A$1:$I$88,3,0)*VLOOKUP('Données projet'!$B$16,Paramètres!$A$1:$I$88,5,0)</f>
        <v>23.188795185384055</v>
      </c>
      <c r="FG20" s="14">
        <f t="shared" si="47"/>
        <v>7.4115982288884323</v>
      </c>
      <c r="FH20" s="22">
        <f t="shared" si="22"/>
        <v>53.29568519652458</v>
      </c>
      <c r="FI20" s="62">
        <f t="shared" si="23"/>
        <v>330.74012964096903</v>
      </c>
      <c r="FJ20" s="62">
        <f ca="1">AVERAGE(OFFSET($FI$3,0,0,'Données projet'!$E$16+1,1))-AVERAGE(OFFSET($H$3,0,0,'Données projet'!$E$16+1,1))</f>
        <v>456.96274622094955</v>
      </c>
      <c r="FK20" s="62">
        <f t="shared" si="48"/>
        <v>244.45149244446094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projet'!$B$16,Paramètres!$A$1:$I$88,3,0)*0.475*44/12</f>
        <v>0</v>
      </c>
      <c r="FR20" s="23">
        <f>EXP(-LN(2)/25)*FR19+(1-EXP(-LN(2)/25))/(LN(2)/25)*Calculateur!FM20*Calculateur!FO20*VLOOKUP('Données projet'!$B$16,Paramètres!$A$1:$I$88,3,0)*0.475*44/12</f>
        <v>0</v>
      </c>
      <c r="FS20" s="23">
        <f>EXP(-LN(2)/2)*FS19+(1-EXP(-LN(2)/2))/(LN(2)/2)*FM20*FP20*VLOOKUP('Données projet'!$B$16,Paramètres!$A$1:$I$88,3,0)*0.475*44/12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IF('Données projet'!$A$244&gt;35,FZ19+FY20-GH19,IF(A20&lt;'Données projet'!$A$244,$FW$205^A20,IF(A20='Données projet'!$A$244,'Données projet'!$B$244,FZ19+FY20-GH19)))</f>
        <v>23.975181126327602</v>
      </c>
      <c r="GA20" s="18">
        <f>FZ20*VLOOKUP('Données projet'!$B$17,Paramètres!$A$1:$I$88,3,0)*VLOOKUP('Données projet'!$B$17,Paramètres!$A$1:$I$88,5,0)</f>
        <v>25.80688496437903</v>
      </c>
      <c r="GB20" s="14">
        <f t="shared" si="49"/>
        <v>8.146323052908933</v>
      </c>
      <c r="GC20" s="22">
        <f t="shared" si="25"/>
        <v>59.135170630109862</v>
      </c>
      <c r="GD20" s="62">
        <f t="shared" si="26"/>
        <v>336.57961507455434</v>
      </c>
      <c r="GE20" s="62">
        <f ca="1">AVERAGE(OFFSET($GD$3,0,0,'Données projet'!$E$17+1,1))-AVERAGE(OFFSET($H$3,0,0,'Données projet'!$E$17+1,1))</f>
        <v>503.69304261527651</v>
      </c>
      <c r="GF20" s="62">
        <f t="shared" si="50"/>
        <v>267.2998309535638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projet'!$B$17,Paramètres!$A$1:$I$88,3,0)*0.475*44/12</f>
        <v>0</v>
      </c>
      <c r="GM20" s="23">
        <f>EXP(-LN(2)/25)*GM19+(1-EXP(-LN(2)/25))/(LN(2)/25)*Calculateur!GH20*Calculateur!GJ20*VLOOKUP('Données projet'!$B$17,Paramètres!$A$1:$I$88,3,0)*0.475*44/12</f>
        <v>0</v>
      </c>
      <c r="GN20" s="23">
        <f>EXP(-LN(2)/2)*GN19+(1-EXP(-LN(2)/2))/(LN(2)/2)*GH20*GK20*VLOOKUP('Données projet'!$B$17,Paramètres!$A$1:$I$88,3,0)*0.475*44/12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3.65</v>
      </c>
      <c r="GU20" s="13">
        <f>IF('Données projet'!$A$270&gt;35,GU19+GT20-HC19,IF(A20&lt;'Données projet'!$A$270,$GR$205^A20,IF(A20='Données projet'!$A$270,'Données projet'!$B$270,GU19+GT20-HC19)))</f>
        <v>38.355215845858055</v>
      </c>
      <c r="GV20" s="18">
        <f>GU20*VLOOKUP('Données projet'!$B$18,Paramètres!$A$1:$I$88,3,0)*VLOOKUP('Données projet'!$B$18,Paramètres!$A$1:$I$88,5,0)</f>
        <v>40.08887160209084</v>
      </c>
      <c r="GW20" s="14">
        <f t="shared" si="51"/>
        <v>12.022199291227453</v>
      </c>
      <c r="GX20" s="22">
        <f t="shared" si="28"/>
        <v>90.760115139196031</v>
      </c>
      <c r="GY20" s="62">
        <f t="shared" si="29"/>
        <v>368.2045595836405</v>
      </c>
      <c r="GZ20" s="62">
        <f ca="1">AVERAGE(OFFSET($GY$3,0,0,'Données projet'!$E$18+1,1))-AVERAGE(OFFSET($H$3,0,0,'Données projet'!$E$18+1,1))</f>
        <v>582.89879210197682</v>
      </c>
      <c r="HA20" s="62">
        <f t="shared" si="52"/>
        <v>314.72094983133326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projet'!$B$18,Paramètres!$A$1:$I$88,3,0)*0.475*44/12</f>
        <v>0</v>
      </c>
      <c r="HH20" s="23">
        <f>EXP(-LN(2)/25)*HH19+(1-EXP(-LN(2)/25))/(LN(2)/25)*Calculateur!HC20*Calculateur!HE20*VLOOKUP('Données projet'!$B$18,Paramètres!$A$1:$I$88,3,0)*0.475*44/12</f>
        <v>0</v>
      </c>
      <c r="HI20" s="23">
        <f>EXP(-LN(2)/2)*HI19+(1-EXP(-LN(2)/2))/(LN(2)/2)*HC20*HF20*VLOOKUP('Données projet'!$B$18,Paramètres!$A$1:$I$88,3,0)*0.475*44/12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1.4</v>
      </c>
      <c r="N21" s="14">
        <f>IF('Données projet'!$A$36&gt;35,N20+M21-V20,IF(A21&lt;'Données projet'!$A$36,$K$205^A21,IF(A21='Données projet'!$A$36,'Données projet'!$B$36,N20+M21-V20)))</f>
        <v>20.065141567879031</v>
      </c>
      <c r="O21" s="14">
        <f>N21*VLOOKUP('Données projet'!$B$9,Paramètres!$A$1:$I$88,3,0)*VLOOKUP('Données projet'!$B$9,Paramètres!$A$1:$I$88,5,0)</f>
        <v>9.3904862537673868</v>
      </c>
      <c r="P21" s="14">
        <f t="shared" si="33"/>
        <v>3.3344119481738947</v>
      </c>
      <c r="Q21" s="22">
        <f t="shared" si="2"/>
        <v>22.162531035047731</v>
      </c>
      <c r="R21" s="62">
        <f t="shared" si="0"/>
        <v>300.82919770171441</v>
      </c>
      <c r="S21" s="62">
        <f ca="1">AVERAGE(OFFSET($R$3,0,0,'Données projet'!$E$9+1,1))-AVERAGE(OFFSET($H$3,0,0,'Données projet'!$E$9+1,1))</f>
        <v>399.92909819003523</v>
      </c>
      <c r="T21" s="62">
        <f t="shared" si="34"/>
        <v>163.7053537268381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projet'!$B$10,Paramètres!$A$1:$I$88,3,0)*VLOOKUP('Données projet'!$B$10,Paramètres!$A$1:$I$88,5,0)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375.85125169782572</v>
      </c>
      <c r="AN21" s="62">
        <f ca="1">AVERAGE(OFFSET($AM$3,0,0,'Données projet'!$E$10+1,1))-AVERAGE(OFFSET($H$3,0,0,'Données projet'!$E$10+1,1))</f>
        <v>510.56580450928806</v>
      </c>
      <c r="AO21" s="62">
        <f t="shared" si="36"/>
        <v>278.21741231699929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4.95</v>
      </c>
      <c r="BD21" s="13">
        <f>IF('Données projet'!$A$88&gt;35,BD20+BC21-BL20,IF(A21&lt;'Données projet'!$A$88,$BA$205^A21,IF(A21='Données projet'!$A$88,'Données projet'!$B$88,BD20+BC21-BL20)))</f>
        <v>62.52758786060263</v>
      </c>
      <c r="BE21" s="14">
        <f>BD21*VLOOKUP('Données projet'!$B$11,Paramètres!$A$1:$I$88,3,0)*VLOOKUP('Données projet'!$B$11,Paramètres!$A$1:$I$88,5,0)</f>
        <v>59.501252608149464</v>
      </c>
      <c r="BF21" s="14">
        <f t="shared" si="37"/>
        <v>17.042108829304169</v>
      </c>
      <c r="BG21" s="22">
        <f t="shared" si="7"/>
        <v>133.31302117023171</v>
      </c>
      <c r="BH21" s="62">
        <f t="shared" si="8"/>
        <v>411.97968783689839</v>
      </c>
      <c r="BI21" s="62">
        <f ca="1">AVERAGE(OFFSET($BH$3,0,0,'Données projet'!$E$11+1,1))-AVERAGE(OFFSET($H$3,0,0,'Données projet'!$E$11+1,1))</f>
        <v>525.51330555662139</v>
      </c>
      <c r="BJ21" s="62">
        <f t="shared" si="38"/>
        <v>357.72390083433635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100.55499999999999</v>
      </c>
      <c r="BW21" s="13">
        <f>VLOOKUP(A21,'Données projet'!$A$113:$I$133,9,0)</f>
        <v>12.214499999999987</v>
      </c>
      <c r="BX21" s="13">
        <f t="array" ref="BX21">INDEX(BW:BW,MIN(IF(ISNUMBER(BW21:BW217),ROW(BW21:BW217),"")))</f>
        <v>12.214499999999987</v>
      </c>
      <c r="BY21" s="13">
        <f>IF('Données projet'!$A$114&gt;35,BY20+BX21-CG20,IF(A21&lt;'Données projet'!$A$114,$BV$205^A21,IF(A21='Données projet'!$A$114,'Données projet'!$B$114,BY20+BX21-CG20)))</f>
        <v>100.55499999999999</v>
      </c>
      <c r="BZ21" s="14">
        <f>BY21*VLOOKUP('Données projet'!$B$12,Paramètres!$A$1:$I$88,3,0)*VLOOKUP('Données projet'!$B$12,Paramètres!$A$1:$I$88,5,0)</f>
        <v>60.131889999999999</v>
      </c>
      <c r="CA21" s="14">
        <f t="shared" si="39"/>
        <v>17.20161067997558</v>
      </c>
      <c r="CB21" s="22">
        <f t="shared" si="10"/>
        <v>134.68918035095743</v>
      </c>
      <c r="CC21" s="62">
        <f t="shared" si="11"/>
        <v>413.35584701762411</v>
      </c>
      <c r="CD21" s="62">
        <f ca="1">AVERAGE(OFFSET($CC$3,0,0,'Données projet'!$E$12+1,1))-AVERAGE(OFFSET($H$3,0,0,'Données projet'!$E$12+1,1))</f>
        <v>227.46616726010473</v>
      </c>
      <c r="CE21" s="62">
        <f t="shared" si="40"/>
        <v>314.188568589113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5.5776036640049247</v>
      </c>
      <c r="CN21" s="24">
        <f t="shared" si="12"/>
        <v>5.5776036640049247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5.72</v>
      </c>
      <c r="CT21" s="13">
        <f>IF('Données projet'!$A$140&gt;35,CT20+CS21-DB20,IF(A21&lt;'Données projet'!$A$140,$CQ$205^A21,IF(A21='Données projet'!$A$140,'Données projet'!$B$140,CT20+CS21-DB20)))</f>
        <v>35.632143357520576</v>
      </c>
      <c r="CU21" s="18">
        <f>CT21*VLOOKUP('Données projet'!$B$13,Paramètres!$A$1:$I$88,3,0)*VLOOKUP('Données projet'!$B$13,Paramètres!$A$1:$I$88,5,0)</f>
        <v>21.308021727797307</v>
      </c>
      <c r="CV21" s="14">
        <f t="shared" si="41"/>
        <v>6.8778511939227833</v>
      </c>
      <c r="CW21" s="22">
        <f t="shared" si="13"/>
        <v>49.090395338662489</v>
      </c>
      <c r="CX21" s="62">
        <f t="shared" si="14"/>
        <v>327.7570620053292</v>
      </c>
      <c r="CY21" s="62">
        <f ca="1">AVERAGE(OFFSET($CX$3,0,0,'Données projet'!$E$13+1,1))-AVERAGE(OFFSET($H$3,0,0,'Données projet'!$E$13+1,1))</f>
        <v>356.46794174556311</v>
      </c>
      <c r="CZ21" s="62">
        <f t="shared" si="42"/>
        <v>248.47107558211923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10</v>
      </c>
      <c r="DO21" s="13">
        <f>IF('Données projet'!$A$166&gt;35,DO20+DN21-DW20,IF(A21&lt;'Données projet'!$A$166,$DL$205^A21,IF(A21='Données projet'!$A$166,'Données projet'!$B$166,DO20+DN21-DW20)))</f>
        <v>97.830366653823091</v>
      </c>
      <c r="DP21" s="18">
        <f>DO21*VLOOKUP('Données projet'!$B$14,Paramètres!$A$1:$I$88,3,0)*VLOOKUP('Données projet'!$B$14,Paramètres!$A$1:$I$88,5,0)</f>
        <v>54.687174959487109</v>
      </c>
      <c r="DQ21" s="14">
        <f t="shared" si="43"/>
        <v>15.817858384271306</v>
      </c>
      <c r="DR21" s="22">
        <f t="shared" si="16"/>
        <v>122.79626640704589</v>
      </c>
      <c r="DS21" s="62">
        <f t="shared" si="17"/>
        <v>401.46293307371258</v>
      </c>
      <c r="DT21" s="62">
        <f ca="1">AVERAGE(OFFSET($DS$3,0,0,'Données projet'!$E$14+1,1))-AVERAGE(OFFSET($H$3,0,0,'Données projet'!$E$14+1,1))</f>
        <v>397.04445188588369</v>
      </c>
      <c r="DU21" s="62">
        <f t="shared" si="44"/>
        <v>350.01856672839466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0.91500000000000004</v>
      </c>
      <c r="EJ21" s="13">
        <f>IF('Données projet'!$A$192&gt;35,EJ20+EI21-ER20,IF(A21&lt;'Données projet'!$A$192,$EG$205^A21,IF(A21='Données projet'!$A$192,'Données projet'!$B$192,EJ20+EI21-ER20)))</f>
        <v>13.683776771270571</v>
      </c>
      <c r="EK21" s="18">
        <f>EJ21*VLOOKUP('Données projet'!$B$15,Paramètres!$A$1:$I$88,3,0)*VLOOKUP('Données projet'!$B$15,Paramètres!$A$1:$I$88,5,0)</f>
        <v>11.954147387381973</v>
      </c>
      <c r="EL21" s="14">
        <f t="shared" si="45"/>
        <v>4.1271238833542085</v>
      </c>
      <c r="EM21" s="22">
        <f t="shared" si="19"/>
        <v>28.008214129865518</v>
      </c>
      <c r="EN21" s="62">
        <f t="shared" si="20"/>
        <v>306.67488079653219</v>
      </c>
      <c r="EO21" s="62">
        <f ca="1">AVERAGE(OFFSET($EN$3,0,0,'Données projet'!$E$15+1,1))-AVERAGE(OFFSET($H$3,0,0,'Données projet'!$E$15+1,1))</f>
        <v>202.5548390231225</v>
      </c>
      <c r="EP21" s="62">
        <f t="shared" si="46"/>
        <v>184.62184077734179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projet'!$B$15,Paramètres!$A$1:$I$88,3,0)*0.475*44/12</f>
        <v>0</v>
      </c>
      <c r="EW21" s="23">
        <f>EXP(-LN(2)/25)*EW20+(1-EXP(-LN(2)/25))/(LN(2)/25)*Calculateur!ER21*Calculateur!ET21*VLOOKUP('Données projet'!$B$15,Paramètres!$A$1:$I$88,3,0)*0.475*44/12</f>
        <v>0</v>
      </c>
      <c r="EX21" s="23">
        <f>EXP(-LN(2)/2)*EX20+(1-EXP(-LN(2)/2))/(LN(2)/2)*ER21*EU21*VLOOKUP('Données projet'!$B$15,Paramètres!$A$1:$I$88,3,0)*0.475*44/12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IF('Données projet'!$A$218&gt;35,FE20+FD21-FM20,IF(A21&lt;'Données projet'!$A$218,$FB$205^A21,IF(A21='Données projet'!$A$218,'Données projet'!$B$218,FE20+FD21-FM20)))</f>
        <v>28.901764726506816</v>
      </c>
      <c r="FF21" s="18">
        <f>FE21*VLOOKUP('Données projet'!$B$16,Paramètres!$A$1:$I$88,3,0)*VLOOKUP('Données projet'!$B$16,Paramètres!$A$1:$I$88,5,0)</f>
        <v>27.953786843477392</v>
      </c>
      <c r="FG21" s="14">
        <f t="shared" si="47"/>
        <v>8.7423265089215931</v>
      </c>
      <c r="FH21" s="22">
        <f t="shared" si="22"/>
        <v>63.912397422094891</v>
      </c>
      <c r="FI21" s="62">
        <f t="shared" si="23"/>
        <v>342.57906408876158</v>
      </c>
      <c r="FJ21" s="62">
        <f ca="1">AVERAGE(OFFSET($FI$3,0,0,'Données projet'!$E$16+1,1))-AVERAGE(OFFSET($H$3,0,0,'Données projet'!$E$16+1,1))</f>
        <v>456.96274622094955</v>
      </c>
      <c r="FK21" s="62">
        <f t="shared" si="48"/>
        <v>244.45149244446094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projet'!$B$16,Paramètres!$A$1:$I$88,3,0)*0.475*44/12</f>
        <v>0</v>
      </c>
      <c r="FR21" s="23">
        <f>EXP(-LN(2)/25)*FR20+(1-EXP(-LN(2)/25))/(LN(2)/25)*Calculateur!FM21*Calculateur!FO21*VLOOKUP('Données projet'!$B$16,Paramètres!$A$1:$I$88,3,0)*0.475*44/12</f>
        <v>0</v>
      </c>
      <c r="FS21" s="23">
        <f>EXP(-LN(2)/2)*FS20+(1-EXP(-LN(2)/2))/(LN(2)/2)*FM21*FP21*VLOOKUP('Données projet'!$B$16,Paramètres!$A$1:$I$88,3,0)*0.475*44/12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IF('Données projet'!$A$244&gt;35,FZ20+FY21-GH20,IF(A21&lt;'Données projet'!$A$244,$FW$205^A21,IF(A21='Données projet'!$A$244,'Données projet'!$B$244,FZ20+FY21-GH20)))</f>
        <v>28.901764726506816</v>
      </c>
      <c r="GA21" s="18">
        <f>FZ21*VLOOKUP('Données projet'!$B$17,Paramètres!$A$1:$I$88,3,0)*VLOOKUP('Données projet'!$B$17,Paramètres!$A$1:$I$88,5,0)</f>
        <v>31.109859551611933</v>
      </c>
      <c r="GB21" s="14">
        <f t="shared" si="49"/>
        <v>9.6089687778941872</v>
      </c>
      <c r="GC21" s="22">
        <f t="shared" si="25"/>
        <v>70.918626007223153</v>
      </c>
      <c r="GD21" s="62">
        <f t="shared" si="26"/>
        <v>349.58529267388985</v>
      </c>
      <c r="GE21" s="62">
        <f ca="1">AVERAGE(OFFSET($GD$3,0,0,'Données projet'!$E$17+1,1))-AVERAGE(OFFSET($H$3,0,0,'Données projet'!$E$17+1,1))</f>
        <v>503.69304261527651</v>
      </c>
      <c r="GF21" s="62">
        <f t="shared" si="50"/>
        <v>267.2998309535638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projet'!$B$17,Paramètres!$A$1:$I$88,3,0)*0.475*44/12</f>
        <v>0</v>
      </c>
      <c r="GM21" s="23">
        <f>EXP(-LN(2)/25)*GM20+(1-EXP(-LN(2)/25))/(LN(2)/25)*Calculateur!GH21*Calculateur!GJ21*VLOOKUP('Données projet'!$B$17,Paramètres!$A$1:$I$88,3,0)*0.475*44/12</f>
        <v>0</v>
      </c>
      <c r="GN21" s="23">
        <f>EXP(-LN(2)/2)*GN20+(1-EXP(-LN(2)/2))/(LN(2)/2)*GH21*GK21*VLOOKUP('Données projet'!$B$17,Paramètres!$A$1:$I$88,3,0)*0.475*44/12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3.65</v>
      </c>
      <c r="GU21" s="13">
        <f>IF('Données projet'!$A$270&gt;35,GU20+GT21-HC20,IF(A21&lt;'Données projet'!$A$270,$GR$205^A21,IF(A21='Données projet'!$A$270,'Données projet'!$B$270,GU20+GT21-HC20)))</f>
        <v>47.532490941824946</v>
      </c>
      <c r="GV21" s="18">
        <f>GU21*VLOOKUP('Données projet'!$B$18,Paramètres!$A$1:$I$88,3,0)*VLOOKUP('Données projet'!$B$18,Paramètres!$A$1:$I$88,5,0)</f>
        <v>49.680959532395441</v>
      </c>
      <c r="GW21" s="14">
        <f t="shared" si="51"/>
        <v>14.53133540059045</v>
      </c>
      <c r="GX21" s="22">
        <f t="shared" si="28"/>
        <v>111.83641367495041</v>
      </c>
      <c r="GY21" s="62">
        <f t="shared" si="29"/>
        <v>390.50308034161708</v>
      </c>
      <c r="GZ21" s="62">
        <f ca="1">AVERAGE(OFFSET($GY$3,0,0,'Données projet'!$E$18+1,1))-AVERAGE(OFFSET($H$3,0,0,'Données projet'!$E$18+1,1))</f>
        <v>582.89879210197682</v>
      </c>
      <c r="HA21" s="62">
        <f t="shared" si="52"/>
        <v>314.72094983133326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projet'!$B$18,Paramètres!$A$1:$I$88,3,0)*0.475*44/12</f>
        <v>0</v>
      </c>
      <c r="HH21" s="23">
        <f>EXP(-LN(2)/25)*HH20+(1-EXP(-LN(2)/25))/(LN(2)/25)*Calculateur!HC21*Calculateur!HE21*VLOOKUP('Données projet'!$B$18,Paramètres!$A$1:$I$88,3,0)*0.475*44/12</f>
        <v>0</v>
      </c>
      <c r="HI21" s="23">
        <f>EXP(-LN(2)/2)*HI20+(1-EXP(-LN(2)/2))/(LN(2)/2)*HC21*HF21*VLOOKUP('Données projet'!$B$18,Paramètres!$A$1:$I$88,3,0)*0.475*44/12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1.4</v>
      </c>
      <c r="N22" s="14">
        <f>IF('Données projet'!$A$36&gt;35,N21+M22-V21,IF(A22&lt;'Données projet'!$A$36,$K$205^A22,IF(A22='Données projet'!$A$36,'Données projet'!$B$36,N21+M22-V21)))</f>
        <v>23.702826074133306</v>
      </c>
      <c r="O22" s="14">
        <f>N22*VLOOKUP('Données projet'!$B$9,Paramètres!$A$1:$I$88,3,0)*VLOOKUP('Données projet'!$B$9,Paramètres!$A$1:$I$88,5,0)</f>
        <v>11.092922602694387</v>
      </c>
      <c r="P22" s="14">
        <f t="shared" si="33"/>
        <v>3.8632667416767035</v>
      </c>
      <c r="Q22" s="22">
        <f t="shared" si="2"/>
        <v>26.048696441446314</v>
      </c>
      <c r="R22" s="62">
        <f t="shared" si="0"/>
        <v>305.9375853303352</v>
      </c>
      <c r="S22" s="62">
        <f ca="1">AVERAGE(OFFSET($R$3,0,0,'Données projet'!$E$9+1,1))-AVERAGE(OFFSET($H$3,0,0,'Données projet'!$E$9+1,1))</f>
        <v>399.92909819003523</v>
      </c>
      <c r="T22" s="62">
        <f t="shared" si="34"/>
        <v>163.7053537268381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projet'!$B$10,Paramètres!$A$1:$I$88,3,0)*VLOOKUP('Données projet'!$B$10,Paramètres!$A$1:$I$88,5,0)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399.64596418363215</v>
      </c>
      <c r="AN22" s="62">
        <f ca="1">AVERAGE(OFFSET($AM$3,0,0,'Données projet'!$E$10+1,1))-AVERAGE(OFFSET($H$3,0,0,'Données projet'!$E$10+1,1))</f>
        <v>510.56580450928806</v>
      </c>
      <c r="AO22" s="62">
        <f t="shared" si="36"/>
        <v>278.21741231699929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4.95</v>
      </c>
      <c r="BD22" s="13">
        <f>IF('Données projet'!$A$88&gt;35,BD21+BC22-BL21,IF(A22&lt;'Données projet'!$A$88,$BA$205^A22,IF(A22='Données projet'!$A$88,'Données projet'!$B$88,BD21+BC22-BL21)))</f>
        <v>78.678022332794114</v>
      </c>
      <c r="BE22" s="14">
        <f>BD22*VLOOKUP('Données projet'!$B$11,Paramètres!$A$1:$I$88,3,0)*VLOOKUP('Données projet'!$B$11,Paramètres!$A$1:$I$88,5,0)</f>
        <v>74.870006051886875</v>
      </c>
      <c r="BF22" s="14">
        <f t="shared" si="37"/>
        <v>20.878077109380566</v>
      </c>
      <c r="BG22" s="22">
        <f t="shared" si="7"/>
        <v>166.76124483920745</v>
      </c>
      <c r="BH22" s="62">
        <f t="shared" si="8"/>
        <v>446.65013372809631</v>
      </c>
      <c r="BI22" s="62">
        <f ca="1">AVERAGE(OFFSET($BH$3,0,0,'Données projet'!$E$11+1,1))-AVERAGE(OFFSET($H$3,0,0,'Données projet'!$E$11+1,1))</f>
        <v>525.51330555662139</v>
      </c>
      <c r="BJ22" s="62">
        <f t="shared" si="38"/>
        <v>357.72390083433635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113.679</v>
      </c>
      <c r="BW22" s="13">
        <f>VLOOKUP(A22,'Données projet'!$A$113:$I$133,9,0)</f>
        <v>13.124000000000009</v>
      </c>
      <c r="BX22" s="13">
        <f t="array" ref="BX22">INDEX(BW:BW,MIN(IF(ISNUMBER(BW22:BW218),ROW(BW22:BW218),"")))</f>
        <v>13.124000000000009</v>
      </c>
      <c r="BY22" s="13">
        <f>IF('Données projet'!$A$114&gt;35,BY21+BX22-CG21,IF(A22&lt;'Données projet'!$A$114,$BV$205^A22,IF(A22='Données projet'!$A$114,'Données projet'!$B$114,BY21+BX22-CG21)))</f>
        <v>113.679</v>
      </c>
      <c r="BZ22" s="14">
        <f>BY22*VLOOKUP('Données projet'!$B$12,Paramètres!$A$1:$I$88,3,0)*VLOOKUP('Données projet'!$B$12,Paramètres!$A$1:$I$88,5,0)</f>
        <v>67.980042000000012</v>
      </c>
      <c r="CA22" s="14">
        <f t="shared" si="39"/>
        <v>19.170979162871237</v>
      </c>
      <c r="CB22" s="22">
        <f t="shared" si="10"/>
        <v>151.78802852533406</v>
      </c>
      <c r="CC22" s="62">
        <f t="shared" si="11"/>
        <v>431.67691741422288</v>
      </c>
      <c r="CD22" s="62">
        <f ca="1">AVERAGE(OFFSET($CC$3,0,0,'Données projet'!$E$12+1,1))-AVERAGE(OFFSET($H$3,0,0,'Données projet'!$E$12+1,1))</f>
        <v>227.46616726010473</v>
      </c>
      <c r="CE22" s="62">
        <f t="shared" si="40"/>
        <v>314.188568589113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3.9439613735888162</v>
      </c>
      <c r="CN22" s="24">
        <f t="shared" si="12"/>
        <v>3.9439613735888162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5.72</v>
      </c>
      <c r="CT22" s="13">
        <f>IF('Données projet'!$A$140&gt;35,CT21+CS22-DB21,IF(A22&lt;'Données projet'!$A$140,$CQ$205^A22,IF(A22='Données projet'!$A$140,'Données projet'!$B$140,CT21+CS22-DB21)))</f>
        <v>43.456564369400489</v>
      </c>
      <c r="CU22" s="18">
        <f>CT22*VLOOKUP('Données projet'!$B$13,Paramètres!$A$1:$I$88,3,0)*VLOOKUP('Données projet'!$B$13,Paramètres!$A$1:$I$88,5,0)</f>
        <v>25.987025492901495</v>
      </c>
      <c r="CV22" s="14">
        <f t="shared" si="41"/>
        <v>8.1965477318338333</v>
      </c>
      <c r="CW22" s="22">
        <f t="shared" si="13"/>
        <v>59.536390033080686</v>
      </c>
      <c r="CX22" s="62">
        <f t="shared" si="14"/>
        <v>339.42527892196955</v>
      </c>
      <c r="CY22" s="62">
        <f ca="1">AVERAGE(OFFSET($CX$3,0,0,'Données projet'!$E$13+1,1))-AVERAGE(OFFSET($H$3,0,0,'Données projet'!$E$13+1,1))</f>
        <v>356.46794174556311</v>
      </c>
      <c r="CZ22" s="62">
        <f t="shared" si="42"/>
        <v>248.47107558211923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10</v>
      </c>
      <c r="DO22" s="13">
        <f>IF('Données projet'!$A$166&gt;35,DO21+DN22-DW21,IF(A22&lt;'Données projet'!$A$166,$DL$205^A22,IF(A22='Données projet'!$A$166,'Données projet'!$B$166,DO21+DN22-DW21)))</f>
        <v>126.1988950420027</v>
      </c>
      <c r="DP22" s="18">
        <f>DO22*VLOOKUP('Données projet'!$B$14,Paramètres!$A$1:$I$88,3,0)*VLOOKUP('Données projet'!$B$14,Paramètres!$A$1:$I$88,5,0)</f>
        <v>70.545182328479513</v>
      </c>
      <c r="DQ22" s="14">
        <f t="shared" si="43"/>
        <v>19.808784366626785</v>
      </c>
      <c r="DR22" s="22">
        <f t="shared" si="16"/>
        <v>157.36649199397678</v>
      </c>
      <c r="DS22" s="62">
        <f t="shared" si="17"/>
        <v>437.25538088286567</v>
      </c>
      <c r="DT22" s="62">
        <f ca="1">AVERAGE(OFFSET($DS$3,0,0,'Données projet'!$E$14+1,1))-AVERAGE(OFFSET($H$3,0,0,'Données projet'!$E$14+1,1))</f>
        <v>397.04445188588369</v>
      </c>
      <c r="DU22" s="62">
        <f t="shared" si="44"/>
        <v>350.01856672839466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0.91500000000000004</v>
      </c>
      <c r="EJ22" s="13">
        <f>IF('Données projet'!$A$192&gt;35,EJ21+EI22-ER21,IF(A22&lt;'Données projet'!$A$192,$EG$205^A22,IF(A22='Données projet'!$A$192,'Données projet'!$B$192,EJ21+EI22-ER21)))</f>
        <v>15.82444674907314</v>
      </c>
      <c r="EK22" s="18">
        <f>EJ22*VLOOKUP('Données projet'!$B$15,Paramètres!$A$1:$I$88,3,0)*VLOOKUP('Données projet'!$B$15,Paramètres!$A$1:$I$88,5,0)</f>
        <v>13.824236679990298</v>
      </c>
      <c r="EL22" s="14">
        <f t="shared" si="45"/>
        <v>4.6926978748825672</v>
      </c>
      <c r="EM22" s="22">
        <f t="shared" si="19"/>
        <v>32.250327683070239</v>
      </c>
      <c r="EN22" s="62">
        <f t="shared" si="20"/>
        <v>312.13921657195908</v>
      </c>
      <c r="EO22" s="62">
        <f ca="1">AVERAGE(OFFSET($EN$3,0,0,'Données projet'!$E$15+1,1))-AVERAGE(OFFSET($H$3,0,0,'Données projet'!$E$15+1,1))</f>
        <v>202.5548390231225</v>
      </c>
      <c r="EP22" s="62">
        <f t="shared" si="46"/>
        <v>184.62184077734179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projet'!$B$15,Paramètres!$A$1:$I$88,3,0)*0.475*44/12</f>
        <v>0</v>
      </c>
      <c r="EW22" s="23">
        <f>EXP(-LN(2)/25)*EW21+(1-EXP(-LN(2)/25))/(LN(2)/25)*Calculateur!ER22*Calculateur!ET22*VLOOKUP('Données projet'!$B$15,Paramètres!$A$1:$I$88,3,0)*0.475*44/12</f>
        <v>0</v>
      </c>
      <c r="EX22" s="23">
        <f>EXP(-LN(2)/2)*EX21+(1-EXP(-LN(2)/2))/(LN(2)/2)*ER22*EU22*VLOOKUP('Données projet'!$B$15,Paramètres!$A$1:$I$88,3,0)*0.475*44/12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IF('Données projet'!$A$218&gt;35,FE21+FD22-FM21,IF(A22&lt;'Données projet'!$A$218,$FB$205^A22,IF(A22='Données projet'!$A$218,'Données projet'!$B$218,FE21+FD22-FM21)))</f>
        <v>34.840696297767764</v>
      </c>
      <c r="FF22" s="18">
        <f>FE22*VLOOKUP('Données projet'!$B$16,Paramètres!$A$1:$I$88,3,0)*VLOOKUP('Données projet'!$B$16,Paramètres!$A$1:$I$88,5,0)</f>
        <v>33.697921459200977</v>
      </c>
      <c r="FG22" s="14">
        <f t="shared" si="47"/>
        <v>10.31198270984201</v>
      </c>
      <c r="FH22" s="22">
        <f t="shared" si="22"/>
        <v>76.650583094416518</v>
      </c>
      <c r="FI22" s="62">
        <f t="shared" si="23"/>
        <v>356.53947198330536</v>
      </c>
      <c r="FJ22" s="62">
        <f ca="1">AVERAGE(OFFSET($FI$3,0,0,'Données projet'!$E$16+1,1))-AVERAGE(OFFSET($H$3,0,0,'Données projet'!$E$16+1,1))</f>
        <v>456.96274622094955</v>
      </c>
      <c r="FK22" s="62">
        <f t="shared" si="48"/>
        <v>244.45149244446094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projet'!$B$16,Paramètres!$A$1:$I$88,3,0)*0.475*44/12</f>
        <v>0</v>
      </c>
      <c r="FR22" s="23">
        <f>EXP(-LN(2)/25)*FR21+(1-EXP(-LN(2)/25))/(LN(2)/25)*Calculateur!FM22*Calculateur!FO22*VLOOKUP('Données projet'!$B$16,Paramètres!$A$1:$I$88,3,0)*0.475*44/12</f>
        <v>0</v>
      </c>
      <c r="FS22" s="23">
        <f>EXP(-LN(2)/2)*FS21+(1-EXP(-LN(2)/2))/(LN(2)/2)*FM22*FP22*VLOOKUP('Données projet'!$B$16,Paramètres!$A$1:$I$88,3,0)*0.475*44/12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IF('Données projet'!$A$244&gt;35,FZ21+FY22-GH21,IF(A22&lt;'Données projet'!$A$244,$FW$205^A22,IF(A22='Données projet'!$A$244,'Données projet'!$B$244,FZ21+FY22-GH21)))</f>
        <v>34.840696297767764</v>
      </c>
      <c r="GA22" s="18">
        <f>FZ22*VLOOKUP('Données projet'!$B$17,Paramètres!$A$1:$I$88,3,0)*VLOOKUP('Données projet'!$B$17,Paramètres!$A$1:$I$88,5,0)</f>
        <v>37.502525494917215</v>
      </c>
      <c r="GB22" s="14">
        <f t="shared" si="49"/>
        <v>11.334227770598273</v>
      </c>
      <c r="GC22" s="22">
        <f t="shared" si="25"/>
        <v>85.057345270772814</v>
      </c>
      <c r="GD22" s="62">
        <f t="shared" si="26"/>
        <v>364.94623415966169</v>
      </c>
      <c r="GE22" s="62">
        <f ca="1">AVERAGE(OFFSET($GD$3,0,0,'Données projet'!$E$17+1,1))-AVERAGE(OFFSET($H$3,0,0,'Données projet'!$E$17+1,1))</f>
        <v>503.69304261527651</v>
      </c>
      <c r="GF22" s="62">
        <f t="shared" si="50"/>
        <v>267.2998309535638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projet'!$B$17,Paramètres!$A$1:$I$88,3,0)*0.475*44/12</f>
        <v>0</v>
      </c>
      <c r="GM22" s="23">
        <f>EXP(-LN(2)/25)*GM21+(1-EXP(-LN(2)/25))/(LN(2)/25)*Calculateur!GH22*Calculateur!GJ22*VLOOKUP('Données projet'!$B$17,Paramètres!$A$1:$I$88,3,0)*0.475*44/12</f>
        <v>0</v>
      </c>
      <c r="GN22" s="23">
        <f>EXP(-LN(2)/2)*GN21+(1-EXP(-LN(2)/2))/(LN(2)/2)*GH22*GK22*VLOOKUP('Données projet'!$B$17,Paramètres!$A$1:$I$88,3,0)*0.475*44/12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3.65</v>
      </c>
      <c r="GU22" s="13">
        <f>IF('Données projet'!$A$270&gt;35,GU21+GT22-HC21,IF(A22&lt;'Données projet'!$A$270,$GR$205^A22,IF(A22='Données projet'!$A$270,'Données projet'!$B$270,GU21+GT22-HC21)))</f>
        <v>58.90561805764559</v>
      </c>
      <c r="GV22" s="18">
        <f>GU22*VLOOKUP('Données projet'!$B$18,Paramètres!$A$1:$I$88,3,0)*VLOOKUP('Données projet'!$B$18,Paramètres!$A$1:$I$88,5,0)</f>
        <v>61.568151993851174</v>
      </c>
      <c r="GW22" s="14">
        <f t="shared" si="51"/>
        <v>17.564149737439095</v>
      </c>
      <c r="GX22" s="22">
        <f t="shared" si="28"/>
        <v>137.82209218199722</v>
      </c>
      <c r="GY22" s="62">
        <f t="shared" si="29"/>
        <v>417.71098107088608</v>
      </c>
      <c r="GZ22" s="62">
        <f ca="1">AVERAGE(OFFSET($GY$3,0,0,'Données projet'!$E$18+1,1))-AVERAGE(OFFSET($H$3,0,0,'Données projet'!$E$18+1,1))</f>
        <v>582.89879210197682</v>
      </c>
      <c r="HA22" s="62">
        <f t="shared" si="52"/>
        <v>314.72094983133326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projet'!$B$18,Paramètres!$A$1:$I$88,3,0)*0.475*44/12</f>
        <v>0</v>
      </c>
      <c r="HH22" s="23">
        <f>EXP(-LN(2)/25)*HH21+(1-EXP(-LN(2)/25))/(LN(2)/25)*Calculateur!HC22*Calculateur!HE22*VLOOKUP('Données projet'!$B$18,Paramètres!$A$1:$I$88,3,0)*0.475*44/12</f>
        <v>0</v>
      </c>
      <c r="HI22" s="23">
        <f>EXP(-LN(2)/2)*HI21+(1-EXP(-LN(2)/2))/(LN(2)/2)*HC22*HF22*VLOOKUP('Données projet'!$B$18,Paramètres!$A$1:$I$88,3,0)*0.475*44/12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28</v>
      </c>
      <c r="L23" s="13">
        <f>VLOOKUP(A23,'Données projet'!$A$35:$I$55,9,0)</f>
        <v>1.4</v>
      </c>
      <c r="M23" s="13">
        <f t="array" ref="M23">INDEX(L:L,MIN(IF(ISNUMBER(L23:L219),ROW(L23:L219),"")))</f>
        <v>1.4</v>
      </c>
      <c r="N23" s="14">
        <f>IF('Données projet'!$A$36&gt;35,N22+M23-V22,IF(A23&lt;'Données projet'!$A$36,$K$205^A23,IF(A23='Données projet'!$A$36,'Données projet'!$B$36,N22+M23-V22)))</f>
        <v>28</v>
      </c>
      <c r="O23" s="14">
        <f>N23*VLOOKUP('Données projet'!$B$9,Paramètres!$A$1:$I$88,3,0)*VLOOKUP('Données projet'!$B$9,Paramètres!$A$1:$I$88,5,0)</f>
        <v>13.104000000000001</v>
      </c>
      <c r="P23" s="14">
        <f t="shared" si="33"/>
        <v>4.4760006109979793</v>
      </c>
      <c r="Q23" s="22">
        <f t="shared" si="2"/>
        <v>30.618501064154817</v>
      </c>
      <c r="R23" s="62">
        <f t="shared" si="0"/>
        <v>311.72961217526597</v>
      </c>
      <c r="S23" s="62">
        <f ca="1">AVERAGE(OFFSET($R$3,0,0,'Données projet'!$E$9+1,1))-AVERAGE(OFFSET($H$3,0,0,'Données projet'!$E$9+1,1))</f>
        <v>399.92909819003523</v>
      </c>
      <c r="T23" s="62">
        <f t="shared" si="34"/>
        <v>163.7053537268381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projet'!$B$10,Paramètres!$A$1:$I$88,3,0)*VLOOKUP('Données projet'!$B$10,Paramètres!$A$1:$I$88,5,0)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428.69949531545831</v>
      </c>
      <c r="AN23" s="62">
        <f ca="1">AVERAGE(OFFSET($AM$3,0,0,'Données projet'!$E$10+1,1))-AVERAGE(OFFSET($H$3,0,0,'Données projet'!$E$10+1,1))</f>
        <v>510.56580450928806</v>
      </c>
      <c r="AO23" s="62">
        <f t="shared" si="36"/>
        <v>278.21741231699929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99</v>
      </c>
      <c r="BB23" s="13">
        <f>VLOOKUP(A23,'Données projet'!$A$87:$I$107,9,0)</f>
        <v>4.95</v>
      </c>
      <c r="BC23" s="13">
        <f t="array" ref="BC23">INDEX(BB:BB,MIN(IF(ISNUMBER(BB23:BB219),ROW(BB23:BB219),"")))</f>
        <v>4.95</v>
      </c>
      <c r="BD23" s="13">
        <f>IF('Données projet'!$A$88&gt;35,BD22+BC23-BL22,IF(A23&lt;'Données projet'!$A$88,$BA$205^A23,IF(A23='Données projet'!$A$88,'Données projet'!$B$88,BD22+BC23-BL22)))</f>
        <v>99</v>
      </c>
      <c r="BE23" s="14">
        <f>BD23*VLOOKUP('Données projet'!$B$11,Paramètres!$A$1:$I$88,3,0)*VLOOKUP('Données projet'!$B$11,Paramètres!$A$1:$I$88,5,0)</f>
        <v>94.208399999999997</v>
      </c>
      <c r="BF23" s="14">
        <f t="shared" si="37"/>
        <v>25.577474486943462</v>
      </c>
      <c r="BG23" s="22">
        <f t="shared" si="7"/>
        <v>208.62706473142649</v>
      </c>
      <c r="BH23" s="62">
        <f t="shared" si="8"/>
        <v>489.73817584253766</v>
      </c>
      <c r="BI23" s="62">
        <f ca="1">AVERAGE(OFFSET($BH$3,0,0,'Données projet'!$E$11+1,1))-AVERAGE(OFFSET($H$3,0,0,'Données projet'!$E$11+1,1))</f>
        <v>525.51330555662139</v>
      </c>
      <c r="BJ23" s="62">
        <f t="shared" si="38"/>
        <v>357.72390083433635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130.203</v>
      </c>
      <c r="BW23" s="13">
        <f>VLOOKUP(A23,'Données projet'!$A$113:$I$133,9,0)</f>
        <v>16.524000000000001</v>
      </c>
      <c r="BX23" s="13">
        <f t="array" ref="BX23">INDEX(BW:BW,MIN(IF(ISNUMBER(BW23:BW219),ROW(BW23:BW219),"")))</f>
        <v>16.524000000000001</v>
      </c>
      <c r="BY23" s="13">
        <f>IF('Données projet'!$A$114&gt;35,BY22+BX23-CG22,IF(A23&lt;'Données projet'!$A$114,$BV$205^A23,IF(A23='Données projet'!$A$114,'Données projet'!$B$114,BY22+BX23-CG22)))</f>
        <v>130.203</v>
      </c>
      <c r="BZ23" s="14">
        <f>BY23*VLOOKUP('Données projet'!$B$12,Paramètres!$A$1:$I$88,3,0)*VLOOKUP('Données projet'!$B$12,Paramètres!$A$1:$I$88,5,0)</f>
        <v>77.861394000000004</v>
      </c>
      <c r="CA23" s="14">
        <f t="shared" si="39"/>
        <v>21.613462087022899</v>
      </c>
      <c r="CB23" s="22">
        <f t="shared" si="10"/>
        <v>173.25204101823155</v>
      </c>
      <c r="CC23" s="62">
        <f t="shared" si="11"/>
        <v>454.36315212934267</v>
      </c>
      <c r="CD23" s="62">
        <f ca="1">AVERAGE(OFFSET($CC$3,0,0,'Données projet'!$E$12+1,1))-AVERAGE(OFFSET($H$3,0,0,'Données projet'!$E$12+1,1))</f>
        <v>227.46616726010473</v>
      </c>
      <c r="CE23" s="62">
        <f t="shared" si="40"/>
        <v>314.188568589113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34.1</v>
      </c>
      <c r="CH23" s="17">
        <f>IF(ISNA(VLOOKUP(A23,'Données projet'!$A$113:$I$133,5,0)),0%,VLOOKUP(A23,'Données projet'!$A$113:$I$133,5,0)*VLOOKUP('Données projet'!$B$12,Paramètres!$A$1:$I$88,7,0))</f>
        <v>0.1125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0.75</v>
      </c>
      <c r="CK23" s="23">
        <f>EXP(-LN(2)/35)*CK22+(1-EXP(-LN(2)/35))/(LN(2)/35)*CG23*CH23*VLOOKUP('Données projet'!$B$12,Paramètres!$A$1:$I$88,3,0)*0.475*44/12</f>
        <v>3.0432416695236024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20.104992755527604</v>
      </c>
      <c r="CN23" s="24">
        <f t="shared" si="12"/>
        <v>23.148234425051207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5.72</v>
      </c>
      <c r="CT23" s="13">
        <f>IF('Données projet'!$A$140&gt;35,CT22+CS23-DB22,IF(A23&lt;'Données projet'!$A$140,$CQ$205^A23,IF(A23='Données projet'!$A$140,'Données projet'!$B$140,CT22+CS23-DB22)))</f>
        <v>52.999140911720197</v>
      </c>
      <c r="CU23" s="18">
        <f>CT23*VLOOKUP('Données projet'!$B$13,Paramètres!$A$1:$I$88,3,0)*VLOOKUP('Données projet'!$B$13,Paramètres!$A$1:$I$88,5,0)</f>
        <v>31.693486265208684</v>
      </c>
      <c r="CV23" s="14">
        <f t="shared" si="41"/>
        <v>9.7680791319813807</v>
      </c>
      <c r="CW23" s="22">
        <f t="shared" si="13"/>
        <v>72.212226400106019</v>
      </c>
      <c r="CX23" s="62">
        <f t="shared" si="14"/>
        <v>353.32333751121718</v>
      </c>
      <c r="CY23" s="62">
        <f ca="1">AVERAGE(OFFSET($CX$3,0,0,'Données projet'!$E$13+1,1))-AVERAGE(OFFSET($H$3,0,0,'Données projet'!$E$13+1,1))</f>
        <v>356.46794174556311</v>
      </c>
      <c r="CZ23" s="62">
        <f t="shared" si="42"/>
        <v>248.47107558211923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10</v>
      </c>
      <c r="DO23" s="13">
        <f>IF('Données projet'!$A$166&gt;35,DO22+DN23-DW22,IF(A23&lt;'Données projet'!$A$166,$DL$205^A23,IF(A23='Données projet'!$A$166,'Données projet'!$B$166,DO22+DN23-DW22)))</f>
        <v>162.79363611278094</v>
      </c>
      <c r="DP23" s="18">
        <f>DO23*VLOOKUP('Données projet'!$B$14,Paramètres!$A$1:$I$88,3,0)*VLOOKUP('Données projet'!$B$14,Paramètres!$A$1:$I$88,5,0)</f>
        <v>91.001642587044557</v>
      </c>
      <c r="DQ23" s="14">
        <f t="shared" si="43"/>
        <v>24.806641237456894</v>
      </c>
      <c r="DR23" s="22">
        <f t="shared" si="16"/>
        <v>201.69942766100667</v>
      </c>
      <c r="DS23" s="62">
        <f t="shared" si="17"/>
        <v>482.81053877211781</v>
      </c>
      <c r="DT23" s="62">
        <f ca="1">AVERAGE(OFFSET($DS$3,0,0,'Données projet'!$E$14+1,1))-AVERAGE(OFFSET($H$3,0,0,'Données projet'!$E$14+1,1))</f>
        <v>397.04445188588369</v>
      </c>
      <c r="DU23" s="62">
        <f t="shared" si="44"/>
        <v>350.01856672839466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0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18.3</v>
      </c>
      <c r="EH23" s="13">
        <f>VLOOKUP(A23,'Données projet'!$A$191:$I$211,9,0)</f>
        <v>0.91500000000000004</v>
      </c>
      <c r="EI23" s="13">
        <f t="array" ref="EI23">INDEX(EH:EH,MIN(IF(ISNUMBER(EH23:EH219),ROW(EH23:EH219),"")))</f>
        <v>0.91500000000000004</v>
      </c>
      <c r="EJ23" s="13">
        <f>IF('Données projet'!$A$192&gt;35,EJ22+EI23-ER22,IF(A23&lt;'Données projet'!$A$192,$EG$205^A23,IF(A23='Données projet'!$A$192,'Données projet'!$B$192,EJ22+EI23-ER22)))</f>
        <v>18.3</v>
      </c>
      <c r="EK23" s="18">
        <f>EJ23*VLOOKUP('Données projet'!$B$15,Paramètres!$A$1:$I$88,3,0)*VLOOKUP('Données projet'!$B$15,Paramètres!$A$1:$I$88,5,0)</f>
        <v>15.986880000000003</v>
      </c>
      <c r="EL23" s="14">
        <f t="shared" si="45"/>
        <v>5.3357771579732765</v>
      </c>
      <c r="EM23" s="22">
        <f t="shared" si="19"/>
        <v>37.136961216803456</v>
      </c>
      <c r="EN23" s="62">
        <f t="shared" si="20"/>
        <v>318.2480723279146</v>
      </c>
      <c r="EO23" s="62">
        <f ca="1">AVERAGE(OFFSET($EN$3,0,0,'Données projet'!$E$15+1,1))-AVERAGE(OFFSET($H$3,0,0,'Données projet'!$E$15+1,1))</f>
        <v>202.5548390231225</v>
      </c>
      <c r="EP23" s="62">
        <f t="shared" si="46"/>
        <v>184.62184077734179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projet'!$B$15,Paramètres!$A$1:$I$88,3,0)*0.475*44/12</f>
        <v>0</v>
      </c>
      <c r="EW23" s="23">
        <f>EXP(-LN(2)/25)*EW22+(1-EXP(-LN(2)/25))/(LN(2)/25)*Calculateur!ER23*Calculateur!ET23*VLOOKUP('Données projet'!$B$15,Paramètres!$A$1:$I$88,3,0)*0.475*44/12</f>
        <v>0</v>
      </c>
      <c r="EX23" s="23">
        <f>EXP(-LN(2)/2)*EX22+(1-EXP(-LN(2)/2))/(LN(2)/2)*ER23*EU23*VLOOKUP('Données projet'!$B$15,Paramètres!$A$1:$I$88,3,0)*0.475*44/12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IF('Données projet'!$A$218&gt;35,FE22+FD23-FM22,IF(A23&lt;'Données projet'!$A$218,$FB$205^A23,IF(A23='Données projet'!$A$218,'Données projet'!$B$218,FE22+FD23-FM22)))</f>
        <v>42</v>
      </c>
      <c r="FF23" s="18">
        <f>FE23*VLOOKUP('Données projet'!$B$16,Paramètres!$A$1:$I$88,3,0)*VLOOKUP('Données projet'!$B$16,Paramètres!$A$1:$I$88,5,0)</f>
        <v>40.622399999999999</v>
      </c>
      <c r="FG23" s="14">
        <f t="shared" si="47"/>
        <v>12.163465560290264</v>
      </c>
      <c r="FH23" s="22">
        <f t="shared" si="22"/>
        <v>91.935382517505545</v>
      </c>
      <c r="FI23" s="62">
        <f t="shared" si="23"/>
        <v>373.0464936286167</v>
      </c>
      <c r="FJ23" s="62">
        <f ca="1">AVERAGE(OFFSET($FI$3,0,0,'Données projet'!$E$16+1,1))-AVERAGE(OFFSET($H$3,0,0,'Données projet'!$E$16+1,1))</f>
        <v>456.96274622094955</v>
      </c>
      <c r="FK23" s="62">
        <f t="shared" si="48"/>
        <v>244.45149244446094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projet'!$B$16,Paramètres!$A$1:$I$88,3,0)*0.475*44/12</f>
        <v>0</v>
      </c>
      <c r="FR23" s="23">
        <f>EXP(-LN(2)/25)*FR22+(1-EXP(-LN(2)/25))/(LN(2)/25)*Calculateur!FM23*Calculateur!FO23*VLOOKUP('Données projet'!$B$16,Paramètres!$A$1:$I$88,3,0)*0.475*44/12</f>
        <v>0</v>
      </c>
      <c r="FS23" s="23">
        <f>EXP(-LN(2)/2)*FS22+(1-EXP(-LN(2)/2))/(LN(2)/2)*FM23*FP23*VLOOKUP('Données projet'!$B$16,Paramètres!$A$1:$I$88,3,0)*0.475*44/12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IF('Données projet'!$A$244&gt;35,FZ22+FY23-GH22,IF(A23&lt;'Données projet'!$A$244,$FW$205^A23,IF(A23='Données projet'!$A$244,'Données projet'!$B$244,FZ22+FY23-GH22)))</f>
        <v>42</v>
      </c>
      <c r="GA23" s="18">
        <f>FZ23*VLOOKUP('Données projet'!$B$17,Paramètres!$A$1:$I$88,3,0)*VLOOKUP('Données projet'!$B$17,Paramètres!$A$1:$I$88,5,0)</f>
        <v>45.208799999999997</v>
      </c>
      <c r="GB23" s="14">
        <f t="shared" si="49"/>
        <v>13.369251386406743</v>
      </c>
      <c r="GC23" s="22">
        <f t="shared" si="25"/>
        <v>102.02343949799173</v>
      </c>
      <c r="GD23" s="62">
        <f t="shared" si="26"/>
        <v>383.13455060910286</v>
      </c>
      <c r="GE23" s="62">
        <f ca="1">AVERAGE(OFFSET($GD$3,0,0,'Données projet'!$E$17+1,1))-AVERAGE(OFFSET($H$3,0,0,'Données projet'!$E$17+1,1))</f>
        <v>503.69304261527651</v>
      </c>
      <c r="GF23" s="62">
        <f t="shared" si="50"/>
        <v>267.2998309535638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projet'!$B$17,Paramètres!$A$1:$I$88,3,0)*0.475*44/12</f>
        <v>0</v>
      </c>
      <c r="GM23" s="23">
        <f>EXP(-LN(2)/25)*GM22+(1-EXP(-LN(2)/25))/(LN(2)/25)*Calculateur!GH23*Calculateur!GJ23*VLOOKUP('Données projet'!$B$17,Paramètres!$A$1:$I$88,3,0)*0.475*44/12</f>
        <v>0</v>
      </c>
      <c r="GN23" s="23">
        <f>EXP(-LN(2)/2)*GN22+(1-EXP(-LN(2)/2))/(LN(2)/2)*GH23*GK23*VLOOKUP('Données projet'!$B$17,Paramètres!$A$1:$I$88,3,0)*0.475*44/12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73</v>
      </c>
      <c r="GS23" s="13">
        <f>VLOOKUP(A23,'Données projet'!$A$269:$I$289,9,0)</f>
        <v>3.65</v>
      </c>
      <c r="GT23" s="13">
        <f t="array" ref="GT23">INDEX(GS:GS,MIN(IF(ISNUMBER(GS23:GS219),ROW(GS23:GS219),"")))</f>
        <v>3.65</v>
      </c>
      <c r="GU23" s="13">
        <f>IF('Données projet'!$A$270&gt;35,GU22+GT23-HC22,IF(A23&lt;'Données projet'!$A$270,$GR$205^A23,IF(A23='Données projet'!$A$270,'Données projet'!$B$270,GU22+GT23-HC22)))</f>
        <v>73</v>
      </c>
      <c r="GV23" s="18">
        <f>GU23*VLOOKUP('Données projet'!$B$18,Paramètres!$A$1:$I$88,3,0)*VLOOKUP('Données projet'!$B$18,Paramètres!$A$1:$I$88,5,0)</f>
        <v>76.299600000000012</v>
      </c>
      <c r="GW23" s="14">
        <f t="shared" si="51"/>
        <v>21.229938439563291</v>
      </c>
      <c r="GX23" s="22">
        <f t="shared" si="28"/>
        <v>169.86394611557276</v>
      </c>
      <c r="GY23" s="62">
        <f t="shared" si="29"/>
        <v>450.97505722668393</v>
      </c>
      <c r="GZ23" s="62">
        <f ca="1">AVERAGE(OFFSET($GY$3,0,0,'Données projet'!$E$18+1,1))-AVERAGE(OFFSET($H$3,0,0,'Données projet'!$E$18+1,1))</f>
        <v>582.89879210197682</v>
      </c>
      <c r="HA23" s="62">
        <f t="shared" si="52"/>
        <v>314.72094983133326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projet'!$B$18,Paramètres!$A$1:$I$88,3,0)*0.475*44/12</f>
        <v>0</v>
      </c>
      <c r="HH23" s="23">
        <f>EXP(-LN(2)/25)*HH22+(1-EXP(-LN(2)/25))/(LN(2)/25)*Calculateur!HC23*Calculateur!HE23*VLOOKUP('Données projet'!$B$18,Paramètres!$A$1:$I$88,3,0)*0.475*44/12</f>
        <v>0</v>
      </c>
      <c r="HI23" s="23">
        <f>EXP(-LN(2)/2)*HI22+(1-EXP(-LN(2)/2))/(LN(2)/2)*HC23*HF23*VLOOKUP('Données projet'!$B$18,Paramètres!$A$1:$I$88,3,0)*0.475*44/12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9.3000000000000007</v>
      </c>
      <c r="N24" s="14">
        <f>IF('Données projet'!$A$36&gt;35,N23+M24-V23,IF(A24&lt;'Données projet'!$A$36,$K$205^A24,IF(A24='Données projet'!$A$36,'Données projet'!$B$36,N23+M24-V23)))</f>
        <v>37.299999999999997</v>
      </c>
      <c r="O24" s="14">
        <f>N24*VLOOKUP('Données projet'!$B$9,Paramètres!$A$1:$I$88,3,0)*VLOOKUP('Données projet'!$B$9,Paramètres!$A$1:$I$88,5,0)</f>
        <v>17.456399999999999</v>
      </c>
      <c r="P24" s="14">
        <f t="shared" si="33"/>
        <v>5.7669106730837063</v>
      </c>
      <c r="Q24" s="22">
        <f t="shared" si="2"/>
        <v>40.447266088954116</v>
      </c>
      <c r="R24" s="62">
        <f t="shared" si="0"/>
        <v>322.78059942228742</v>
      </c>
      <c r="S24" s="62">
        <f ca="1">AVERAGE(OFFSET($R$3,0,0,'Données projet'!$E$9+1,1))-AVERAGE(OFFSET($H$3,0,0,'Données projet'!$E$9+1,1))</f>
        <v>399.92909819003523</v>
      </c>
      <c r="T24" s="62">
        <f t="shared" si="34"/>
        <v>163.7053537268381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projet'!$B$10,Paramètres!$A$1:$I$88,3,0)*VLOOKUP('Données projet'!$B$10,Paramètres!$A$1:$I$88,5,0)</f>
        <v>72.564959999999999</v>
      </c>
      <c r="AK24" s="14">
        <f t="shared" si="35"/>
        <v>20.30908732150932</v>
      </c>
      <c r="AL24" s="22">
        <f t="shared" si="4"/>
        <v>161.75563241829539</v>
      </c>
      <c r="AM24" s="62">
        <f t="shared" si="5"/>
        <v>444.08896575162873</v>
      </c>
      <c r="AN24" s="62">
        <f ca="1">AVERAGE(OFFSET($AM$3,0,0,'Données projet'!$E$10+1,1))-AVERAGE(OFFSET($H$3,0,0,'Données projet'!$E$10+1,1))</f>
        <v>510.56580450928806</v>
      </c>
      <c r="AO24" s="62">
        <f t="shared" si="36"/>
        <v>278.21741231699929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9.6</v>
      </c>
      <c r="BD24" s="13">
        <f>IF('Données projet'!$A$88&gt;35,BD23+BC24-BL23,IF(A24&lt;'Données projet'!$A$88,$BA$205^A24,IF(A24='Données projet'!$A$88,'Données projet'!$B$88,BD23+BC24-BL23)))</f>
        <v>108.6</v>
      </c>
      <c r="BE24" s="14">
        <f>BD24*VLOOKUP('Données projet'!$B$11,Paramètres!$A$1:$I$88,3,0)*VLOOKUP('Données projet'!$B$11,Paramètres!$A$1:$I$88,5,0)</f>
        <v>103.34375999999999</v>
      </c>
      <c r="BF24" s="14">
        <f t="shared" si="37"/>
        <v>27.757070967619558</v>
      </c>
      <c r="BG24" s="22">
        <f t="shared" si="7"/>
        <v>228.33394726860402</v>
      </c>
      <c r="BH24" s="62">
        <f t="shared" si="8"/>
        <v>510.66728060193736</v>
      </c>
      <c r="BI24" s="62">
        <f ca="1">AVERAGE(OFFSET($BH$3,0,0,'Données projet'!$E$11+1,1))-AVERAGE(OFFSET($H$3,0,0,'Données projet'!$E$11+1,1))</f>
        <v>525.51330555662139</v>
      </c>
      <c r="BJ24" s="62">
        <f t="shared" si="38"/>
        <v>357.72390083433635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>
        <f>VLOOKUP(A24,'Données projet'!$A$113:$I$133,2,0)</f>
        <v>110.82299999999999</v>
      </c>
      <c r="BW24" s="13">
        <f>VLOOKUP(A24,'Données projet'!$A$113:$I$133,9,0)</f>
        <v>14.719999999999985</v>
      </c>
      <c r="BX24" s="13">
        <f t="array" ref="BX24">INDEX(BW:BW,MIN(IF(ISNUMBER(BW24:BW220),ROW(BW24:BW220),"")))</f>
        <v>14.719999999999985</v>
      </c>
      <c r="BY24" s="13">
        <f>IF('Données projet'!$A$114&gt;35,BY23+BX24-CG23,IF(A24&lt;'Données projet'!$A$114,$BV$205^A24,IF(A24='Données projet'!$A$114,'Données projet'!$B$114,BY23+BX24-CG23)))</f>
        <v>110.82300000000001</v>
      </c>
      <c r="BZ24" s="14">
        <f>BY24*VLOOKUP('Données projet'!$B$12,Paramètres!$A$1:$I$88,3,0)*VLOOKUP('Données projet'!$B$12,Paramètres!$A$1:$I$88,5,0)</f>
        <v>66.272154000000015</v>
      </c>
      <c r="CA24" s="14">
        <f t="shared" si="39"/>
        <v>18.744774180635133</v>
      </c>
      <c r="CB24" s="22">
        <f t="shared" si="10"/>
        <v>148.0711499146062</v>
      </c>
      <c r="CC24" s="62">
        <f t="shared" si="11"/>
        <v>430.40448324793954</v>
      </c>
      <c r="CD24" s="62">
        <f ca="1">AVERAGE(OFFSET($CC$3,0,0,'Données projet'!$E$12+1,1))-AVERAGE(OFFSET($H$3,0,0,'Données projet'!$E$12+1,1))</f>
        <v>227.46616726010473</v>
      </c>
      <c r="CE24" s="62">
        <f t="shared" si="40"/>
        <v>314.188568589113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2.983565556578379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14.216376713139981</v>
      </c>
      <c r="CN24" s="24">
        <f t="shared" si="12"/>
        <v>17.19994226971836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5.72</v>
      </c>
      <c r="CT24" s="13">
        <f>IF('Données projet'!$A$140&gt;35,CT23+CS24-DB23,IF(A24&lt;'Données projet'!$A$140,$CQ$205^A24,IF(A24='Données projet'!$A$140,'Données projet'!$B$140,CT23+CS24-DB23)))</f>
        <v>64.637160763639187</v>
      </c>
      <c r="CU24" s="18">
        <f>CT24*VLOOKUP('Données projet'!$B$13,Paramètres!$A$1:$I$88,3,0)*VLOOKUP('Données projet'!$B$13,Paramètres!$A$1:$I$88,5,0)</f>
        <v>38.65302213665624</v>
      </c>
      <c r="CV24" s="14">
        <f t="shared" si="41"/>
        <v>11.640921647790195</v>
      </c>
      <c r="CW24" s="22">
        <f t="shared" si="13"/>
        <v>87.595285424577526</v>
      </c>
      <c r="CX24" s="62">
        <f t="shared" si="14"/>
        <v>369.92861875791084</v>
      </c>
      <c r="CY24" s="62">
        <f ca="1">AVERAGE(OFFSET($CX$3,0,0,'Données projet'!$E$13+1,1))-AVERAGE(OFFSET($H$3,0,0,'Données projet'!$E$13+1,1))</f>
        <v>356.46794174556311</v>
      </c>
      <c r="CZ24" s="62">
        <f t="shared" si="42"/>
        <v>248.47107558211923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>
        <f>VLOOKUP(A24,'Données projet'!$A$165:$I$185,2,0)</f>
        <v>210</v>
      </c>
      <c r="DM24" s="13">
        <f>VLOOKUP(A24,'Données projet'!$A$165:$I$185,9,0)</f>
        <v>10</v>
      </c>
      <c r="DN24" s="13">
        <f t="array" ref="DN24">INDEX(DM:DM,MIN(IF(ISNUMBER(DM24:DM220),ROW(DM24:DM220),"")))</f>
        <v>10</v>
      </c>
      <c r="DO24" s="13">
        <f>IF('Données projet'!$A$166&gt;35,DO23+DN24-DW23,IF(A24&lt;'Données projet'!$A$166,$DL$205^A24,IF(A24='Données projet'!$A$166,'Données projet'!$B$166,DO23+DN24-DW23)))</f>
        <v>210</v>
      </c>
      <c r="DP24" s="18">
        <f>DO24*VLOOKUP('Données projet'!$B$14,Paramètres!$A$1:$I$88,3,0)*VLOOKUP('Données projet'!$B$14,Paramètres!$A$1:$I$88,5,0)</f>
        <v>117.39</v>
      </c>
      <c r="DQ24" s="14">
        <f t="shared" si="43"/>
        <v>31.065482772413461</v>
      </c>
      <c r="DR24" s="22">
        <f t="shared" si="16"/>
        <v>258.55996582862014</v>
      </c>
      <c r="DS24" s="62">
        <f t="shared" si="17"/>
        <v>540.89329916195345</v>
      </c>
      <c r="DT24" s="62">
        <f ca="1">AVERAGE(OFFSET($DS$3,0,0,'Données projet'!$E$14+1,1))-AVERAGE(OFFSET($H$3,0,0,'Données projet'!$E$14+1,1))</f>
        <v>397.04445188588369</v>
      </c>
      <c r="DU24" s="62">
        <f t="shared" si="44"/>
        <v>350.01856672839466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0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7.6799999999999979</v>
      </c>
      <c r="EJ24" s="13">
        <f>IF('Données projet'!$A$192&gt;35,EJ23+EI24-ER23,IF(A24&lt;'Données projet'!$A$192,$EG$205^A24,IF(A24='Données projet'!$A$192,'Données projet'!$B$192,EJ23+EI24-ER23)))</f>
        <v>25.979999999999997</v>
      </c>
      <c r="EK24" s="18">
        <f>EJ24*VLOOKUP('Données projet'!$B$15,Paramètres!$A$1:$I$88,3,0)*VLOOKUP('Données projet'!$B$15,Paramètres!$A$1:$I$88,5,0)</f>
        <v>22.696128000000002</v>
      </c>
      <c r="EL24" s="14">
        <f t="shared" si="45"/>
        <v>7.2722876825180078</v>
      </c>
      <c r="EM24" s="22">
        <f t="shared" si="19"/>
        <v>52.194990647052201</v>
      </c>
      <c r="EN24" s="62">
        <f t="shared" si="20"/>
        <v>334.52832398038549</v>
      </c>
      <c r="EO24" s="62">
        <f ca="1">AVERAGE(OFFSET($EN$3,0,0,'Données projet'!$E$15+1,1))-AVERAGE(OFFSET($H$3,0,0,'Données projet'!$E$15+1,1))</f>
        <v>202.5548390231225</v>
      </c>
      <c r="EP24" s="62">
        <f t="shared" si="46"/>
        <v>184.62184077734179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projet'!$B$15,Paramètres!$A$1:$I$88,3,0)*0.475*44/12</f>
        <v>0</v>
      </c>
      <c r="EW24" s="23">
        <f>EXP(-LN(2)/25)*EW23+(1-EXP(-LN(2)/25))/(LN(2)/25)*Calculateur!ER24*Calculateur!ET24*VLOOKUP('Données projet'!$B$15,Paramètres!$A$1:$I$88,3,0)*0.475*44/12</f>
        <v>0</v>
      </c>
      <c r="EX24" s="23">
        <f>EXP(-LN(2)/2)*EX23+(1-EXP(-LN(2)/2))/(LN(2)/2)*ER24*EU24*VLOOKUP('Données projet'!$B$15,Paramètres!$A$1:$I$88,3,0)*0.475*44/12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IF('Données projet'!$A$218&gt;35,FE23+FD24-FM23,IF(A24&lt;'Données projet'!$A$218,$FB$205^A24,IF(A24='Données projet'!$A$218,'Données projet'!$B$218,FE23+FD24-FM23)))</f>
        <v>47.6</v>
      </c>
      <c r="FF24" s="18">
        <f>FE24*VLOOKUP('Données projet'!$B$16,Paramètres!$A$1:$I$88,3,0)*VLOOKUP('Données projet'!$B$16,Paramètres!$A$1:$I$88,5,0)</f>
        <v>46.038720000000005</v>
      </c>
      <c r="FG24" s="14">
        <f t="shared" si="47"/>
        <v>13.585879560828786</v>
      </c>
      <c r="FH24" s="22">
        <f t="shared" si="22"/>
        <v>103.84617756844348</v>
      </c>
      <c r="FI24" s="62">
        <f t="shared" si="23"/>
        <v>386.17951090177678</v>
      </c>
      <c r="FJ24" s="62">
        <f ca="1">AVERAGE(OFFSET($FI$3,0,0,'Données projet'!$E$16+1,1))-AVERAGE(OFFSET($H$3,0,0,'Données projet'!$E$16+1,1))</f>
        <v>456.96274622094955</v>
      </c>
      <c r="FK24" s="62">
        <f t="shared" si="48"/>
        <v>244.45149244446094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projet'!$B$16,Paramètres!$A$1:$I$88,3,0)*0.475*44/12</f>
        <v>0</v>
      </c>
      <c r="FR24" s="23">
        <f>EXP(-LN(2)/25)*FR23+(1-EXP(-LN(2)/25))/(LN(2)/25)*Calculateur!FM24*Calculateur!FO24*VLOOKUP('Données projet'!$B$16,Paramètres!$A$1:$I$88,3,0)*0.475*44/12</f>
        <v>0</v>
      </c>
      <c r="FS24" s="23">
        <f>EXP(-LN(2)/2)*FS23+(1-EXP(-LN(2)/2))/(LN(2)/2)*FM24*FP24*VLOOKUP('Données projet'!$B$16,Paramètres!$A$1:$I$88,3,0)*0.475*44/12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47.6</v>
      </c>
      <c r="GA24" s="18">
        <f>FZ24*VLOOKUP('Données projet'!$B$17,Paramètres!$A$1:$I$88,3,0)*VLOOKUP('Données projet'!$B$17,Paramètres!$A$1:$I$88,5,0)</f>
        <v>51.236640000000001</v>
      </c>
      <c r="GB24" s="14">
        <f t="shared" si="49"/>
        <v>14.932671799321549</v>
      </c>
      <c r="GC24" s="22">
        <f t="shared" si="25"/>
        <v>115.24488471715169</v>
      </c>
      <c r="GD24" s="62">
        <f t="shared" si="26"/>
        <v>397.57821805048502</v>
      </c>
      <c r="GE24" s="62">
        <f ca="1">AVERAGE(OFFSET($GD$3,0,0,'Données projet'!$E$17+1,1))-AVERAGE(OFFSET($H$3,0,0,'Données projet'!$E$17+1,1))</f>
        <v>503.69304261527651</v>
      </c>
      <c r="GF24" s="62">
        <f t="shared" si="50"/>
        <v>267.2998309535638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projet'!$B$17,Paramètres!$A$1:$I$88,3,0)*0.475*44/12</f>
        <v>0</v>
      </c>
      <c r="GM24" s="23">
        <f>EXP(-LN(2)/25)*GM23+(1-EXP(-LN(2)/25))/(LN(2)/25)*Calculateur!GH24*Calculateur!GJ24*VLOOKUP('Données projet'!$B$17,Paramètres!$A$1:$I$88,3,0)*0.475*44/12</f>
        <v>0</v>
      </c>
      <c r="GN24" s="23">
        <f>EXP(-LN(2)/2)*GN23+(1-EXP(-LN(2)/2))/(LN(2)/2)*GH24*GK24*VLOOKUP('Données projet'!$B$17,Paramètres!$A$1:$I$88,3,0)*0.475*44/12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7.2</v>
      </c>
      <c r="GU24" s="13">
        <f>IF('Données projet'!$A$270&gt;35,GU23+GT24-HC23,IF(A24&lt;'Données projet'!$A$270,$GR$205^A24,IF(A24='Données projet'!$A$270,'Données projet'!$B$270,GU23+GT24-HC23)))</f>
        <v>80.2</v>
      </c>
      <c r="GV24" s="18">
        <f>GU24*VLOOKUP('Données projet'!$B$18,Paramètres!$A$1:$I$88,3,0)*VLOOKUP('Données projet'!$B$18,Paramètres!$A$1:$I$88,5,0)</f>
        <v>83.825040000000001</v>
      </c>
      <c r="GW24" s="14">
        <f t="shared" si="51"/>
        <v>23.069868948400639</v>
      </c>
      <c r="GX24" s="22">
        <f t="shared" si="28"/>
        <v>186.17529975179778</v>
      </c>
      <c r="GY24" s="62">
        <f t="shared" si="29"/>
        <v>468.50863308513112</v>
      </c>
      <c r="GZ24" s="62">
        <f ca="1">AVERAGE(OFFSET($GY$3,0,0,'Données projet'!$E$18+1,1))-AVERAGE(OFFSET($H$3,0,0,'Données projet'!$E$18+1,1))</f>
        <v>582.89879210197682</v>
      </c>
      <c r="HA24" s="62">
        <f t="shared" si="52"/>
        <v>314.72094983133326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projet'!$B$18,Paramètres!$A$1:$I$88,3,0)*0.475*44/12</f>
        <v>0</v>
      </c>
      <c r="HH24" s="23">
        <f>EXP(-LN(2)/25)*HH23+(1-EXP(-LN(2)/25))/(LN(2)/25)*Calculateur!HC24*Calculateur!HE24*VLOOKUP('Données projet'!$B$18,Paramètres!$A$1:$I$88,3,0)*0.475*44/12</f>
        <v>0</v>
      </c>
      <c r="HI24" s="23">
        <f>EXP(-LN(2)/2)*HI23+(1-EXP(-LN(2)/2))/(LN(2)/2)*HC24*HF24*VLOOKUP('Données projet'!$B$18,Paramètres!$A$1:$I$88,3,0)*0.475*44/12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9.3000000000000007</v>
      </c>
      <c r="N25" s="14">
        <f>IF('Données projet'!$A$36&gt;35,N24+M25-V24,IF(A25&lt;'Données projet'!$A$36,$K$205^A25,IF(A25='Données projet'!$A$36,'Données projet'!$B$36,N24+M25-V24)))</f>
        <v>46.599999999999994</v>
      </c>
      <c r="O25" s="14">
        <f>N25*VLOOKUP('Données projet'!$B$9,Paramètres!$A$1:$I$88,3,0)*VLOOKUP('Données projet'!$B$9,Paramètres!$A$1:$I$88,5,0)</f>
        <v>21.808799999999994</v>
      </c>
      <c r="P25" s="14">
        <f t="shared" si="33"/>
        <v>7.0204846906618394</v>
      </c>
      <c r="Q25" s="22">
        <f t="shared" si="2"/>
        <v>50.211004169569357</v>
      </c>
      <c r="R25" s="62">
        <f t="shared" si="0"/>
        <v>333.76655972512492</v>
      </c>
      <c r="S25" s="62">
        <f ca="1">AVERAGE(OFFSET($R$3,0,0,'Données projet'!$E$9+1,1))-AVERAGE(OFFSET($H$3,0,0,'Données projet'!$E$9+1,1))</f>
        <v>399.92909819003523</v>
      </c>
      <c r="T25" s="62">
        <f t="shared" si="34"/>
        <v>163.7053537268381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projet'!$B$10,Paramètres!$A$1:$I$88,3,0)*VLOOKUP('Données projet'!$B$10,Paramètres!$A$1:$I$88,5,0)</f>
        <v>79.079520000000002</v>
      </c>
      <c r="AK25" s="14">
        <f t="shared" si="35"/>
        <v>21.911970621402002</v>
      </c>
      <c r="AL25" s="22">
        <f t="shared" si="4"/>
        <v>175.89351283227515</v>
      </c>
      <c r="AM25" s="62">
        <f t="shared" si="5"/>
        <v>459.44906838783072</v>
      </c>
      <c r="AN25" s="62">
        <f ca="1">AVERAGE(OFFSET($AM$3,0,0,'Données projet'!$E$10+1,1))-AVERAGE(OFFSET($H$3,0,0,'Données projet'!$E$10+1,1))</f>
        <v>510.56580450928806</v>
      </c>
      <c r="AO25" s="62">
        <f t="shared" si="36"/>
        <v>278.21741231699929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9.6</v>
      </c>
      <c r="BD25" s="13">
        <f>IF('Données projet'!$A$88&gt;35,BD24+BC25-BL24,IF(A25&lt;'Données projet'!$A$88,$BA$205^A25,IF(A25='Données projet'!$A$88,'Données projet'!$B$88,BD24+BC25-BL24)))</f>
        <v>118.19999999999999</v>
      </c>
      <c r="BE25" s="14">
        <f>BD25*VLOOKUP('Données projet'!$B$11,Paramètres!$A$1:$I$88,3,0)*VLOOKUP('Données projet'!$B$11,Paramètres!$A$1:$I$88,5,0)</f>
        <v>112.47911999999999</v>
      </c>
      <c r="BF25" s="14">
        <f t="shared" si="37"/>
        <v>29.914324778874633</v>
      </c>
      <c r="BG25" s="22">
        <f t="shared" si="7"/>
        <v>248.00191632320661</v>
      </c>
      <c r="BH25" s="62">
        <f t="shared" si="8"/>
        <v>531.55747187876216</v>
      </c>
      <c r="BI25" s="62">
        <f ca="1">AVERAGE(OFFSET($BH$3,0,0,'Données projet'!$E$11+1,1))-AVERAGE(OFFSET($H$3,0,0,'Données projet'!$E$11+1,1))</f>
        <v>525.51330555662139</v>
      </c>
      <c r="BJ25" s="62">
        <f t="shared" si="38"/>
        <v>357.72390083433635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>
        <f>VLOOKUP(A25,'Données projet'!$A$113:$I$133,2,0)</f>
        <v>126.871</v>
      </c>
      <c r="BW25" s="13">
        <f>VLOOKUP(A25,'Données projet'!$A$113:$I$133,9,0)</f>
        <v>16.048000000000002</v>
      </c>
      <c r="BX25" s="13">
        <f t="array" ref="BX25">INDEX(BW:BW,MIN(IF(ISNUMBER(BW25:BW221),ROW(BW25:BW221),"")))</f>
        <v>16.048000000000002</v>
      </c>
      <c r="BY25" s="13">
        <f>IF('Données projet'!$A$114&gt;35,BY24+BX25-CG24,IF(A25&lt;'Données projet'!$A$114,$BV$205^A25,IF(A25='Données projet'!$A$114,'Données projet'!$B$114,BY24+BX25-CG24)))</f>
        <v>126.87100000000001</v>
      </c>
      <c r="BZ25" s="14">
        <f>BY25*VLOOKUP('Données projet'!$B$12,Paramètres!$A$1:$I$88,3,0)*VLOOKUP('Données projet'!$B$12,Paramètres!$A$1:$I$88,5,0)</f>
        <v>75.868858000000017</v>
      </c>
      <c r="CA25" s="14">
        <f t="shared" si="39"/>
        <v>21.124002732140855</v>
      </c>
      <c r="CB25" s="22">
        <f t="shared" si="10"/>
        <v>168.92923244181199</v>
      </c>
      <c r="CC25" s="62">
        <f t="shared" si="11"/>
        <v>452.48478799736756</v>
      </c>
      <c r="CD25" s="62">
        <f ca="1">AVERAGE(OFFSET($CC$3,0,0,'Données projet'!$E$12+1,1))-AVERAGE(OFFSET($H$3,0,0,'Données projet'!$E$12+1,1))</f>
        <v>227.46616726010473</v>
      </c>
      <c r="CE25" s="62">
        <f t="shared" si="40"/>
        <v>314.188568589113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2.9250596558091768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10.052496377763804</v>
      </c>
      <c r="CN25" s="24">
        <f t="shared" si="12"/>
        <v>12.977556033572981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5.72</v>
      </c>
      <c r="CT25" s="13">
        <f>IF('Données projet'!$A$140&gt;35,CT24+CS25-DB24,IF(A25&lt;'Données projet'!$A$140,$CQ$205^A25,IF(A25='Données projet'!$A$140,'Données projet'!$B$140,CT24+CS25-DB24)))</f>
        <v>78.830759889932949</v>
      </c>
      <c r="CU25" s="18">
        <f>CT25*VLOOKUP('Données projet'!$B$13,Paramètres!$A$1:$I$88,3,0)*VLOOKUP('Données projet'!$B$13,Paramètres!$A$1:$I$88,5,0)</f>
        <v>47.140794414179901</v>
      </c>
      <c r="CV25" s="14">
        <f t="shared" si="41"/>
        <v>13.872845927948889</v>
      </c>
      <c r="CW25" s="22">
        <f t="shared" si="13"/>
        <v>106.26542359587431</v>
      </c>
      <c r="CX25" s="62">
        <f t="shared" si="14"/>
        <v>389.82097915142987</v>
      </c>
      <c r="CY25" s="62">
        <f ca="1">AVERAGE(OFFSET($CX$3,0,0,'Données projet'!$E$13+1,1))-AVERAGE(OFFSET($H$3,0,0,'Données projet'!$E$13+1,1))</f>
        <v>356.46794174556311</v>
      </c>
      <c r="CZ25" s="62">
        <f t="shared" si="42"/>
        <v>248.47107558211923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</v>
      </c>
      <c r="DO25" s="13">
        <f>IF('Données projet'!$A$166&gt;35,DO24+DN25-DW24,IF(A25&lt;'Données projet'!$A$166,$DL$205^A25,IF(A25='Données projet'!$A$166,'Données projet'!$B$166,DO24+DN25-DW24)))</f>
        <v>220</v>
      </c>
      <c r="DP25" s="18">
        <f>DO25*VLOOKUP('Données projet'!$B$14,Paramètres!$A$1:$I$88,3,0)*VLOOKUP('Données projet'!$B$14,Paramètres!$A$1:$I$88,5,0)</f>
        <v>122.97999999999999</v>
      </c>
      <c r="DQ25" s="14">
        <f t="shared" si="43"/>
        <v>32.369039984453188</v>
      </c>
      <c r="DR25" s="22">
        <f t="shared" si="16"/>
        <v>270.56624463958929</v>
      </c>
      <c r="DS25" s="62">
        <f t="shared" si="17"/>
        <v>554.12180019514483</v>
      </c>
      <c r="DT25" s="62">
        <f ca="1">AVERAGE(OFFSET($DS$3,0,0,'Données projet'!$E$14+1,1))-AVERAGE(OFFSET($H$3,0,0,'Données projet'!$E$14+1,1))</f>
        <v>397.04445188588369</v>
      </c>
      <c r="DU25" s="62">
        <f t="shared" si="44"/>
        <v>350.01856672839466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0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7.6799999999999979</v>
      </c>
      <c r="EJ25" s="13">
        <f>IF('Données projet'!$A$192&gt;35,EJ24+EI25-ER24,IF(A25&lt;'Données projet'!$A$192,$EG$205^A25,IF(A25='Données projet'!$A$192,'Données projet'!$B$192,EJ24+EI25-ER24)))</f>
        <v>33.659999999999997</v>
      </c>
      <c r="EK25" s="18">
        <f>EJ25*VLOOKUP('Données projet'!$B$15,Paramètres!$A$1:$I$88,3,0)*VLOOKUP('Données projet'!$B$15,Paramètres!$A$1:$I$88,5,0)</f>
        <v>29.405376</v>
      </c>
      <c r="EL25" s="14">
        <f t="shared" si="45"/>
        <v>9.1422676098411646</v>
      </c>
      <c r="EM25" s="22">
        <f t="shared" si="19"/>
        <v>67.137145953806694</v>
      </c>
      <c r="EN25" s="62">
        <f t="shared" si="20"/>
        <v>350.69270150936222</v>
      </c>
      <c r="EO25" s="62">
        <f ca="1">AVERAGE(OFFSET($EN$3,0,0,'Données projet'!$E$15+1,1))-AVERAGE(OFFSET($H$3,0,0,'Données projet'!$E$15+1,1))</f>
        <v>202.5548390231225</v>
      </c>
      <c r="EP25" s="62">
        <f t="shared" si="46"/>
        <v>184.62184077734179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projet'!$B$15,Paramètres!$A$1:$I$88,3,0)*0.475*44/12</f>
        <v>0</v>
      </c>
      <c r="EW25" s="23">
        <f>EXP(-LN(2)/25)*EW24+(1-EXP(-LN(2)/25))/(LN(2)/25)*Calculateur!ER25*Calculateur!ET25*VLOOKUP('Données projet'!$B$15,Paramètres!$A$1:$I$88,3,0)*0.475*44/12</f>
        <v>0</v>
      </c>
      <c r="EX25" s="23">
        <f>EXP(-LN(2)/2)*EX24+(1-EXP(-LN(2)/2))/(LN(2)/2)*ER25*EU25*VLOOKUP('Données projet'!$B$15,Paramètres!$A$1:$I$88,3,0)*0.475*44/12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IF('Données projet'!$A$218&gt;35,FE24+FD25-FM24,IF(A25&lt;'Données projet'!$A$218,$FB$205^A25,IF(A25='Données projet'!$A$218,'Données projet'!$B$218,FE24+FD25-FM24)))</f>
        <v>53.2</v>
      </c>
      <c r="FF25" s="18">
        <f>FE25*VLOOKUP('Données projet'!$B$16,Paramètres!$A$1:$I$88,3,0)*VLOOKUP('Données projet'!$B$16,Paramètres!$A$1:$I$88,5,0)</f>
        <v>51.455040000000004</v>
      </c>
      <c r="FG25" s="14">
        <f t="shared" si="47"/>
        <v>14.988900446655085</v>
      </c>
      <c r="FH25" s="22">
        <f t="shared" si="22"/>
        <v>115.72319627792427</v>
      </c>
      <c r="FI25" s="62">
        <f t="shared" si="23"/>
        <v>399.27875183347982</v>
      </c>
      <c r="FJ25" s="62">
        <f ca="1">AVERAGE(OFFSET($FI$3,0,0,'Données projet'!$E$16+1,1))-AVERAGE(OFFSET($H$3,0,0,'Données projet'!$E$16+1,1))</f>
        <v>456.96274622094955</v>
      </c>
      <c r="FK25" s="62">
        <f t="shared" si="48"/>
        <v>244.45149244446094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projet'!$B$16,Paramètres!$A$1:$I$88,3,0)*0.475*44/12</f>
        <v>0</v>
      </c>
      <c r="FR25" s="23">
        <f>EXP(-LN(2)/25)*FR24+(1-EXP(-LN(2)/25))/(LN(2)/25)*Calculateur!FM25*Calculateur!FO25*VLOOKUP('Données projet'!$B$16,Paramètres!$A$1:$I$88,3,0)*0.475*44/12</f>
        <v>0</v>
      </c>
      <c r="FS25" s="23">
        <f>EXP(-LN(2)/2)*FS24+(1-EXP(-LN(2)/2))/(LN(2)/2)*FM25*FP25*VLOOKUP('Données projet'!$B$16,Paramètres!$A$1:$I$88,3,0)*0.475*44/12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53.2</v>
      </c>
      <c r="GA25" s="18">
        <f>FZ25*VLOOKUP('Données projet'!$B$17,Paramètres!$A$1:$I$88,3,0)*VLOOKUP('Données projet'!$B$17,Paramètres!$A$1:$I$88,5,0)</f>
        <v>57.264479999999999</v>
      </c>
      <c r="GB25" s="14">
        <f t="shared" si="49"/>
        <v>16.474776623807379</v>
      </c>
      <c r="GC25" s="22">
        <f t="shared" si="25"/>
        <v>128.42920528646451</v>
      </c>
      <c r="GD25" s="62">
        <f t="shared" si="26"/>
        <v>411.98476084202002</v>
      </c>
      <c r="GE25" s="62">
        <f ca="1">AVERAGE(OFFSET($GD$3,0,0,'Données projet'!$E$17+1,1))-AVERAGE(OFFSET($H$3,0,0,'Données projet'!$E$17+1,1))</f>
        <v>503.69304261527651</v>
      </c>
      <c r="GF25" s="62">
        <f t="shared" si="50"/>
        <v>267.2998309535638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projet'!$B$17,Paramètres!$A$1:$I$88,3,0)*0.475*44/12</f>
        <v>0</v>
      </c>
      <c r="GM25" s="23">
        <f>EXP(-LN(2)/25)*GM24+(1-EXP(-LN(2)/25))/(LN(2)/25)*Calculateur!GH25*Calculateur!GJ25*VLOOKUP('Données projet'!$B$17,Paramètres!$A$1:$I$88,3,0)*0.475*44/12</f>
        <v>0</v>
      </c>
      <c r="GN25" s="23">
        <f>EXP(-LN(2)/2)*GN24+(1-EXP(-LN(2)/2))/(LN(2)/2)*GH25*GK25*VLOOKUP('Données projet'!$B$17,Paramètres!$A$1:$I$88,3,0)*0.475*44/12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7.2</v>
      </c>
      <c r="GU25" s="13">
        <f>IF('Données projet'!$A$270&gt;35,GU24+GT25-HC24,IF(A25&lt;'Données projet'!$A$270,$GR$205^A25,IF(A25='Données projet'!$A$270,'Données projet'!$B$270,GU24+GT25-HC24)))</f>
        <v>87.4</v>
      </c>
      <c r="GV25" s="18">
        <f>GU25*VLOOKUP('Données projet'!$B$18,Paramètres!$A$1:$I$88,3,0)*VLOOKUP('Données projet'!$B$18,Paramètres!$A$1:$I$88,5,0)</f>
        <v>91.350480000000019</v>
      </c>
      <c r="GW25" s="14">
        <f t="shared" si="51"/>
        <v>24.890645386194606</v>
      </c>
      <c r="GX25" s="22">
        <f t="shared" si="28"/>
        <v>202.45329338095564</v>
      </c>
      <c r="GY25" s="62">
        <f t="shared" si="29"/>
        <v>486.00884893651119</v>
      </c>
      <c r="GZ25" s="62">
        <f ca="1">AVERAGE(OFFSET($GY$3,0,0,'Données projet'!$E$18+1,1))-AVERAGE(OFFSET($H$3,0,0,'Données projet'!$E$18+1,1))</f>
        <v>582.89879210197682</v>
      </c>
      <c r="HA25" s="62">
        <f t="shared" si="52"/>
        <v>314.72094983133326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projet'!$B$18,Paramètres!$A$1:$I$88,3,0)*0.475*44/12</f>
        <v>0</v>
      </c>
      <c r="HH25" s="23">
        <f>EXP(-LN(2)/25)*HH24+(1-EXP(-LN(2)/25))/(LN(2)/25)*Calculateur!HC25*Calculateur!HE25*VLOOKUP('Données projet'!$B$18,Paramètres!$A$1:$I$88,3,0)*0.475*44/12</f>
        <v>0</v>
      </c>
      <c r="HI25" s="23">
        <f>EXP(-LN(2)/2)*HI24+(1-EXP(-LN(2)/2))/(LN(2)/2)*HC25*HF25*VLOOKUP('Données projet'!$B$18,Paramètres!$A$1:$I$88,3,0)*0.475*44/12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9.3000000000000007</v>
      </c>
      <c r="N26" s="14">
        <f>IF('Données projet'!$A$36&gt;35,N25+M26-V25,IF(A26&lt;'Données projet'!$A$36,$K$205^A26,IF(A26='Données projet'!$A$36,'Données projet'!$B$36,N25+M26-V25)))</f>
        <v>55.899999999999991</v>
      </c>
      <c r="O26" s="14">
        <f>N26*VLOOKUP('Données projet'!$B$9,Paramètres!$A$1:$I$88,3,0)*VLOOKUP('Données projet'!$B$9,Paramètres!$A$1:$I$88,5,0)</f>
        <v>26.161199999999994</v>
      </c>
      <c r="P26" s="14">
        <f t="shared" si="33"/>
        <v>8.2450705120606234</v>
      </c>
      <c r="Q26" s="22">
        <f t="shared" si="2"/>
        <v>59.924254475172233</v>
      </c>
      <c r="R26" s="62">
        <f t="shared" si="0"/>
        <v>344.70203225295</v>
      </c>
      <c r="S26" s="62">
        <f ca="1">AVERAGE(OFFSET($R$3,0,0,'Données projet'!$E$9+1,1))-AVERAGE(OFFSET($H$3,0,0,'Données projet'!$E$9+1,1))</f>
        <v>399.92909819003523</v>
      </c>
      <c r="T26" s="62">
        <f t="shared" si="34"/>
        <v>163.7053537268381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projet'!$B$10,Paramètres!$A$1:$I$88,3,0)*VLOOKUP('Données projet'!$B$10,Paramètres!$A$1:$I$88,5,0)</f>
        <v>85.594080000000005</v>
      </c>
      <c r="AK26" s="14">
        <f t="shared" si="35"/>
        <v>23.499539031833248</v>
      </c>
      <c r="AL26" s="22">
        <f t="shared" si="4"/>
        <v>190.00471981377623</v>
      </c>
      <c r="AM26" s="62">
        <f t="shared" si="5"/>
        <v>474.78249759155403</v>
      </c>
      <c r="AN26" s="62">
        <f ca="1">AVERAGE(OFFSET($AM$3,0,0,'Données projet'!$E$10+1,1))-AVERAGE(OFFSET($H$3,0,0,'Données projet'!$E$10+1,1))</f>
        <v>510.56580450928806</v>
      </c>
      <c r="AO26" s="62">
        <f t="shared" si="36"/>
        <v>278.21741231699929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9.6</v>
      </c>
      <c r="BD26" s="13">
        <f>IF('Données projet'!$A$88&gt;35,BD25+BC26-BL25,IF(A26&lt;'Données projet'!$A$88,$BA$205^A26,IF(A26='Données projet'!$A$88,'Données projet'!$B$88,BD25+BC26-BL25)))</f>
        <v>127.79999999999998</v>
      </c>
      <c r="BE26" s="14">
        <f>BD26*VLOOKUP('Données projet'!$B$11,Paramètres!$A$1:$I$88,3,0)*VLOOKUP('Données projet'!$B$11,Paramètres!$A$1:$I$88,5,0)</f>
        <v>121.61447999999999</v>
      </c>
      <c r="BF26" s="14">
        <f t="shared" si="37"/>
        <v>32.05125685916348</v>
      </c>
      <c r="BG26" s="22">
        <f t="shared" si="7"/>
        <v>267.63449169637636</v>
      </c>
      <c r="BH26" s="62">
        <f t="shared" si="8"/>
        <v>552.41226947415407</v>
      </c>
      <c r="BI26" s="62">
        <f ca="1">AVERAGE(OFFSET($BH$3,0,0,'Données projet'!$E$11+1,1))-AVERAGE(OFFSET($H$3,0,0,'Données projet'!$E$11+1,1))</f>
        <v>525.51330555662139</v>
      </c>
      <c r="BJ26" s="62">
        <f t="shared" si="38"/>
        <v>357.72390083433635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>
        <f>VLOOKUP(A26,'Données projet'!$A$113:$I$133,2,0)</f>
        <v>143.72650000000002</v>
      </c>
      <c r="BW26" s="13">
        <f>VLOOKUP(A26,'Données projet'!$A$113:$I$133,9,0)</f>
        <v>16.855500000000021</v>
      </c>
      <c r="BX26" s="13">
        <f t="array" ref="BX26">INDEX(BW:BW,MIN(IF(ISNUMBER(BW26:BW222),ROW(BW26:BW222),"")))</f>
        <v>16.855500000000021</v>
      </c>
      <c r="BY26" s="13">
        <f>IF('Données projet'!$A$114&gt;35,BY25+BX26-CG25,IF(A26&lt;'Données projet'!$A$114,$BV$205^A26,IF(A26='Données projet'!$A$114,'Données projet'!$B$114,BY25+BX26-CG25)))</f>
        <v>143.72650000000004</v>
      </c>
      <c r="BZ26" s="14">
        <f>BY26*VLOOKUP('Données projet'!$B$12,Paramètres!$A$1:$I$88,3,0)*VLOOKUP('Données projet'!$B$12,Paramètres!$A$1:$I$88,5,0)</f>
        <v>85.94844700000003</v>
      </c>
      <c r="CA26" s="14">
        <f t="shared" si="39"/>
        <v>23.585483929286731</v>
      </c>
      <c r="CB26" s="22">
        <f t="shared" si="10"/>
        <v>190.77159636850774</v>
      </c>
      <c r="CC26" s="62">
        <f t="shared" si="11"/>
        <v>475.54937414628552</v>
      </c>
      <c r="CD26" s="62">
        <f ca="1">AVERAGE(OFFSET($CC$3,0,0,'Données projet'!$E$12+1,1))-AVERAGE(OFFSET($H$3,0,0,'Données projet'!$E$12+1,1))</f>
        <v>227.46616726010473</v>
      </c>
      <c r="CE26" s="62">
        <f t="shared" si="40"/>
        <v>314.188568589113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2.8677010200689828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7.1081883565699924</v>
      </c>
      <c r="CN26" s="24">
        <f t="shared" si="12"/>
        <v>9.9758893766389747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5.72</v>
      </c>
      <c r="CT26" s="13">
        <f>IF('Données projet'!$A$140&gt;35,CT25+CS26-DB25,IF(A26&lt;'Données projet'!$A$140,$CQ$205^A26,IF(A26='Données projet'!$A$140,'Données projet'!$B$140,CT25+CS26-DB25)))</f>
        <v>96.141114977934336</v>
      </c>
      <c r="CU26" s="18">
        <f>CT26*VLOOKUP('Données projet'!$B$13,Paramètres!$A$1:$I$88,3,0)*VLOOKUP('Données projet'!$B$13,Paramètres!$A$1:$I$88,5,0)</f>
        <v>57.492386756804741</v>
      </c>
      <c r="CV26" s="14">
        <f t="shared" si="41"/>
        <v>16.532699039095597</v>
      </c>
      <c r="CW26" s="22">
        <f t="shared" si="13"/>
        <v>128.92702442785975</v>
      </c>
      <c r="CX26" s="62">
        <f t="shared" si="14"/>
        <v>413.70480220563752</v>
      </c>
      <c r="CY26" s="62">
        <f ca="1">AVERAGE(OFFSET($CX$3,0,0,'Données projet'!$E$13+1,1))-AVERAGE(OFFSET($H$3,0,0,'Données projet'!$E$13+1,1))</f>
        <v>356.46794174556311</v>
      </c>
      <c r="CZ26" s="62">
        <f t="shared" si="42"/>
        <v>248.47107558211923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</v>
      </c>
      <c r="DO26" s="13">
        <f>IF('Données projet'!$A$166&gt;35,DO25+DN26-DW25,IF(A26&lt;'Données projet'!$A$166,$DL$205^A26,IF(A26='Données projet'!$A$166,'Données projet'!$B$166,DO25+DN26-DW25)))</f>
        <v>230</v>
      </c>
      <c r="DP26" s="18">
        <f>DO26*VLOOKUP('Données projet'!$B$14,Paramètres!$A$1:$I$88,3,0)*VLOOKUP('Données projet'!$B$14,Paramètres!$A$1:$I$88,5,0)</f>
        <v>128.57</v>
      </c>
      <c r="DQ26" s="14">
        <f t="shared" si="43"/>
        <v>33.665715905233249</v>
      </c>
      <c r="DR26" s="22">
        <f t="shared" si="16"/>
        <v>282.56053853494785</v>
      </c>
      <c r="DS26" s="62">
        <f t="shared" si="17"/>
        <v>567.33831631272562</v>
      </c>
      <c r="DT26" s="62">
        <f ca="1">AVERAGE(OFFSET($DS$3,0,0,'Données projet'!$E$14+1,1))-AVERAGE(OFFSET($H$3,0,0,'Données projet'!$E$14+1,1))</f>
        <v>397.04445188588369</v>
      </c>
      <c r="DU26" s="62">
        <f t="shared" si="44"/>
        <v>350.01856672839466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0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7.6799999999999979</v>
      </c>
      <c r="EJ26" s="13">
        <f>IF('Données projet'!$A$192&gt;35,EJ25+EI26-ER25,IF(A26&lt;'Données projet'!$A$192,$EG$205^A26,IF(A26='Données projet'!$A$192,'Données projet'!$B$192,EJ25+EI26-ER25)))</f>
        <v>41.339999999999996</v>
      </c>
      <c r="EK26" s="18">
        <f>EJ26*VLOOKUP('Données projet'!$B$15,Paramètres!$A$1:$I$88,3,0)*VLOOKUP('Données projet'!$B$15,Paramètres!$A$1:$I$88,5,0)</f>
        <v>36.114624000000006</v>
      </c>
      <c r="EL26" s="14">
        <f t="shared" si="45"/>
        <v>10.962783815139515</v>
      </c>
      <c r="EM26" s="22">
        <f t="shared" si="19"/>
        <v>81.993151944701324</v>
      </c>
      <c r="EN26" s="62">
        <f t="shared" si="20"/>
        <v>366.77092972247908</v>
      </c>
      <c r="EO26" s="62">
        <f ca="1">AVERAGE(OFFSET($EN$3,0,0,'Données projet'!$E$15+1,1))-AVERAGE(OFFSET($H$3,0,0,'Données projet'!$E$15+1,1))</f>
        <v>202.5548390231225</v>
      </c>
      <c r="EP26" s="62">
        <f t="shared" si="46"/>
        <v>184.62184077734179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projet'!$B$15,Paramètres!$A$1:$I$88,3,0)*0.475*44/12</f>
        <v>0</v>
      </c>
      <c r="EW26" s="23">
        <f>EXP(-LN(2)/25)*EW25+(1-EXP(-LN(2)/25))/(LN(2)/25)*Calculateur!ER26*Calculateur!ET26*VLOOKUP('Données projet'!$B$15,Paramètres!$A$1:$I$88,3,0)*0.475*44/12</f>
        <v>0</v>
      </c>
      <c r="EX26" s="23">
        <f>EXP(-LN(2)/2)*EX25+(1-EXP(-LN(2)/2))/(LN(2)/2)*ER26*EU26*VLOOKUP('Données projet'!$B$15,Paramètres!$A$1:$I$88,3,0)*0.475*44/12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IF('Données projet'!$A$218&gt;35,FE25+FD26-FM25,IF(A26&lt;'Données projet'!$A$218,$FB$205^A26,IF(A26='Données projet'!$A$218,'Données projet'!$B$218,FE25+FD26-FM25)))</f>
        <v>58.800000000000004</v>
      </c>
      <c r="FF26" s="18">
        <f>FE26*VLOOKUP('Données projet'!$B$16,Paramètres!$A$1:$I$88,3,0)*VLOOKUP('Données projet'!$B$16,Paramètres!$A$1:$I$88,5,0)</f>
        <v>56.87136000000001</v>
      </c>
      <c r="FG26" s="14">
        <f t="shared" si="47"/>
        <v>16.374802181791551</v>
      </c>
      <c r="FH26" s="22">
        <f t="shared" si="22"/>
        <v>127.57039913328697</v>
      </c>
      <c r="FI26" s="62">
        <f t="shared" si="23"/>
        <v>412.34817691106474</v>
      </c>
      <c r="FJ26" s="62">
        <f ca="1">AVERAGE(OFFSET($FI$3,0,0,'Données projet'!$E$16+1,1))-AVERAGE(OFFSET($H$3,0,0,'Données projet'!$E$16+1,1))</f>
        <v>456.96274622094955</v>
      </c>
      <c r="FK26" s="62">
        <f t="shared" si="48"/>
        <v>244.45149244446094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projet'!$B$16,Paramètres!$A$1:$I$88,3,0)*0.475*44/12</f>
        <v>0</v>
      </c>
      <c r="FR26" s="23">
        <f>EXP(-LN(2)/25)*FR25+(1-EXP(-LN(2)/25))/(LN(2)/25)*Calculateur!FM26*Calculateur!FO26*VLOOKUP('Données projet'!$B$16,Paramètres!$A$1:$I$88,3,0)*0.475*44/12</f>
        <v>0</v>
      </c>
      <c r="FS26" s="23">
        <f>EXP(-LN(2)/2)*FS25+(1-EXP(-LN(2)/2))/(LN(2)/2)*FM26*FP26*VLOOKUP('Données projet'!$B$16,Paramètres!$A$1:$I$88,3,0)*0.475*44/12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58.800000000000004</v>
      </c>
      <c r="GA26" s="18">
        <f>FZ26*VLOOKUP('Données projet'!$B$17,Paramètres!$A$1:$I$88,3,0)*VLOOKUP('Données projet'!$B$17,Paramètres!$A$1:$I$88,5,0)</f>
        <v>63.292320000000004</v>
      </c>
      <c r="GB26" s="14">
        <f t="shared" si="49"/>
        <v>17.998065245956816</v>
      </c>
      <c r="GC26" s="22">
        <f t="shared" si="25"/>
        <v>141.58075430337479</v>
      </c>
      <c r="GD26" s="62">
        <f t="shared" si="26"/>
        <v>426.35853208115259</v>
      </c>
      <c r="GE26" s="62">
        <f ca="1">AVERAGE(OFFSET($GD$3,0,0,'Données projet'!$E$17+1,1))-AVERAGE(OFFSET($H$3,0,0,'Données projet'!$E$17+1,1))</f>
        <v>503.69304261527651</v>
      </c>
      <c r="GF26" s="62">
        <f t="shared" si="50"/>
        <v>267.2998309535638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projet'!$B$17,Paramètres!$A$1:$I$88,3,0)*0.475*44/12</f>
        <v>0</v>
      </c>
      <c r="GM26" s="23">
        <f>EXP(-LN(2)/25)*GM25+(1-EXP(-LN(2)/25))/(LN(2)/25)*Calculateur!GH26*Calculateur!GJ26*VLOOKUP('Données projet'!$B$17,Paramètres!$A$1:$I$88,3,0)*0.475*44/12</f>
        <v>0</v>
      </c>
      <c r="GN26" s="23">
        <f>EXP(-LN(2)/2)*GN25+(1-EXP(-LN(2)/2))/(LN(2)/2)*GH26*GK26*VLOOKUP('Données projet'!$B$17,Paramètres!$A$1:$I$88,3,0)*0.475*44/12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7.2</v>
      </c>
      <c r="GU26" s="13">
        <f>IF('Données projet'!$A$270&gt;35,GU25+GT26-HC25,IF(A26&lt;'Données projet'!$A$270,$GR$205^A26,IF(A26='Données projet'!$A$270,'Données projet'!$B$270,GU25+GT26-HC25)))</f>
        <v>94.600000000000009</v>
      </c>
      <c r="GV26" s="18">
        <f>GU26*VLOOKUP('Données projet'!$B$18,Paramètres!$A$1:$I$88,3,0)*VLOOKUP('Données projet'!$B$18,Paramètres!$A$1:$I$88,5,0)</f>
        <v>98.875920000000022</v>
      </c>
      <c r="GW26" s="14">
        <f t="shared" si="51"/>
        <v>26.69402505537747</v>
      </c>
      <c r="GX26" s="22">
        <f t="shared" si="28"/>
        <v>218.70098763811578</v>
      </c>
      <c r="GY26" s="62">
        <f t="shared" si="29"/>
        <v>503.47876541589358</v>
      </c>
      <c r="GZ26" s="62">
        <f ca="1">AVERAGE(OFFSET($GY$3,0,0,'Données projet'!$E$18+1,1))-AVERAGE(OFFSET($H$3,0,0,'Données projet'!$E$18+1,1))</f>
        <v>582.89879210197682</v>
      </c>
      <c r="HA26" s="62">
        <f t="shared" si="52"/>
        <v>314.72094983133326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projet'!$B$18,Paramètres!$A$1:$I$88,3,0)*0.475*44/12</f>
        <v>0</v>
      </c>
      <c r="HH26" s="23">
        <f>EXP(-LN(2)/25)*HH25+(1-EXP(-LN(2)/25))/(LN(2)/25)*Calculateur!HC26*Calculateur!HE26*VLOOKUP('Données projet'!$B$18,Paramètres!$A$1:$I$88,3,0)*0.475*44/12</f>
        <v>0</v>
      </c>
      <c r="HI26" s="23">
        <f>EXP(-LN(2)/2)*HI25+(1-EXP(-LN(2)/2))/(LN(2)/2)*HC26*HF26*VLOOKUP('Données projet'!$B$18,Paramètres!$A$1:$I$88,3,0)*0.475*44/12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9.3000000000000007</v>
      </c>
      <c r="N27" s="14">
        <f>IF('Données projet'!$A$36&gt;35,N26+M27-V26,IF(A27&lt;'Données projet'!$A$36,$K$205^A27,IF(A27='Données projet'!$A$36,'Données projet'!$B$36,N26+M27-V26)))</f>
        <v>65.199999999999989</v>
      </c>
      <c r="O27" s="14">
        <f>N27*VLOOKUP('Données projet'!$B$9,Paramètres!$A$1:$I$88,3,0)*VLOOKUP('Données projet'!$B$9,Paramètres!$A$1:$I$88,5,0)</f>
        <v>30.513599999999993</v>
      </c>
      <c r="P27" s="14">
        <f t="shared" si="33"/>
        <v>9.4460551368326566</v>
      </c>
      <c r="Q27" s="22">
        <f t="shared" si="2"/>
        <v>69.596399363316863</v>
      </c>
      <c r="R27" s="62">
        <f t="shared" si="0"/>
        <v>355.59639936331689</v>
      </c>
      <c r="S27" s="62">
        <f ca="1">AVERAGE(OFFSET($R$3,0,0,'Données projet'!$E$9+1,1))-AVERAGE(OFFSET($H$3,0,0,'Données projet'!$E$9+1,1))</f>
        <v>399.92909819003523</v>
      </c>
      <c r="T27" s="62">
        <f t="shared" si="34"/>
        <v>163.7053537268381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projet'!$B$10,Paramètres!$A$1:$I$88,3,0)*VLOOKUP('Données projet'!$B$10,Paramètres!$A$1:$I$88,5,0)</f>
        <v>92.108640000000008</v>
      </c>
      <c r="AK27" s="14">
        <f t="shared" si="35"/>
        <v>25.073090701604293</v>
      </c>
      <c r="AL27" s="22">
        <f t="shared" si="4"/>
        <v>204.09151430529414</v>
      </c>
      <c r="AM27" s="62">
        <f t="shared" si="5"/>
        <v>490.09151430529414</v>
      </c>
      <c r="AN27" s="62">
        <f ca="1">AVERAGE(OFFSET($AM$3,0,0,'Données projet'!$E$10+1,1))-AVERAGE(OFFSET($H$3,0,0,'Données projet'!$E$10+1,1))</f>
        <v>510.56580450928806</v>
      </c>
      <c r="AO27" s="62">
        <f t="shared" si="36"/>
        <v>278.21741231699929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9.6</v>
      </c>
      <c r="BD27" s="13">
        <f>IF('Données projet'!$A$88&gt;35,BD26+BC27-BL26,IF(A27&lt;'Données projet'!$A$88,$BA$205^A27,IF(A27='Données projet'!$A$88,'Données projet'!$B$88,BD26+BC27-BL26)))</f>
        <v>137.39999999999998</v>
      </c>
      <c r="BE27" s="14">
        <f>BD27*VLOOKUP('Données projet'!$B$11,Paramètres!$A$1:$I$88,3,0)*VLOOKUP('Données projet'!$B$11,Paramètres!$A$1:$I$88,5,0)</f>
        <v>130.74983999999998</v>
      </c>
      <c r="BF27" s="14">
        <f t="shared" si="37"/>
        <v>34.169567299991897</v>
      </c>
      <c r="BG27" s="22">
        <f t="shared" si="7"/>
        <v>287.23463438081916</v>
      </c>
      <c r="BH27" s="62">
        <f t="shared" si="8"/>
        <v>573.23463438081922</v>
      </c>
      <c r="BI27" s="62">
        <f ca="1">AVERAGE(OFFSET($BH$3,0,0,'Données projet'!$E$11+1,1))-AVERAGE(OFFSET($H$3,0,0,'Données projet'!$E$11+1,1))</f>
        <v>525.51330555662139</v>
      </c>
      <c r="BJ27" s="62">
        <f t="shared" si="38"/>
        <v>357.72390083433635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161.67850000000001</v>
      </c>
      <c r="BW27" s="13">
        <f>VLOOKUP(A27,'Données projet'!$A$113:$I$133,9,0)</f>
        <v>17.951999999999998</v>
      </c>
      <c r="BX27" s="13">
        <f t="array" ref="BX27">INDEX(BW:BW,MIN(IF(ISNUMBER(BW27:BW223),ROW(BW27:BW223),"")))</f>
        <v>17.951999999999998</v>
      </c>
      <c r="BY27" s="13">
        <f>IF('Données projet'!$A$114&gt;35,BY26+BX27-CG26,IF(A27&lt;'Données projet'!$A$114,$BV$205^A27,IF(A27='Données projet'!$A$114,'Données projet'!$B$114,BY26+BX27-CG26)))</f>
        <v>161.67850000000004</v>
      </c>
      <c r="BZ27" s="14">
        <f>BY27*VLOOKUP('Données projet'!$B$12,Paramètres!$A$1:$I$88,3,0)*VLOOKUP('Données projet'!$B$12,Paramètres!$A$1:$I$88,5,0)</f>
        <v>96.683743000000035</v>
      </c>
      <c r="CA27" s="14">
        <f t="shared" si="39"/>
        <v>26.170401043006244</v>
      </c>
      <c r="CB27" s="22">
        <f t="shared" si="10"/>
        <v>213.97096754156925</v>
      </c>
      <c r="CC27" s="62">
        <f t="shared" si="11"/>
        <v>499.97096754156928</v>
      </c>
      <c r="CD27" s="62">
        <f ca="1">AVERAGE(OFFSET($CC$3,0,0,'Données projet'!$E$12+1,1))-AVERAGE(OFFSET($H$3,0,0,'Données projet'!$E$12+1,1))</f>
        <v>227.46616726010473</v>
      </c>
      <c r="CE27" s="62">
        <f t="shared" si="40"/>
        <v>314.188568589113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2.8114671521903407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5.0262481888819028</v>
      </c>
      <c r="CN27" s="24">
        <f t="shared" si="12"/>
        <v>7.8377153410722435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5.72</v>
      </c>
      <c r="CT27" s="13">
        <f>IF('Données projet'!$A$140&gt;35,CT26+CS27-DB26,IF(A27&lt;'Données projet'!$A$140,$CQ$205^A27,IF(A27='Données projet'!$A$140,'Données projet'!$B$140,CT26+CS27-DB26)))</f>
        <v>117.25263085255098</v>
      </c>
      <c r="CU27" s="18">
        <f>CT27*VLOOKUP('Données projet'!$B$13,Paramètres!$A$1:$I$88,3,0)*VLOOKUP('Données projet'!$B$13,Paramètres!$A$1:$I$88,5,0)</f>
        <v>70.117073249825495</v>
      </c>
      <c r="CV27" s="14">
        <f t="shared" si="41"/>
        <v>19.702528157301074</v>
      </c>
      <c r="CW27" s="22">
        <f t="shared" si="13"/>
        <v>156.43580578407878</v>
      </c>
      <c r="CX27" s="62">
        <f t="shared" si="14"/>
        <v>442.43580578407875</v>
      </c>
      <c r="CY27" s="62">
        <f ca="1">AVERAGE(OFFSET($CX$3,0,0,'Données projet'!$E$13+1,1))-AVERAGE(OFFSET($H$3,0,0,'Données projet'!$E$13+1,1))</f>
        <v>356.46794174556311</v>
      </c>
      <c r="CZ27" s="62">
        <f t="shared" si="42"/>
        <v>248.47107558211923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</v>
      </c>
      <c r="DO27" s="13">
        <f>IF('Données projet'!$A$166&gt;35,DO26+DN27-DW26,IF(A27&lt;'Données projet'!$A$166,$DL$205^A27,IF(A27='Données projet'!$A$166,'Données projet'!$B$166,DO26+DN27-DW26)))</f>
        <v>240</v>
      </c>
      <c r="DP27" s="18">
        <f>DO27*VLOOKUP('Données projet'!$B$14,Paramètres!$A$1:$I$88,3,0)*VLOOKUP('Données projet'!$B$14,Paramètres!$A$1:$I$88,5,0)</f>
        <v>134.16</v>
      </c>
      <c r="DQ27" s="14">
        <f t="shared" si="43"/>
        <v>34.955843917296178</v>
      </c>
      <c r="DR27" s="22">
        <f t="shared" si="16"/>
        <v>294.54342815595749</v>
      </c>
      <c r="DS27" s="62">
        <f t="shared" si="17"/>
        <v>580.54342815595749</v>
      </c>
      <c r="DT27" s="62">
        <f ca="1">AVERAGE(OFFSET($DS$3,0,0,'Données projet'!$E$14+1,1))-AVERAGE(OFFSET($H$3,0,0,'Données projet'!$E$14+1,1))</f>
        <v>397.04445188588369</v>
      </c>
      <c r="DU27" s="62">
        <f t="shared" si="44"/>
        <v>350.01856672839466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0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7.6799999999999979</v>
      </c>
      <c r="EJ27" s="13">
        <f>IF('Données projet'!$A$192&gt;35,EJ26+EI27-ER26,IF(A27&lt;'Données projet'!$A$192,$EG$205^A27,IF(A27='Données projet'!$A$192,'Données projet'!$B$192,EJ26+EI27-ER26)))</f>
        <v>49.019999999999996</v>
      </c>
      <c r="EK27" s="18">
        <f>EJ27*VLOOKUP('Données projet'!$B$15,Paramètres!$A$1:$I$88,3,0)*VLOOKUP('Données projet'!$B$15,Paramètres!$A$1:$I$88,5,0)</f>
        <v>42.823872000000001</v>
      </c>
      <c r="EL27" s="14">
        <f t="shared" si="45"/>
        <v>12.744117137555916</v>
      </c>
      <c r="EM27" s="22">
        <f t="shared" si="19"/>
        <v>96.780914414576557</v>
      </c>
      <c r="EN27" s="62">
        <f t="shared" si="20"/>
        <v>382.78091441457656</v>
      </c>
      <c r="EO27" s="62">
        <f ca="1">AVERAGE(OFFSET($EN$3,0,0,'Données projet'!$E$15+1,1))-AVERAGE(OFFSET($H$3,0,0,'Données projet'!$E$15+1,1))</f>
        <v>202.5548390231225</v>
      </c>
      <c r="EP27" s="62">
        <f t="shared" si="46"/>
        <v>184.62184077734179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projet'!$B$15,Paramètres!$A$1:$I$88,3,0)*0.475*44/12</f>
        <v>0</v>
      </c>
      <c r="EW27" s="23">
        <f>EXP(-LN(2)/25)*EW26+(1-EXP(-LN(2)/25))/(LN(2)/25)*Calculateur!ER27*Calculateur!ET27*VLOOKUP('Données projet'!$B$15,Paramètres!$A$1:$I$88,3,0)*0.475*44/12</f>
        <v>0</v>
      </c>
      <c r="EX27" s="23">
        <f>EXP(-LN(2)/2)*EX26+(1-EXP(-LN(2)/2))/(LN(2)/2)*ER27*EU27*VLOOKUP('Données projet'!$B$15,Paramètres!$A$1:$I$88,3,0)*0.475*44/12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IF('Données projet'!$A$218&gt;35,FE26+FD27-FM26,IF(A27&lt;'Données projet'!$A$218,$FB$205^A27,IF(A27='Données projet'!$A$218,'Données projet'!$B$218,FE26+FD27-FM26)))</f>
        <v>64.400000000000006</v>
      </c>
      <c r="FF27" s="18">
        <f>FE27*VLOOKUP('Données projet'!$B$16,Paramètres!$A$1:$I$88,3,0)*VLOOKUP('Données projet'!$B$16,Paramètres!$A$1:$I$88,5,0)</f>
        <v>62.287680000000009</v>
      </c>
      <c r="FG27" s="14">
        <f t="shared" si="47"/>
        <v>17.745400652396182</v>
      </c>
      <c r="FH27" s="22">
        <f t="shared" si="22"/>
        <v>139.39094880292336</v>
      </c>
      <c r="FI27" s="62">
        <f t="shared" si="23"/>
        <v>425.39094880292339</v>
      </c>
      <c r="FJ27" s="62">
        <f ca="1">AVERAGE(OFFSET($FI$3,0,0,'Données projet'!$E$16+1,1))-AVERAGE(OFFSET($H$3,0,0,'Données projet'!$E$16+1,1))</f>
        <v>456.96274622094955</v>
      </c>
      <c r="FK27" s="62">
        <f t="shared" si="48"/>
        <v>244.45149244446094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projet'!$B$16,Paramètres!$A$1:$I$88,3,0)*0.475*44/12</f>
        <v>0</v>
      </c>
      <c r="FR27" s="23">
        <f>EXP(-LN(2)/25)*FR26+(1-EXP(-LN(2)/25))/(LN(2)/25)*Calculateur!FM27*Calculateur!FO27*VLOOKUP('Données projet'!$B$16,Paramètres!$A$1:$I$88,3,0)*0.475*44/12</f>
        <v>0</v>
      </c>
      <c r="FS27" s="23">
        <f>EXP(-LN(2)/2)*FS26+(1-EXP(-LN(2)/2))/(LN(2)/2)*FM27*FP27*VLOOKUP('Données projet'!$B$16,Paramètres!$A$1:$I$88,3,0)*0.475*44/12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64.400000000000006</v>
      </c>
      <c r="GA27" s="18">
        <f>FZ27*VLOOKUP('Données projet'!$B$17,Paramètres!$A$1:$I$88,3,0)*VLOOKUP('Données projet'!$B$17,Paramètres!$A$1:$I$88,5,0)</f>
        <v>69.320160000000001</v>
      </c>
      <c r="GB27" s="14">
        <f t="shared" si="49"/>
        <v>19.50453356393022</v>
      </c>
      <c r="GC27" s="22">
        <f t="shared" si="25"/>
        <v>154.70300795717847</v>
      </c>
      <c r="GD27" s="62">
        <f t="shared" si="26"/>
        <v>440.70300795717844</v>
      </c>
      <c r="GE27" s="62">
        <f ca="1">AVERAGE(OFFSET($GD$3,0,0,'Données projet'!$E$17+1,1))-AVERAGE(OFFSET($H$3,0,0,'Données projet'!$E$17+1,1))</f>
        <v>503.69304261527651</v>
      </c>
      <c r="GF27" s="62">
        <f t="shared" si="50"/>
        <v>267.2998309535638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projet'!$B$17,Paramètres!$A$1:$I$88,3,0)*0.475*44/12</f>
        <v>0</v>
      </c>
      <c r="GM27" s="23">
        <f>EXP(-LN(2)/25)*GM26+(1-EXP(-LN(2)/25))/(LN(2)/25)*Calculateur!GH27*Calculateur!GJ27*VLOOKUP('Données projet'!$B$17,Paramètres!$A$1:$I$88,3,0)*0.475*44/12</f>
        <v>0</v>
      </c>
      <c r="GN27" s="23">
        <f>EXP(-LN(2)/2)*GN26+(1-EXP(-LN(2)/2))/(LN(2)/2)*GH27*GK27*VLOOKUP('Données projet'!$B$17,Paramètres!$A$1:$I$88,3,0)*0.475*44/12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7.2</v>
      </c>
      <c r="GU27" s="13">
        <f>IF('Données projet'!$A$270&gt;35,GU26+GT27-HC26,IF(A27&lt;'Données projet'!$A$270,$GR$205^A27,IF(A27='Données projet'!$A$270,'Données projet'!$B$270,GU26+GT27-HC26)))</f>
        <v>101.80000000000001</v>
      </c>
      <c r="GV27" s="18">
        <f>GU27*VLOOKUP('Données projet'!$B$18,Paramètres!$A$1:$I$88,3,0)*VLOOKUP('Données projet'!$B$18,Paramètres!$A$1:$I$88,5,0)</f>
        <v>106.40136000000003</v>
      </c>
      <c r="GW27" s="14">
        <f t="shared" si="51"/>
        <v>28.481482572816386</v>
      </c>
      <c r="GX27" s="22">
        <f t="shared" si="28"/>
        <v>234.92095081432191</v>
      </c>
      <c r="GY27" s="62">
        <f t="shared" si="29"/>
        <v>520.92095081432194</v>
      </c>
      <c r="GZ27" s="62">
        <f ca="1">AVERAGE(OFFSET($GY$3,0,0,'Données projet'!$E$18+1,1))-AVERAGE(OFFSET($H$3,0,0,'Données projet'!$E$18+1,1))</f>
        <v>582.89879210197682</v>
      </c>
      <c r="HA27" s="62">
        <f t="shared" si="52"/>
        <v>314.72094983133326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projet'!$B$18,Paramètres!$A$1:$I$88,3,0)*0.475*44/12</f>
        <v>0</v>
      </c>
      <c r="HH27" s="23">
        <f>EXP(-LN(2)/25)*HH26+(1-EXP(-LN(2)/25))/(LN(2)/25)*Calculateur!HC27*Calculateur!HE27*VLOOKUP('Données projet'!$B$18,Paramètres!$A$1:$I$88,3,0)*0.475*44/12</f>
        <v>0</v>
      </c>
      <c r="HI27" s="23">
        <f>EXP(-LN(2)/2)*HI26+(1-EXP(-LN(2)/2))/(LN(2)/2)*HC27*HF27*VLOOKUP('Données projet'!$B$18,Paramètres!$A$1:$I$88,3,0)*0.475*44/12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9.3000000000000007</v>
      </c>
      <c r="N28" s="14">
        <f>IF('Données projet'!$A$36&gt;35,N27+M28-V27,IF(A28&lt;'Données projet'!$A$36,$K$205^A28,IF(A28='Données projet'!$A$36,'Données projet'!$B$36,N27+M28-V27)))</f>
        <v>74.499999999999986</v>
      </c>
      <c r="O28" s="14">
        <f>N28*VLOOKUP('Données projet'!$B$9,Paramètres!$A$1:$I$88,3,0)*VLOOKUP('Données projet'!$B$9,Paramètres!$A$1:$I$88,5,0)</f>
        <v>34.865999999999993</v>
      </c>
      <c r="P28" s="14">
        <f t="shared" si="33"/>
        <v>10.627193376648185</v>
      </c>
      <c r="Q28" s="22">
        <f t="shared" si="2"/>
        <v>79.233978464328899</v>
      </c>
      <c r="R28" s="62">
        <f t="shared" si="0"/>
        <v>366.45620068655114</v>
      </c>
      <c r="S28" s="62">
        <f ca="1">AVERAGE(OFFSET($R$3,0,0,'Données projet'!$E$9+1,1))-AVERAGE(OFFSET($H$3,0,0,'Données projet'!$E$9+1,1))</f>
        <v>399.92909819003523</v>
      </c>
      <c r="T28" s="62">
        <f t="shared" si="34"/>
        <v>163.7053537268381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projet'!$B$10,Paramètres!$A$1:$I$88,3,0)*VLOOKUP('Données projet'!$B$10,Paramètres!$A$1:$I$88,5,0)</f>
        <v>98.623200000000011</v>
      </c>
      <c r="AK28" s="14">
        <f t="shared" si="35"/>
        <v>26.633729748944933</v>
      </c>
      <c r="AL28" s="22">
        <f t="shared" si="4"/>
        <v>218.15581931274576</v>
      </c>
      <c r="AM28" s="62">
        <f t="shared" si="5"/>
        <v>505.37804153496802</v>
      </c>
      <c r="AN28" s="62">
        <f ca="1">AVERAGE(OFFSET($AM$3,0,0,'Données projet'!$E$10+1,1))-AVERAGE(OFFSET($H$3,0,0,'Données projet'!$E$10+1,1))</f>
        <v>510.56580450928806</v>
      </c>
      <c r="AO28" s="62">
        <f t="shared" si="36"/>
        <v>278.21741231699929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147</v>
      </c>
      <c r="BB28" s="13">
        <f>VLOOKUP(A28,'Données projet'!$A$87:$I$107,9,0)</f>
        <v>9.6</v>
      </c>
      <c r="BC28" s="13">
        <f t="array" ref="BC28">INDEX(BB:BB,MIN(IF(ISNUMBER(BB28:BB224),ROW(BB28:BB224),"")))</f>
        <v>9.6</v>
      </c>
      <c r="BD28" s="13">
        <f>IF('Données projet'!$A$88&gt;35,BD27+BC28-BL27,IF(A28&lt;'Données projet'!$A$88,$BA$205^A28,IF(A28='Données projet'!$A$88,'Données projet'!$B$88,BD27+BC28-BL27)))</f>
        <v>146.99999999999997</v>
      </c>
      <c r="BE28" s="14">
        <f>BD28*VLOOKUP('Données projet'!$B$11,Paramètres!$A$1:$I$88,3,0)*VLOOKUP('Données projet'!$B$11,Paramètres!$A$1:$I$88,5,0)</f>
        <v>139.8852</v>
      </c>
      <c r="BF28" s="14">
        <f t="shared" si="37"/>
        <v>36.2707051716027</v>
      </c>
      <c r="BG28" s="22">
        <f t="shared" si="7"/>
        <v>306.80486817387464</v>
      </c>
      <c r="BH28" s="62">
        <f t="shared" si="8"/>
        <v>594.02709039609681</v>
      </c>
      <c r="BI28" s="62">
        <f ca="1">AVERAGE(OFFSET($BH$3,0,0,'Données projet'!$E$11+1,1))-AVERAGE(OFFSET($H$3,0,0,'Données projet'!$E$11+1,1))</f>
        <v>525.51330555662139</v>
      </c>
      <c r="BJ28" s="62">
        <f t="shared" si="38"/>
        <v>357.72390083433635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42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180.251</v>
      </c>
      <c r="BW28" s="13">
        <f>VLOOKUP(A28,'Données projet'!$A$113:$I$133,9,0)</f>
        <v>18.572499999999991</v>
      </c>
      <c r="BX28" s="13">
        <f t="array" ref="BX28">INDEX(BW:BW,MIN(IF(ISNUMBER(BW28:BW224),ROW(BW28:BW224),"")))</f>
        <v>18.572499999999991</v>
      </c>
      <c r="BY28" s="13">
        <f>IF('Données projet'!$A$114&gt;35,BY27+BX28-CG27,IF(A28&lt;'Données projet'!$A$114,$BV$205^A28,IF(A28='Données projet'!$A$114,'Données projet'!$B$114,BY27+BX28-CG27)))</f>
        <v>180.25100000000003</v>
      </c>
      <c r="BZ28" s="14">
        <f>BY28*VLOOKUP('Données projet'!$B$12,Paramètres!$A$1:$I$88,3,0)*VLOOKUP('Données projet'!$B$12,Paramètres!$A$1:$I$88,5,0)</f>
        <v>107.79009800000003</v>
      </c>
      <c r="CA28" s="14">
        <f t="shared" si="39"/>
        <v>28.809701036494001</v>
      </c>
      <c r="CB28" s="22">
        <f t="shared" si="10"/>
        <v>237.9113166552271</v>
      </c>
      <c r="CC28" s="62">
        <f t="shared" si="11"/>
        <v>525.13353887744938</v>
      </c>
      <c r="CD28" s="62">
        <f ca="1">AVERAGE(OFFSET($CC$3,0,0,'Données projet'!$E$12+1,1))-AVERAGE(OFFSET($H$3,0,0,'Données projet'!$E$12+1,1))</f>
        <v>227.46616726010473</v>
      </c>
      <c r="CE28" s="62">
        <f t="shared" si="40"/>
        <v>314.188568589113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2.7563359961615261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3.5540941782849966</v>
      </c>
      <c r="CN28" s="24">
        <f t="shared" si="12"/>
        <v>6.3104301744465232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143</v>
      </c>
      <c r="CR28" s="13">
        <f>VLOOKUP(A28,'Données projet'!$A$139:$I$159,9,0)</f>
        <v>5.72</v>
      </c>
      <c r="CS28" s="13">
        <f t="array" ref="CS28">INDEX(CR:CR,MIN(IF(ISNUMBER(CR28:CR224),ROW(CR28:CR224),"")))</f>
        <v>5.72</v>
      </c>
      <c r="CT28" s="13">
        <f>IF('Données projet'!$A$140&gt;35,CT27+CS28-DB27,IF(A28&lt;'Données projet'!$A$140,$CQ$205^A28,IF(A28='Données projet'!$A$140,'Données projet'!$B$140,CT27+CS28-DB27)))</f>
        <v>143</v>
      </c>
      <c r="CU28" s="18">
        <f>CT28*VLOOKUP('Données projet'!$B$13,Paramètres!$A$1:$I$88,3,0)*VLOOKUP('Données projet'!$B$13,Paramètres!$A$1:$I$88,5,0)</f>
        <v>85.51400000000001</v>
      </c>
      <c r="CV28" s="14">
        <f t="shared" si="41"/>
        <v>23.480111436812177</v>
      </c>
      <c r="CW28" s="22">
        <f t="shared" si="13"/>
        <v>189.83141075244791</v>
      </c>
      <c r="CX28" s="62">
        <f t="shared" si="14"/>
        <v>477.05363297467011</v>
      </c>
      <c r="CY28" s="62">
        <f ca="1">AVERAGE(OFFSET($CX$3,0,0,'Données projet'!$E$13+1,1))-AVERAGE(OFFSET($H$3,0,0,'Données projet'!$E$13+1,1))</f>
        <v>356.46794174556311</v>
      </c>
      <c r="CZ28" s="62">
        <f t="shared" si="42"/>
        <v>248.47107558211923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33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10</v>
      </c>
      <c r="DO28" s="13">
        <f>IF('Données projet'!$A$166&gt;35,DO27+DN28-DW27,IF(A28&lt;'Données projet'!$A$166,$DL$205^A28,IF(A28='Données projet'!$A$166,'Données projet'!$B$166,DO27+DN28-DW27)))</f>
        <v>250</v>
      </c>
      <c r="DP28" s="18">
        <f>DO28*VLOOKUP('Données projet'!$B$14,Paramètres!$A$1:$I$88,3,0)*VLOOKUP('Données projet'!$B$14,Paramètres!$A$1:$I$88,5,0)</f>
        <v>139.75</v>
      </c>
      <c r="DQ28" s="14">
        <f t="shared" si="43"/>
        <v>36.239728049520224</v>
      </c>
      <c r="DR28" s="22">
        <f t="shared" si="16"/>
        <v>306.51544301958103</v>
      </c>
      <c r="DS28" s="62">
        <f t="shared" si="17"/>
        <v>593.73766524180326</v>
      </c>
      <c r="DT28" s="62">
        <f ca="1">AVERAGE(OFFSET($DS$3,0,0,'Données projet'!$E$14+1,1))-AVERAGE(OFFSET($H$3,0,0,'Données projet'!$E$14+1,1))</f>
        <v>397.04445188588369</v>
      </c>
      <c r="DU28" s="62">
        <f t="shared" si="44"/>
        <v>350.01856672839466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0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56.699999999999996</v>
      </c>
      <c r="EH28" s="13">
        <f>VLOOKUP(A28,'Données projet'!$A$191:$I$211,9,0)</f>
        <v>7.6799999999999979</v>
      </c>
      <c r="EI28" s="13">
        <f t="array" ref="EI28">INDEX(EH:EH,MIN(IF(ISNUMBER(EH28:EH224),ROW(EH28:EH224),"")))</f>
        <v>7.6799999999999979</v>
      </c>
      <c r="EJ28" s="13">
        <f>IF('Données projet'!$A$192&gt;35,EJ27+EI28-ER27,IF(A28&lt;'Données projet'!$A$192,$EG$205^A28,IF(A28='Données projet'!$A$192,'Données projet'!$B$192,EJ27+EI28-ER27)))</f>
        <v>56.699999999999996</v>
      </c>
      <c r="EK28" s="18">
        <f>EJ28*VLOOKUP('Données projet'!$B$15,Paramètres!$A$1:$I$88,3,0)*VLOOKUP('Données projet'!$B$15,Paramètres!$A$1:$I$88,5,0)</f>
        <v>49.533119999999997</v>
      </c>
      <c r="EL28" s="14">
        <f t="shared" si="45"/>
        <v>14.493120113047389</v>
      </c>
      <c r="EM28" s="22">
        <f t="shared" si="19"/>
        <v>111.51236819689086</v>
      </c>
      <c r="EN28" s="62">
        <f t="shared" si="20"/>
        <v>398.73459041911309</v>
      </c>
      <c r="EO28" s="62">
        <f ca="1">AVERAGE(OFFSET($EN$3,0,0,'Données projet'!$E$15+1,1))-AVERAGE(OFFSET($H$3,0,0,'Données projet'!$E$15+1,1))</f>
        <v>202.5548390231225</v>
      </c>
      <c r="EP28" s="62">
        <f t="shared" si="46"/>
        <v>184.62184077734179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17.3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projet'!$B$15,Paramètres!$A$1:$I$88,3,0)*0.475*44/12</f>
        <v>0</v>
      </c>
      <c r="EW28" s="23">
        <f>EXP(-LN(2)/25)*EW27+(1-EXP(-LN(2)/25))/(LN(2)/25)*Calculateur!ER28*Calculateur!ET28*VLOOKUP('Données projet'!$B$15,Paramètres!$A$1:$I$88,3,0)*0.475*44/12</f>
        <v>0</v>
      </c>
      <c r="EX28" s="23">
        <f>EXP(-LN(2)/2)*EX27+(1-EXP(-LN(2)/2))/(LN(2)/2)*ER28*EU28*VLOOKUP('Données projet'!$B$15,Paramètres!$A$1:$I$88,3,0)*0.475*44/12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IF('Données projet'!$A$218&gt;35,FE27+FD28-FM27,IF(A28&lt;'Données projet'!$A$218,$FB$205^A28,IF(A28='Données projet'!$A$218,'Données projet'!$B$218,FE27+FD28-FM27)))</f>
        <v>70</v>
      </c>
      <c r="FF28" s="18">
        <f>FE28*VLOOKUP('Données projet'!$B$16,Paramètres!$A$1:$I$88,3,0)*VLOOKUP('Données projet'!$B$16,Paramètres!$A$1:$I$88,5,0)</f>
        <v>67.703999999999994</v>
      </c>
      <c r="FG28" s="14">
        <f t="shared" si="47"/>
        <v>19.102177882771514</v>
      </c>
      <c r="FH28" s="22">
        <f t="shared" si="22"/>
        <v>151.18742647916039</v>
      </c>
      <c r="FI28" s="62">
        <f t="shared" si="23"/>
        <v>438.40964870138259</v>
      </c>
      <c r="FJ28" s="62">
        <f ca="1">AVERAGE(OFFSET($FI$3,0,0,'Données projet'!$E$16+1,1))-AVERAGE(OFFSET($H$3,0,0,'Données projet'!$E$16+1,1))</f>
        <v>456.96274622094955</v>
      </c>
      <c r="FK28" s="62">
        <f t="shared" si="48"/>
        <v>244.45149244446094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8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projet'!$B$16,Paramètres!$A$1:$I$88,3,0)*0.475*44/12</f>
        <v>0</v>
      </c>
      <c r="FR28" s="23">
        <f>EXP(-LN(2)/25)*FR27+(1-EXP(-LN(2)/25))/(LN(2)/25)*Calculateur!FM28*Calculateur!FO28*VLOOKUP('Données projet'!$B$16,Paramètres!$A$1:$I$88,3,0)*0.475*44/12</f>
        <v>0</v>
      </c>
      <c r="FS28" s="23">
        <f>EXP(-LN(2)/2)*FS27+(1-EXP(-LN(2)/2))/(LN(2)/2)*FM28*FP28*VLOOKUP('Données projet'!$B$16,Paramètres!$A$1:$I$88,3,0)*0.475*44/12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70</v>
      </c>
      <c r="GA28" s="18">
        <f>FZ28*VLOOKUP('Données projet'!$B$17,Paramètres!$A$1:$I$88,3,0)*VLOOKUP('Données projet'!$B$17,Paramètres!$A$1:$I$88,5,0)</f>
        <v>75.347999999999999</v>
      </c>
      <c r="GB28" s="14">
        <f t="shared" si="49"/>
        <v>20.99581051771704</v>
      </c>
      <c r="GC28" s="22">
        <f t="shared" si="25"/>
        <v>167.79880331835713</v>
      </c>
      <c r="GD28" s="62">
        <f t="shared" si="26"/>
        <v>455.02102554057933</v>
      </c>
      <c r="GE28" s="62">
        <f ca="1">AVERAGE(OFFSET($GD$3,0,0,'Données projet'!$E$17+1,1))-AVERAGE(OFFSET($H$3,0,0,'Données projet'!$E$17+1,1))</f>
        <v>503.69304261527651</v>
      </c>
      <c r="GF28" s="62">
        <f t="shared" si="50"/>
        <v>267.2998309535638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8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projet'!$B$17,Paramètres!$A$1:$I$88,3,0)*0.475*44/12</f>
        <v>0</v>
      </c>
      <c r="GM28" s="23">
        <f>EXP(-LN(2)/25)*GM27+(1-EXP(-LN(2)/25))/(LN(2)/25)*Calculateur!GH28*Calculateur!GJ28*VLOOKUP('Données projet'!$B$17,Paramètres!$A$1:$I$88,3,0)*0.475*44/12</f>
        <v>0</v>
      </c>
      <c r="GN28" s="23">
        <f>EXP(-LN(2)/2)*GN27+(1-EXP(-LN(2)/2))/(LN(2)/2)*GH28*GK28*VLOOKUP('Données projet'!$B$17,Paramètres!$A$1:$I$88,3,0)*0.475*44/12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109</v>
      </c>
      <c r="GS28" s="13">
        <f>VLOOKUP(A28,'Données projet'!$A$269:$I$289,9,0)</f>
        <v>7.2</v>
      </c>
      <c r="GT28" s="13">
        <f t="array" ref="GT28">INDEX(GS:GS,MIN(IF(ISNUMBER(GS28:GS224),ROW(GS28:GS224),"")))</f>
        <v>7.2</v>
      </c>
      <c r="GU28" s="13">
        <f>IF('Données projet'!$A$270&gt;35,GU27+GT28-HC27,IF(A28&lt;'Données projet'!$A$270,$GR$205^A28,IF(A28='Données projet'!$A$270,'Données projet'!$B$270,GU27+GT28-HC27)))</f>
        <v>109.00000000000001</v>
      </c>
      <c r="GV28" s="18">
        <f>GU28*VLOOKUP('Données projet'!$B$18,Paramètres!$A$1:$I$88,3,0)*VLOOKUP('Données projet'!$B$18,Paramètres!$A$1:$I$88,5,0)</f>
        <v>113.92680000000003</v>
      </c>
      <c r="GW28" s="14">
        <f t="shared" si="51"/>
        <v>30.254272148632214</v>
      </c>
      <c r="GX28" s="22">
        <f t="shared" si="28"/>
        <v>251.11536732553444</v>
      </c>
      <c r="GY28" s="62">
        <f t="shared" si="29"/>
        <v>538.33758954775669</v>
      </c>
      <c r="GZ28" s="62">
        <f ca="1">AVERAGE(OFFSET($GY$3,0,0,'Données projet'!$E$18+1,1))-AVERAGE(OFFSET($H$3,0,0,'Données projet'!$E$18+1,1))</f>
        <v>582.89879210197682</v>
      </c>
      <c r="HA28" s="62">
        <f t="shared" si="52"/>
        <v>314.72094983133326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34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projet'!$B$18,Paramètres!$A$1:$I$88,3,0)*0.475*44/12</f>
        <v>0</v>
      </c>
      <c r="HH28" s="23">
        <f>EXP(-LN(2)/25)*HH27+(1-EXP(-LN(2)/25))/(LN(2)/25)*Calculateur!HC28*Calculateur!HE28*VLOOKUP('Données projet'!$B$18,Paramètres!$A$1:$I$88,3,0)*0.475*44/12</f>
        <v>0</v>
      </c>
      <c r="HI28" s="23">
        <f>EXP(-LN(2)/2)*HI27+(1-EXP(-LN(2)/2))/(LN(2)/2)*HC28*HF28*VLOOKUP('Données projet'!$B$18,Paramètres!$A$1:$I$88,3,0)*0.475*44/12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9.3000000000000007</v>
      </c>
      <c r="N29" s="14">
        <f>IF('Données projet'!$A$36&gt;35,N28+M29-V28,IF(A29&lt;'Données projet'!$A$36,$K$205^A29,IF(A29='Données projet'!$A$36,'Données projet'!$B$36,N28+M29-V28)))</f>
        <v>83.799999999999983</v>
      </c>
      <c r="O29" s="14">
        <f>N29*VLOOKUP('Données projet'!$B$9,Paramètres!$A$1:$I$88,3,0)*VLOOKUP('Données projet'!$B$9,Paramètres!$A$1:$I$88,5,0)</f>
        <v>39.218399999999988</v>
      </c>
      <c r="P29" s="14">
        <f t="shared" si="33"/>
        <v>11.7912464178037</v>
      </c>
      <c r="Q29" s="22">
        <f t="shared" si="2"/>
        <v>88.841800844341421</v>
      </c>
      <c r="R29" s="62">
        <f t="shared" si="0"/>
        <v>377.28624528878589</v>
      </c>
      <c r="S29" s="62">
        <f ca="1">AVERAGE(OFFSET($R$3,0,0,'Données projet'!$E$9+1,1))-AVERAGE(OFFSET($H$3,0,0,'Données projet'!$E$9+1,1))</f>
        <v>399.92909819003523</v>
      </c>
      <c r="T29" s="62">
        <f t="shared" si="34"/>
        <v>163.7053537268381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projet'!$B$10,Paramètres!$A$1:$I$88,3,0)*VLOOKUP('Données projet'!$B$10,Paramètres!$A$1:$I$88,5,0)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458.05789673333743</v>
      </c>
      <c r="AN29" s="62">
        <f ca="1">AVERAGE(OFFSET($AM$3,0,0,'Données projet'!$E$10+1,1))-AVERAGE(OFFSET($H$3,0,0,'Données projet'!$E$10+1,1))</f>
        <v>510.56580450928806</v>
      </c>
      <c r="AO29" s="62">
        <f t="shared" si="36"/>
        <v>278.21741231699929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9.8000000000000007</v>
      </c>
      <c r="BD29" s="13">
        <f>IF('Données projet'!$A$88&gt;35,BD28+BC29-BL28,IF(A29&lt;'Données projet'!$A$88,$BA$205^A29,IF(A29='Données projet'!$A$88,'Données projet'!$B$88,BD28+BC29-BL28)))</f>
        <v>114.79999999999998</v>
      </c>
      <c r="BE29" s="14">
        <f>BD29*VLOOKUP('Données projet'!$B$11,Paramètres!$A$1:$I$88,3,0)*VLOOKUP('Données projet'!$B$11,Paramètres!$A$1:$I$88,5,0)</f>
        <v>109.24368</v>
      </c>
      <c r="BF29" s="14">
        <f t="shared" si="37"/>
        <v>29.152718191534337</v>
      </c>
      <c r="BG29" s="22">
        <f t="shared" si="7"/>
        <v>241.04039351692231</v>
      </c>
      <c r="BH29" s="62">
        <f t="shared" si="8"/>
        <v>529.48483796136679</v>
      </c>
      <c r="BI29" s="62">
        <f ca="1">AVERAGE(OFFSET($BH$3,0,0,'Données projet'!$E$11+1,1))-AVERAGE(OFFSET($H$3,0,0,'Données projet'!$E$11+1,1))</f>
        <v>525.51330555662139</v>
      </c>
      <c r="BJ29" s="62">
        <f t="shared" si="38"/>
        <v>357.72390083433635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>
        <f>VLOOKUP(A29,'Données projet'!$A$113:$I$133,2,0)</f>
        <v>199.23149999999998</v>
      </c>
      <c r="BW29" s="13">
        <f>VLOOKUP(A29,'Données projet'!$A$113:$I$133,9,0)</f>
        <v>18.980499999999978</v>
      </c>
      <c r="BX29" s="13">
        <f t="array" ref="BX29">INDEX(BW:BW,MIN(IF(ISNUMBER(BW29:BW225),ROW(BW29:BW225),"")))</f>
        <v>18.980499999999978</v>
      </c>
      <c r="BY29" s="13">
        <f>IF('Données projet'!$A$114&gt;35,BY28+BX29-CG28,IF(A29&lt;'Données projet'!$A$114,$BV$205^A29,IF(A29='Données projet'!$A$114,'Données projet'!$B$114,BY28+BX29-CG28)))</f>
        <v>199.23150000000001</v>
      </c>
      <c r="BZ29" s="14">
        <f>BY29*VLOOKUP('Données projet'!$B$12,Paramètres!$A$1:$I$88,3,0)*VLOOKUP('Données projet'!$B$12,Paramètres!$A$1:$I$88,5,0)</f>
        <v>119.14043700000002</v>
      </c>
      <c r="CA29" s="14">
        <f t="shared" si="39"/>
        <v>31.474436539086948</v>
      </c>
      <c r="CB29" s="22">
        <f t="shared" si="10"/>
        <v>262.32090474724311</v>
      </c>
      <c r="CC29" s="62">
        <f t="shared" si="11"/>
        <v>550.76534919168762</v>
      </c>
      <c r="CD29" s="62">
        <f ca="1">AVERAGE(OFFSET($CC$3,0,0,'Données projet'!$E$12+1,1))-AVERAGE(OFFSET($H$3,0,0,'Données projet'!$E$12+1,1))</f>
        <v>227.46616726010473</v>
      </c>
      <c r="CE29" s="62">
        <f t="shared" si="40"/>
        <v>314.188568589113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2.7022859284757517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2.5131240944409519</v>
      </c>
      <c r="CN29" s="24">
        <f t="shared" si="12"/>
        <v>5.2154100229167035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</v>
      </c>
      <c r="CT29" s="13">
        <f>IF('Données projet'!$A$140&gt;35,CT28+CS29-DB28,IF(A29&lt;'Données projet'!$A$140,$CQ$205^A29,IF(A29='Données projet'!$A$140,'Données projet'!$B$140,CT28+CS29-DB28)))</f>
        <v>120</v>
      </c>
      <c r="CU29" s="18">
        <f>CT29*VLOOKUP('Données projet'!$B$13,Paramètres!$A$1:$I$88,3,0)*VLOOKUP('Données projet'!$B$13,Paramètres!$A$1:$I$88,5,0)</f>
        <v>71.760000000000005</v>
      </c>
      <c r="CV29" s="14">
        <f t="shared" si="41"/>
        <v>20.109893936516215</v>
      </c>
      <c r="CW29" s="22">
        <f t="shared" si="13"/>
        <v>160.0067319394324</v>
      </c>
      <c r="CX29" s="62">
        <f t="shared" si="14"/>
        <v>448.45117638387683</v>
      </c>
      <c r="CY29" s="62">
        <f ca="1">AVERAGE(OFFSET($CX$3,0,0,'Données projet'!$E$13+1,1))-AVERAGE(OFFSET($H$3,0,0,'Données projet'!$E$13+1,1))</f>
        <v>356.46794174556311</v>
      </c>
      <c r="CZ29" s="62">
        <f t="shared" si="42"/>
        <v>248.47107558211923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10</v>
      </c>
      <c r="DO29" s="13">
        <f>IF('Données projet'!$A$166&gt;35,DO28+DN29-DW28,IF(A29&lt;'Données projet'!$A$166,$DL$205^A29,IF(A29='Données projet'!$A$166,'Données projet'!$B$166,DO28+DN29-DW28)))</f>
        <v>260</v>
      </c>
      <c r="DP29" s="18">
        <f>DO29*VLOOKUP('Données projet'!$B$14,Paramètres!$A$1:$I$88,3,0)*VLOOKUP('Données projet'!$B$14,Paramètres!$A$1:$I$88,5,0)</f>
        <v>145.34</v>
      </c>
      <c r="DQ29" s="14">
        <f t="shared" si="43"/>
        <v>37.517646631752974</v>
      </c>
      <c r="DR29" s="22">
        <f t="shared" si="16"/>
        <v>318.47706788363638</v>
      </c>
      <c r="DS29" s="62">
        <f t="shared" si="17"/>
        <v>606.92151232808078</v>
      </c>
      <c r="DT29" s="62">
        <f ca="1">AVERAGE(OFFSET($DS$3,0,0,'Données projet'!$E$14+1,1))-AVERAGE(OFFSET($H$3,0,0,'Données projet'!$E$14+1,1))</f>
        <v>397.04445188588369</v>
      </c>
      <c r="DU29" s="62">
        <f t="shared" si="44"/>
        <v>350.01856672839466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0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7.2800000000000011</v>
      </c>
      <c r="EJ29" s="13">
        <f>IF('Données projet'!$A$192&gt;35,EJ28+EI29-ER28,IF(A29&lt;'Données projet'!$A$192,$EG$205^A29,IF(A29='Données projet'!$A$192,'Données projet'!$B$192,EJ28+EI29-ER28)))</f>
        <v>46.679999999999993</v>
      </c>
      <c r="EK29" s="18">
        <f>EJ29*VLOOKUP('Données projet'!$B$15,Paramètres!$A$1:$I$88,3,0)*VLOOKUP('Données projet'!$B$15,Paramètres!$A$1:$I$88,5,0)</f>
        <v>40.779648000000002</v>
      </c>
      <c r="EL29" s="14">
        <f t="shared" si="45"/>
        <v>12.205059961494348</v>
      </c>
      <c r="EM29" s="22">
        <f t="shared" si="19"/>
        <v>92.281699699602655</v>
      </c>
      <c r="EN29" s="62">
        <f t="shared" si="20"/>
        <v>380.72614414404711</v>
      </c>
      <c r="EO29" s="62">
        <f ca="1">AVERAGE(OFFSET($EN$3,0,0,'Données projet'!$E$15+1,1))-AVERAGE(OFFSET($H$3,0,0,'Données projet'!$E$15+1,1))</f>
        <v>202.5548390231225</v>
      </c>
      <c r="EP29" s="62">
        <f t="shared" si="46"/>
        <v>184.62184077734179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projet'!$B$15,Paramètres!$A$1:$I$88,3,0)*0.475*44/12</f>
        <v>0</v>
      </c>
      <c r="EW29" s="23">
        <f>EXP(-LN(2)/25)*EW28+(1-EXP(-LN(2)/25))/(LN(2)/25)*Calculateur!ER29*Calculateur!ET29*VLOOKUP('Données projet'!$B$15,Paramètres!$A$1:$I$88,3,0)*0.475*44/12</f>
        <v>0</v>
      </c>
      <c r="EX29" s="23">
        <f>EXP(-LN(2)/2)*EX28+(1-EXP(-LN(2)/2))/(LN(2)/2)*ER29*EU29*VLOOKUP('Données projet'!$B$15,Paramètres!$A$1:$I$88,3,0)*0.475*44/12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69</v>
      </c>
      <c r="FF29" s="18">
        <f>FE29*VLOOKUP('Données projet'!$B$16,Paramètres!$A$1:$I$88,3,0)*VLOOKUP('Données projet'!$B$16,Paramètres!$A$1:$I$88,5,0)</f>
        <v>66.736800000000002</v>
      </c>
      <c r="FG29" s="14">
        <f t="shared" si="47"/>
        <v>18.860852268900601</v>
      </c>
      <c r="FH29" s="22">
        <f t="shared" si="22"/>
        <v>149.08257770166853</v>
      </c>
      <c r="FI29" s="62">
        <f t="shared" si="23"/>
        <v>437.52702214611298</v>
      </c>
      <c r="FJ29" s="62">
        <f ca="1">AVERAGE(OFFSET($FI$3,0,0,'Données projet'!$E$16+1,1))-AVERAGE(OFFSET($H$3,0,0,'Données projet'!$E$16+1,1))</f>
        <v>456.96274622094955</v>
      </c>
      <c r="FK29" s="62">
        <f t="shared" si="48"/>
        <v>244.45149244446094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projet'!$B$16,Paramètres!$A$1:$I$88,3,0)*0.475*44/12</f>
        <v>0</v>
      </c>
      <c r="FR29" s="23">
        <f>EXP(-LN(2)/25)*FR28+(1-EXP(-LN(2)/25))/(LN(2)/25)*Calculateur!FM29*Calculateur!FO29*VLOOKUP('Données projet'!$B$16,Paramètres!$A$1:$I$88,3,0)*0.475*44/12</f>
        <v>0</v>
      </c>
      <c r="FS29" s="23">
        <f>EXP(-LN(2)/2)*FS28+(1-EXP(-LN(2)/2))/(LN(2)/2)*FM29*FP29*VLOOKUP('Données projet'!$B$16,Paramètres!$A$1:$I$88,3,0)*0.475*44/12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69</v>
      </c>
      <c r="GA29" s="18">
        <f>FZ29*VLOOKUP('Données projet'!$B$17,Paramètres!$A$1:$I$88,3,0)*VLOOKUP('Données projet'!$B$17,Paramètres!$A$1:$I$88,5,0)</f>
        <v>74.271600000000007</v>
      </c>
      <c r="GB29" s="14">
        <f t="shared" si="49"/>
        <v>20.730561869473863</v>
      </c>
      <c r="GC29" s="22">
        <f t="shared" si="25"/>
        <v>165.46209858933364</v>
      </c>
      <c r="GD29" s="62">
        <f t="shared" si="26"/>
        <v>453.90654303377812</v>
      </c>
      <c r="GE29" s="62">
        <f ca="1">AVERAGE(OFFSET($GD$3,0,0,'Données projet'!$E$17+1,1))-AVERAGE(OFFSET($H$3,0,0,'Données projet'!$E$17+1,1))</f>
        <v>503.69304261527651</v>
      </c>
      <c r="GF29" s="62">
        <f t="shared" si="50"/>
        <v>267.2998309535638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projet'!$B$17,Paramètres!$A$1:$I$88,3,0)*0.475*44/12</f>
        <v>0</v>
      </c>
      <c r="GM29" s="23">
        <f>EXP(-LN(2)/25)*GM28+(1-EXP(-LN(2)/25))/(LN(2)/25)*Calculateur!GH29*Calculateur!GJ29*VLOOKUP('Données projet'!$B$17,Paramètres!$A$1:$I$88,3,0)*0.475*44/12</f>
        <v>0</v>
      </c>
      <c r="GN29" s="23">
        <f>EXP(-LN(2)/2)*GN28+(1-EXP(-LN(2)/2))/(LN(2)/2)*GH29*GK29*VLOOKUP('Données projet'!$B$17,Paramètres!$A$1:$I$88,3,0)*0.475*44/12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9.1999999999999993</v>
      </c>
      <c r="GU29" s="13">
        <f>IF('Données projet'!$A$270&gt;35,GU28+GT29-HC28,IF(A29&lt;'Données projet'!$A$270,$GR$205^A29,IF(A29='Données projet'!$A$270,'Données projet'!$B$270,GU28+GT29-HC28)))</f>
        <v>84.200000000000017</v>
      </c>
      <c r="GV29" s="18">
        <f>GU29*VLOOKUP('Données projet'!$B$18,Paramètres!$A$1:$I$88,3,0)*VLOOKUP('Données projet'!$B$18,Paramètres!$A$1:$I$88,5,0)</f>
        <v>88.00584000000002</v>
      </c>
      <c r="GW29" s="14">
        <f t="shared" si="51"/>
        <v>24.083656242710727</v>
      </c>
      <c r="GX29" s="22">
        <f t="shared" si="28"/>
        <v>195.22253928938787</v>
      </c>
      <c r="GY29" s="62">
        <f t="shared" si="29"/>
        <v>483.66698373383235</v>
      </c>
      <c r="GZ29" s="62">
        <f ca="1">AVERAGE(OFFSET($GY$3,0,0,'Données projet'!$E$18+1,1))-AVERAGE(OFFSET($H$3,0,0,'Données projet'!$E$18+1,1))</f>
        <v>582.89879210197682</v>
      </c>
      <c r="HA29" s="62">
        <f t="shared" si="52"/>
        <v>314.72094983133326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projet'!$B$18,Paramètres!$A$1:$I$88,3,0)*0.475*44/12</f>
        <v>0</v>
      </c>
      <c r="HH29" s="23">
        <f>EXP(-LN(2)/25)*HH28+(1-EXP(-LN(2)/25))/(LN(2)/25)*Calculateur!HC29*Calculateur!HE29*VLOOKUP('Données projet'!$B$18,Paramètres!$A$1:$I$88,3,0)*0.475*44/12</f>
        <v>0</v>
      </c>
      <c r="HI29" s="23">
        <f>EXP(-LN(2)/2)*HI28+(1-EXP(-LN(2)/2))/(LN(2)/2)*HC29*HF29*VLOOKUP('Données projet'!$B$18,Paramètres!$A$1:$I$88,3,0)*0.475*44/12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9.3000000000000007</v>
      </c>
      <c r="N30" s="14">
        <f>IF('Données projet'!$A$36&gt;35,N29+M30-V29,IF(A30&lt;'Données projet'!$A$36,$K$205^A30,IF(A30='Données projet'!$A$36,'Données projet'!$B$36,N29+M30-V29)))</f>
        <v>93.09999999999998</v>
      </c>
      <c r="O30" s="14">
        <f>N30*VLOOKUP('Données projet'!$B$9,Paramètres!$A$1:$I$88,3,0)*VLOOKUP('Données projet'!$B$9,Paramètres!$A$1:$I$88,5,0)</f>
        <v>43.570799999999991</v>
      </c>
      <c r="P30" s="14">
        <f t="shared" si="33"/>
        <v>12.940326634618197</v>
      </c>
      <c r="Q30" s="22">
        <f t="shared" si="2"/>
        <v>98.42354555529333</v>
      </c>
      <c r="R30" s="62">
        <f t="shared" si="0"/>
        <v>388.09021222196003</v>
      </c>
      <c r="S30" s="62">
        <f ca="1">AVERAGE(OFFSET($R$3,0,0,'Données projet'!$E$9+1,1))-AVERAGE(OFFSET($H$3,0,0,'Données projet'!$E$9+1,1))</f>
        <v>399.92909819003523</v>
      </c>
      <c r="T30" s="62">
        <f t="shared" si="34"/>
        <v>163.7053537268381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projet'!$B$10,Paramètres!$A$1:$I$88,3,0)*VLOOKUP('Données projet'!$B$10,Paramètres!$A$1:$I$88,5,0)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477.32127040383227</v>
      </c>
      <c r="AN30" s="62">
        <f ca="1">AVERAGE(OFFSET($AM$3,0,0,'Données projet'!$E$10+1,1))-AVERAGE(OFFSET($H$3,0,0,'Données projet'!$E$10+1,1))</f>
        <v>510.56580450928806</v>
      </c>
      <c r="AO30" s="62">
        <f t="shared" si="36"/>
        <v>278.21741231699929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9.8000000000000007</v>
      </c>
      <c r="BD30" s="13">
        <f>IF('Données projet'!$A$88&gt;35,BD29+BC30-BL29,IF(A30&lt;'Données projet'!$A$88,$BA$205^A30,IF(A30='Données projet'!$A$88,'Données projet'!$B$88,BD29+BC30-BL29)))</f>
        <v>124.59999999999998</v>
      </c>
      <c r="BE30" s="14">
        <f>BD30*VLOOKUP('Données projet'!$B$11,Paramètres!$A$1:$I$88,3,0)*VLOOKUP('Données projet'!$B$11,Paramètres!$A$1:$I$88,5,0)</f>
        <v>118.56935999999999</v>
      </c>
      <c r="BF30" s="14">
        <f t="shared" si="37"/>
        <v>31.341093451523864</v>
      </c>
      <c r="BG30" s="22">
        <f t="shared" si="7"/>
        <v>261.09403976140408</v>
      </c>
      <c r="BH30" s="62">
        <f t="shared" si="8"/>
        <v>550.76070642807076</v>
      </c>
      <c r="BI30" s="62">
        <f ca="1">AVERAGE(OFFSET($BH$3,0,0,'Données projet'!$E$11+1,1))-AVERAGE(OFFSET($H$3,0,0,'Données projet'!$E$11+1,1))</f>
        <v>525.51330555662139</v>
      </c>
      <c r="BJ30" s="62">
        <f t="shared" si="38"/>
        <v>357.72390083433635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>
        <f>VLOOKUP(A30,'Données projet'!$A$113:$I$133,2,0)</f>
        <v>218.36499999999998</v>
      </c>
      <c r="BW30" s="13">
        <f>VLOOKUP(A30,'Données projet'!$A$113:$I$133,9,0)</f>
        <v>19.133499999999998</v>
      </c>
      <c r="BX30" s="13">
        <f t="array" ref="BX30">INDEX(BW:BW,MIN(IF(ISNUMBER(BW30:BW226),ROW(BW30:BW226),"")))</f>
        <v>19.133499999999998</v>
      </c>
      <c r="BY30" s="13">
        <f>IF('Données projet'!$A$114&gt;35,BY29+BX30-CG29,IF(A30&lt;'Données projet'!$A$114,$BV$205^A30,IF(A30='Données projet'!$A$114,'Données projet'!$B$114,BY29+BX30-CG29)))</f>
        <v>218.36500000000001</v>
      </c>
      <c r="BZ30" s="14">
        <f>BY30*VLOOKUP('Données projet'!$B$12,Paramètres!$A$1:$I$88,3,0)*VLOOKUP('Données projet'!$B$12,Paramètres!$A$1:$I$88,5,0)</f>
        <v>130.58227000000002</v>
      </c>
      <c r="CA30" s="14">
        <f t="shared" si="39"/>
        <v>34.13086981877764</v>
      </c>
      <c r="CB30" s="22">
        <f t="shared" si="10"/>
        <v>286.87538518437117</v>
      </c>
      <c r="CC30" s="62">
        <f t="shared" si="11"/>
        <v>576.54205185103785</v>
      </c>
      <c r="CD30" s="62">
        <f ca="1">AVERAGE(OFFSET($CC$3,0,0,'Données projet'!$E$12+1,1))-AVERAGE(OFFSET($H$3,0,0,'Données projet'!$E$12+1,1))</f>
        <v>227.46616726010473</v>
      </c>
      <c r="CE30" s="62">
        <f t="shared" si="40"/>
        <v>314.188568589113</v>
      </c>
      <c r="CF30" s="16">
        <f>IF(ISNA(VLOOKUP(A30,'Données projet'!$A$113:$I$133,3,0)),0,VLOOKUP(A30,'Données projet'!$A$113:$I$133,3,0))</f>
        <v>3</v>
      </c>
      <c r="CG30" s="16">
        <f>IF(ISNA(VLOOKUP(A30,'Données projet'!$A$113:$I$133,4,0)),0,VLOOKUP(A30,'Données projet'!$A$113:$I$133,4,0))</f>
        <v>54.5</v>
      </c>
      <c r="CH30" s="17">
        <f>IF(ISNA(VLOOKUP(A30,'Données projet'!$A$113:$I$133,5,0)),0%,VLOOKUP(A30,'Données projet'!$A$113:$I$133,5,0)*VLOOKUP('Données projet'!$B$12,Paramètres!$A$1:$I$88,7,0))</f>
        <v>0.1125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0.75</v>
      </c>
      <c r="CK30" s="23">
        <f>EXP(-LN(2)/35)*CK29+(1-EXP(-LN(2)/35))/(LN(2)/35)*CG30*CH30*VLOOKUP('Données projet'!$B$12,Paramètres!$A$1:$I$88,3,0)*0.475*44/12</f>
        <v>7.5131277434633912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29.452484195656286</v>
      </c>
      <c r="CN30" s="24">
        <f t="shared" si="12"/>
        <v>36.965611939119675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</v>
      </c>
      <c r="CT30" s="13">
        <f>IF('Données projet'!$A$140&gt;35,CT29+CS30-DB29,IF(A30&lt;'Données projet'!$A$140,$CQ$205^A30,IF(A30='Données projet'!$A$140,'Données projet'!$B$140,CT29+CS30-DB29)))</f>
        <v>130</v>
      </c>
      <c r="CU30" s="18">
        <f>CT30*VLOOKUP('Données projet'!$B$13,Paramètres!$A$1:$I$88,3,0)*VLOOKUP('Données projet'!$B$13,Paramètres!$A$1:$I$88,5,0)</f>
        <v>77.740000000000009</v>
      </c>
      <c r="CV30" s="14">
        <f t="shared" si="41"/>
        <v>21.583684155853913</v>
      </c>
      <c r="CW30" s="22">
        <f t="shared" si="13"/>
        <v>172.98874990477893</v>
      </c>
      <c r="CX30" s="62">
        <f t="shared" si="14"/>
        <v>462.65541657144558</v>
      </c>
      <c r="CY30" s="62">
        <f ca="1">AVERAGE(OFFSET($CX$3,0,0,'Données projet'!$E$13+1,1))-AVERAGE(OFFSET($H$3,0,0,'Données projet'!$E$13+1,1))</f>
        <v>356.46794174556311</v>
      </c>
      <c r="CZ30" s="62">
        <f t="shared" si="42"/>
        <v>248.47107558211923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10</v>
      </c>
      <c r="DO30" s="13">
        <f>IF('Données projet'!$A$166&gt;35,DO29+DN30-DW29,IF(A30&lt;'Données projet'!$A$166,$DL$205^A30,IF(A30='Données projet'!$A$166,'Données projet'!$B$166,DO29+DN30-DW29)))</f>
        <v>270</v>
      </c>
      <c r="DP30" s="18">
        <f>DO30*VLOOKUP('Données projet'!$B$14,Paramètres!$A$1:$I$88,3,0)*VLOOKUP('Données projet'!$B$14,Paramètres!$A$1:$I$88,5,0)</f>
        <v>150.93</v>
      </c>
      <c r="DQ30" s="14">
        <f t="shared" si="43"/>
        <v>38.789855371379076</v>
      </c>
      <c r="DR30" s="22">
        <f t="shared" si="16"/>
        <v>330.4287481051519</v>
      </c>
      <c r="DS30" s="62">
        <f t="shared" si="17"/>
        <v>620.09541477181858</v>
      </c>
      <c r="DT30" s="62">
        <f ca="1">AVERAGE(OFFSET($DS$3,0,0,'Données projet'!$E$14+1,1))-AVERAGE(OFFSET($H$3,0,0,'Données projet'!$E$14+1,1))</f>
        <v>397.04445188588369</v>
      </c>
      <c r="DU30" s="62">
        <f t="shared" si="44"/>
        <v>350.01856672839466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0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7.2800000000000011</v>
      </c>
      <c r="EJ30" s="13">
        <f>IF('Données projet'!$A$192&gt;35,EJ29+EI30-ER29,IF(A30&lt;'Données projet'!$A$192,$EG$205^A30,IF(A30='Données projet'!$A$192,'Données projet'!$B$192,EJ29+EI30-ER29)))</f>
        <v>53.959999999999994</v>
      </c>
      <c r="EK30" s="18">
        <f>EJ30*VLOOKUP('Données projet'!$B$15,Paramètres!$A$1:$I$88,3,0)*VLOOKUP('Données projet'!$B$15,Paramètres!$A$1:$I$88,5,0)</f>
        <v>47.139456000000003</v>
      </c>
      <c r="EL30" s="14">
        <f t="shared" si="45"/>
        <v>13.872497898799528</v>
      </c>
      <c r="EM30" s="22">
        <f t="shared" si="19"/>
        <v>106.2624863737425</v>
      </c>
      <c r="EN30" s="62">
        <f t="shared" si="20"/>
        <v>395.92915304040918</v>
      </c>
      <c r="EO30" s="62">
        <f ca="1">AVERAGE(OFFSET($EN$3,0,0,'Données projet'!$E$15+1,1))-AVERAGE(OFFSET($H$3,0,0,'Données projet'!$E$15+1,1))</f>
        <v>202.5548390231225</v>
      </c>
      <c r="EP30" s="62">
        <f t="shared" si="46"/>
        <v>184.62184077734179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projet'!$B$15,Paramètres!$A$1:$I$88,3,0)*0.475*44/12</f>
        <v>0</v>
      </c>
      <c r="EW30" s="23">
        <f>EXP(-LN(2)/25)*EW29+(1-EXP(-LN(2)/25))/(LN(2)/25)*Calculateur!ER30*Calculateur!ET30*VLOOKUP('Données projet'!$B$15,Paramètres!$A$1:$I$88,3,0)*0.475*44/12</f>
        <v>0</v>
      </c>
      <c r="EX30" s="23">
        <f>EXP(-LN(2)/2)*EX29+(1-EXP(-LN(2)/2))/(LN(2)/2)*ER30*EU30*VLOOKUP('Données projet'!$B$15,Paramètres!$A$1:$I$88,3,0)*0.475*44/12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76</v>
      </c>
      <c r="FF30" s="18">
        <f>FE30*VLOOKUP('Données projet'!$B$16,Paramètres!$A$1:$I$88,3,0)*VLOOKUP('Données projet'!$B$16,Paramètres!$A$1:$I$88,5,0)</f>
        <v>73.507199999999997</v>
      </c>
      <c r="FG30" s="14">
        <f t="shared" si="47"/>
        <v>20.541925364615185</v>
      </c>
      <c r="FH30" s="22">
        <f t="shared" si="22"/>
        <v>163.80222667670475</v>
      </c>
      <c r="FI30" s="62">
        <f t="shared" si="23"/>
        <v>453.46889334337141</v>
      </c>
      <c r="FJ30" s="62">
        <f ca="1">AVERAGE(OFFSET($FI$3,0,0,'Données projet'!$E$16+1,1))-AVERAGE(OFFSET($H$3,0,0,'Données projet'!$E$16+1,1))</f>
        <v>456.96274622094955</v>
      </c>
      <c r="FK30" s="62">
        <f t="shared" si="48"/>
        <v>244.45149244446094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projet'!$B$16,Paramètres!$A$1:$I$88,3,0)*0.475*44/12</f>
        <v>0</v>
      </c>
      <c r="FR30" s="23">
        <f>EXP(-LN(2)/25)*FR29+(1-EXP(-LN(2)/25))/(LN(2)/25)*Calculateur!FM30*Calculateur!FO30*VLOOKUP('Données projet'!$B$16,Paramètres!$A$1:$I$88,3,0)*0.475*44/12</f>
        <v>0</v>
      </c>
      <c r="FS30" s="23">
        <f>EXP(-LN(2)/2)*FS29+(1-EXP(-LN(2)/2))/(LN(2)/2)*FM30*FP30*VLOOKUP('Données projet'!$B$16,Paramètres!$A$1:$I$88,3,0)*0.475*44/12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76</v>
      </c>
      <c r="GA30" s="18">
        <f>FZ30*VLOOKUP('Données projet'!$B$17,Paramètres!$A$1:$I$88,3,0)*VLOOKUP('Données projet'!$B$17,Paramètres!$A$1:$I$88,5,0)</f>
        <v>81.806399999999996</v>
      </c>
      <c r="GB30" s="14">
        <f t="shared" si="49"/>
        <v>22.578282710556032</v>
      </c>
      <c r="GC30" s="22">
        <f t="shared" si="25"/>
        <v>181.80332238755173</v>
      </c>
      <c r="GD30" s="62">
        <f t="shared" si="26"/>
        <v>471.46998905421844</v>
      </c>
      <c r="GE30" s="62">
        <f ca="1">AVERAGE(OFFSET($GD$3,0,0,'Données projet'!$E$17+1,1))-AVERAGE(OFFSET($H$3,0,0,'Données projet'!$E$17+1,1))</f>
        <v>503.69304261527651</v>
      </c>
      <c r="GF30" s="62">
        <f t="shared" si="50"/>
        <v>267.2998309535638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projet'!$B$17,Paramètres!$A$1:$I$88,3,0)*0.475*44/12</f>
        <v>0</v>
      </c>
      <c r="GM30" s="23">
        <f>EXP(-LN(2)/25)*GM29+(1-EXP(-LN(2)/25))/(LN(2)/25)*Calculateur!GH30*Calculateur!GJ30*VLOOKUP('Données projet'!$B$17,Paramètres!$A$1:$I$88,3,0)*0.475*44/12</f>
        <v>0</v>
      </c>
      <c r="GN30" s="23">
        <f>EXP(-LN(2)/2)*GN29+(1-EXP(-LN(2)/2))/(LN(2)/2)*GH30*GK30*VLOOKUP('Données projet'!$B$17,Paramètres!$A$1:$I$88,3,0)*0.475*44/12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9.1999999999999993</v>
      </c>
      <c r="GU30" s="13">
        <f>IF('Données projet'!$A$270&gt;35,GU29+GT30-HC29,IF(A30&lt;'Données projet'!$A$270,$GR$205^A30,IF(A30='Données projet'!$A$270,'Données projet'!$B$270,GU29+GT30-HC29)))</f>
        <v>93.40000000000002</v>
      </c>
      <c r="GV30" s="18">
        <f>GU30*VLOOKUP('Données projet'!$B$18,Paramètres!$A$1:$I$88,3,0)*VLOOKUP('Données projet'!$B$18,Paramètres!$A$1:$I$88,5,0)</f>
        <v>97.621680000000026</v>
      </c>
      <c r="GW30" s="14">
        <f t="shared" si="51"/>
        <v>26.394604294280626</v>
      </c>
      <c r="GX30" s="22">
        <f t="shared" si="28"/>
        <v>215.99502847920544</v>
      </c>
      <c r="GY30" s="62">
        <f t="shared" si="29"/>
        <v>505.66169514587216</v>
      </c>
      <c r="GZ30" s="62">
        <f ca="1">AVERAGE(OFFSET($GY$3,0,0,'Données projet'!$E$18+1,1))-AVERAGE(OFFSET($H$3,0,0,'Données projet'!$E$18+1,1))</f>
        <v>582.89879210197682</v>
      </c>
      <c r="HA30" s="62">
        <f t="shared" si="52"/>
        <v>314.72094983133326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projet'!$B$18,Paramètres!$A$1:$I$88,3,0)*0.475*44/12</f>
        <v>0</v>
      </c>
      <c r="HH30" s="23">
        <f>EXP(-LN(2)/25)*HH29+(1-EXP(-LN(2)/25))/(LN(2)/25)*Calculateur!HC30*Calculateur!HE30*VLOOKUP('Données projet'!$B$18,Paramètres!$A$1:$I$88,3,0)*0.475*44/12</f>
        <v>0</v>
      </c>
      <c r="HI30" s="23">
        <f>EXP(-LN(2)/2)*HI29+(1-EXP(-LN(2)/2))/(LN(2)/2)*HC30*HF30*VLOOKUP('Données projet'!$B$18,Paramètres!$A$1:$I$88,3,0)*0.475*44/12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9.3000000000000007</v>
      </c>
      <c r="N31" s="14">
        <f>IF('Données projet'!$A$36&gt;35,N30+M31-V30,IF(A31&lt;'Données projet'!$A$36,$K$205^A31,IF(A31='Données projet'!$A$36,'Données projet'!$B$36,N30+M31-V30)))</f>
        <v>102.39999999999998</v>
      </c>
      <c r="O31" s="14">
        <f>N31*VLOOKUP('Données projet'!$B$9,Paramètres!$A$1:$I$88,3,0)*VLOOKUP('Données projet'!$B$9,Paramètres!$A$1:$I$88,5,0)</f>
        <v>47.923199999999987</v>
      </c>
      <c r="P31" s="14">
        <f t="shared" si="33"/>
        <v>14.076099961955951</v>
      </c>
      <c r="Q31" s="22">
        <f t="shared" si="2"/>
        <v>107.98211410040659</v>
      </c>
      <c r="R31" s="62">
        <f t="shared" si="0"/>
        <v>398.87100298929545</v>
      </c>
      <c r="S31" s="62">
        <f ca="1">AVERAGE(OFFSET($R$3,0,0,'Données projet'!$E$9+1,1))-AVERAGE(OFFSET($H$3,0,0,'Données projet'!$E$9+1,1))</f>
        <v>399.92909819003523</v>
      </c>
      <c r="T31" s="62">
        <f t="shared" si="34"/>
        <v>163.7053537268381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projet'!$B$10,Paramètres!$A$1:$I$88,3,0)*VLOOKUP('Données projet'!$B$10,Paramètres!$A$1:$I$88,5,0)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496.54418197683344</v>
      </c>
      <c r="AN31" s="62">
        <f ca="1">AVERAGE(OFFSET($AM$3,0,0,'Données projet'!$E$10+1,1))-AVERAGE(OFFSET($H$3,0,0,'Données projet'!$E$10+1,1))</f>
        <v>510.56580450928806</v>
      </c>
      <c r="AO31" s="62">
        <f t="shared" si="36"/>
        <v>278.21741231699929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9.8000000000000007</v>
      </c>
      <c r="BD31" s="13">
        <f>IF('Données projet'!$A$88&gt;35,BD30+BC31-BL30,IF(A31&lt;'Données projet'!$A$88,$BA$205^A31,IF(A31='Données projet'!$A$88,'Données projet'!$B$88,BD30+BC31-BL30)))</f>
        <v>134.39999999999998</v>
      </c>
      <c r="BE31" s="14">
        <f>BD31*VLOOKUP('Données projet'!$B$11,Paramètres!$A$1:$I$88,3,0)*VLOOKUP('Données projet'!$B$11,Paramètres!$A$1:$I$88,5,0)</f>
        <v>127.89503999999998</v>
      </c>
      <c r="BF31" s="14">
        <f t="shared" si="37"/>
        <v>33.509503727991913</v>
      </c>
      <c r="BG31" s="22">
        <f t="shared" si="7"/>
        <v>281.1129136595859</v>
      </c>
      <c r="BH31" s="62">
        <f t="shared" si="8"/>
        <v>572.00180254847476</v>
      </c>
      <c r="BI31" s="62">
        <f ca="1">AVERAGE(OFFSET($BH$3,0,0,'Données projet'!$E$11+1,1))-AVERAGE(OFFSET($H$3,0,0,'Données projet'!$E$11+1,1))</f>
        <v>525.51330555662139</v>
      </c>
      <c r="BJ31" s="62">
        <f t="shared" si="38"/>
        <v>357.72390083433635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179.23100000000002</v>
      </c>
      <c r="BW31" s="13">
        <f>VLOOKUP(A31,'Données projet'!$A$113:$I$133,9,0)</f>
        <v>15.366000000000042</v>
      </c>
      <c r="BX31" s="13">
        <f t="array" ref="BX31">INDEX(BW:BW,MIN(IF(ISNUMBER(BW31:BW227),ROW(BW31:BW227),"")))</f>
        <v>15.366000000000042</v>
      </c>
      <c r="BY31" s="13">
        <f>IF('Données projet'!$A$114&gt;35,BY30+BX31-CG30,IF(A31&lt;'Données projet'!$A$114,$BV$205^A31,IF(A31='Données projet'!$A$114,'Données projet'!$B$114,BY30+BX31-CG30)))</f>
        <v>179.23100000000005</v>
      </c>
      <c r="BZ31" s="14">
        <f>BY31*VLOOKUP('Données projet'!$B$12,Paramètres!$A$1:$I$88,3,0)*VLOOKUP('Données projet'!$B$12,Paramètres!$A$1:$I$88,5,0)</f>
        <v>107.18013800000003</v>
      </c>
      <c r="CA31" s="14">
        <f t="shared" si="39"/>
        <v>28.665602272041895</v>
      </c>
      <c r="CB31" s="22">
        <f t="shared" si="10"/>
        <v>236.59799764047298</v>
      </c>
      <c r="CC31" s="62">
        <f t="shared" si="11"/>
        <v>527.48688652936187</v>
      </c>
      <c r="CD31" s="62">
        <f ca="1">AVERAGE(OFFSET($CC$3,0,0,'Données projet'!$E$12+1,1))-AVERAGE(OFFSET($H$3,0,0,'Données projet'!$E$12+1,1))</f>
        <v>227.46616726010473</v>
      </c>
      <c r="CE31" s="62">
        <f t="shared" si="40"/>
        <v>314.188568589113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7.3657998909695079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20.826051297538179</v>
      </c>
      <c r="CN31" s="24">
        <f t="shared" si="12"/>
        <v>28.191851188507687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10</v>
      </c>
      <c r="CT31" s="13">
        <f>IF('Données projet'!$A$140&gt;35,CT30+CS31-DB30,IF(A31&lt;'Données projet'!$A$140,$CQ$205^A31,IF(A31='Données projet'!$A$140,'Données projet'!$B$140,CT30+CS31-DB30)))</f>
        <v>140</v>
      </c>
      <c r="CU31" s="18">
        <f>CT31*VLOOKUP('Données projet'!$B$13,Paramètres!$A$1:$I$88,3,0)*VLOOKUP('Données projet'!$B$13,Paramètres!$A$1:$I$88,5,0)</f>
        <v>83.720000000000013</v>
      </c>
      <c r="CV31" s="14">
        <f t="shared" si="41"/>
        <v>23.044323503842598</v>
      </c>
      <c r="CW31" s="22">
        <f t="shared" si="13"/>
        <v>185.9478634358592</v>
      </c>
      <c r="CX31" s="62">
        <f t="shared" si="14"/>
        <v>476.83675232474809</v>
      </c>
      <c r="CY31" s="62">
        <f ca="1">AVERAGE(OFFSET($CX$3,0,0,'Données projet'!$E$13+1,1))-AVERAGE(OFFSET($H$3,0,0,'Données projet'!$E$13+1,1))</f>
        <v>356.46794174556311</v>
      </c>
      <c r="CZ31" s="62">
        <f t="shared" si="42"/>
        <v>248.47107558211923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>
        <f>VLOOKUP(A31,'Données projet'!$A$165:$I$185,2,0)</f>
        <v>280</v>
      </c>
      <c r="DM31" s="13">
        <f>VLOOKUP(A31,'Données projet'!$A$165:$I$185,9,0)</f>
        <v>10</v>
      </c>
      <c r="DN31" s="13">
        <f t="array" ref="DN31">INDEX(DM:DM,MIN(IF(ISNUMBER(DM31:DM227),ROW(DM31:DM227),"")))</f>
        <v>10</v>
      </c>
      <c r="DO31" s="13">
        <f>IF('Données projet'!$A$166&gt;35,DO30+DN31-DW30,IF(A31&lt;'Données projet'!$A$166,$DL$205^A31,IF(A31='Données projet'!$A$166,'Données projet'!$B$166,DO30+DN31-DW30)))</f>
        <v>280</v>
      </c>
      <c r="DP31" s="18">
        <f>DO31*VLOOKUP('Données projet'!$B$14,Paramètres!$A$1:$I$88,3,0)*VLOOKUP('Données projet'!$B$14,Paramètres!$A$1:$I$88,5,0)</f>
        <v>156.51999999999998</v>
      </c>
      <c r="DQ31" s="14">
        <f t="shared" si="43"/>
        <v>40.056589961286939</v>
      </c>
      <c r="DR31" s="22">
        <f t="shared" si="16"/>
        <v>342.37089418257466</v>
      </c>
      <c r="DS31" s="62">
        <f t="shared" si="17"/>
        <v>633.25978307146352</v>
      </c>
      <c r="DT31" s="62">
        <f ca="1">AVERAGE(OFFSET($DS$3,0,0,'Données projet'!$E$14+1,1))-AVERAGE(OFFSET($H$3,0,0,'Données projet'!$E$14+1,1))</f>
        <v>397.04445188588369</v>
      </c>
      <c r="DU31" s="62">
        <f t="shared" si="44"/>
        <v>350.01856672839466</v>
      </c>
      <c r="DV31" s="16">
        <f>IF(ISNA(VLOOKUP(A31,'Données projet'!$A$165:$I$185,3,0)),0,VLOOKUP(A31,'Données projet'!$A$165:$I$185,3,0))</f>
        <v>1</v>
      </c>
      <c r="DW31" s="16">
        <f>IF(ISNA(VLOOKUP(A31,'Données projet'!$A$165:$I$185,4,0)),0,VLOOKUP(A31,'Données projet'!$A$165:$I$185,4,0))</f>
        <v>64</v>
      </c>
      <c r="DX31" s="17">
        <f>IF(ISNA(VLOOKUP(A31,'Données projet'!$A$165:$I$185,5,0)),0%,VLOOKUP(A31,'Données projet'!$A$165:$I$185,5,0)*VLOOKUP('Données projet'!$B$14,Paramètres!$A$1:$I$88,7,0))</f>
        <v>0.11000000000000001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0.8</v>
      </c>
      <c r="EA31" s="23">
        <f>EXP(-LN(2)/35)*EA30+(1-EXP(-LN(2)/35))/(LN(2)/35)*DW31*DX31*VLOOKUP('Données projet'!$B$14,Paramètres!$A$1:$I$88,3,0)*0.475*44/12</f>
        <v>5.22050869535855</v>
      </c>
      <c r="EB31" s="23">
        <f>EXP(-LN(2)/25)*EB30+(1-EXP(-LN(2)/25))/(LN(2)/25)*Calculateur!DW31*Calculateur!DY31*VLOOKUP('Données projet'!$B$14,Paramètres!$A$1:$I$88,3,0)*0.475*44/12</f>
        <v>0</v>
      </c>
      <c r="EC31" s="23">
        <f>EXP(-LN(2)/2)*EC30+(1-EXP(-LN(2)/2))/(LN(2)/2)*DW31*DZ31*VLOOKUP('Données projet'!$B$14,Paramètres!$A$1:$I$88,3,0)*0.475*44/12</f>
        <v>32.405394141045477</v>
      </c>
      <c r="ED31" s="24">
        <f t="shared" si="18"/>
        <v>37.625902836404023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7.2800000000000011</v>
      </c>
      <c r="EJ31" s="13">
        <f>IF('Données projet'!$A$192&gt;35,EJ30+EI31-ER30,IF(A31&lt;'Données projet'!$A$192,$EG$205^A31,IF(A31='Données projet'!$A$192,'Données projet'!$B$192,EJ30+EI31-ER30)))</f>
        <v>61.239999999999995</v>
      </c>
      <c r="EK31" s="18">
        <f>EJ31*VLOOKUP('Données projet'!$B$15,Paramètres!$A$1:$I$88,3,0)*VLOOKUP('Données projet'!$B$15,Paramètres!$A$1:$I$88,5,0)</f>
        <v>53.499264000000004</v>
      </c>
      <c r="EL31" s="14">
        <f t="shared" si="45"/>
        <v>15.513871413395808</v>
      </c>
      <c r="EM31" s="22">
        <f t="shared" si="19"/>
        <v>120.19787751166437</v>
      </c>
      <c r="EN31" s="62">
        <f t="shared" si="20"/>
        <v>411.08676640055324</v>
      </c>
      <c r="EO31" s="62">
        <f ca="1">AVERAGE(OFFSET($EN$3,0,0,'Données projet'!$E$15+1,1))-AVERAGE(OFFSET($H$3,0,0,'Données projet'!$E$15+1,1))</f>
        <v>202.5548390231225</v>
      </c>
      <c r="EP31" s="62">
        <f t="shared" si="46"/>
        <v>184.62184077734179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projet'!$B$15,Paramètres!$A$1:$I$88,3,0)*0.475*44/12</f>
        <v>0</v>
      </c>
      <c r="EW31" s="23">
        <f>EXP(-LN(2)/25)*EW30+(1-EXP(-LN(2)/25))/(LN(2)/25)*Calculateur!ER31*Calculateur!ET31*VLOOKUP('Données projet'!$B$15,Paramètres!$A$1:$I$88,3,0)*0.475*44/12</f>
        <v>0</v>
      </c>
      <c r="EX31" s="23">
        <f>EXP(-LN(2)/2)*EX30+(1-EXP(-LN(2)/2))/(LN(2)/2)*ER31*EU31*VLOOKUP('Données projet'!$B$15,Paramètres!$A$1:$I$88,3,0)*0.475*44/12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83</v>
      </c>
      <c r="FF31" s="18">
        <f>FE31*VLOOKUP('Données projet'!$B$16,Paramètres!$A$1:$I$88,3,0)*VLOOKUP('Données projet'!$B$16,Paramètres!$A$1:$I$88,5,0)</f>
        <v>80.277600000000007</v>
      </c>
      <c r="FG31" s="14">
        <f t="shared" si="47"/>
        <v>22.205045081933264</v>
      </c>
      <c r="FH31" s="22">
        <f t="shared" si="22"/>
        <v>178.49060685103379</v>
      </c>
      <c r="FI31" s="62">
        <f t="shared" si="23"/>
        <v>469.37949573992262</v>
      </c>
      <c r="FJ31" s="62">
        <f ca="1">AVERAGE(OFFSET($FI$3,0,0,'Données projet'!$E$16+1,1))-AVERAGE(OFFSET($H$3,0,0,'Données projet'!$E$16+1,1))</f>
        <v>456.96274622094955</v>
      </c>
      <c r="FK31" s="62">
        <f t="shared" si="48"/>
        <v>244.45149244446094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projet'!$B$16,Paramètres!$A$1:$I$88,3,0)*0.475*44/12</f>
        <v>0</v>
      </c>
      <c r="FR31" s="23">
        <f>EXP(-LN(2)/25)*FR30+(1-EXP(-LN(2)/25))/(LN(2)/25)*Calculateur!FM31*Calculateur!FO31*VLOOKUP('Données projet'!$B$16,Paramètres!$A$1:$I$88,3,0)*0.475*44/12</f>
        <v>0</v>
      </c>
      <c r="FS31" s="23">
        <f>EXP(-LN(2)/2)*FS30+(1-EXP(-LN(2)/2))/(LN(2)/2)*FM31*FP31*VLOOKUP('Données projet'!$B$16,Paramètres!$A$1:$I$88,3,0)*0.475*44/12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83</v>
      </c>
      <c r="GA31" s="18">
        <f>FZ31*VLOOKUP('Données projet'!$B$17,Paramètres!$A$1:$I$88,3,0)*VLOOKUP('Données projet'!$B$17,Paramètres!$A$1:$I$88,5,0)</f>
        <v>89.341200000000001</v>
      </c>
      <c r="GB31" s="14">
        <f t="shared" si="49"/>
        <v>24.40627042312898</v>
      </c>
      <c r="GC31" s="22">
        <f t="shared" si="25"/>
        <v>198.11017765361632</v>
      </c>
      <c r="GD31" s="62">
        <f t="shared" si="26"/>
        <v>488.99906654250515</v>
      </c>
      <c r="GE31" s="62">
        <f ca="1">AVERAGE(OFFSET($GD$3,0,0,'Données projet'!$E$17+1,1))-AVERAGE(OFFSET($H$3,0,0,'Données projet'!$E$17+1,1))</f>
        <v>503.69304261527651</v>
      </c>
      <c r="GF31" s="62">
        <f t="shared" si="50"/>
        <v>267.2998309535638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projet'!$B$17,Paramètres!$A$1:$I$88,3,0)*0.475*44/12</f>
        <v>0</v>
      </c>
      <c r="GM31" s="23">
        <f>EXP(-LN(2)/25)*GM30+(1-EXP(-LN(2)/25))/(LN(2)/25)*Calculateur!GH31*Calculateur!GJ31*VLOOKUP('Données projet'!$B$17,Paramètres!$A$1:$I$88,3,0)*0.475*44/12</f>
        <v>0</v>
      </c>
      <c r="GN31" s="23">
        <f>EXP(-LN(2)/2)*GN30+(1-EXP(-LN(2)/2))/(LN(2)/2)*GH31*GK31*VLOOKUP('Données projet'!$B$17,Paramètres!$A$1:$I$88,3,0)*0.475*44/12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9.1999999999999993</v>
      </c>
      <c r="GU31" s="13">
        <f>IF('Données projet'!$A$270&gt;35,GU30+GT31-HC30,IF(A31&lt;'Données projet'!$A$270,$GR$205^A31,IF(A31='Données projet'!$A$270,'Données projet'!$B$270,GU30+GT31-HC30)))</f>
        <v>102.60000000000002</v>
      </c>
      <c r="GV31" s="18">
        <f>GU31*VLOOKUP('Données projet'!$B$18,Paramètres!$A$1:$I$88,3,0)*VLOOKUP('Données projet'!$B$18,Paramètres!$A$1:$I$88,5,0)</f>
        <v>107.23752000000003</v>
      </c>
      <c r="GW31" s="14">
        <f t="shared" si="51"/>
        <v>28.679162425911361</v>
      </c>
      <c r="GX31" s="22">
        <f t="shared" si="28"/>
        <v>236.72155522512904</v>
      </c>
      <c r="GY31" s="62">
        <f t="shared" si="29"/>
        <v>527.61044411401792</v>
      </c>
      <c r="GZ31" s="62">
        <f ca="1">AVERAGE(OFFSET($GY$3,0,0,'Données projet'!$E$18+1,1))-AVERAGE(OFFSET($H$3,0,0,'Données projet'!$E$18+1,1))</f>
        <v>582.89879210197682</v>
      </c>
      <c r="HA31" s="62">
        <f t="shared" si="52"/>
        <v>314.72094983133326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projet'!$B$18,Paramètres!$A$1:$I$88,3,0)*0.475*44/12</f>
        <v>0</v>
      </c>
      <c r="HH31" s="23">
        <f>EXP(-LN(2)/25)*HH30+(1-EXP(-LN(2)/25))/(LN(2)/25)*Calculateur!HC31*Calculateur!HE31*VLOOKUP('Données projet'!$B$18,Paramètres!$A$1:$I$88,3,0)*0.475*44/12</f>
        <v>0</v>
      </c>
      <c r="HI31" s="23">
        <f>EXP(-LN(2)/2)*HI30+(1-EXP(-LN(2)/2))/(LN(2)/2)*HC31*HF31*VLOOKUP('Données projet'!$B$18,Paramètres!$A$1:$I$88,3,0)*0.475*44/12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9.3000000000000007</v>
      </c>
      <c r="N32" s="14">
        <f>IF('Données projet'!$A$36&gt;35,N31+M32-V31,IF(A32&lt;'Données projet'!$A$36,$K$205^A32,IF(A32='Données projet'!$A$36,'Données projet'!$B$36,N31+M32-V31)))</f>
        <v>111.69999999999997</v>
      </c>
      <c r="O32" s="14">
        <f>N32*VLOOKUP('Données projet'!$B$9,Paramètres!$A$1:$I$88,3,0)*VLOOKUP('Données projet'!$B$9,Paramètres!$A$1:$I$88,5,0)</f>
        <v>52.27559999999999</v>
      </c>
      <c r="P32" s="14">
        <f t="shared" si="33"/>
        <v>15.199912378332435</v>
      </c>
      <c r="Q32" s="22">
        <f t="shared" si="2"/>
        <v>117.51985072559563</v>
      </c>
      <c r="R32" s="62">
        <f t="shared" si="0"/>
        <v>409.63096183670677</v>
      </c>
      <c r="S32" s="62">
        <f ca="1">AVERAGE(OFFSET($R$3,0,0,'Données projet'!$E$9+1,1))-AVERAGE(OFFSET($H$3,0,0,'Données projet'!$E$9+1,1))</f>
        <v>399.92909819003523</v>
      </c>
      <c r="T32" s="62">
        <f t="shared" si="34"/>
        <v>163.7053537268381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projet'!$B$10,Paramètres!$A$1:$I$88,3,0)*VLOOKUP('Données projet'!$B$10,Paramètres!$A$1:$I$88,5,0)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515.73067222186751</v>
      </c>
      <c r="AN32" s="62">
        <f ca="1">AVERAGE(OFFSET($AM$3,0,0,'Données projet'!$E$10+1,1))-AVERAGE(OFFSET($H$3,0,0,'Données projet'!$E$10+1,1))</f>
        <v>510.56580450928806</v>
      </c>
      <c r="AO32" s="62">
        <f t="shared" si="36"/>
        <v>278.21741231699929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9.8000000000000007</v>
      </c>
      <c r="BD32" s="13">
        <f>IF('Données projet'!$A$88&gt;35,BD31+BC32-BL31,IF(A32&lt;'Données projet'!$A$88,$BA$205^A32,IF(A32='Données projet'!$A$88,'Données projet'!$B$88,BD31+BC32-BL31)))</f>
        <v>144.19999999999999</v>
      </c>
      <c r="BE32" s="14">
        <f>BD32*VLOOKUP('Données projet'!$B$11,Paramètres!$A$1:$I$88,3,0)*VLOOKUP('Données projet'!$B$11,Paramètres!$A$1:$I$88,5,0)</f>
        <v>137.22072</v>
      </c>
      <c r="BF32" s="14">
        <f t="shared" si="37"/>
        <v>35.65957035501426</v>
      </c>
      <c r="BG32" s="22">
        <f t="shared" si="7"/>
        <v>301.09983903498318</v>
      </c>
      <c r="BH32" s="62">
        <f t="shared" si="8"/>
        <v>593.21095014609432</v>
      </c>
      <c r="BI32" s="62">
        <f ca="1">AVERAGE(OFFSET($BH$3,0,0,'Données projet'!$E$11+1,1))-AVERAGE(OFFSET($H$3,0,0,'Données projet'!$E$11+1,1))</f>
        <v>525.51330555662139</v>
      </c>
      <c r="BJ32" s="62">
        <f t="shared" si="38"/>
        <v>357.72390083433635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>
        <f>VLOOKUP(A32,'Données projet'!$A$113:$I$133,2,0)</f>
        <v>195.11750000000001</v>
      </c>
      <c r="BW32" s="13">
        <f>VLOOKUP(A32,'Données projet'!$A$113:$I$133,9,0)</f>
        <v>15.886499999999984</v>
      </c>
      <c r="BX32" s="13">
        <f t="array" ref="BX32">INDEX(BW:BW,MIN(IF(ISNUMBER(BW32:BW228),ROW(BW32:BW228),"")))</f>
        <v>15.886499999999984</v>
      </c>
      <c r="BY32" s="13">
        <f>IF('Données projet'!$A$114&gt;35,BY31+BX32-CG31,IF(A32&lt;'Données projet'!$A$114,$BV$205^A32,IF(A32='Données projet'!$A$114,'Données projet'!$B$114,BY31+BX32-CG31)))</f>
        <v>195.11750000000004</v>
      </c>
      <c r="BZ32" s="14">
        <f>BY32*VLOOKUP('Données projet'!$B$12,Paramètres!$A$1:$I$88,3,0)*VLOOKUP('Données projet'!$B$12,Paramètres!$A$1:$I$88,5,0)</f>
        <v>116.68026500000003</v>
      </c>
      <c r="CA32" s="14">
        <f t="shared" si="39"/>
        <v>30.89946596054941</v>
      </c>
      <c r="CB32" s="22">
        <f t="shared" si="10"/>
        <v>257.03469808962365</v>
      </c>
      <c r="CC32" s="62">
        <f t="shared" si="11"/>
        <v>549.14580920073479</v>
      </c>
      <c r="CD32" s="62">
        <f ca="1">AVERAGE(OFFSET($CC$3,0,0,'Données projet'!$E$12+1,1))-AVERAGE(OFFSET($H$3,0,0,'Données projet'!$E$12+1,1))</f>
        <v>227.46616726010473</v>
      </c>
      <c r="CE32" s="62">
        <f t="shared" si="40"/>
        <v>314.188568589113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7.2213610478019126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14.726242097828145</v>
      </c>
      <c r="CN32" s="24">
        <f t="shared" si="12"/>
        <v>21.947603145630058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</v>
      </c>
      <c r="CT32" s="13">
        <f>IF('Données projet'!$A$140&gt;35,CT31+CS32-DB31,IF(A32&lt;'Données projet'!$A$140,$CQ$205^A32,IF(A32='Données projet'!$A$140,'Données projet'!$B$140,CT31+CS32-DB31)))</f>
        <v>150</v>
      </c>
      <c r="CU32" s="18">
        <f>CT32*VLOOKUP('Données projet'!$B$13,Paramètres!$A$1:$I$88,3,0)*VLOOKUP('Données projet'!$B$13,Paramètres!$A$1:$I$88,5,0)</f>
        <v>89.7</v>
      </c>
      <c r="CV32" s="14">
        <f t="shared" si="41"/>
        <v>24.492858164013299</v>
      </c>
      <c r="CW32" s="22">
        <f t="shared" si="13"/>
        <v>198.88589463565651</v>
      </c>
      <c r="CX32" s="62">
        <f t="shared" si="14"/>
        <v>490.99700574676763</v>
      </c>
      <c r="CY32" s="62">
        <f ca="1">AVERAGE(OFFSET($CX$3,0,0,'Données projet'!$E$13+1,1))-AVERAGE(OFFSET($H$3,0,0,'Données projet'!$E$13+1,1))</f>
        <v>356.46794174556311</v>
      </c>
      <c r="CZ32" s="62">
        <f t="shared" si="42"/>
        <v>248.47107558211923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19.857142857142858</v>
      </c>
      <c r="DO32" s="13">
        <f>IF('Données projet'!$A$166&gt;35,DO31+DN32-DW31,IF(A32&lt;'Données projet'!$A$166,$DL$205^A32,IF(A32='Données projet'!$A$166,'Données projet'!$B$166,DO31+DN32-DW31)))</f>
        <v>235.85714285714283</v>
      </c>
      <c r="DP32" s="18">
        <f>DO32*VLOOKUP('Données projet'!$B$14,Paramètres!$A$1:$I$88,3,0)*VLOOKUP('Données projet'!$B$14,Paramètres!$A$1:$I$88,5,0)</f>
        <v>131.84414285714283</v>
      </c>
      <c r="DQ32" s="14">
        <f t="shared" si="43"/>
        <v>34.422136630345072</v>
      </c>
      <c r="DR32" s="22">
        <f t="shared" si="16"/>
        <v>289.5804367740414</v>
      </c>
      <c r="DS32" s="62">
        <f t="shared" si="17"/>
        <v>581.69154788515254</v>
      </c>
      <c r="DT32" s="62">
        <f ca="1">AVERAGE(OFFSET($DS$3,0,0,'Données projet'!$E$14+1,1))-AVERAGE(OFFSET($H$3,0,0,'Données projet'!$E$14+1,1))</f>
        <v>397.04445188588369</v>
      </c>
      <c r="DU32" s="62">
        <f t="shared" si="44"/>
        <v>350.01856672839466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5.1181377040384595</v>
      </c>
      <c r="EB32" s="23">
        <f>EXP(-LN(2)/25)*EB31+(1-EXP(-LN(2)/25))/(LN(2)/25)*Calculateur!DW32*Calculateur!DY32*VLOOKUP('Données projet'!$B$14,Paramètres!$A$1:$I$88,3,0)*0.475*44/12</f>
        <v>0</v>
      </c>
      <c r="EC32" s="23">
        <f>EXP(-LN(2)/2)*EC31+(1-EXP(-LN(2)/2))/(LN(2)/2)*DW32*DZ32*VLOOKUP('Données projet'!$B$14,Paramètres!$A$1:$I$88,3,0)*0.475*44/12</f>
        <v>22.914073944156076</v>
      </c>
      <c r="ED32" s="24">
        <f t="shared" si="18"/>
        <v>28.032211648194536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7.2800000000000011</v>
      </c>
      <c r="EJ32" s="13">
        <f>IF('Données projet'!$A$192&gt;35,EJ31+EI32-ER31,IF(A32&lt;'Données projet'!$A$192,$EG$205^A32,IF(A32='Données projet'!$A$192,'Données projet'!$B$192,EJ31+EI32-ER31)))</f>
        <v>68.52</v>
      </c>
      <c r="EK32" s="18">
        <f>EJ32*VLOOKUP('Données projet'!$B$15,Paramètres!$A$1:$I$88,3,0)*VLOOKUP('Données projet'!$B$15,Paramètres!$A$1:$I$88,5,0)</f>
        <v>59.859072000000005</v>
      </c>
      <c r="EL32" s="14">
        <f t="shared" si="45"/>
        <v>17.132633117453814</v>
      </c>
      <c r="EM32" s="22">
        <f t="shared" si="19"/>
        <v>134.09388641289874</v>
      </c>
      <c r="EN32" s="62">
        <f t="shared" si="20"/>
        <v>426.20499752400985</v>
      </c>
      <c r="EO32" s="62">
        <f ca="1">AVERAGE(OFFSET($EN$3,0,0,'Données projet'!$E$15+1,1))-AVERAGE(OFFSET($H$3,0,0,'Données projet'!$E$15+1,1))</f>
        <v>202.5548390231225</v>
      </c>
      <c r="EP32" s="62">
        <f t="shared" si="46"/>
        <v>184.62184077734179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projet'!$B$15,Paramètres!$A$1:$I$88,3,0)*0.475*44/12</f>
        <v>0</v>
      </c>
      <c r="EW32" s="23">
        <f>EXP(-LN(2)/25)*EW31+(1-EXP(-LN(2)/25))/(LN(2)/25)*Calculateur!ER32*Calculateur!ET32*VLOOKUP('Données projet'!$B$15,Paramètres!$A$1:$I$88,3,0)*0.475*44/12</f>
        <v>0</v>
      </c>
      <c r="EX32" s="23">
        <f>EXP(-LN(2)/2)*EX31+(1-EXP(-LN(2)/2))/(LN(2)/2)*ER32*EU32*VLOOKUP('Données projet'!$B$15,Paramètres!$A$1:$I$88,3,0)*0.475*44/12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90</v>
      </c>
      <c r="FF32" s="18">
        <f>FE32*VLOOKUP('Données projet'!$B$16,Paramètres!$A$1:$I$88,3,0)*VLOOKUP('Données projet'!$B$16,Paramètres!$A$1:$I$88,5,0)</f>
        <v>87.048000000000002</v>
      </c>
      <c r="FG32" s="14">
        <f t="shared" si="47"/>
        <v>23.851897708444891</v>
      </c>
      <c r="FH32" s="22">
        <f t="shared" si="22"/>
        <v>193.15065517554152</v>
      </c>
      <c r="FI32" s="62">
        <f t="shared" si="23"/>
        <v>485.26176628665269</v>
      </c>
      <c r="FJ32" s="62">
        <f ca="1">AVERAGE(OFFSET($FI$3,0,0,'Données projet'!$E$16+1,1))-AVERAGE(OFFSET($H$3,0,0,'Données projet'!$E$16+1,1))</f>
        <v>456.96274622094955</v>
      </c>
      <c r="FK32" s="62">
        <f t="shared" si="48"/>
        <v>244.45149244446094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projet'!$B$16,Paramètres!$A$1:$I$88,3,0)*0.475*44/12</f>
        <v>0</v>
      </c>
      <c r="FR32" s="23">
        <f>EXP(-LN(2)/25)*FR31+(1-EXP(-LN(2)/25))/(LN(2)/25)*Calculateur!FM32*Calculateur!FO32*VLOOKUP('Données projet'!$B$16,Paramètres!$A$1:$I$88,3,0)*0.475*44/12</f>
        <v>0</v>
      </c>
      <c r="FS32" s="23">
        <f>EXP(-LN(2)/2)*FS31+(1-EXP(-LN(2)/2))/(LN(2)/2)*FM32*FP32*VLOOKUP('Données projet'!$B$16,Paramètres!$A$1:$I$88,3,0)*0.475*44/12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90</v>
      </c>
      <c r="GA32" s="18">
        <f>FZ32*VLOOKUP('Données projet'!$B$17,Paramètres!$A$1:$I$88,3,0)*VLOOKUP('Données projet'!$B$17,Paramètres!$A$1:$I$88,5,0)</f>
        <v>96.875999999999991</v>
      </c>
      <c r="GB32" s="14">
        <f t="shared" si="49"/>
        <v>26.21637845945024</v>
      </c>
      <c r="GC32" s="22">
        <f t="shared" si="25"/>
        <v>214.38589248354245</v>
      </c>
      <c r="GD32" s="62">
        <f t="shared" si="26"/>
        <v>506.49700359465362</v>
      </c>
      <c r="GE32" s="62">
        <f ca="1">AVERAGE(OFFSET($GD$3,0,0,'Données projet'!$E$17+1,1))-AVERAGE(OFFSET($H$3,0,0,'Données projet'!$E$17+1,1))</f>
        <v>503.69304261527651</v>
      </c>
      <c r="GF32" s="62">
        <f t="shared" si="50"/>
        <v>267.2998309535638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projet'!$B$17,Paramètres!$A$1:$I$88,3,0)*0.475*44/12</f>
        <v>0</v>
      </c>
      <c r="GM32" s="23">
        <f>EXP(-LN(2)/25)*GM31+(1-EXP(-LN(2)/25))/(LN(2)/25)*Calculateur!GH32*Calculateur!GJ32*VLOOKUP('Données projet'!$B$17,Paramètres!$A$1:$I$88,3,0)*0.475*44/12</f>
        <v>0</v>
      </c>
      <c r="GN32" s="23">
        <f>EXP(-LN(2)/2)*GN31+(1-EXP(-LN(2)/2))/(LN(2)/2)*GH32*GK32*VLOOKUP('Données projet'!$B$17,Paramètres!$A$1:$I$88,3,0)*0.475*44/12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9.1999999999999993</v>
      </c>
      <c r="GU32" s="13">
        <f>IF('Données projet'!$A$270&gt;35,GU31+GT32-HC31,IF(A32&lt;'Données projet'!$A$270,$GR$205^A32,IF(A32='Données projet'!$A$270,'Données projet'!$B$270,GU31+GT32-HC31)))</f>
        <v>111.80000000000003</v>
      </c>
      <c r="GV32" s="18">
        <f>GU32*VLOOKUP('Données projet'!$B$18,Paramètres!$A$1:$I$88,3,0)*VLOOKUP('Données projet'!$B$18,Paramètres!$A$1:$I$88,5,0)</f>
        <v>116.85336000000004</v>
      </c>
      <c r="GW32" s="14">
        <f t="shared" si="51"/>
        <v>30.939966081410812</v>
      </c>
      <c r="GX32" s="22">
        <f t="shared" si="28"/>
        <v>257.40670959179056</v>
      </c>
      <c r="GY32" s="62">
        <f t="shared" si="29"/>
        <v>549.51782070290164</v>
      </c>
      <c r="GZ32" s="62">
        <f ca="1">AVERAGE(OFFSET($GY$3,0,0,'Données projet'!$E$18+1,1))-AVERAGE(OFFSET($H$3,0,0,'Données projet'!$E$18+1,1))</f>
        <v>582.89879210197682</v>
      </c>
      <c r="HA32" s="62">
        <f t="shared" si="52"/>
        <v>314.72094983133326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projet'!$B$18,Paramètres!$A$1:$I$88,3,0)*0.475*44/12</f>
        <v>0</v>
      </c>
      <c r="HH32" s="23">
        <f>EXP(-LN(2)/25)*HH31+(1-EXP(-LN(2)/25))/(LN(2)/25)*Calculateur!HC32*Calculateur!HE32*VLOOKUP('Données projet'!$B$18,Paramètres!$A$1:$I$88,3,0)*0.475*44/12</f>
        <v>0</v>
      </c>
      <c r="HI32" s="23">
        <f>EXP(-LN(2)/2)*HI31+(1-EXP(-LN(2)/2))/(LN(2)/2)*HC32*HF32*VLOOKUP('Données projet'!$B$18,Paramètres!$A$1:$I$88,3,0)*0.475*44/12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9.3000000000000007</v>
      </c>
      <c r="M33" s="13">
        <f t="array" ref="M33">INDEX(L:L,MIN(IF(ISNUMBER(L33:L229),ROW(L33:L229),"")))</f>
        <v>9.3000000000000007</v>
      </c>
      <c r="N33" s="14">
        <f>IF('Données projet'!$A$36&gt;35,N32+M33-V32,IF(A33&lt;'Données projet'!$A$36,$K$205^A33,IF(A33='Données projet'!$A$36,'Données projet'!$B$36,N32+M33-V32)))</f>
        <v>120.99999999999997</v>
      </c>
      <c r="O33" s="14">
        <f>N33*VLOOKUP('Données projet'!$B$9,Paramètres!$A$1:$I$88,3,0)*VLOOKUP('Données projet'!$B$9,Paramètres!$A$1:$I$88,5,0)</f>
        <v>56.627999999999986</v>
      </c>
      <c r="P33" s="14">
        <f t="shared" si="33"/>
        <v>16.312872953208519</v>
      </c>
      <c r="Q33" s="22">
        <f t="shared" si="2"/>
        <v>127.03868706017147</v>
      </c>
      <c r="R33" s="62">
        <f t="shared" si="0"/>
        <v>420.37202039350478</v>
      </c>
      <c r="S33" s="62">
        <f ca="1">AVERAGE(OFFSET($R$3,0,0,'Données projet'!$E$9+1,1))-AVERAGE(OFFSET($H$3,0,0,'Données projet'!$E$9+1,1))</f>
        <v>399.92909819003523</v>
      </c>
      <c r="T33" s="62">
        <f t="shared" si="34"/>
        <v>163.7053537268381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projet'!$B$10,Paramètres!$A$1:$I$88,3,0)*VLOOKUP('Données projet'!$B$10,Paramètres!$A$1:$I$88,5,0)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534.88407898366597</v>
      </c>
      <c r="AN33" s="62">
        <f ca="1">AVERAGE(OFFSET($AM$3,0,0,'Données projet'!$E$10+1,1))-AVERAGE(OFFSET($H$3,0,0,'Données projet'!$E$10+1,1))</f>
        <v>510.56580450928806</v>
      </c>
      <c r="AO33" s="62">
        <f t="shared" si="36"/>
        <v>278.21741231699929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154</v>
      </c>
      <c r="BB33" s="13">
        <f>VLOOKUP(A33,'Données projet'!$A$87:$I$107,9,0)</f>
        <v>9.8000000000000007</v>
      </c>
      <c r="BC33" s="13">
        <f t="array" ref="BC33">INDEX(BB:BB,MIN(IF(ISNUMBER(BB33:BB229),ROW(BB33:BB229),"")))</f>
        <v>9.8000000000000007</v>
      </c>
      <c r="BD33" s="13">
        <f>IF('Données projet'!$A$88&gt;35,BD32+BC33-BL32,IF(A33&lt;'Données projet'!$A$88,$BA$205^A33,IF(A33='Données projet'!$A$88,'Données projet'!$B$88,BD32+BC33-BL32)))</f>
        <v>154</v>
      </c>
      <c r="BE33" s="14">
        <f>BD33*VLOOKUP('Données projet'!$B$11,Paramètres!$A$1:$I$88,3,0)*VLOOKUP('Données projet'!$B$11,Paramètres!$A$1:$I$88,5,0)</f>
        <v>146.54640000000001</v>
      </c>
      <c r="BF33" s="14">
        <f t="shared" si="37"/>
        <v>37.7926818187577</v>
      </c>
      <c r="BG33" s="22">
        <f t="shared" si="7"/>
        <v>321.05723416766966</v>
      </c>
      <c r="BH33" s="62">
        <f t="shared" si="8"/>
        <v>614.39056750100303</v>
      </c>
      <c r="BI33" s="62">
        <f ca="1">AVERAGE(OFFSET($BH$3,0,0,'Données projet'!$E$11+1,1))-AVERAGE(OFFSET($H$3,0,0,'Données projet'!$E$11+1,1))</f>
        <v>525.51330555662139</v>
      </c>
      <c r="BJ33" s="62">
        <f t="shared" si="38"/>
        <v>357.72390083433635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211.072</v>
      </c>
      <c r="BW33" s="13">
        <f>VLOOKUP(A33,'Données projet'!$A$113:$I$133,9,0)</f>
        <v>15.954499999999996</v>
      </c>
      <c r="BX33" s="13">
        <f t="array" ref="BX33">INDEX(BW:BW,MIN(IF(ISNUMBER(BW33:BW229),ROW(BW33:BW229),"")))</f>
        <v>15.954499999999996</v>
      </c>
      <c r="BY33" s="13">
        <f>IF('Données projet'!$A$114&gt;35,BY32+BX33-CG32,IF(A33&lt;'Données projet'!$A$114,$BV$205^A33,IF(A33='Données projet'!$A$114,'Données projet'!$B$114,BY32+BX33-CG32)))</f>
        <v>211.07200000000003</v>
      </c>
      <c r="BZ33" s="14">
        <f>BY33*VLOOKUP('Données projet'!$B$12,Paramètres!$A$1:$I$88,3,0)*VLOOKUP('Données projet'!$B$12,Paramètres!$A$1:$I$88,5,0)</f>
        <v>126.22105600000002</v>
      </c>
      <c r="CA33" s="14">
        <f t="shared" si="39"/>
        <v>33.121662807146215</v>
      </c>
      <c r="CB33" s="22">
        <f t="shared" si="10"/>
        <v>277.52190192244638</v>
      </c>
      <c r="CC33" s="62">
        <f t="shared" si="11"/>
        <v>570.85523525577969</v>
      </c>
      <c r="CD33" s="62">
        <f ca="1">AVERAGE(OFFSET($CC$3,0,0,'Données projet'!$E$12+1,1))-AVERAGE(OFFSET($H$3,0,0,'Données projet'!$E$12+1,1))</f>
        <v>227.46616726010473</v>
      </c>
      <c r="CE33" s="62">
        <f t="shared" si="40"/>
        <v>314.188568589113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7.0797545622498381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10.413025648769091</v>
      </c>
      <c r="CN33" s="24">
        <f t="shared" si="12"/>
        <v>17.492780211018928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160</v>
      </c>
      <c r="CR33" s="13">
        <f>VLOOKUP(A33,'Données projet'!$A$139:$I$159,9,0)</f>
        <v>10</v>
      </c>
      <c r="CS33" s="13">
        <f t="array" ref="CS33">INDEX(CR:CR,MIN(IF(ISNUMBER(CR33:CR229),ROW(CR33:CR229),"")))</f>
        <v>10</v>
      </c>
      <c r="CT33" s="13">
        <f>IF('Données projet'!$A$140&gt;35,CT32+CS33-DB32,IF(A33&lt;'Données projet'!$A$140,$CQ$205^A33,IF(A33='Données projet'!$A$140,'Données projet'!$B$140,CT32+CS33-DB32)))</f>
        <v>160</v>
      </c>
      <c r="CU33" s="18">
        <f>CT33*VLOOKUP('Données projet'!$B$13,Paramètres!$A$1:$I$88,3,0)*VLOOKUP('Données projet'!$B$13,Paramètres!$A$1:$I$88,5,0)</f>
        <v>95.680000000000021</v>
      </c>
      <c r="CV33" s="14">
        <f t="shared" si="41"/>
        <v>25.930186937101965</v>
      </c>
      <c r="CW33" s="22">
        <f t="shared" si="13"/>
        <v>211.80440891545263</v>
      </c>
      <c r="CX33" s="62">
        <f t="shared" si="14"/>
        <v>505.13774224878591</v>
      </c>
      <c r="CY33" s="62">
        <f ca="1">AVERAGE(OFFSET($CX$3,0,0,'Données projet'!$E$13+1,1))-AVERAGE(OFFSET($H$3,0,0,'Données projet'!$E$13+1,1))</f>
        <v>356.46794174556311</v>
      </c>
      <c r="CZ33" s="62">
        <f t="shared" si="42"/>
        <v>248.47107558211923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19.857142857142858</v>
      </c>
      <c r="DO33" s="13">
        <f>IF('Données projet'!$A$166&gt;35,DO32+DN33-DW32,IF(A33&lt;'Données projet'!$A$166,$DL$205^A33,IF(A33='Données projet'!$A$166,'Données projet'!$B$166,DO32+DN33-DW32)))</f>
        <v>255.71428571428569</v>
      </c>
      <c r="DP33" s="18">
        <f>DO33*VLOOKUP('Données projet'!$B$14,Paramètres!$A$1:$I$88,3,0)*VLOOKUP('Données projet'!$B$14,Paramètres!$A$1:$I$88,5,0)</f>
        <v>142.94428571428571</v>
      </c>
      <c r="DQ33" s="14">
        <f t="shared" si="43"/>
        <v>36.970680828333286</v>
      </c>
      <c r="DR33" s="22">
        <f t="shared" si="16"/>
        <v>313.35190006172803</v>
      </c>
      <c r="DS33" s="62">
        <f t="shared" si="17"/>
        <v>606.68523339506135</v>
      </c>
      <c r="DT33" s="62">
        <f ca="1">AVERAGE(OFFSET($DS$3,0,0,'Données projet'!$E$14+1,1))-AVERAGE(OFFSET($H$3,0,0,'Données projet'!$E$14+1,1))</f>
        <v>397.04445188588369</v>
      </c>
      <c r="DU33" s="62">
        <f t="shared" si="44"/>
        <v>350.01856672839466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5.0177741454180174</v>
      </c>
      <c r="EB33" s="23">
        <f>EXP(-LN(2)/25)*EB32+(1-EXP(-LN(2)/25))/(LN(2)/25)*Calculateur!DW33*Calculateur!DY33*VLOOKUP('Données projet'!$B$14,Paramètres!$A$1:$I$88,3,0)*0.475*44/12</f>
        <v>0</v>
      </c>
      <c r="EC33" s="23">
        <f>EXP(-LN(2)/2)*EC32+(1-EXP(-LN(2)/2))/(LN(2)/2)*DW33*DZ33*VLOOKUP('Données projet'!$B$14,Paramètres!$A$1:$I$88,3,0)*0.475*44/12</f>
        <v>16.202697070522742</v>
      </c>
      <c r="ED33" s="24">
        <f t="shared" si="18"/>
        <v>21.220471215940758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75.8</v>
      </c>
      <c r="EH33" s="13">
        <f>VLOOKUP(A33,'Données projet'!$A$191:$I$211,9,0)</f>
        <v>7.2800000000000011</v>
      </c>
      <c r="EI33" s="13">
        <f t="array" ref="EI33">INDEX(EH:EH,MIN(IF(ISNUMBER(EH33:EH229),ROW(EH33:EH229),"")))</f>
        <v>7.2800000000000011</v>
      </c>
      <c r="EJ33" s="13">
        <f>IF('Données projet'!$A$192&gt;35,EJ32+EI33-ER32,IF(A33&lt;'Données projet'!$A$192,$EG$205^A33,IF(A33='Données projet'!$A$192,'Données projet'!$B$192,EJ32+EI33-ER32)))</f>
        <v>75.8</v>
      </c>
      <c r="EK33" s="18">
        <f>EJ33*VLOOKUP('Données projet'!$B$15,Paramètres!$A$1:$I$88,3,0)*VLOOKUP('Données projet'!$B$15,Paramètres!$A$1:$I$88,5,0)</f>
        <v>66.218879999999999</v>
      </c>
      <c r="EL33" s="14">
        <f t="shared" si="45"/>
        <v>18.731459202301547</v>
      </c>
      <c r="EM33" s="22">
        <f t="shared" si="19"/>
        <v>147.95517411067519</v>
      </c>
      <c r="EN33" s="62">
        <f t="shared" si="20"/>
        <v>441.28850744400847</v>
      </c>
      <c r="EO33" s="62">
        <f ca="1">AVERAGE(OFFSET($EN$3,0,0,'Données projet'!$E$15+1,1))-AVERAGE(OFFSET($H$3,0,0,'Données projet'!$E$15+1,1))</f>
        <v>202.5548390231225</v>
      </c>
      <c r="EP33" s="62">
        <f t="shared" si="46"/>
        <v>184.62184077734179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projet'!$B$15,Paramètres!$A$1:$I$88,3,0)*0.475*44/12</f>
        <v>0</v>
      </c>
      <c r="EW33" s="23">
        <f>EXP(-LN(2)/25)*EW32+(1-EXP(-LN(2)/25))/(LN(2)/25)*Calculateur!ER33*Calculateur!ET33*VLOOKUP('Données projet'!$B$15,Paramètres!$A$1:$I$88,3,0)*0.475*44/12</f>
        <v>0</v>
      </c>
      <c r="EX33" s="23">
        <f>EXP(-LN(2)/2)*EX32+(1-EXP(-LN(2)/2))/(LN(2)/2)*ER33*EU33*VLOOKUP('Données projet'!$B$15,Paramètres!$A$1:$I$88,3,0)*0.475*44/12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97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97</v>
      </c>
      <c r="FF33" s="18">
        <f>FE33*VLOOKUP('Données projet'!$B$16,Paramètres!$A$1:$I$88,3,0)*VLOOKUP('Données projet'!$B$16,Paramètres!$A$1:$I$88,5,0)</f>
        <v>93.818400000000011</v>
      </c>
      <c r="FG33" s="14">
        <f t="shared" si="47"/>
        <v>25.483892312609182</v>
      </c>
      <c r="FH33" s="22">
        <f t="shared" si="22"/>
        <v>207.78482577779434</v>
      </c>
      <c r="FI33" s="62">
        <f t="shared" si="23"/>
        <v>501.11815911112762</v>
      </c>
      <c r="FJ33" s="62">
        <f ca="1">AVERAGE(OFFSET($FI$3,0,0,'Données projet'!$E$16+1,1))-AVERAGE(OFFSET($H$3,0,0,'Données projet'!$E$16+1,1))</f>
        <v>456.96274622094955</v>
      </c>
      <c r="FK33" s="62">
        <f t="shared" si="48"/>
        <v>244.45149244446094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projet'!$B$16,Paramètres!$A$1:$I$88,3,0)*0.475*44/12</f>
        <v>0</v>
      </c>
      <c r="FR33" s="23">
        <f>EXP(-LN(2)/25)*FR32+(1-EXP(-LN(2)/25))/(LN(2)/25)*Calculateur!FM33*Calculateur!FO33*VLOOKUP('Données projet'!$B$16,Paramètres!$A$1:$I$88,3,0)*0.475*44/12</f>
        <v>0</v>
      </c>
      <c r="FS33" s="23">
        <f>EXP(-LN(2)/2)*FS32+(1-EXP(-LN(2)/2))/(LN(2)/2)*FM33*FP33*VLOOKUP('Données projet'!$B$16,Paramètres!$A$1:$I$88,3,0)*0.475*44/12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97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97</v>
      </c>
      <c r="GA33" s="18">
        <f>FZ33*VLOOKUP('Données projet'!$B$17,Paramètres!$A$1:$I$88,3,0)*VLOOKUP('Données projet'!$B$17,Paramètres!$A$1:$I$88,5,0)</f>
        <v>104.41079999999999</v>
      </c>
      <c r="GB33" s="14">
        <f t="shared" si="49"/>
        <v>28.010155571424168</v>
      </c>
      <c r="GC33" s="22">
        <f t="shared" si="25"/>
        <v>230.63316428689711</v>
      </c>
      <c r="GD33" s="62">
        <f t="shared" si="26"/>
        <v>523.96649762023048</v>
      </c>
      <c r="GE33" s="62">
        <f ca="1">AVERAGE(OFFSET($GD$3,0,0,'Données projet'!$E$17+1,1))-AVERAGE(OFFSET($H$3,0,0,'Données projet'!$E$17+1,1))</f>
        <v>503.69304261527651</v>
      </c>
      <c r="GF33" s="62">
        <f t="shared" si="50"/>
        <v>267.2998309535638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projet'!$B$17,Paramètres!$A$1:$I$88,3,0)*0.475*44/12</f>
        <v>0</v>
      </c>
      <c r="GM33" s="23">
        <f>EXP(-LN(2)/25)*GM32+(1-EXP(-LN(2)/25))/(LN(2)/25)*Calculateur!GH33*Calculateur!GJ33*VLOOKUP('Données projet'!$B$17,Paramètres!$A$1:$I$88,3,0)*0.475*44/12</f>
        <v>0</v>
      </c>
      <c r="GN33" s="23">
        <f>EXP(-LN(2)/2)*GN32+(1-EXP(-LN(2)/2))/(LN(2)/2)*GH33*GK33*VLOOKUP('Données projet'!$B$17,Paramètres!$A$1:$I$88,3,0)*0.475*44/12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121</v>
      </c>
      <c r="GS33" s="13">
        <f>VLOOKUP(A33,'Données projet'!$A$269:$I$289,9,0)</f>
        <v>9.1999999999999993</v>
      </c>
      <c r="GT33" s="13">
        <f t="array" ref="GT33">INDEX(GS:GS,MIN(IF(ISNUMBER(GS33:GS229),ROW(GS33:GS229),"")))</f>
        <v>9.1999999999999993</v>
      </c>
      <c r="GU33" s="13">
        <f>IF('Données projet'!$A$270&gt;35,GU32+GT33-HC32,IF(A33&lt;'Données projet'!$A$270,$GR$205^A33,IF(A33='Données projet'!$A$270,'Données projet'!$B$270,GU32+GT33-HC32)))</f>
        <v>121.00000000000003</v>
      </c>
      <c r="GV33" s="18">
        <f>GU33*VLOOKUP('Données projet'!$B$18,Paramètres!$A$1:$I$88,3,0)*VLOOKUP('Données projet'!$B$18,Paramètres!$A$1:$I$88,5,0)</f>
        <v>126.46920000000004</v>
      </c>
      <c r="GW33" s="14">
        <f t="shared" si="51"/>
        <v>33.17919224765545</v>
      </c>
      <c r="GX33" s="22">
        <f t="shared" si="28"/>
        <v>278.05428316466663</v>
      </c>
      <c r="GY33" s="62">
        <f t="shared" si="29"/>
        <v>571.38761649799994</v>
      </c>
      <c r="GZ33" s="62">
        <f ca="1">AVERAGE(OFFSET($GY$3,0,0,'Données projet'!$E$18+1,1))-AVERAGE(OFFSET($H$3,0,0,'Données projet'!$E$18+1,1))</f>
        <v>582.89879210197682</v>
      </c>
      <c r="HA33" s="62">
        <f t="shared" si="52"/>
        <v>314.72094983133326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projet'!$B$18,Paramètres!$A$1:$I$88,3,0)*0.475*44/12</f>
        <v>0</v>
      </c>
      <c r="HH33" s="23">
        <f>EXP(-LN(2)/25)*HH32+(1-EXP(-LN(2)/25))/(LN(2)/25)*Calculateur!HC33*Calculateur!HE33*VLOOKUP('Données projet'!$B$18,Paramètres!$A$1:$I$88,3,0)*0.475*44/12</f>
        <v>0</v>
      </c>
      <c r="HI33" s="23">
        <f>EXP(-LN(2)/2)*HI32+(1-EXP(-LN(2)/2))/(LN(2)/2)*HC33*HF33*VLOOKUP('Données projet'!$B$18,Paramètres!$A$1:$I$88,3,0)*0.475*44/12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135.59999999999997</v>
      </c>
      <c r="O34" s="14">
        <f>N34*VLOOKUP('Données projet'!$B$9,Paramètres!$A$1:$I$88,3,0)*VLOOKUP('Données projet'!$B$9,Paramètres!$A$1:$I$88,5,0)</f>
        <v>63.460799999999985</v>
      </c>
      <c r="P34" s="14">
        <f t="shared" si="33"/>
        <v>18.04039167659279</v>
      </c>
      <c r="Q34" s="22">
        <f t="shared" si="2"/>
        <v>141.94790883673241</v>
      </c>
      <c r="R34" s="62">
        <f t="shared" si="0"/>
        <v>435.28124217006575</v>
      </c>
      <c r="S34" s="62">
        <f ca="1">AVERAGE(OFFSET($R$3,0,0,'Données projet'!$E$9+1,1))-AVERAGE(OFFSET($H$3,0,0,'Données projet'!$E$9+1,1))</f>
        <v>399.92909819003523</v>
      </c>
      <c r="T34" s="62">
        <f t="shared" si="34"/>
        <v>163.7053537268381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projet'!$B$10,Paramètres!$A$1:$I$88,3,0)*VLOOKUP('Données projet'!$B$10,Paramètres!$A$1:$I$88,5,0)</f>
        <v>119.25264000000003</v>
      </c>
      <c r="AK34" s="14">
        <f t="shared" si="35"/>
        <v>31.500626518374375</v>
      </c>
      <c r="AL34" s="22">
        <f t="shared" si="4"/>
        <v>262.56193918616879</v>
      </c>
      <c r="AM34" s="62">
        <f t="shared" si="5"/>
        <v>555.8952725195021</v>
      </c>
      <c r="AN34" s="62">
        <f ca="1">AVERAGE(OFFSET($AM$3,0,0,'Données projet'!$E$10+1,1))-AVERAGE(OFFSET($H$3,0,0,'Données projet'!$E$10+1,1))</f>
        <v>510.56580450928806</v>
      </c>
      <c r="AO34" s="62">
        <f t="shared" si="36"/>
        <v>278.21741231699929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9.6</v>
      </c>
      <c r="BD34" s="13">
        <f>IF('Données projet'!$A$88&gt;35,BD33+BC34-BL33,IF(A34&lt;'Données projet'!$A$88,$BA$205^A34,IF(A34='Données projet'!$A$88,'Données projet'!$B$88,BD33+BC34-BL33)))</f>
        <v>163.6</v>
      </c>
      <c r="BE34" s="14">
        <f>BD34*VLOOKUP('Données projet'!$B$11,Paramètres!$A$1:$I$88,3,0)*VLOOKUP('Données projet'!$B$11,Paramètres!$A$1:$I$88,5,0)</f>
        <v>155.68176</v>
      </c>
      <c r="BF34" s="14">
        <f t="shared" si="37"/>
        <v>39.866978826203749</v>
      </c>
      <c r="BG34" s="22">
        <f t="shared" si="7"/>
        <v>340.58072012230485</v>
      </c>
      <c r="BH34" s="62">
        <f t="shared" si="8"/>
        <v>633.91405345563817</v>
      </c>
      <c r="BI34" s="62">
        <f ca="1">AVERAGE(OFFSET($BH$3,0,0,'Données projet'!$E$11+1,1))-AVERAGE(OFFSET($H$3,0,0,'Données projet'!$E$11+1,1))</f>
        <v>525.51330555662139</v>
      </c>
      <c r="BJ34" s="62">
        <f t="shared" si="38"/>
        <v>357.72390083433635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13.544857142857142</v>
      </c>
      <c r="BY34" s="13">
        <f>IF('Données projet'!$A$114&gt;35,BY33+BX34-CG33,IF(A34&lt;'Données projet'!$A$114,$BV$205^A34,IF(A34='Données projet'!$A$114,'Données projet'!$B$114,BY33+BX34-CG33)))</f>
        <v>224.61685714285719</v>
      </c>
      <c r="BZ34" s="14">
        <f>BY34*VLOOKUP('Données projet'!$B$12,Paramètres!$A$1:$I$88,3,0)*VLOOKUP('Données projet'!$B$12,Paramètres!$A$1:$I$88,5,0)</f>
        <v>134.3208805714286</v>
      </c>
      <c r="CA34" s="14">
        <f t="shared" si="39"/>
        <v>34.992880060236189</v>
      </c>
      <c r="CB34" s="22">
        <f t="shared" si="10"/>
        <v>294.88813310014945</v>
      </c>
      <c r="CC34" s="62">
        <f t="shared" si="11"/>
        <v>588.22146643348276</v>
      </c>
      <c r="CD34" s="62">
        <f ca="1">AVERAGE(OFFSET($CC$3,0,0,'Données projet'!$E$12+1,1))-AVERAGE(OFFSET($H$3,0,0,'Données projet'!$E$12+1,1))</f>
        <v>227.46616726010473</v>
      </c>
      <c r="CE34" s="62">
        <f t="shared" si="40"/>
        <v>314.188568589113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6.9409248935080123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7.3631210489140733</v>
      </c>
      <c r="CN34" s="24">
        <f t="shared" si="12"/>
        <v>14.304045942422086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13.2</v>
      </c>
      <c r="CT34" s="13">
        <f>IF('Données projet'!$A$140&gt;35,CT33+CS34-DB33,IF(A34&lt;'Données projet'!$A$140,$CQ$205^A34,IF(A34='Données projet'!$A$140,'Données projet'!$B$140,CT33+CS34-DB33)))</f>
        <v>173.2</v>
      </c>
      <c r="CU34" s="18">
        <f>CT34*VLOOKUP('Données projet'!$B$13,Paramètres!$A$1:$I$88,3,0)*VLOOKUP('Données projet'!$B$13,Paramètres!$A$1:$I$88,5,0)</f>
        <v>103.5736</v>
      </c>
      <c r="CV34" s="14">
        <f t="shared" si="41"/>
        <v>27.811610891270632</v>
      </c>
      <c r="CW34" s="22">
        <f t="shared" si="13"/>
        <v>228.82924230229631</v>
      </c>
      <c r="CX34" s="62">
        <f t="shared" si="14"/>
        <v>522.16257563562965</v>
      </c>
      <c r="CY34" s="62">
        <f ca="1">AVERAGE(OFFSET($CX$3,0,0,'Données projet'!$E$13+1,1))-AVERAGE(OFFSET($H$3,0,0,'Données projet'!$E$13+1,1))</f>
        <v>356.46794174556311</v>
      </c>
      <c r="CZ34" s="62">
        <f t="shared" si="42"/>
        <v>248.47107558211923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19.857142857142858</v>
      </c>
      <c r="DO34" s="13">
        <f>IF('Données projet'!$A$166&gt;35,DO33+DN34-DW33,IF(A34&lt;'Données projet'!$A$166,$DL$205^A34,IF(A34='Données projet'!$A$166,'Données projet'!$B$166,DO33+DN34-DW33)))</f>
        <v>275.57142857142856</v>
      </c>
      <c r="DP34" s="18">
        <f>DO34*VLOOKUP('Données projet'!$B$14,Paramètres!$A$1:$I$88,3,0)*VLOOKUP('Données projet'!$B$14,Paramètres!$A$1:$I$88,5,0)</f>
        <v>154.04442857142857</v>
      </c>
      <c r="DQ34" s="14">
        <f t="shared" si="43"/>
        <v>39.496268491280283</v>
      </c>
      <c r="DR34" s="22">
        <f t="shared" si="16"/>
        <v>337.08338071755128</v>
      </c>
      <c r="DS34" s="62">
        <f t="shared" si="17"/>
        <v>630.41671405088459</v>
      </c>
      <c r="DT34" s="62">
        <f ca="1">AVERAGE(OFFSET($DS$3,0,0,'Données projet'!$E$14+1,1))-AVERAGE(OFFSET($H$3,0,0,'Données projet'!$E$14+1,1))</f>
        <v>397.04445188588369</v>
      </c>
      <c r="DU34" s="62">
        <f t="shared" si="44"/>
        <v>350.01856672839466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4.9193786549663958</v>
      </c>
      <c r="EB34" s="23">
        <f>EXP(-LN(2)/25)*EB33+(1-EXP(-LN(2)/25))/(LN(2)/25)*Calculateur!DW34*Calculateur!DY34*VLOOKUP('Données projet'!$B$14,Paramètres!$A$1:$I$88,3,0)*0.475*44/12</f>
        <v>0</v>
      </c>
      <c r="EC34" s="23">
        <f>EXP(-LN(2)/2)*EC33+(1-EXP(-LN(2)/2))/(LN(2)/2)*DW34*DZ34*VLOOKUP('Données projet'!$B$14,Paramètres!$A$1:$I$88,3,0)*0.475*44/12</f>
        <v>11.45703697207804</v>
      </c>
      <c r="ED34" s="24">
        <f t="shared" si="18"/>
        <v>16.376415627044437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6.580000000000001</v>
      </c>
      <c r="EJ34" s="13">
        <f>IF('Données projet'!$A$192&gt;35,EJ33+EI34-ER33,IF(A34&lt;'Données projet'!$A$192,$EG$205^A34,IF(A34='Données projet'!$A$192,'Données projet'!$B$192,EJ33+EI34-ER33)))</f>
        <v>82.38</v>
      </c>
      <c r="EK34" s="18">
        <f>EJ34*VLOOKUP('Données projet'!$B$15,Paramètres!$A$1:$I$88,3,0)*VLOOKUP('Données projet'!$B$15,Paramètres!$A$1:$I$88,5,0)</f>
        <v>71.967168000000001</v>
      </c>
      <c r="EL34" s="14">
        <f t="shared" si="45"/>
        <v>20.161183952241689</v>
      </c>
      <c r="EM34" s="22">
        <f t="shared" si="19"/>
        <v>160.45687965015426</v>
      </c>
      <c r="EN34" s="62">
        <f t="shared" si="20"/>
        <v>453.79021298348755</v>
      </c>
      <c r="EO34" s="62">
        <f ca="1">AVERAGE(OFFSET($EN$3,0,0,'Données projet'!$E$15+1,1))-AVERAGE(OFFSET($H$3,0,0,'Données projet'!$E$15+1,1))</f>
        <v>202.5548390231225</v>
      </c>
      <c r="EP34" s="62">
        <f t="shared" si="46"/>
        <v>184.62184077734179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projet'!$B$15,Paramètres!$A$1:$I$88,3,0)*0.475*44/12</f>
        <v>0</v>
      </c>
      <c r="EW34" s="23">
        <f>EXP(-LN(2)/25)*EW33+(1-EXP(-LN(2)/25))/(LN(2)/25)*Calculateur!ER34*Calculateur!ET34*VLOOKUP('Données projet'!$B$15,Paramètres!$A$1:$I$88,3,0)*0.475*44/12</f>
        <v>0</v>
      </c>
      <c r="EX34" s="23">
        <f>EXP(-LN(2)/2)*EX33+(1-EXP(-LN(2)/2))/(LN(2)/2)*ER34*EU34*VLOOKUP('Données projet'!$B$15,Paramètres!$A$1:$I$88,3,0)*0.475*44/12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105</v>
      </c>
      <c r="FF34" s="18">
        <f>FE34*VLOOKUP('Données projet'!$B$16,Paramètres!$A$1:$I$88,3,0)*VLOOKUP('Données projet'!$B$16,Paramètres!$A$1:$I$88,5,0)</f>
        <v>101.556</v>
      </c>
      <c r="FG34" s="14">
        <f t="shared" si="47"/>
        <v>27.332359320696909</v>
      </c>
      <c r="FH34" s="22">
        <f t="shared" si="22"/>
        <v>224.48055915021379</v>
      </c>
      <c r="FI34" s="62">
        <f t="shared" si="23"/>
        <v>517.81389248354708</v>
      </c>
      <c r="FJ34" s="62">
        <f ca="1">AVERAGE(OFFSET($FI$3,0,0,'Données projet'!$E$16+1,1))-AVERAGE(OFFSET($H$3,0,0,'Données projet'!$E$16+1,1))</f>
        <v>456.96274622094955</v>
      </c>
      <c r="FK34" s="62">
        <f t="shared" si="48"/>
        <v>244.45149244446094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projet'!$B$16,Paramètres!$A$1:$I$88,3,0)*0.475*44/12</f>
        <v>0</v>
      </c>
      <c r="FR34" s="23">
        <f>EXP(-LN(2)/25)*FR33+(1-EXP(-LN(2)/25))/(LN(2)/25)*Calculateur!FM34*Calculateur!FO34*VLOOKUP('Données projet'!$B$16,Paramètres!$A$1:$I$88,3,0)*0.475*44/12</f>
        <v>0</v>
      </c>
      <c r="FS34" s="23">
        <f>EXP(-LN(2)/2)*FS33+(1-EXP(-LN(2)/2))/(LN(2)/2)*FM34*FP34*VLOOKUP('Données projet'!$B$16,Paramètres!$A$1:$I$88,3,0)*0.475*44/12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IF('Données projet'!$A$244&gt;35,FZ33+FY34-GH33,IF(A34&lt;'Données projet'!$A$244,$FW$205^A34,IF(A34='Données projet'!$A$244,'Données projet'!$B$244,FZ33+FY34-GH33)))</f>
        <v>105</v>
      </c>
      <c r="GA34" s="18">
        <f>FZ34*VLOOKUP('Données projet'!$B$17,Paramètres!$A$1:$I$88,3,0)*VLOOKUP('Données projet'!$B$17,Paramètres!$A$1:$I$88,5,0)</f>
        <v>113.02199999999999</v>
      </c>
      <c r="GB34" s="14">
        <f t="shared" si="49"/>
        <v>30.041864379091852</v>
      </c>
      <c r="GC34" s="22">
        <f t="shared" si="25"/>
        <v>249.16956379358496</v>
      </c>
      <c r="GD34" s="62">
        <f t="shared" si="26"/>
        <v>542.50289712691824</v>
      </c>
      <c r="GE34" s="62">
        <f ca="1">AVERAGE(OFFSET($GD$3,0,0,'Données projet'!$E$17+1,1))-AVERAGE(OFFSET($H$3,0,0,'Données projet'!$E$17+1,1))</f>
        <v>503.69304261527651</v>
      </c>
      <c r="GF34" s="62">
        <f t="shared" si="50"/>
        <v>267.2998309535638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projet'!$B$17,Paramètres!$A$1:$I$88,3,0)*0.475*44/12</f>
        <v>0</v>
      </c>
      <c r="GM34" s="23">
        <f>EXP(-LN(2)/25)*GM33+(1-EXP(-LN(2)/25))/(LN(2)/25)*Calculateur!GH34*Calculateur!GJ34*VLOOKUP('Données projet'!$B$17,Paramètres!$A$1:$I$88,3,0)*0.475*44/12</f>
        <v>0</v>
      </c>
      <c r="GN34" s="23">
        <f>EXP(-LN(2)/2)*GN33+(1-EXP(-LN(2)/2))/(LN(2)/2)*GH34*GK34*VLOOKUP('Données projet'!$B$17,Paramètres!$A$1:$I$88,3,0)*0.475*44/12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10.8</v>
      </c>
      <c r="GU34" s="13">
        <f>IF('Données projet'!$A$270&gt;35,GU33+GT34-HC33,IF(A34&lt;'Données projet'!$A$270,$GR$205^A34,IF(A34='Données projet'!$A$270,'Données projet'!$B$270,GU33+GT34-HC33)))</f>
        <v>131.80000000000004</v>
      </c>
      <c r="GV34" s="18">
        <f>GU34*VLOOKUP('Données projet'!$B$18,Paramètres!$A$1:$I$88,3,0)*VLOOKUP('Données projet'!$B$18,Paramètres!$A$1:$I$88,5,0)</f>
        <v>137.75736000000003</v>
      </c>
      <c r="GW34" s="14">
        <f t="shared" si="51"/>
        <v>35.782766308840856</v>
      </c>
      <c r="GX34" s="22">
        <f t="shared" si="28"/>
        <v>302.2490533212312</v>
      </c>
      <c r="GY34" s="62">
        <f t="shared" si="29"/>
        <v>595.58238665456452</v>
      </c>
      <c r="GZ34" s="62">
        <f ca="1">AVERAGE(OFFSET($GY$3,0,0,'Données projet'!$E$18+1,1))-AVERAGE(OFFSET($H$3,0,0,'Données projet'!$E$18+1,1))</f>
        <v>582.89879210197682</v>
      </c>
      <c r="HA34" s="62">
        <f t="shared" si="52"/>
        <v>314.72094983133326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projet'!$B$18,Paramètres!$A$1:$I$88,3,0)*0.475*44/12</f>
        <v>0</v>
      </c>
      <c r="HH34" s="23">
        <f>EXP(-LN(2)/25)*HH33+(1-EXP(-LN(2)/25))/(LN(2)/25)*Calculateur!HC34*Calculateur!HE34*VLOOKUP('Données projet'!$B$18,Paramètres!$A$1:$I$88,3,0)*0.475*44/12</f>
        <v>0</v>
      </c>
      <c r="HI34" s="23">
        <f>EXP(-LN(2)/2)*HI33+(1-EXP(-LN(2)/2))/(LN(2)/2)*HC34*HF34*VLOOKUP('Données projet'!$B$18,Paramètres!$A$1:$I$88,3,0)*0.475*44/12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150.19999999999996</v>
      </c>
      <c r="O35" s="14">
        <f>N35*VLOOKUP('Données projet'!$B$9,Paramètres!$A$1:$I$88,3,0)*VLOOKUP('Données projet'!$B$9,Paramètres!$A$1:$I$88,5,0)</f>
        <v>70.293599999999984</v>
      </c>
      <c r="P35" s="14">
        <f t="shared" si="33"/>
        <v>19.746351028689723</v>
      </c>
      <c r="Q35" s="22">
        <f t="shared" ref="Q35:Q66" si="53">(O35+P35)*0.475*44/12</f>
        <v>156.8195813749679</v>
      </c>
      <c r="R35" s="62">
        <f t="shared" si="0"/>
        <v>450.15291470830118</v>
      </c>
      <c r="S35" s="62">
        <f ca="1">AVERAGE(OFFSET($R$3,0,0,'Données projet'!$E$9+1,1))-AVERAGE(OFFSET($H$3,0,0,'Données projet'!$E$9+1,1))</f>
        <v>399.92909819003523</v>
      </c>
      <c r="T35" s="62">
        <f t="shared" si="34"/>
        <v>163.7053537268381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projet'!$B$10,Paramètres!$A$1:$I$88,3,0)*VLOOKUP('Données projet'!$B$10,Paramètres!$A$1:$I$88,5,0)</f>
        <v>129.02448000000004</v>
      </c>
      <c r="AK35" s="14">
        <f t="shared" si="35"/>
        <v>33.770846580616279</v>
      </c>
      <c r="AL35" s="22">
        <f t="shared" si="4"/>
        <v>283.53519379457339</v>
      </c>
      <c r="AM35" s="62">
        <f t="shared" si="5"/>
        <v>576.86852712790665</v>
      </c>
      <c r="AN35" s="62">
        <f ca="1">AVERAGE(OFFSET($AM$3,0,0,'Données projet'!$E$10+1,1))-AVERAGE(OFFSET($H$3,0,0,'Données projet'!$E$10+1,1))</f>
        <v>510.56580450928806</v>
      </c>
      <c r="AO35" s="62">
        <f t="shared" si="36"/>
        <v>278.21741231699929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9.6</v>
      </c>
      <c r="BD35" s="13">
        <f>IF('Données projet'!$A$88&gt;35,BD34+BC35-BL34,IF(A35&lt;'Données projet'!$A$88,$BA$205^A35,IF(A35='Données projet'!$A$88,'Données projet'!$B$88,BD34+BC35-BL34)))</f>
        <v>173.2</v>
      </c>
      <c r="BE35" s="14">
        <f>BD35*VLOOKUP('Données projet'!$B$11,Paramètres!$A$1:$I$88,3,0)*VLOOKUP('Données projet'!$B$11,Paramètres!$A$1:$I$88,5,0)</f>
        <v>164.81711999999999</v>
      </c>
      <c r="BF35" s="14">
        <f t="shared" si="37"/>
        <v>41.927147444305298</v>
      </c>
      <c r="BG35" s="22">
        <f t="shared" si="7"/>
        <v>360.07959913216501</v>
      </c>
      <c r="BH35" s="62">
        <f t="shared" si="8"/>
        <v>653.41293246549833</v>
      </c>
      <c r="BI35" s="62">
        <f ca="1">AVERAGE(OFFSET($BH$3,0,0,'Données projet'!$E$11+1,1))-AVERAGE(OFFSET($H$3,0,0,'Données projet'!$E$11+1,1))</f>
        <v>525.51330555662139</v>
      </c>
      <c r="BJ35" s="62">
        <f t="shared" si="38"/>
        <v>357.72390083433635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13.544857142857142</v>
      </c>
      <c r="BY35" s="13">
        <f>IF('Données projet'!$A$114&gt;35,BY34+BX35-CG34,IF(A35&lt;'Données projet'!$A$114,$BV$205^A35,IF(A35='Données projet'!$A$114,'Données projet'!$B$114,BY34+BX35-CG34)))</f>
        <v>238.16171428571434</v>
      </c>
      <c r="BZ35" s="14">
        <f>BY35*VLOOKUP('Données projet'!$B$12,Paramètres!$A$1:$I$88,3,0)*VLOOKUP('Données projet'!$B$12,Paramètres!$A$1:$I$88,5,0)</f>
        <v>142.4207051428572</v>
      </c>
      <c r="CA35" s="14">
        <f t="shared" si="39"/>
        <v>36.851000553607427</v>
      </c>
      <c r="CB35" s="22">
        <f t="shared" si="10"/>
        <v>312.2315540880092</v>
      </c>
      <c r="CC35" s="62">
        <f t="shared" si="11"/>
        <v>605.56488742134252</v>
      </c>
      <c r="CD35" s="62">
        <f ca="1">AVERAGE(OFFSET($CC$3,0,0,'Données projet'!$E$12+1,1))-AVERAGE(OFFSET($H$3,0,0,'Données projet'!$E$12+1,1))</f>
        <v>227.46616726010473</v>
      </c>
      <c r="CE35" s="62">
        <f t="shared" si="40"/>
        <v>314.188568589113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6.804817589892477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5.2065128243845464</v>
      </c>
      <c r="CN35" s="24">
        <f t="shared" si="12"/>
        <v>12.011330414277023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13.2</v>
      </c>
      <c r="CT35" s="13">
        <f>IF('Données projet'!$A$140&gt;35,CT34+CS35-DB34,IF(A35&lt;'Données projet'!$A$140,$CQ$205^A35,IF(A35='Données projet'!$A$140,'Données projet'!$B$140,CT34+CS35-DB34)))</f>
        <v>186.39999999999998</v>
      </c>
      <c r="CU35" s="18">
        <f>CT35*VLOOKUP('Données projet'!$B$13,Paramètres!$A$1:$I$88,3,0)*VLOOKUP('Données projet'!$B$13,Paramètres!$A$1:$I$88,5,0)</f>
        <v>111.46720000000001</v>
      </c>
      <c r="CV35" s="14">
        <f t="shared" si="41"/>
        <v>29.676401310795534</v>
      </c>
      <c r="CW35" s="22">
        <f t="shared" si="13"/>
        <v>245.82510561630218</v>
      </c>
      <c r="CX35" s="62">
        <f t="shared" si="14"/>
        <v>539.15843894963552</v>
      </c>
      <c r="CY35" s="62">
        <f ca="1">AVERAGE(OFFSET($CX$3,0,0,'Données projet'!$E$13+1,1))-AVERAGE(OFFSET($H$3,0,0,'Données projet'!$E$13+1,1))</f>
        <v>356.46794174556311</v>
      </c>
      <c r="CZ35" s="62">
        <f t="shared" si="42"/>
        <v>248.47107558211923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19.857142857142858</v>
      </c>
      <c r="DO35" s="13">
        <f>IF('Données projet'!$A$166&gt;35,DO34+DN35-DW34,IF(A35&lt;'Données projet'!$A$166,$DL$205^A35,IF(A35='Données projet'!$A$166,'Données projet'!$B$166,DO34+DN35-DW34)))</f>
        <v>295.42857142857139</v>
      </c>
      <c r="DP35" s="18">
        <f>DO35*VLOOKUP('Données projet'!$B$14,Paramètres!$A$1:$I$88,3,0)*VLOOKUP('Données projet'!$B$14,Paramètres!$A$1:$I$88,5,0)</f>
        <v>165.14457142857142</v>
      </c>
      <c r="DQ35" s="14">
        <f t="shared" si="43"/>
        <v>42.000741952671746</v>
      </c>
      <c r="DR35" s="22">
        <f t="shared" si="16"/>
        <v>360.77808747233183</v>
      </c>
      <c r="DS35" s="62">
        <f t="shared" si="17"/>
        <v>654.11142080566515</v>
      </c>
      <c r="DT35" s="62">
        <f ca="1">AVERAGE(OFFSET($DS$3,0,0,'Données projet'!$E$14+1,1))-AVERAGE(OFFSET($H$3,0,0,'Données projet'!$E$14+1,1))</f>
        <v>397.04445188588369</v>
      </c>
      <c r="DU35" s="62">
        <f t="shared" si="44"/>
        <v>350.01856672839466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4.8229126400672069</v>
      </c>
      <c r="EB35" s="23">
        <f>EXP(-LN(2)/25)*EB34+(1-EXP(-LN(2)/25))/(LN(2)/25)*Calculateur!DW35*Calculateur!DY35*VLOOKUP('Données projet'!$B$14,Paramètres!$A$1:$I$88,3,0)*0.475*44/12</f>
        <v>0</v>
      </c>
      <c r="EC35" s="23">
        <f>EXP(-LN(2)/2)*EC34+(1-EXP(-LN(2)/2))/(LN(2)/2)*DW35*DZ35*VLOOKUP('Données projet'!$B$14,Paramètres!$A$1:$I$88,3,0)*0.475*44/12</f>
        <v>8.1013485352613728</v>
      </c>
      <c r="ED35" s="24">
        <f t="shared" si="18"/>
        <v>12.92426117532858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6.580000000000001</v>
      </c>
      <c r="EJ35" s="13">
        <f>IF('Données projet'!$A$192&gt;35,EJ34+EI35-ER34,IF(A35&lt;'Données projet'!$A$192,$EG$205^A35,IF(A35='Données projet'!$A$192,'Données projet'!$B$192,EJ34+EI35-ER34)))</f>
        <v>88.96</v>
      </c>
      <c r="EK35" s="18">
        <f>EJ35*VLOOKUP('Données projet'!$B$15,Paramètres!$A$1:$I$88,3,0)*VLOOKUP('Données projet'!$B$15,Paramètres!$A$1:$I$88,5,0)</f>
        <v>77.715456000000003</v>
      </c>
      <c r="EL35" s="14">
        <f t="shared" si="45"/>
        <v>21.57766285854893</v>
      </c>
      <c r="EM35" s="22">
        <f t="shared" si="19"/>
        <v>172.93551534530604</v>
      </c>
      <c r="EN35" s="62">
        <f t="shared" si="20"/>
        <v>466.26884867863936</v>
      </c>
      <c r="EO35" s="62">
        <f ca="1">AVERAGE(OFFSET($EN$3,0,0,'Données projet'!$E$15+1,1))-AVERAGE(OFFSET($H$3,0,0,'Données projet'!$E$15+1,1))</f>
        <v>202.5548390231225</v>
      </c>
      <c r="EP35" s="62">
        <f t="shared" si="46"/>
        <v>184.62184077734179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projet'!$B$15,Paramètres!$A$1:$I$88,3,0)*0.475*44/12</f>
        <v>0</v>
      </c>
      <c r="EW35" s="23">
        <f>EXP(-LN(2)/25)*EW34+(1-EXP(-LN(2)/25))/(LN(2)/25)*Calculateur!ER35*Calculateur!ET35*VLOOKUP('Données projet'!$B$15,Paramètres!$A$1:$I$88,3,0)*0.475*44/12</f>
        <v>0</v>
      </c>
      <c r="EX35" s="23">
        <f>EXP(-LN(2)/2)*EX34+(1-EXP(-LN(2)/2))/(LN(2)/2)*ER35*EU35*VLOOKUP('Données projet'!$B$15,Paramètres!$A$1:$I$88,3,0)*0.475*44/12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113</v>
      </c>
      <c r="FF35" s="18">
        <f>FE35*VLOOKUP('Données projet'!$B$16,Paramètres!$A$1:$I$88,3,0)*VLOOKUP('Données projet'!$B$16,Paramètres!$A$1:$I$88,5,0)</f>
        <v>109.29360000000001</v>
      </c>
      <c r="FG35" s="14">
        <f t="shared" si="47"/>
        <v>29.16448886924675</v>
      </c>
      <c r="FH35" s="22">
        <f t="shared" si="22"/>
        <v>241.14783811393806</v>
      </c>
      <c r="FI35" s="62">
        <f t="shared" si="23"/>
        <v>534.48117144727144</v>
      </c>
      <c r="FJ35" s="62">
        <f ca="1">AVERAGE(OFFSET($FI$3,0,0,'Données projet'!$E$16+1,1))-AVERAGE(OFFSET($H$3,0,0,'Données projet'!$E$16+1,1))</f>
        <v>456.96274622094955</v>
      </c>
      <c r="FK35" s="62">
        <f t="shared" si="48"/>
        <v>244.45149244446094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projet'!$B$16,Paramètres!$A$1:$I$88,3,0)*0.475*44/12</f>
        <v>0</v>
      </c>
      <c r="FR35" s="23">
        <f>EXP(-LN(2)/25)*FR34+(1-EXP(-LN(2)/25))/(LN(2)/25)*Calculateur!FM35*Calculateur!FO35*VLOOKUP('Données projet'!$B$16,Paramètres!$A$1:$I$88,3,0)*0.475*44/12</f>
        <v>0</v>
      </c>
      <c r="FS35" s="23">
        <f>EXP(-LN(2)/2)*FS34+(1-EXP(-LN(2)/2))/(LN(2)/2)*FM35*FP35*VLOOKUP('Données projet'!$B$16,Paramètres!$A$1:$I$88,3,0)*0.475*44/12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IF('Données projet'!$A$244&gt;35,FZ34+FY35-GH34,IF(A35&lt;'Données projet'!$A$244,$FW$205^A35,IF(A35='Données projet'!$A$244,'Données projet'!$B$244,FZ34+FY35-GH34)))</f>
        <v>113</v>
      </c>
      <c r="GA35" s="18">
        <f>FZ35*VLOOKUP('Données projet'!$B$17,Paramètres!$A$1:$I$88,3,0)*VLOOKUP('Données projet'!$B$17,Paramètres!$A$1:$I$88,5,0)</f>
        <v>121.6332</v>
      </c>
      <c r="GB35" s="14">
        <f t="shared" si="49"/>
        <v>32.05561616599968</v>
      </c>
      <c r="GC35" s="22">
        <f t="shared" si="25"/>
        <v>267.6746881557828</v>
      </c>
      <c r="GD35" s="62">
        <f t="shared" si="26"/>
        <v>561.00802148911612</v>
      </c>
      <c r="GE35" s="62">
        <f ca="1">AVERAGE(OFFSET($GD$3,0,0,'Données projet'!$E$17+1,1))-AVERAGE(OFFSET($H$3,0,0,'Données projet'!$E$17+1,1))</f>
        <v>503.69304261527651</v>
      </c>
      <c r="GF35" s="62">
        <f t="shared" si="50"/>
        <v>267.2998309535638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projet'!$B$17,Paramètres!$A$1:$I$88,3,0)*0.475*44/12</f>
        <v>0</v>
      </c>
      <c r="GM35" s="23">
        <f>EXP(-LN(2)/25)*GM34+(1-EXP(-LN(2)/25))/(LN(2)/25)*Calculateur!GH35*Calculateur!GJ35*VLOOKUP('Données projet'!$B$17,Paramètres!$A$1:$I$88,3,0)*0.475*44/12</f>
        <v>0</v>
      </c>
      <c r="GN35" s="23">
        <f>EXP(-LN(2)/2)*GN34+(1-EXP(-LN(2)/2))/(LN(2)/2)*GH35*GK35*VLOOKUP('Données projet'!$B$17,Paramètres!$A$1:$I$88,3,0)*0.475*44/12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10.8</v>
      </c>
      <c r="GU35" s="13">
        <f>IF('Données projet'!$A$270&gt;35,GU34+GT35-HC34,IF(A35&lt;'Données projet'!$A$270,$GR$205^A35,IF(A35='Données projet'!$A$270,'Données projet'!$B$270,GU34+GT35-HC34)))</f>
        <v>142.60000000000005</v>
      </c>
      <c r="GV35" s="18">
        <f>GU35*VLOOKUP('Données projet'!$B$18,Paramètres!$A$1:$I$88,3,0)*VLOOKUP('Données projet'!$B$18,Paramètres!$A$1:$I$88,5,0)</f>
        <v>149.04552000000007</v>
      </c>
      <c r="GW35" s="14">
        <f t="shared" si="51"/>
        <v>38.36159609527256</v>
      </c>
      <c r="GX35" s="22">
        <f t="shared" si="28"/>
        <v>326.40072719926644</v>
      </c>
      <c r="GY35" s="62">
        <f t="shared" si="29"/>
        <v>619.73406053259976</v>
      </c>
      <c r="GZ35" s="62">
        <f ca="1">AVERAGE(OFFSET($GY$3,0,0,'Données projet'!$E$18+1,1))-AVERAGE(OFFSET($H$3,0,0,'Données projet'!$E$18+1,1))</f>
        <v>582.89879210197682</v>
      </c>
      <c r="HA35" s="62">
        <f t="shared" si="52"/>
        <v>314.72094983133326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projet'!$B$18,Paramètres!$A$1:$I$88,3,0)*0.475*44/12</f>
        <v>0</v>
      </c>
      <c r="HH35" s="23">
        <f>EXP(-LN(2)/25)*HH34+(1-EXP(-LN(2)/25))/(LN(2)/25)*Calculateur!HC35*Calculateur!HE35*VLOOKUP('Données projet'!$B$18,Paramètres!$A$1:$I$88,3,0)*0.475*44/12</f>
        <v>0</v>
      </c>
      <c r="HI35" s="23">
        <f>EXP(-LN(2)/2)*HI34+(1-EXP(-LN(2)/2))/(LN(2)/2)*HC35*HF35*VLOOKUP('Données projet'!$B$18,Paramètres!$A$1:$I$88,3,0)*0.475*44/12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164.79999999999995</v>
      </c>
      <c r="O36" s="14">
        <f>N36*VLOOKUP('Données projet'!$B$9,Paramètres!$A$1:$I$88,3,0)*VLOOKUP('Données projet'!$B$9,Paramètres!$A$1:$I$88,5,0)</f>
        <v>77.126399999999975</v>
      </c>
      <c r="P36" s="14">
        <f t="shared" si="33"/>
        <v>21.43308513655586</v>
      </c>
      <c r="Q36" s="22">
        <f t="shared" si="53"/>
        <v>171.65776994616806</v>
      </c>
      <c r="R36" s="62">
        <f t="shared" si="0"/>
        <v>464.99110327950137</v>
      </c>
      <c r="S36" s="62">
        <f ca="1">AVERAGE(OFFSET($R$3,0,0,'Données projet'!$E$9+1,1))-AVERAGE(OFFSET($H$3,0,0,'Données projet'!$E$9+1,1))</f>
        <v>399.92909819003523</v>
      </c>
      <c r="T36" s="62">
        <f t="shared" si="34"/>
        <v>163.7053537268381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projet'!$B$10,Paramètres!$A$1:$I$88,3,0)*VLOOKUP('Données projet'!$B$10,Paramètres!$A$1:$I$88,5,0)</f>
        <v>138.79632000000007</v>
      </c>
      <c r="AK36" s="14">
        <f t="shared" si="35"/>
        <v>36.021120886354588</v>
      </c>
      <c r="AL36" s="22">
        <f t="shared" si="4"/>
        <v>304.47370954373434</v>
      </c>
      <c r="AM36" s="62">
        <f t="shared" si="5"/>
        <v>597.80704287706772</v>
      </c>
      <c r="AN36" s="62">
        <f ca="1">AVERAGE(OFFSET($AM$3,0,0,'Données projet'!$E$10+1,1))-AVERAGE(OFFSET($H$3,0,0,'Données projet'!$E$10+1,1))</f>
        <v>510.56580450928806</v>
      </c>
      <c r="AO36" s="62">
        <f t="shared" si="36"/>
        <v>278.21741231699929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9.6</v>
      </c>
      <c r="BD36" s="13">
        <f>IF('Données projet'!$A$88&gt;35,BD35+BC36-BL35,IF(A36&lt;'Données projet'!$A$88,$BA$205^A36,IF(A36='Données projet'!$A$88,'Données projet'!$B$88,BD35+BC36-BL35)))</f>
        <v>182.79999999999998</v>
      </c>
      <c r="BE36" s="14">
        <f>BD36*VLOOKUP('Données projet'!$B$11,Paramètres!$A$1:$I$88,3,0)*VLOOKUP('Données projet'!$B$11,Paramètres!$A$1:$I$88,5,0)</f>
        <v>173.95247999999998</v>
      </c>
      <c r="BF36" s="14">
        <f t="shared" si="37"/>
        <v>43.97406002672421</v>
      </c>
      <c r="BG36" s="22">
        <f t="shared" si="7"/>
        <v>379.55539054654463</v>
      </c>
      <c r="BH36" s="62">
        <f t="shared" si="8"/>
        <v>672.88872387987794</v>
      </c>
      <c r="BI36" s="62">
        <f ca="1">AVERAGE(OFFSET($BH$3,0,0,'Données projet'!$E$11+1,1))-AVERAGE(OFFSET($H$3,0,0,'Données projet'!$E$11+1,1))</f>
        <v>525.51330555662139</v>
      </c>
      <c r="BJ36" s="62">
        <f t="shared" si="38"/>
        <v>357.72390083433635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13.544857142857142</v>
      </c>
      <c r="BY36" s="13">
        <f>IF('Données projet'!$A$114&gt;35,BY35+BX36-CG35,IF(A36&lt;'Données projet'!$A$114,$BV$205^A36,IF(A36='Données projet'!$A$114,'Données projet'!$B$114,BY35+BX36-CG35)))</f>
        <v>251.70657142857149</v>
      </c>
      <c r="BZ36" s="14">
        <f>BY36*VLOOKUP('Données projet'!$B$12,Paramètres!$A$1:$I$88,3,0)*VLOOKUP('Données projet'!$B$12,Paramètres!$A$1:$I$88,5,0)</f>
        <v>150.52052971428577</v>
      </c>
      <c r="CA36" s="14">
        <f t="shared" si="39"/>
        <v>38.696854006114918</v>
      </c>
      <c r="CB36" s="22">
        <f t="shared" si="10"/>
        <v>329.55360997969785</v>
      </c>
      <c r="CC36" s="62">
        <f t="shared" si="11"/>
        <v>622.88694331303122</v>
      </c>
      <c r="CD36" s="62">
        <f ca="1">AVERAGE(OFFSET($CC$3,0,0,'Données projet'!$E$12+1,1))-AVERAGE(OFFSET($H$3,0,0,'Données projet'!$E$12+1,1))</f>
        <v>227.46616726010473</v>
      </c>
      <c r="CE36" s="62">
        <f t="shared" si="40"/>
        <v>314.188568589113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6.6713792674835846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3.6815605244570371</v>
      </c>
      <c r="CN36" s="24">
        <f t="shared" si="12"/>
        <v>10.352939791940621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13.2</v>
      </c>
      <c r="CT36" s="13">
        <f>IF('Données projet'!$A$140&gt;35,CT35+CS36-DB35,IF(A36&lt;'Données projet'!$A$140,$CQ$205^A36,IF(A36='Données projet'!$A$140,'Données projet'!$B$140,CT35+CS36-DB35)))</f>
        <v>199.59999999999997</v>
      </c>
      <c r="CU36" s="18">
        <f>CT36*VLOOKUP('Données projet'!$B$13,Paramètres!$A$1:$I$88,3,0)*VLOOKUP('Données projet'!$B$13,Paramètres!$A$1:$I$88,5,0)</f>
        <v>119.36079999999998</v>
      </c>
      <c r="CV36" s="14">
        <f t="shared" si="41"/>
        <v>31.525870081616958</v>
      </c>
      <c r="CW36" s="22">
        <f t="shared" si="13"/>
        <v>262.79428372548284</v>
      </c>
      <c r="CX36" s="62">
        <f t="shared" si="14"/>
        <v>556.12761705881621</v>
      </c>
      <c r="CY36" s="62">
        <f ca="1">AVERAGE(OFFSET($CX$3,0,0,'Données projet'!$E$13+1,1))-AVERAGE(OFFSET($H$3,0,0,'Données projet'!$E$13+1,1))</f>
        <v>356.46794174556311</v>
      </c>
      <c r="CZ36" s="62">
        <f t="shared" si="42"/>
        <v>248.47107558211923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19.857142857142858</v>
      </c>
      <c r="DO36" s="13">
        <f>IF('Données projet'!$A$166&gt;35,DO35+DN36-DW35,IF(A36&lt;'Données projet'!$A$166,$DL$205^A36,IF(A36='Données projet'!$A$166,'Données projet'!$B$166,DO35+DN36-DW35)))</f>
        <v>315.28571428571422</v>
      </c>
      <c r="DP36" s="18">
        <f>DO36*VLOOKUP('Données projet'!$B$14,Paramètres!$A$1:$I$88,3,0)*VLOOKUP('Données projet'!$B$14,Paramètres!$A$1:$I$88,5,0)</f>
        <v>176.24471428571425</v>
      </c>
      <c r="DQ36" s="14">
        <f t="shared" si="43"/>
        <v>44.485681868533291</v>
      </c>
      <c r="DR36" s="22">
        <f t="shared" si="16"/>
        <v>384.43877330198114</v>
      </c>
      <c r="DS36" s="62">
        <f t="shared" si="17"/>
        <v>677.77210663531446</v>
      </c>
      <c r="DT36" s="62">
        <f ca="1">AVERAGE(OFFSET($DS$3,0,0,'Données projet'!$E$14+1,1))-AVERAGE(OFFSET($H$3,0,0,'Données projet'!$E$14+1,1))</f>
        <v>397.04445188588369</v>
      </c>
      <c r="DU36" s="62">
        <f t="shared" si="44"/>
        <v>350.01856672839466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4.7283382648817316</v>
      </c>
      <c r="EB36" s="23">
        <f>EXP(-LN(2)/25)*EB35+(1-EXP(-LN(2)/25))/(LN(2)/25)*Calculateur!DW36*Calculateur!DY36*VLOOKUP('Données projet'!$B$14,Paramètres!$A$1:$I$88,3,0)*0.475*44/12</f>
        <v>0</v>
      </c>
      <c r="EC36" s="23">
        <f>EXP(-LN(2)/2)*EC35+(1-EXP(-LN(2)/2))/(LN(2)/2)*DW36*DZ36*VLOOKUP('Données projet'!$B$14,Paramètres!$A$1:$I$88,3,0)*0.475*44/12</f>
        <v>5.7285184860390208</v>
      </c>
      <c r="ED36" s="24">
        <f t="shared" si="18"/>
        <v>10.456856750920753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6.580000000000001</v>
      </c>
      <c r="EJ36" s="13">
        <f>IF('Données projet'!$A$192&gt;35,EJ35+EI36-ER35,IF(A36&lt;'Données projet'!$A$192,$EG$205^A36,IF(A36='Données projet'!$A$192,'Données projet'!$B$192,EJ35+EI36-ER35)))</f>
        <v>95.539999999999992</v>
      </c>
      <c r="EK36" s="18">
        <f>EJ36*VLOOKUP('Données projet'!$B$15,Paramètres!$A$1:$I$88,3,0)*VLOOKUP('Données projet'!$B$15,Paramètres!$A$1:$I$88,5,0)</f>
        <v>83.463744000000005</v>
      </c>
      <c r="EL36" s="14">
        <f t="shared" si="45"/>
        <v>22.981987071726181</v>
      </c>
      <c r="EM36" s="22">
        <f t="shared" si="19"/>
        <v>185.39298161658976</v>
      </c>
      <c r="EN36" s="62">
        <f t="shared" si="20"/>
        <v>478.72631494992311</v>
      </c>
      <c r="EO36" s="62">
        <f ca="1">AVERAGE(OFFSET($EN$3,0,0,'Données projet'!$E$15+1,1))-AVERAGE(OFFSET($H$3,0,0,'Données projet'!$E$15+1,1))</f>
        <v>202.5548390231225</v>
      </c>
      <c r="EP36" s="62">
        <f t="shared" si="46"/>
        <v>184.62184077734179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projet'!$B$15,Paramètres!$A$1:$I$88,3,0)*0.475*44/12</f>
        <v>0</v>
      </c>
      <c r="EW36" s="23">
        <f>EXP(-LN(2)/25)*EW35+(1-EXP(-LN(2)/25))/(LN(2)/25)*Calculateur!ER36*Calculateur!ET36*VLOOKUP('Données projet'!$B$15,Paramètres!$A$1:$I$88,3,0)*0.475*44/12</f>
        <v>0</v>
      </c>
      <c r="EX36" s="23">
        <f>EXP(-LN(2)/2)*EX35+(1-EXP(-LN(2)/2))/(LN(2)/2)*ER36*EU36*VLOOKUP('Données projet'!$B$15,Paramètres!$A$1:$I$88,3,0)*0.475*44/12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121</v>
      </c>
      <c r="FF36" s="18">
        <f>FE36*VLOOKUP('Données projet'!$B$16,Paramètres!$A$1:$I$88,3,0)*VLOOKUP('Données projet'!$B$16,Paramètres!$A$1:$I$88,5,0)</f>
        <v>117.0312</v>
      </c>
      <c r="FG36" s="14">
        <f t="shared" si="47"/>
        <v>30.981569147428527</v>
      </c>
      <c r="FH36" s="22">
        <f t="shared" si="22"/>
        <v>257.78890626510469</v>
      </c>
      <c r="FI36" s="62">
        <f t="shared" si="23"/>
        <v>551.122239598438</v>
      </c>
      <c r="FJ36" s="62">
        <f ca="1">AVERAGE(OFFSET($FI$3,0,0,'Données projet'!$E$16+1,1))-AVERAGE(OFFSET($H$3,0,0,'Données projet'!$E$16+1,1))</f>
        <v>456.96274622094955</v>
      </c>
      <c r="FK36" s="62">
        <f t="shared" si="48"/>
        <v>244.45149244446094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projet'!$B$16,Paramètres!$A$1:$I$88,3,0)*0.475*44/12</f>
        <v>0</v>
      </c>
      <c r="FR36" s="23">
        <f>EXP(-LN(2)/25)*FR35+(1-EXP(-LN(2)/25))/(LN(2)/25)*Calculateur!FM36*Calculateur!FO36*VLOOKUP('Données projet'!$B$16,Paramètres!$A$1:$I$88,3,0)*0.475*44/12</f>
        <v>0</v>
      </c>
      <c r="FS36" s="23">
        <f>EXP(-LN(2)/2)*FS35+(1-EXP(-LN(2)/2))/(LN(2)/2)*FM36*FP36*VLOOKUP('Données projet'!$B$16,Paramètres!$A$1:$I$88,3,0)*0.475*44/12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IF('Données projet'!$A$244&gt;35,FZ35+FY36-GH35,IF(A36&lt;'Données projet'!$A$244,$FW$205^A36,IF(A36='Données projet'!$A$244,'Données projet'!$B$244,FZ35+FY36-GH35)))</f>
        <v>121</v>
      </c>
      <c r="GA36" s="18">
        <f>FZ36*VLOOKUP('Données projet'!$B$17,Paramètres!$A$1:$I$88,3,0)*VLOOKUP('Données projet'!$B$17,Paramètres!$A$1:$I$88,5,0)</f>
        <v>130.24439999999998</v>
      </c>
      <c r="GB36" s="14">
        <f t="shared" si="49"/>
        <v>34.052826821785409</v>
      </c>
      <c r="GC36" s="22">
        <f t="shared" si="25"/>
        <v>286.15100338127621</v>
      </c>
      <c r="GD36" s="62">
        <f t="shared" si="26"/>
        <v>579.48433671460953</v>
      </c>
      <c r="GE36" s="62">
        <f ca="1">AVERAGE(OFFSET($GD$3,0,0,'Données projet'!$E$17+1,1))-AVERAGE(OFFSET($H$3,0,0,'Données projet'!$E$17+1,1))</f>
        <v>503.69304261527651</v>
      </c>
      <c r="GF36" s="62">
        <f t="shared" si="50"/>
        <v>267.2998309535638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projet'!$B$17,Paramètres!$A$1:$I$88,3,0)*0.475*44/12</f>
        <v>0</v>
      </c>
      <c r="GM36" s="23">
        <f>EXP(-LN(2)/25)*GM35+(1-EXP(-LN(2)/25))/(LN(2)/25)*Calculateur!GH36*Calculateur!GJ36*VLOOKUP('Données projet'!$B$17,Paramètres!$A$1:$I$88,3,0)*0.475*44/12</f>
        <v>0</v>
      </c>
      <c r="GN36" s="23">
        <f>EXP(-LN(2)/2)*GN35+(1-EXP(-LN(2)/2))/(LN(2)/2)*GH36*GK36*VLOOKUP('Données projet'!$B$17,Paramètres!$A$1:$I$88,3,0)*0.475*44/12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10.8</v>
      </c>
      <c r="GU36" s="13">
        <f>IF('Données projet'!$A$270&gt;35,GU35+GT36-HC35,IF(A36&lt;'Données projet'!$A$270,$GR$205^A36,IF(A36='Données projet'!$A$270,'Données projet'!$B$270,GU35+GT36-HC35)))</f>
        <v>153.40000000000006</v>
      </c>
      <c r="GV36" s="18">
        <f>GU36*VLOOKUP('Données projet'!$B$18,Paramètres!$A$1:$I$88,3,0)*VLOOKUP('Données projet'!$B$18,Paramètres!$A$1:$I$88,5,0)</f>
        <v>160.33368000000007</v>
      </c>
      <c r="GW36" s="14">
        <f t="shared" si="51"/>
        <v>40.917768734126462</v>
      </c>
      <c r="GX36" s="22">
        <f t="shared" si="28"/>
        <v>350.51293987860367</v>
      </c>
      <c r="GY36" s="62">
        <f t="shared" si="29"/>
        <v>643.84627321193693</v>
      </c>
      <c r="GZ36" s="62">
        <f ca="1">AVERAGE(OFFSET($GY$3,0,0,'Données projet'!$E$18+1,1))-AVERAGE(OFFSET($H$3,0,0,'Données projet'!$E$18+1,1))</f>
        <v>582.89879210197682</v>
      </c>
      <c r="HA36" s="62">
        <f t="shared" si="52"/>
        <v>314.72094983133326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projet'!$B$18,Paramètres!$A$1:$I$88,3,0)*0.475*44/12</f>
        <v>0</v>
      </c>
      <c r="HH36" s="23">
        <f>EXP(-LN(2)/25)*HH35+(1-EXP(-LN(2)/25))/(LN(2)/25)*Calculateur!HC36*Calculateur!HE36*VLOOKUP('Données projet'!$B$18,Paramètres!$A$1:$I$88,3,0)*0.475*44/12</f>
        <v>0</v>
      </c>
      <c r="HI36" s="23">
        <f>EXP(-LN(2)/2)*HI35+(1-EXP(-LN(2)/2))/(LN(2)/2)*HC36*HF36*VLOOKUP('Données projet'!$B$18,Paramètres!$A$1:$I$88,3,0)*0.475*44/12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179.39999999999995</v>
      </c>
      <c r="O37" s="14">
        <f>N37*VLOOKUP('Données projet'!$B$9,Paramètres!$A$1:$I$88,3,0)*VLOOKUP('Données projet'!$B$9,Paramètres!$A$1:$I$88,5,0)</f>
        <v>83.959199999999967</v>
      </c>
      <c r="P37" s="14">
        <f t="shared" si="33"/>
        <v>23.10249088081062</v>
      </c>
      <c r="Q37" s="22">
        <f t="shared" si="53"/>
        <v>186.46577828407843</v>
      </c>
      <c r="R37" s="62">
        <f t="shared" si="0"/>
        <v>479.79911161741177</v>
      </c>
      <c r="S37" s="62">
        <f ca="1">AVERAGE(OFFSET($R$3,0,0,'Données projet'!$E$9+1,1))-AVERAGE(OFFSET($H$3,0,0,'Données projet'!$E$9+1,1))</f>
        <v>399.92909819003523</v>
      </c>
      <c r="T37" s="62">
        <f t="shared" si="34"/>
        <v>163.7053537268381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projet'!$B$10,Paramètres!$A$1:$I$88,3,0)*VLOOKUP('Données projet'!$B$10,Paramètres!$A$1:$I$88,5,0)</f>
        <v>148.56816000000006</v>
      </c>
      <c r="AK37" s="14">
        <f t="shared" si="35"/>
        <v>38.253013425360628</v>
      </c>
      <c r="AL37" s="22">
        <f t="shared" si="4"/>
        <v>325.38021038250321</v>
      </c>
      <c r="AM37" s="62">
        <f t="shared" si="5"/>
        <v>618.71354371583652</v>
      </c>
      <c r="AN37" s="62">
        <f ca="1">AVERAGE(OFFSET($AM$3,0,0,'Données projet'!$E$10+1,1))-AVERAGE(OFFSET($H$3,0,0,'Données projet'!$E$10+1,1))</f>
        <v>510.56580450928806</v>
      </c>
      <c r="AO37" s="62">
        <f t="shared" si="36"/>
        <v>278.21741231699929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9.6</v>
      </c>
      <c r="BD37" s="13">
        <f>IF('Données projet'!$A$88&gt;35,BD36+BC37-BL36,IF(A37&lt;'Données projet'!$A$88,$BA$205^A37,IF(A37='Données projet'!$A$88,'Données projet'!$B$88,BD36+BC37-BL36)))</f>
        <v>192.39999999999998</v>
      </c>
      <c r="BE37" s="14">
        <f>BD37*VLOOKUP('Données projet'!$B$11,Paramètres!$A$1:$I$88,3,0)*VLOOKUP('Données projet'!$B$11,Paramètres!$A$1:$I$88,5,0)</f>
        <v>183.08784</v>
      </c>
      <c r="BF37" s="14">
        <f t="shared" si="37"/>
        <v>46.008492126332982</v>
      </c>
      <c r="BG37" s="22">
        <f t="shared" si="7"/>
        <v>399.00944512002997</v>
      </c>
      <c r="BH37" s="62">
        <f t="shared" si="8"/>
        <v>692.34277845336328</v>
      </c>
      <c r="BI37" s="62">
        <f ca="1">AVERAGE(OFFSET($BH$3,0,0,'Données projet'!$E$11+1,1))-AVERAGE(OFFSET($H$3,0,0,'Données projet'!$E$11+1,1))</f>
        <v>525.51330555662139</v>
      </c>
      <c r="BJ37" s="62">
        <f t="shared" si="38"/>
        <v>357.72390083433635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13.544857142857142</v>
      </c>
      <c r="BY37" s="13">
        <f>IF('Données projet'!$A$114&gt;35,BY36+BX37-CG36,IF(A37&lt;'Données projet'!$A$114,$BV$205^A37,IF(A37='Données projet'!$A$114,'Données projet'!$B$114,BY36+BX37-CG36)))</f>
        <v>265.25142857142862</v>
      </c>
      <c r="BZ37" s="14">
        <f>BY37*VLOOKUP('Données projet'!$B$12,Paramètres!$A$1:$I$88,3,0)*VLOOKUP('Données projet'!$B$12,Paramètres!$A$1:$I$88,5,0)</f>
        <v>158.62035428571431</v>
      </c>
      <c r="CA37" s="14">
        <f t="shared" si="39"/>
        <v>40.531175795424794</v>
      </c>
      <c r="CB37" s="22">
        <f t="shared" si="10"/>
        <v>346.8555815579839</v>
      </c>
      <c r="CC37" s="62">
        <f t="shared" si="11"/>
        <v>640.18891489131715</v>
      </c>
      <c r="CD37" s="62">
        <f ca="1">AVERAGE(OFFSET($CC$3,0,0,'Données projet'!$E$12+1,1))-AVERAGE(OFFSET($H$3,0,0,'Données projet'!$E$12+1,1))</f>
        <v>227.46616726010473</v>
      </c>
      <c r="CE37" s="62">
        <f t="shared" si="40"/>
        <v>314.188568589113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6.5405575891877907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2.6032564121922737</v>
      </c>
      <c r="CN37" s="24">
        <f t="shared" si="12"/>
        <v>9.1438140013800648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13.2</v>
      </c>
      <c r="CT37" s="13">
        <f>IF('Données projet'!$A$140&gt;35,CT36+CS37-DB36,IF(A37&lt;'Données projet'!$A$140,$CQ$205^A37,IF(A37='Données projet'!$A$140,'Données projet'!$B$140,CT36+CS37-DB36)))</f>
        <v>212.79999999999995</v>
      </c>
      <c r="CU37" s="18">
        <f>CT37*VLOOKUP('Données projet'!$B$13,Paramètres!$A$1:$I$88,3,0)*VLOOKUP('Données projet'!$B$13,Paramètres!$A$1:$I$88,5,0)</f>
        <v>127.25439999999998</v>
      </c>
      <c r="CV37" s="14">
        <f t="shared" si="41"/>
        <v>33.36114575852995</v>
      </c>
      <c r="CW37" s="22">
        <f t="shared" si="13"/>
        <v>279.73874219610627</v>
      </c>
      <c r="CX37" s="62">
        <f t="shared" si="14"/>
        <v>573.07207552943964</v>
      </c>
      <c r="CY37" s="62">
        <f ca="1">AVERAGE(OFFSET($CX$3,0,0,'Données projet'!$E$13+1,1))-AVERAGE(OFFSET($H$3,0,0,'Données projet'!$E$13+1,1))</f>
        <v>356.46794174556311</v>
      </c>
      <c r="CZ37" s="62">
        <f t="shared" si="42"/>
        <v>248.47107558211923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19.857142857142858</v>
      </c>
      <c r="DO37" s="13">
        <f>IF('Données projet'!$A$166&gt;35,DO36+DN37-DW36,IF(A37&lt;'Données projet'!$A$166,$DL$205^A37,IF(A37='Données projet'!$A$166,'Données projet'!$B$166,DO36+DN37-DW36)))</f>
        <v>335.14285714285705</v>
      </c>
      <c r="DP37" s="18">
        <f>DO37*VLOOKUP('Données projet'!$B$14,Paramètres!$A$1:$I$88,3,0)*VLOOKUP('Données projet'!$B$14,Paramètres!$A$1:$I$88,5,0)</f>
        <v>187.34485714285708</v>
      </c>
      <c r="DQ37" s="14">
        <f t="shared" si="43"/>
        <v>46.95245853654621</v>
      </c>
      <c r="DR37" s="22">
        <f t="shared" si="16"/>
        <v>408.06782480829406</v>
      </c>
      <c r="DS37" s="62">
        <f t="shared" si="17"/>
        <v>701.40115814162732</v>
      </c>
      <c r="DT37" s="62">
        <f ca="1">AVERAGE(OFFSET($DS$3,0,0,'Données projet'!$E$14+1,1))-AVERAGE(OFFSET($H$3,0,0,'Données projet'!$E$14+1,1))</f>
        <v>397.04445188588369</v>
      </c>
      <c r="DU37" s="62">
        <f t="shared" si="44"/>
        <v>350.01856672839466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4.6356184355089711</v>
      </c>
      <c r="EB37" s="23">
        <f>EXP(-LN(2)/25)*EB36+(1-EXP(-LN(2)/25))/(LN(2)/25)*Calculateur!DW37*Calculateur!DY37*VLOOKUP('Données projet'!$B$14,Paramètres!$A$1:$I$88,3,0)*0.475*44/12</f>
        <v>0</v>
      </c>
      <c r="EC37" s="23">
        <f>EXP(-LN(2)/2)*EC36+(1-EXP(-LN(2)/2))/(LN(2)/2)*DW37*DZ37*VLOOKUP('Données projet'!$B$14,Paramètres!$A$1:$I$88,3,0)*0.475*44/12</f>
        <v>4.0506742676306864</v>
      </c>
      <c r="ED37" s="24">
        <f t="shared" si="18"/>
        <v>8.6862927031396566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6.580000000000001</v>
      </c>
      <c r="EJ37" s="13">
        <f>IF('Données projet'!$A$192&gt;35,EJ36+EI37-ER36,IF(A37&lt;'Données projet'!$A$192,$EG$205^A37,IF(A37='Données projet'!$A$192,'Données projet'!$B$192,EJ36+EI37-ER36)))</f>
        <v>102.11999999999999</v>
      </c>
      <c r="EK37" s="18">
        <f>EJ37*VLOOKUP('Données projet'!$B$15,Paramètres!$A$1:$I$88,3,0)*VLOOKUP('Données projet'!$B$15,Paramètres!$A$1:$I$88,5,0)</f>
        <v>89.212031999999994</v>
      </c>
      <c r="EL37" s="14">
        <f t="shared" si="45"/>
        <v>24.375088934744237</v>
      </c>
      <c r="EM37" s="22">
        <f t="shared" si="19"/>
        <v>197.83090229467953</v>
      </c>
      <c r="EN37" s="62">
        <f t="shared" si="20"/>
        <v>491.16423562801288</v>
      </c>
      <c r="EO37" s="62">
        <f ca="1">AVERAGE(OFFSET($EN$3,0,0,'Données projet'!$E$15+1,1))-AVERAGE(OFFSET($H$3,0,0,'Données projet'!$E$15+1,1))</f>
        <v>202.5548390231225</v>
      </c>
      <c r="EP37" s="62">
        <f t="shared" si="46"/>
        <v>184.62184077734179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projet'!$B$15,Paramètres!$A$1:$I$88,3,0)*0.475*44/12</f>
        <v>0</v>
      </c>
      <c r="EW37" s="23">
        <f>EXP(-LN(2)/25)*EW36+(1-EXP(-LN(2)/25))/(LN(2)/25)*Calculateur!ER37*Calculateur!ET37*VLOOKUP('Données projet'!$B$15,Paramètres!$A$1:$I$88,3,0)*0.475*44/12</f>
        <v>0</v>
      </c>
      <c r="EX37" s="23">
        <f>EXP(-LN(2)/2)*EX36+(1-EXP(-LN(2)/2))/(LN(2)/2)*ER37*EU37*VLOOKUP('Données projet'!$B$15,Paramètres!$A$1:$I$88,3,0)*0.475*44/12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129</v>
      </c>
      <c r="FF37" s="18">
        <f>FE37*VLOOKUP('Données projet'!$B$16,Paramètres!$A$1:$I$88,3,0)*VLOOKUP('Données projet'!$B$16,Paramètres!$A$1:$I$88,5,0)</f>
        <v>124.76880000000001</v>
      </c>
      <c r="FG37" s="14">
        <f t="shared" si="47"/>
        <v>32.784708369928126</v>
      </c>
      <c r="FH37" s="22">
        <f t="shared" si="22"/>
        <v>274.40569374429145</v>
      </c>
      <c r="FI37" s="62">
        <f t="shared" si="23"/>
        <v>567.73902707762477</v>
      </c>
      <c r="FJ37" s="62">
        <f ca="1">AVERAGE(OFFSET($FI$3,0,0,'Données projet'!$E$16+1,1))-AVERAGE(OFFSET($H$3,0,0,'Données projet'!$E$16+1,1))</f>
        <v>456.96274622094955</v>
      </c>
      <c r="FK37" s="62">
        <f t="shared" si="48"/>
        <v>244.45149244446094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projet'!$B$16,Paramètres!$A$1:$I$88,3,0)*0.475*44/12</f>
        <v>0</v>
      </c>
      <c r="FR37" s="23">
        <f>EXP(-LN(2)/25)*FR36+(1-EXP(-LN(2)/25))/(LN(2)/25)*Calculateur!FM37*Calculateur!FO37*VLOOKUP('Données projet'!$B$16,Paramètres!$A$1:$I$88,3,0)*0.475*44/12</f>
        <v>0</v>
      </c>
      <c r="FS37" s="23">
        <f>EXP(-LN(2)/2)*FS36+(1-EXP(-LN(2)/2))/(LN(2)/2)*FM37*FP37*VLOOKUP('Données projet'!$B$16,Paramètres!$A$1:$I$88,3,0)*0.475*44/12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IF('Données projet'!$A$244&gt;35,FZ36+FY37-GH36,IF(A37&lt;'Données projet'!$A$244,$FW$205^A37,IF(A37='Données projet'!$A$244,'Données projet'!$B$244,FZ36+FY37-GH36)))</f>
        <v>129</v>
      </c>
      <c r="GA37" s="18">
        <f>FZ37*VLOOKUP('Données projet'!$B$17,Paramètres!$A$1:$I$88,3,0)*VLOOKUP('Données projet'!$B$17,Paramètres!$A$1:$I$88,5,0)</f>
        <v>138.85559999999998</v>
      </c>
      <c r="GB37" s="14">
        <f t="shared" si="49"/>
        <v>36.034714420414154</v>
      </c>
      <c r="GC37" s="22">
        <f t="shared" si="25"/>
        <v>304.60063094888795</v>
      </c>
      <c r="GD37" s="62">
        <f t="shared" si="26"/>
        <v>597.93396428222127</v>
      </c>
      <c r="GE37" s="62">
        <f ca="1">AVERAGE(OFFSET($GD$3,0,0,'Données projet'!$E$17+1,1))-AVERAGE(OFFSET($H$3,0,0,'Données projet'!$E$17+1,1))</f>
        <v>503.69304261527651</v>
      </c>
      <c r="GF37" s="62">
        <f t="shared" si="50"/>
        <v>267.2998309535638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projet'!$B$17,Paramètres!$A$1:$I$88,3,0)*0.475*44/12</f>
        <v>0</v>
      </c>
      <c r="GM37" s="23">
        <f>EXP(-LN(2)/25)*GM36+(1-EXP(-LN(2)/25))/(LN(2)/25)*Calculateur!GH37*Calculateur!GJ37*VLOOKUP('Données projet'!$B$17,Paramètres!$A$1:$I$88,3,0)*0.475*44/12</f>
        <v>0</v>
      </c>
      <c r="GN37" s="23">
        <f>EXP(-LN(2)/2)*GN36+(1-EXP(-LN(2)/2))/(LN(2)/2)*GH37*GK37*VLOOKUP('Données projet'!$B$17,Paramètres!$A$1:$I$88,3,0)*0.475*44/12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10.8</v>
      </c>
      <c r="GU37" s="13">
        <f>IF('Données projet'!$A$270&gt;35,GU36+GT37-HC36,IF(A37&lt;'Données projet'!$A$270,$GR$205^A37,IF(A37='Données projet'!$A$270,'Données projet'!$B$270,GU36+GT37-HC36)))</f>
        <v>164.20000000000007</v>
      </c>
      <c r="GV37" s="18">
        <f>GU37*VLOOKUP('Données projet'!$B$18,Paramètres!$A$1:$I$88,3,0)*VLOOKUP('Données projet'!$B$18,Paramètres!$A$1:$I$88,5,0)</f>
        <v>171.62184000000008</v>
      </c>
      <c r="GW37" s="14">
        <f t="shared" si="51"/>
        <v>43.453060821193773</v>
      </c>
      <c r="GX37" s="22">
        <f t="shared" si="28"/>
        <v>374.5887855969126</v>
      </c>
      <c r="GY37" s="62">
        <f t="shared" si="29"/>
        <v>667.92211893024592</v>
      </c>
      <c r="GZ37" s="62">
        <f ca="1">AVERAGE(OFFSET($GY$3,0,0,'Données projet'!$E$18+1,1))-AVERAGE(OFFSET($H$3,0,0,'Données projet'!$E$18+1,1))</f>
        <v>582.89879210197682</v>
      </c>
      <c r="HA37" s="62">
        <f t="shared" si="52"/>
        <v>314.72094983133326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projet'!$B$18,Paramètres!$A$1:$I$88,3,0)*0.475*44/12</f>
        <v>0</v>
      </c>
      <c r="HH37" s="23">
        <f>EXP(-LN(2)/25)*HH36+(1-EXP(-LN(2)/25))/(LN(2)/25)*Calculateur!HC37*Calculateur!HE37*VLOOKUP('Données projet'!$B$18,Paramètres!$A$1:$I$88,3,0)*0.475*44/12</f>
        <v>0</v>
      </c>
      <c r="HI37" s="23">
        <f>EXP(-LN(2)/2)*HI36+(1-EXP(-LN(2)/2))/(LN(2)/2)*HC37*HF37*VLOOKUP('Données projet'!$B$18,Paramètres!$A$1:$I$88,3,0)*0.475*44/12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193.99999999999994</v>
      </c>
      <c r="O38" s="14">
        <f>N38*VLOOKUP('Données projet'!$B$9,Paramètres!$A$1:$I$88,3,0)*VLOOKUP('Données projet'!$B$9,Paramètres!$A$1:$I$88,5,0)</f>
        <v>90.791999999999973</v>
      </c>
      <c r="P38" s="14">
        <f t="shared" si="33"/>
        <v>24.756138813110173</v>
      </c>
      <c r="Q38" s="22">
        <f t="shared" si="53"/>
        <v>201.24634176616681</v>
      </c>
      <c r="R38" s="62">
        <f t="shared" si="0"/>
        <v>494.57967509950015</v>
      </c>
      <c r="S38" s="62">
        <f ca="1">AVERAGE(OFFSET($R$3,0,0,'Données projet'!$E$9+1,1))-AVERAGE(OFFSET($H$3,0,0,'Données projet'!$E$9+1,1))</f>
        <v>399.92909819003523</v>
      </c>
      <c r="T38" s="62">
        <f t="shared" si="34"/>
        <v>163.7053537268381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projet'!$B$10,Paramètres!$A$1:$I$88,3,0)*VLOOKUP('Données projet'!$B$10,Paramètres!$A$1:$I$88,5,0)</f>
        <v>158.34000000000006</v>
      </c>
      <c r="AK38" s="14">
        <f t="shared" si="35"/>
        <v>40.467870812652819</v>
      </c>
      <c r="AL38" s="22">
        <f t="shared" si="4"/>
        <v>346.25704166537042</v>
      </c>
      <c r="AM38" s="62">
        <f t="shared" si="5"/>
        <v>639.59037499870374</v>
      </c>
      <c r="AN38" s="62">
        <f ca="1">AVERAGE(OFFSET($AM$3,0,0,'Données projet'!$E$10+1,1))-AVERAGE(OFFSET($H$3,0,0,'Données projet'!$E$10+1,1))</f>
        <v>510.56580450928806</v>
      </c>
      <c r="AO38" s="62">
        <f t="shared" si="36"/>
        <v>278.21741231699929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202</v>
      </c>
      <c r="BB38" s="13">
        <f>VLOOKUP(A38,'Données projet'!$A$87:$I$107,9,0)</f>
        <v>9.6</v>
      </c>
      <c r="BC38" s="13">
        <f t="array" ref="BC38">INDEX(BB:BB,MIN(IF(ISNUMBER(BB38:BB234),ROW(BB38:BB234),"")))</f>
        <v>9.6</v>
      </c>
      <c r="BD38" s="13">
        <f>IF('Données projet'!$A$88&gt;35,BD37+BC38-BL37,IF(A38&lt;'Données projet'!$A$88,$BA$205^A38,IF(A38='Données projet'!$A$88,'Données projet'!$B$88,BD37+BC38-BL37)))</f>
        <v>201.99999999999997</v>
      </c>
      <c r="BE38" s="14">
        <f>BD38*VLOOKUP('Données projet'!$B$11,Paramètres!$A$1:$I$88,3,0)*VLOOKUP('Données projet'!$B$11,Paramètres!$A$1:$I$88,5,0)</f>
        <v>192.22319999999999</v>
      </c>
      <c r="BF38" s="14">
        <f t="shared" si="37"/>
        <v>48.031137529960169</v>
      </c>
      <c r="BG38" s="22">
        <f t="shared" si="7"/>
        <v>418.44297119801394</v>
      </c>
      <c r="BH38" s="62">
        <f t="shared" si="8"/>
        <v>711.77630453134725</v>
      </c>
      <c r="BI38" s="62">
        <f ca="1">AVERAGE(OFFSET($BH$3,0,0,'Données projet'!$E$11+1,1))-AVERAGE(OFFSET($H$3,0,0,'Données projet'!$E$11+1,1))</f>
        <v>525.51330555662139</v>
      </c>
      <c r="BJ38" s="62">
        <f t="shared" si="38"/>
        <v>357.72390083433635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13.544857142857142</v>
      </c>
      <c r="BY38" s="13">
        <f>IF('Données projet'!$A$114&gt;35,BY37+BX38-CG37,IF(A38&lt;'Données projet'!$A$114,$BV$205^A38,IF(A38='Données projet'!$A$114,'Données projet'!$B$114,BY37+BX38-CG37)))</f>
        <v>278.79628571428577</v>
      </c>
      <c r="BZ38" s="14">
        <f>BY38*VLOOKUP('Données projet'!$B$12,Paramètres!$A$1:$I$88,3,0)*VLOOKUP('Données projet'!$B$12,Paramètres!$A$1:$I$88,5,0)</f>
        <v>166.72017885714288</v>
      </c>
      <c r="CA38" s="14">
        <f t="shared" si="39"/>
        <v>42.354621954074737</v>
      </c>
      <c r="CB38" s="22">
        <f t="shared" si="10"/>
        <v>364.13861141287066</v>
      </c>
      <c r="CC38" s="62">
        <f t="shared" si="11"/>
        <v>657.47194474620392</v>
      </c>
      <c r="CD38" s="62">
        <f ca="1">AVERAGE(OFFSET($CC$3,0,0,'Données projet'!$E$12+1,1))-AVERAGE(OFFSET($H$3,0,0,'Données projet'!$E$12+1,1))</f>
        <v>227.46616726010473</v>
      </c>
      <c r="CE38" s="62">
        <f t="shared" si="40"/>
        <v>314.188568589113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6.412301244210032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1.840780262228519</v>
      </c>
      <c r="CN38" s="24">
        <f t="shared" si="12"/>
        <v>8.2530815064385514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226</v>
      </c>
      <c r="CR38" s="13">
        <f>VLOOKUP(A38,'Données projet'!$A$139:$I$159,9,0)</f>
        <v>13.2</v>
      </c>
      <c r="CS38" s="13">
        <f t="array" ref="CS38">INDEX(CR:CR,MIN(IF(ISNUMBER(CR38:CR234),ROW(CR38:CR234),"")))</f>
        <v>13.2</v>
      </c>
      <c r="CT38" s="13">
        <f>IF('Données projet'!$A$140&gt;35,CT37+CS38-DB37,IF(A38&lt;'Données projet'!$A$140,$CQ$205^A38,IF(A38='Données projet'!$A$140,'Données projet'!$B$140,CT37+CS38-DB37)))</f>
        <v>225.99999999999994</v>
      </c>
      <c r="CU38" s="18">
        <f>CT38*VLOOKUP('Données projet'!$B$13,Paramètres!$A$1:$I$88,3,0)*VLOOKUP('Données projet'!$B$13,Paramètres!$A$1:$I$88,5,0)</f>
        <v>135.14799999999997</v>
      </c>
      <c r="CV38" s="14">
        <f t="shared" si="41"/>
        <v>35.183208974998173</v>
      </c>
      <c r="CW38" s="22">
        <f t="shared" si="13"/>
        <v>296.6601889647884</v>
      </c>
      <c r="CX38" s="62">
        <f t="shared" si="14"/>
        <v>589.99352229812166</v>
      </c>
      <c r="CY38" s="62">
        <f ca="1">AVERAGE(OFFSET($CX$3,0,0,'Données projet'!$E$13+1,1))-AVERAGE(OFFSET($H$3,0,0,'Données projet'!$E$13+1,1))</f>
        <v>356.46794174556311</v>
      </c>
      <c r="CZ38" s="62">
        <f t="shared" si="42"/>
        <v>248.47107558211923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75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0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355</v>
      </c>
      <c r="DM38" s="13">
        <f>VLOOKUP(A38,'Données projet'!$A$165:$I$185,9,0)</f>
        <v>19.857142857142858</v>
      </c>
      <c r="DN38" s="13">
        <f t="array" ref="DN38">INDEX(DM:DM,MIN(IF(ISNUMBER(DM38:DM234),ROW(DM38:DM234),"")))</f>
        <v>19.857142857142858</v>
      </c>
      <c r="DO38" s="13">
        <f>IF('Données projet'!$A$166&gt;35,DO37+DN38-DW37,IF(A38&lt;'Données projet'!$A$166,$DL$205^A38,IF(A38='Données projet'!$A$166,'Données projet'!$B$166,DO37+DN38-DW37)))</f>
        <v>354.99999999999989</v>
      </c>
      <c r="DP38" s="18">
        <f>DO38*VLOOKUP('Données projet'!$B$14,Paramètres!$A$1:$I$88,3,0)*VLOOKUP('Données projet'!$B$14,Paramètres!$A$1:$I$88,5,0)</f>
        <v>198.44499999999994</v>
      </c>
      <c r="DQ38" s="14">
        <f t="shared" si="43"/>
        <v>49.40227070134226</v>
      </c>
      <c r="DR38" s="22">
        <f t="shared" si="16"/>
        <v>431.66732980483766</v>
      </c>
      <c r="DS38" s="62">
        <f t="shared" si="17"/>
        <v>725.00066313817092</v>
      </c>
      <c r="DT38" s="62">
        <f ca="1">AVERAGE(OFFSET($DS$3,0,0,'Données projet'!$E$14+1,1))-AVERAGE(OFFSET($H$3,0,0,'Données projet'!$E$14+1,1))</f>
        <v>397.04445188588369</v>
      </c>
      <c r="DU38" s="62">
        <f t="shared" si="44"/>
        <v>350.01856672839466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73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4.544716785436699</v>
      </c>
      <c r="EB38" s="23">
        <f>EXP(-LN(2)/25)*EB37+(1-EXP(-LN(2)/25))/(LN(2)/25)*Calculateur!DW38*Calculateur!DY38*VLOOKUP('Données projet'!$B$14,Paramètres!$A$1:$I$88,3,0)*0.475*44/12</f>
        <v>0</v>
      </c>
      <c r="EC38" s="23">
        <f>EXP(-LN(2)/2)*EC37+(1-EXP(-LN(2)/2))/(LN(2)/2)*DW38*DZ38*VLOOKUP('Données projet'!$B$14,Paramètres!$A$1:$I$88,3,0)*0.475*44/12</f>
        <v>2.8642592430195104</v>
      </c>
      <c r="ED38" s="24">
        <f t="shared" si="18"/>
        <v>7.408976028456209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108.7</v>
      </c>
      <c r="EH38" s="13">
        <f>VLOOKUP(A38,'Données projet'!$A$191:$I$211,9,0)</f>
        <v>6.580000000000001</v>
      </c>
      <c r="EI38" s="13">
        <f t="array" ref="EI38">INDEX(EH:EH,MIN(IF(ISNUMBER(EH38:EH234),ROW(EH38:EH234),"")))</f>
        <v>6.580000000000001</v>
      </c>
      <c r="EJ38" s="13">
        <f>IF('Données projet'!$A$192&gt;35,EJ37+EI38-ER37,IF(A38&lt;'Données projet'!$A$192,$EG$205^A38,IF(A38='Données projet'!$A$192,'Données projet'!$B$192,EJ37+EI38-ER37)))</f>
        <v>108.69999999999999</v>
      </c>
      <c r="EK38" s="18">
        <f>EJ38*VLOOKUP('Données projet'!$B$15,Paramètres!$A$1:$I$88,3,0)*VLOOKUP('Données projet'!$B$15,Paramètres!$A$1:$I$88,5,0)</f>
        <v>94.96032000000001</v>
      </c>
      <c r="EL38" s="14">
        <f t="shared" si="45"/>
        <v>25.757773847849446</v>
      </c>
      <c r="EM38" s="22">
        <f t="shared" si="19"/>
        <v>210.25068011833778</v>
      </c>
      <c r="EN38" s="62">
        <f t="shared" si="20"/>
        <v>503.58401345167113</v>
      </c>
      <c r="EO38" s="62">
        <f ca="1">AVERAGE(OFFSET($EN$3,0,0,'Données projet'!$E$15+1,1))-AVERAGE(OFFSET($H$3,0,0,'Données projet'!$E$15+1,1))</f>
        <v>202.5548390231225</v>
      </c>
      <c r="EP38" s="62">
        <f t="shared" si="46"/>
        <v>184.62184077734179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projet'!$B$15,Paramètres!$A$1:$I$88,3,0)*0.475*44/12</f>
        <v>0</v>
      </c>
      <c r="EW38" s="23">
        <f>EXP(-LN(2)/25)*EW37+(1-EXP(-LN(2)/25))/(LN(2)/25)*Calculateur!ER38*Calculateur!ET38*VLOOKUP('Données projet'!$B$15,Paramètres!$A$1:$I$88,3,0)*0.475*44/12</f>
        <v>0</v>
      </c>
      <c r="EX38" s="23">
        <f>EXP(-LN(2)/2)*EX37+(1-EXP(-LN(2)/2))/(LN(2)/2)*ER38*EU38*VLOOKUP('Données projet'!$B$15,Paramètres!$A$1:$I$88,3,0)*0.475*44/12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137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137</v>
      </c>
      <c r="FF38" s="18">
        <f>FE38*VLOOKUP('Données projet'!$B$16,Paramètres!$A$1:$I$88,3,0)*VLOOKUP('Données projet'!$B$16,Paramètres!$A$1:$I$88,5,0)</f>
        <v>132.50640000000001</v>
      </c>
      <c r="FG38" s="14">
        <f t="shared" si="47"/>
        <v>34.574869530248939</v>
      </c>
      <c r="FH38" s="22">
        <f t="shared" si="22"/>
        <v>290.99987776518356</v>
      </c>
      <c r="FI38" s="62">
        <f t="shared" si="23"/>
        <v>584.33321109851681</v>
      </c>
      <c r="FJ38" s="62">
        <f ca="1">AVERAGE(OFFSET($FI$3,0,0,'Données projet'!$E$16+1,1))-AVERAGE(OFFSET($H$3,0,0,'Données projet'!$E$16+1,1))</f>
        <v>456.96274622094955</v>
      </c>
      <c r="FK38" s="62">
        <f t="shared" si="48"/>
        <v>244.45149244446094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42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projet'!$B$16,Paramètres!$A$1:$I$88,3,0)*0.475*44/12</f>
        <v>0</v>
      </c>
      <c r="FR38" s="23">
        <f>EXP(-LN(2)/25)*FR37+(1-EXP(-LN(2)/25))/(LN(2)/25)*Calculateur!FM38*Calculateur!FO38*VLOOKUP('Données projet'!$B$16,Paramètres!$A$1:$I$88,3,0)*0.475*44/12</f>
        <v>0</v>
      </c>
      <c r="FS38" s="23">
        <f>EXP(-LN(2)/2)*FS37+(1-EXP(-LN(2)/2))/(LN(2)/2)*FM38*FP38*VLOOKUP('Données projet'!$B$16,Paramètres!$A$1:$I$88,3,0)*0.475*44/12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137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IF('Données projet'!$A$244&gt;35,FZ37+FY38-GH37,IF(A38&lt;'Données projet'!$A$244,$FW$205^A38,IF(A38='Données projet'!$A$244,'Données projet'!$B$244,FZ37+FY38-GH37)))</f>
        <v>137</v>
      </c>
      <c r="GA38" s="18">
        <f>FZ38*VLOOKUP('Données projet'!$B$17,Paramètres!$A$1:$I$88,3,0)*VLOOKUP('Données projet'!$B$17,Paramètres!$A$1:$I$88,5,0)</f>
        <v>147.46679999999998</v>
      </c>
      <c r="GB38" s="14">
        <f t="shared" si="49"/>
        <v>38.002337418636273</v>
      </c>
      <c r="GC38" s="22">
        <f t="shared" si="25"/>
        <v>323.02541433745813</v>
      </c>
      <c r="GD38" s="62">
        <f t="shared" si="26"/>
        <v>616.35874767079144</v>
      </c>
      <c r="GE38" s="62">
        <f ca="1">AVERAGE(OFFSET($GD$3,0,0,'Données projet'!$E$17+1,1))-AVERAGE(OFFSET($H$3,0,0,'Données projet'!$E$17+1,1))</f>
        <v>503.69304261527651</v>
      </c>
      <c r="GF38" s="62">
        <f t="shared" si="50"/>
        <v>267.2998309535638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42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projet'!$B$17,Paramètres!$A$1:$I$88,3,0)*0.475*44/12</f>
        <v>0</v>
      </c>
      <c r="GM38" s="23">
        <f>EXP(-LN(2)/25)*GM37+(1-EXP(-LN(2)/25))/(LN(2)/25)*Calculateur!GH38*Calculateur!GJ38*VLOOKUP('Données projet'!$B$17,Paramètres!$A$1:$I$88,3,0)*0.475*44/12</f>
        <v>0</v>
      </c>
      <c r="GN38" s="23">
        <f>EXP(-LN(2)/2)*GN37+(1-EXP(-LN(2)/2))/(LN(2)/2)*GH38*GK38*VLOOKUP('Données projet'!$B$17,Paramètres!$A$1:$I$88,3,0)*0.475*44/12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175</v>
      </c>
      <c r="GS38" s="13">
        <f>VLOOKUP(A38,'Données projet'!$A$269:$I$289,9,0)</f>
        <v>10.8</v>
      </c>
      <c r="GT38" s="13">
        <f t="array" ref="GT38">INDEX(GS:GS,MIN(IF(ISNUMBER(GS38:GS234),ROW(GS38:GS234),"")))</f>
        <v>10.8</v>
      </c>
      <c r="GU38" s="13">
        <f>IF('Données projet'!$A$270&gt;35,GU37+GT38-HC37,IF(A38&lt;'Données projet'!$A$270,$GR$205^A38,IF(A38='Données projet'!$A$270,'Données projet'!$B$270,GU37+GT38-HC37)))</f>
        <v>175.00000000000009</v>
      </c>
      <c r="GV38" s="18">
        <f>GU38*VLOOKUP('Données projet'!$B$18,Paramètres!$A$1:$I$88,3,0)*VLOOKUP('Données projet'!$B$18,Paramètres!$A$1:$I$88,5,0)</f>
        <v>182.91000000000011</v>
      </c>
      <c r="GW38" s="14">
        <f t="shared" si="51"/>
        <v>45.969002027971328</v>
      </c>
      <c r="GX38" s="22">
        <f t="shared" si="28"/>
        <v>398.63092853205029</v>
      </c>
      <c r="GY38" s="62">
        <f t="shared" si="29"/>
        <v>691.96426186538361</v>
      </c>
      <c r="GZ38" s="62">
        <f ca="1">AVERAGE(OFFSET($GY$3,0,0,'Données projet'!$E$18+1,1))-AVERAGE(OFFSET($H$3,0,0,'Données projet'!$E$18+1,1))</f>
        <v>582.89879210197682</v>
      </c>
      <c r="HA38" s="62">
        <f t="shared" si="52"/>
        <v>314.72094983133326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56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projet'!$B$18,Paramètres!$A$1:$I$88,3,0)*0.475*44/12</f>
        <v>0</v>
      </c>
      <c r="HH38" s="23">
        <f>EXP(-LN(2)/25)*HH37+(1-EXP(-LN(2)/25))/(LN(2)/25)*Calculateur!HC38*Calculateur!HE38*VLOOKUP('Données projet'!$B$18,Paramètres!$A$1:$I$88,3,0)*0.475*44/12</f>
        <v>0</v>
      </c>
      <c r="HI38" s="23">
        <f>EXP(-LN(2)/2)*HI37+(1-EXP(-LN(2)/2))/(LN(2)/2)*HC38*HF38*VLOOKUP('Données projet'!$B$18,Paramètres!$A$1:$I$88,3,0)*0.475*44/12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14.6</v>
      </c>
      <c r="N39" s="14">
        <f>IF('Données projet'!$A$36&gt;35,N38+M39-V38,IF(A39&lt;'Données projet'!$A$36,$K$205^A39,IF(A39='Données projet'!$A$36,'Données projet'!$B$36,N38+M39-V38)))</f>
        <v>208.59999999999994</v>
      </c>
      <c r="O39" s="14">
        <f>N39*VLOOKUP('Données projet'!$B$9,Paramètres!$A$1:$I$88,3,0)*VLOOKUP('Données projet'!$B$9,Paramètres!$A$1:$I$88,5,0)</f>
        <v>97.624799999999965</v>
      </c>
      <c r="P39" s="14">
        <f t="shared" si="33"/>
        <v>26.395349675372152</v>
      </c>
      <c r="Q39" s="22">
        <f t="shared" si="53"/>
        <v>216.00176068460644</v>
      </c>
      <c r="R39" s="62">
        <f t="shared" si="0"/>
        <v>509.33509401793975</v>
      </c>
      <c r="S39" s="62">
        <f ca="1">AVERAGE(OFFSET($R$3,0,0,'Données projet'!$E$9+1,1))-AVERAGE(OFFSET($H$3,0,0,'Données projet'!$E$9+1,1))</f>
        <v>399.92909819003523</v>
      </c>
      <c r="T39" s="62">
        <f t="shared" si="34"/>
        <v>163.7053537268381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projet'!$B$10,Paramètres!$A$1:$I$88,3,0)*VLOOKUP('Données projet'!$B$10,Paramètres!$A$1:$I$88,5,0)</f>
        <v>117.80496000000005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552.78498149130326</v>
      </c>
      <c r="AN39" s="62">
        <f ca="1">AVERAGE(OFFSET($AM$3,0,0,'Données projet'!$E$10+1,1))-AVERAGE(OFFSET($H$3,0,0,'Données projet'!$E$10+1,1))</f>
        <v>510.56580450928806</v>
      </c>
      <c r="AO39" s="62">
        <f t="shared" si="36"/>
        <v>278.21741231699929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</v>
      </c>
      <c r="BD39" s="13">
        <f>IF('Données projet'!$A$88&gt;35,BD38+BC39-BL38,IF(A39&lt;'Données projet'!$A$88,$BA$205^A39,IF(A39='Données projet'!$A$88,'Données projet'!$B$88,BD38+BC39-BL38)))</f>
        <v>169.99999999999997</v>
      </c>
      <c r="BE39" s="14">
        <f>BD39*VLOOKUP('Données projet'!$B$11,Paramètres!$A$1:$I$88,3,0)*VLOOKUP('Données projet'!$B$11,Paramètres!$A$1:$I$88,5,0)</f>
        <v>161.77199999999996</v>
      </c>
      <c r="BF39" s="14">
        <f t="shared" si="37"/>
        <v>41.241938389059818</v>
      </c>
      <c r="BG39" s="22">
        <f t="shared" si="7"/>
        <v>353.58260936094575</v>
      </c>
      <c r="BH39" s="62">
        <f t="shared" si="8"/>
        <v>646.91594269427901</v>
      </c>
      <c r="BI39" s="62">
        <f ca="1">AVERAGE(OFFSET($BH$3,0,0,'Données projet'!$E$11+1,1))-AVERAGE(OFFSET($H$3,0,0,'Données projet'!$E$11+1,1))</f>
        <v>525.51330555662139</v>
      </c>
      <c r="BJ39" s="62">
        <f t="shared" si="38"/>
        <v>357.72390083433635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13.544857142857142</v>
      </c>
      <c r="BY39" s="13">
        <f>IF('Données projet'!$A$114&gt;35,BY38+BX39-CG38,IF(A39&lt;'Données projet'!$A$114,$BV$205^A39,IF(A39='Données projet'!$A$114,'Données projet'!$B$114,BY38+BX39-CG38)))</f>
        <v>292.34114285714293</v>
      </c>
      <c r="BZ39" s="14">
        <f>BY39*VLOOKUP('Données projet'!$B$12,Paramètres!$A$1:$I$88,3,0)*VLOOKUP('Données projet'!$B$12,Paramètres!$A$1:$I$88,5,0)</f>
        <v>174.82000342857148</v>
      </c>
      <c r="CA39" s="14">
        <f t="shared" si="39"/>
        <v>44.167781168633006</v>
      </c>
      <c r="CB39" s="22">
        <f t="shared" si="10"/>
        <v>381.40372484013113</v>
      </c>
      <c r="CC39" s="62">
        <f t="shared" si="11"/>
        <v>674.73705817346445</v>
      </c>
      <c r="CD39" s="62">
        <f ca="1">AVERAGE(OFFSET($CC$3,0,0,'Données projet'!$E$12+1,1))-AVERAGE(OFFSET($H$3,0,0,'Données projet'!$E$12+1,1))</f>
        <v>227.46616726010473</v>
      </c>
      <c r="CE39" s="62">
        <f t="shared" si="40"/>
        <v>314.188568589113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6.286559927928641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1.3016282060961371</v>
      </c>
      <c r="CN39" s="24">
        <f t="shared" si="12"/>
        <v>7.5881881340247777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14.4</v>
      </c>
      <c r="CT39" s="13">
        <f>IF('Données projet'!$A$140&gt;35,CT38+CS39-DB38,IF(A39&lt;'Données projet'!$A$140,$CQ$205^A39,IF(A39='Données projet'!$A$140,'Données projet'!$B$140,CT38+CS39-DB38)))</f>
        <v>165.39999999999995</v>
      </c>
      <c r="CU39" s="18">
        <f>CT39*VLOOKUP('Données projet'!$B$13,Paramètres!$A$1:$I$88,3,0)*VLOOKUP('Données projet'!$B$13,Paramètres!$A$1:$I$88,5,0)</f>
        <v>98.90919999999997</v>
      </c>
      <c r="CV39" s="14">
        <f t="shared" si="41"/>
        <v>26.701963840454351</v>
      </c>
      <c r="CW39" s="22">
        <f t="shared" si="13"/>
        <v>218.77277702212461</v>
      </c>
      <c r="CX39" s="62">
        <f t="shared" si="14"/>
        <v>512.10611035545799</v>
      </c>
      <c r="CY39" s="62">
        <f ca="1">AVERAGE(OFFSET($CX$3,0,0,'Données projet'!$E$13+1,1))-AVERAGE(OFFSET($H$3,0,0,'Données projet'!$E$13+1,1))</f>
        <v>356.46794174556311</v>
      </c>
      <c r="CZ39" s="62">
        <f t="shared" si="42"/>
        <v>248.47107558211923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0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19.571428571428573</v>
      </c>
      <c r="DO39" s="13">
        <f>IF('Données projet'!$A$166&gt;35,DO38+DN39-DW38,IF(A39&lt;'Données projet'!$A$166,$DL$205^A39,IF(A39='Données projet'!$A$166,'Données projet'!$B$166,DO38+DN39-DW38)))</f>
        <v>301.57142857142844</v>
      </c>
      <c r="DP39" s="18">
        <f>DO39*VLOOKUP('Données projet'!$B$14,Paramètres!$A$1:$I$88,3,0)*VLOOKUP('Données projet'!$B$14,Paramètres!$A$1:$I$88,5,0)</f>
        <v>168.5784285714285</v>
      </c>
      <c r="DQ39" s="14">
        <f t="shared" si="43"/>
        <v>42.771483439273169</v>
      </c>
      <c r="DR39" s="22">
        <f t="shared" si="16"/>
        <v>368.10109675197208</v>
      </c>
      <c r="DS39" s="62">
        <f t="shared" si="17"/>
        <v>661.43443008530539</v>
      </c>
      <c r="DT39" s="62">
        <f ca="1">AVERAGE(OFFSET($DS$3,0,0,'Données projet'!$E$14+1,1))-AVERAGE(OFFSET($H$3,0,0,'Données projet'!$E$14+1,1))</f>
        <v>397.04445188588369</v>
      </c>
      <c r="DU39" s="62">
        <f t="shared" si="44"/>
        <v>350.01856672839466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4.4555976612778121</v>
      </c>
      <c r="EB39" s="23">
        <f>EXP(-LN(2)/25)*EB38+(1-EXP(-LN(2)/25))/(LN(2)/25)*Calculateur!DW39*Calculateur!DY39*VLOOKUP('Données projet'!$B$14,Paramètres!$A$1:$I$88,3,0)*0.475*44/12</f>
        <v>0</v>
      </c>
      <c r="EC39" s="23">
        <f>EXP(-LN(2)/2)*EC38+(1-EXP(-LN(2)/2))/(LN(2)/2)*DW39*DZ39*VLOOKUP('Données projet'!$B$14,Paramètres!$A$1:$I$88,3,0)*0.475*44/12</f>
        <v>2.0253371338153432</v>
      </c>
      <c r="ED39" s="24">
        <f t="shared" si="18"/>
        <v>6.4809347950931553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5.74</v>
      </c>
      <c r="EJ39" s="13">
        <f>IF('Données projet'!$A$192&gt;35,EJ38+EI39-ER38,IF(A39&lt;'Données projet'!$A$192,$EG$205^A39,IF(A39='Données projet'!$A$192,'Données projet'!$B$192,EJ38+EI39-ER38)))</f>
        <v>86.439999999999984</v>
      </c>
      <c r="EK39" s="18">
        <f>EJ39*VLOOKUP('Données projet'!$B$15,Paramètres!$A$1:$I$88,3,0)*VLOOKUP('Données projet'!$B$15,Paramètres!$A$1:$I$88,5,0)</f>
        <v>75.513983999999994</v>
      </c>
      <c r="EL39" s="14">
        <f t="shared" si="45"/>
        <v>21.036673231980323</v>
      </c>
      <c r="EM39" s="22">
        <f t="shared" si="19"/>
        <v>168.15906134569903</v>
      </c>
      <c r="EN39" s="62">
        <f t="shared" si="20"/>
        <v>461.49239467903237</v>
      </c>
      <c r="EO39" s="62">
        <f ca="1">AVERAGE(OFFSET($EN$3,0,0,'Données projet'!$E$15+1,1))-AVERAGE(OFFSET($H$3,0,0,'Données projet'!$E$15+1,1))</f>
        <v>202.5548390231225</v>
      </c>
      <c r="EP39" s="62">
        <f t="shared" si="46"/>
        <v>184.62184077734179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projet'!$B$15,Paramètres!$A$1:$I$88,3,0)*0.475*44/12</f>
        <v>0</v>
      </c>
      <c r="EW39" s="23">
        <f>EXP(-LN(2)/25)*EW38+(1-EXP(-LN(2)/25))/(LN(2)/25)*Calculateur!ER39*Calculateur!ET39*VLOOKUP('Données projet'!$B$15,Paramètres!$A$1:$I$88,3,0)*0.475*44/12</f>
        <v>0</v>
      </c>
      <c r="EX39" s="23">
        <f>EXP(-LN(2)/2)*EX38+(1-EXP(-LN(2)/2))/(LN(2)/2)*ER39*EU39*VLOOKUP('Données projet'!$B$15,Paramètres!$A$1:$I$88,3,0)*0.475*44/12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103.4</v>
      </c>
      <c r="FF39" s="18">
        <f>FE39*VLOOKUP('Données projet'!$B$16,Paramètres!$A$1:$I$88,3,0)*VLOOKUP('Données projet'!$B$16,Paramètres!$A$1:$I$88,5,0)</f>
        <v>100.00848000000001</v>
      </c>
      <c r="FG39" s="14">
        <f t="shared" si="47"/>
        <v>26.964017781444337</v>
      </c>
      <c r="FH39" s="22">
        <f t="shared" si="22"/>
        <v>221.14376696934889</v>
      </c>
      <c r="FI39" s="62">
        <f t="shared" si="23"/>
        <v>514.47710030268217</v>
      </c>
      <c r="FJ39" s="62">
        <f ca="1">AVERAGE(OFFSET($FI$3,0,0,'Données projet'!$E$16+1,1))-AVERAGE(OFFSET($H$3,0,0,'Données projet'!$E$16+1,1))</f>
        <v>456.96274622094955</v>
      </c>
      <c r="FK39" s="62">
        <f t="shared" si="48"/>
        <v>244.45149244446094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projet'!$B$16,Paramètres!$A$1:$I$88,3,0)*0.475*44/12</f>
        <v>0</v>
      </c>
      <c r="FR39" s="23">
        <f>EXP(-LN(2)/25)*FR38+(1-EXP(-LN(2)/25))/(LN(2)/25)*Calculateur!FM39*Calculateur!FO39*VLOOKUP('Données projet'!$B$16,Paramètres!$A$1:$I$88,3,0)*0.475*44/12</f>
        <v>0</v>
      </c>
      <c r="FS39" s="23">
        <f>EXP(-LN(2)/2)*FS38+(1-EXP(-LN(2)/2))/(LN(2)/2)*FM39*FP39*VLOOKUP('Données projet'!$B$16,Paramètres!$A$1:$I$88,3,0)*0.475*44/12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IF('Données projet'!$A$244&gt;35,FZ38+FY39-GH38,IF(A39&lt;'Données projet'!$A$244,$FW$205^A39,IF(A39='Données projet'!$A$244,'Données projet'!$B$244,FZ38+FY39-GH38)))</f>
        <v>103.4</v>
      </c>
      <c r="GA39" s="18">
        <f>FZ39*VLOOKUP('Données projet'!$B$17,Paramètres!$A$1:$I$88,3,0)*VLOOKUP('Données projet'!$B$17,Paramètres!$A$1:$I$88,5,0)</f>
        <v>111.29976000000001</v>
      </c>
      <c r="GB39" s="14">
        <f t="shared" si="49"/>
        <v>29.637008492427388</v>
      </c>
      <c r="GC39" s="22">
        <f t="shared" si="25"/>
        <v>245.46487179097775</v>
      </c>
      <c r="GD39" s="62">
        <f t="shared" si="26"/>
        <v>538.79820512431104</v>
      </c>
      <c r="GE39" s="62">
        <f ca="1">AVERAGE(OFFSET($GD$3,0,0,'Données projet'!$E$17+1,1))-AVERAGE(OFFSET($H$3,0,0,'Données projet'!$E$17+1,1))</f>
        <v>503.69304261527651</v>
      </c>
      <c r="GF39" s="62">
        <f t="shared" si="50"/>
        <v>267.2998309535638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projet'!$B$17,Paramètres!$A$1:$I$88,3,0)*0.475*44/12</f>
        <v>0</v>
      </c>
      <c r="GM39" s="23">
        <f>EXP(-LN(2)/25)*GM38+(1-EXP(-LN(2)/25))/(LN(2)/25)*Calculateur!GH39*Calculateur!GJ39*VLOOKUP('Données projet'!$B$17,Paramètres!$A$1:$I$88,3,0)*0.475*44/12</f>
        <v>0</v>
      </c>
      <c r="GN39" s="23">
        <f>EXP(-LN(2)/2)*GN38+(1-EXP(-LN(2)/2))/(LN(2)/2)*GH39*GK39*VLOOKUP('Données projet'!$B$17,Paramètres!$A$1:$I$88,3,0)*0.475*44/12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11.2</v>
      </c>
      <c r="GU39" s="13">
        <f>IF('Données projet'!$A$270&gt;35,GU38+GT39-HC38,IF(A39&lt;'Données projet'!$A$270,$GR$205^A39,IF(A39='Données projet'!$A$270,'Données projet'!$B$270,GU38+GT39-HC38)))</f>
        <v>130.20000000000007</v>
      </c>
      <c r="GV39" s="18">
        <f>GU39*VLOOKUP('Données projet'!$B$18,Paramètres!$A$1:$I$88,3,0)*VLOOKUP('Données projet'!$B$18,Paramètres!$A$1:$I$88,5,0)</f>
        <v>136.08504000000008</v>
      </c>
      <c r="GW39" s="14">
        <f t="shared" si="51"/>
        <v>35.398668068565399</v>
      </c>
      <c r="GX39" s="22">
        <f t="shared" si="28"/>
        <v>298.66745821941817</v>
      </c>
      <c r="GY39" s="62">
        <f t="shared" si="29"/>
        <v>592.00079155275148</v>
      </c>
      <c r="GZ39" s="62">
        <f ca="1">AVERAGE(OFFSET($GY$3,0,0,'Données projet'!$E$18+1,1))-AVERAGE(OFFSET($H$3,0,0,'Données projet'!$E$18+1,1))</f>
        <v>582.89879210197682</v>
      </c>
      <c r="HA39" s="62">
        <f t="shared" si="52"/>
        <v>314.72094983133326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projet'!$B$18,Paramètres!$A$1:$I$88,3,0)*0.475*44/12</f>
        <v>0</v>
      </c>
      <c r="HH39" s="23">
        <f>EXP(-LN(2)/25)*HH38+(1-EXP(-LN(2)/25))/(LN(2)/25)*Calculateur!HC39*Calculateur!HE39*VLOOKUP('Données projet'!$B$18,Paramètres!$A$1:$I$88,3,0)*0.475*44/12</f>
        <v>0</v>
      </c>
      <c r="HI39" s="23">
        <f>EXP(-LN(2)/2)*HI38+(1-EXP(-LN(2)/2))/(LN(2)/2)*HC39*HF39*VLOOKUP('Données projet'!$B$18,Paramètres!$A$1:$I$88,3,0)*0.475*44/12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14.6</v>
      </c>
      <c r="N40" s="14">
        <f>IF('Données projet'!$A$36&gt;35,N39+M40-V39,IF(A40&lt;'Données projet'!$A$36,$K$205^A40,IF(A40='Données projet'!$A$36,'Données projet'!$B$36,N39+M40-V39)))</f>
        <v>223.19999999999993</v>
      </c>
      <c r="O40" s="14">
        <f>N40*VLOOKUP('Données projet'!$B$9,Paramètres!$A$1:$I$88,3,0)*VLOOKUP('Données projet'!$B$9,Paramètres!$A$1:$I$88,5,0)</f>
        <v>104.45759999999997</v>
      </c>
      <c r="P40" s="14">
        <f t="shared" si="33"/>
        <v>28.021248860498247</v>
      </c>
      <c r="Q40" s="22">
        <f t="shared" si="53"/>
        <v>230.73399509870103</v>
      </c>
      <c r="R40" s="62">
        <f t="shared" si="0"/>
        <v>524.0673284320344</v>
      </c>
      <c r="S40" s="62">
        <f ca="1">AVERAGE(OFFSET($R$3,0,0,'Données projet'!$E$9+1,1))-AVERAGE(OFFSET($H$3,0,0,'Données projet'!$E$9+1,1))</f>
        <v>399.92909819003523</v>
      </c>
      <c r="T40" s="62">
        <f t="shared" si="34"/>
        <v>163.7053537268381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projet'!$B$10,Paramètres!$A$1:$I$88,3,0)*VLOOKUP('Données projet'!$B$10,Paramètres!$A$1:$I$88,5,0)</f>
        <v>127.93872000000005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574.53993500762533</v>
      </c>
      <c r="AN40" s="62">
        <f ca="1">AVERAGE(OFFSET($AM$3,0,0,'Données projet'!$E$10+1,1))-AVERAGE(OFFSET($H$3,0,0,'Données projet'!$E$10+1,1))</f>
        <v>510.56580450928806</v>
      </c>
      <c r="AO40" s="62">
        <f t="shared" si="36"/>
        <v>278.21741231699929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</v>
      </c>
      <c r="BD40" s="13">
        <f>IF('Données projet'!$A$88&gt;35,BD39+BC40-BL39,IF(A40&lt;'Données projet'!$A$88,$BA$205^A40,IF(A40='Données projet'!$A$88,'Données projet'!$B$88,BD39+BC40-BL39)))</f>
        <v>178.99999999999997</v>
      </c>
      <c r="BE40" s="14">
        <f>BD40*VLOOKUP('Données projet'!$B$11,Paramètres!$A$1:$I$88,3,0)*VLOOKUP('Données projet'!$B$11,Paramètres!$A$1:$I$88,5,0)</f>
        <v>170.33639999999997</v>
      </c>
      <c r="BF40" s="14">
        <f t="shared" si="37"/>
        <v>43.165357324132231</v>
      </c>
      <c r="BG40" s="22">
        <f t="shared" si="7"/>
        <v>371.84889400619687</v>
      </c>
      <c r="BH40" s="62">
        <f t="shared" si="8"/>
        <v>665.18222733953019</v>
      </c>
      <c r="BI40" s="62">
        <f ca="1">AVERAGE(OFFSET($BH$3,0,0,'Données projet'!$E$11+1,1))-AVERAGE(OFFSET($H$3,0,0,'Données projet'!$E$11+1,1))</f>
        <v>525.51330555662139</v>
      </c>
      <c r="BJ40" s="62">
        <f t="shared" si="38"/>
        <v>357.72390083433635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13.544857142857142</v>
      </c>
      <c r="BY40" s="13">
        <f>IF('Données projet'!$A$114&gt;35,BY39+BX40-CG39,IF(A40&lt;'Données projet'!$A$114,$BV$205^A40,IF(A40='Données projet'!$A$114,'Données projet'!$B$114,BY39+BX40-CG39)))</f>
        <v>305.88600000000008</v>
      </c>
      <c r="BZ40" s="14">
        <f>BY40*VLOOKUP('Données projet'!$B$12,Paramètres!$A$1:$I$88,3,0)*VLOOKUP('Données projet'!$B$12,Paramètres!$A$1:$I$88,5,0)</f>
        <v>182.91982800000005</v>
      </c>
      <c r="CA40" s="14">
        <f t="shared" si="39"/>
        <v>45.97118449214188</v>
      </c>
      <c r="CB40" s="22">
        <f t="shared" si="10"/>
        <v>398.65184675714721</v>
      </c>
      <c r="CC40" s="62">
        <f t="shared" si="11"/>
        <v>691.98518009048053</v>
      </c>
      <c r="CD40" s="62">
        <f ca="1">AVERAGE(OFFSET($CC$3,0,0,'Données projet'!$E$12+1,1))-AVERAGE(OFFSET($H$3,0,0,'Données projet'!$E$12+1,1))</f>
        <v>227.46616726010473</v>
      </c>
      <c r="CE40" s="62">
        <f t="shared" si="40"/>
        <v>314.188568589113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6.1632843221648983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0.9203901311142596</v>
      </c>
      <c r="CN40" s="24">
        <f t="shared" si="12"/>
        <v>7.0836744532791576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14.4</v>
      </c>
      <c r="CT40" s="13">
        <f>IF('Données projet'!$A$140&gt;35,CT39+CS40-DB39,IF(A40&lt;'Données projet'!$A$140,$CQ$205^A40,IF(A40='Données projet'!$A$140,'Données projet'!$B$140,CT39+CS40-DB39)))</f>
        <v>179.79999999999995</v>
      </c>
      <c r="CU40" s="18">
        <f>CT40*VLOOKUP('Données projet'!$B$13,Paramètres!$A$1:$I$88,3,0)*VLOOKUP('Données projet'!$B$13,Paramètres!$A$1:$I$88,5,0)</f>
        <v>107.52039999999998</v>
      </c>
      <c r="CV40" s="14">
        <f t="shared" si="41"/>
        <v>28.745998516288878</v>
      </c>
      <c r="CW40" s="22">
        <f t="shared" si="13"/>
        <v>237.33064408253642</v>
      </c>
      <c r="CX40" s="62">
        <f t="shared" si="14"/>
        <v>530.66397741586979</v>
      </c>
      <c r="CY40" s="62">
        <f ca="1">AVERAGE(OFFSET($CX$3,0,0,'Données projet'!$E$13+1,1))-AVERAGE(OFFSET($H$3,0,0,'Données projet'!$E$13+1,1))</f>
        <v>356.46794174556311</v>
      </c>
      <c r="CZ40" s="62">
        <f t="shared" si="42"/>
        <v>248.47107558211923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0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19.571428571428573</v>
      </c>
      <c r="DO40" s="13">
        <f>IF('Données projet'!$A$166&gt;35,DO39+DN40-DW39,IF(A40&lt;'Données projet'!$A$166,$DL$205^A40,IF(A40='Données projet'!$A$166,'Données projet'!$B$166,DO39+DN40-DW39)))</f>
        <v>321.142857142857</v>
      </c>
      <c r="DP40" s="18">
        <f>DO40*VLOOKUP('Données projet'!$B$14,Paramètres!$A$1:$I$88,3,0)*VLOOKUP('Données projet'!$B$14,Paramètres!$A$1:$I$88,5,0)</f>
        <v>179.51885714285706</v>
      </c>
      <c r="DQ40" s="14">
        <f t="shared" si="43"/>
        <v>45.215124075787188</v>
      </c>
      <c r="DR40" s="22">
        <f t="shared" si="16"/>
        <v>391.41168395580547</v>
      </c>
      <c r="DS40" s="62">
        <f t="shared" si="17"/>
        <v>684.74501728913879</v>
      </c>
      <c r="DT40" s="62">
        <f ca="1">AVERAGE(OFFSET($DS$3,0,0,'Données projet'!$E$14+1,1))-AVERAGE(OFFSET($H$3,0,0,'Données projet'!$E$14+1,1))</f>
        <v>397.04445188588369</v>
      </c>
      <c r="DU40" s="62">
        <f t="shared" si="44"/>
        <v>350.01856672839466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4.3682261087863825</v>
      </c>
      <c r="EB40" s="23">
        <f>EXP(-LN(2)/25)*EB39+(1-EXP(-LN(2)/25))/(LN(2)/25)*Calculateur!DW40*Calculateur!DY40*VLOOKUP('Données projet'!$B$14,Paramètres!$A$1:$I$88,3,0)*0.475*44/12</f>
        <v>0</v>
      </c>
      <c r="EC40" s="23">
        <f>EXP(-LN(2)/2)*EC39+(1-EXP(-LN(2)/2))/(LN(2)/2)*DW40*DZ40*VLOOKUP('Données projet'!$B$14,Paramètres!$A$1:$I$88,3,0)*0.475*44/12</f>
        <v>1.4321296215097552</v>
      </c>
      <c r="ED40" s="24">
        <f t="shared" si="18"/>
        <v>5.8003557302961379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5.74</v>
      </c>
      <c r="EJ40" s="13">
        <f>IF('Données projet'!$A$192&gt;35,EJ39+EI40-ER39,IF(A40&lt;'Données projet'!$A$192,$EG$205^A40,IF(A40='Données projet'!$A$192,'Données projet'!$B$192,EJ39+EI40-ER39)))</f>
        <v>92.179999999999978</v>
      </c>
      <c r="EK40" s="18">
        <f>EJ40*VLOOKUP('Données projet'!$B$15,Paramètres!$A$1:$I$88,3,0)*VLOOKUP('Données projet'!$B$15,Paramètres!$A$1:$I$88,5,0)</f>
        <v>80.528447999999997</v>
      </c>
      <c r="EL40" s="14">
        <f t="shared" si="45"/>
        <v>22.266342859988033</v>
      </c>
      <c r="EM40" s="22">
        <f t="shared" si="19"/>
        <v>179.03426074781248</v>
      </c>
      <c r="EN40" s="62">
        <f t="shared" si="20"/>
        <v>472.3675940811458</v>
      </c>
      <c r="EO40" s="62">
        <f ca="1">AVERAGE(OFFSET($EN$3,0,0,'Données projet'!$E$15+1,1))-AVERAGE(OFFSET($H$3,0,0,'Données projet'!$E$15+1,1))</f>
        <v>202.5548390231225</v>
      </c>
      <c r="EP40" s="62">
        <f t="shared" si="46"/>
        <v>184.62184077734179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projet'!$B$15,Paramètres!$A$1:$I$88,3,0)*0.475*44/12</f>
        <v>0</v>
      </c>
      <c r="EW40" s="23">
        <f>EXP(-LN(2)/25)*EW39+(1-EXP(-LN(2)/25))/(LN(2)/25)*Calculateur!ER40*Calculateur!ET40*VLOOKUP('Données projet'!$B$15,Paramètres!$A$1:$I$88,3,0)*0.475*44/12</f>
        <v>0</v>
      </c>
      <c r="EX40" s="23">
        <f>EXP(-LN(2)/2)*EX39+(1-EXP(-LN(2)/2))/(LN(2)/2)*ER40*EU40*VLOOKUP('Données projet'!$B$15,Paramètres!$A$1:$I$88,3,0)*0.475*44/12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111.80000000000001</v>
      </c>
      <c r="FF40" s="18">
        <f>FE40*VLOOKUP('Données projet'!$B$16,Paramètres!$A$1:$I$88,3,0)*VLOOKUP('Données projet'!$B$16,Paramètres!$A$1:$I$88,5,0)</f>
        <v>108.13296000000001</v>
      </c>
      <c r="FG40" s="14">
        <f t="shared" si="47"/>
        <v>28.890658079177882</v>
      </c>
      <c r="FH40" s="22">
        <f t="shared" si="22"/>
        <v>238.64946815456815</v>
      </c>
      <c r="FI40" s="62">
        <f t="shared" si="23"/>
        <v>531.9828014879015</v>
      </c>
      <c r="FJ40" s="62">
        <f ca="1">AVERAGE(OFFSET($FI$3,0,0,'Données projet'!$E$16+1,1))-AVERAGE(OFFSET($H$3,0,0,'Données projet'!$E$16+1,1))</f>
        <v>456.96274622094955</v>
      </c>
      <c r="FK40" s="62">
        <f t="shared" si="48"/>
        <v>244.45149244446094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projet'!$B$16,Paramètres!$A$1:$I$88,3,0)*0.475*44/12</f>
        <v>0</v>
      </c>
      <c r="FR40" s="23">
        <f>EXP(-LN(2)/25)*FR39+(1-EXP(-LN(2)/25))/(LN(2)/25)*Calculateur!FM40*Calculateur!FO40*VLOOKUP('Données projet'!$B$16,Paramètres!$A$1:$I$88,3,0)*0.475*44/12</f>
        <v>0</v>
      </c>
      <c r="FS40" s="23">
        <f>EXP(-LN(2)/2)*FS39+(1-EXP(-LN(2)/2))/(LN(2)/2)*FM40*FP40*VLOOKUP('Données projet'!$B$16,Paramètres!$A$1:$I$88,3,0)*0.475*44/12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IF('Données projet'!$A$244&gt;35,FZ39+FY40-GH39,IF(A40&lt;'Données projet'!$A$244,$FW$205^A40,IF(A40='Données projet'!$A$244,'Données projet'!$B$244,FZ39+FY40-GH39)))</f>
        <v>111.80000000000001</v>
      </c>
      <c r="GA40" s="18">
        <f>FZ40*VLOOKUP('Données projet'!$B$17,Paramètres!$A$1:$I$88,3,0)*VLOOKUP('Données projet'!$B$17,Paramètres!$A$1:$I$88,5,0)</f>
        <v>120.34152</v>
      </c>
      <c r="GB40" s="14">
        <f t="shared" si="49"/>
        <v>31.754640046026051</v>
      </c>
      <c r="GC40" s="22">
        <f t="shared" si="25"/>
        <v>264.90081208016204</v>
      </c>
      <c r="GD40" s="62">
        <f t="shared" si="26"/>
        <v>558.2341454134953</v>
      </c>
      <c r="GE40" s="62">
        <f ca="1">AVERAGE(OFFSET($GD$3,0,0,'Données projet'!$E$17+1,1))-AVERAGE(OFFSET($H$3,0,0,'Données projet'!$E$17+1,1))</f>
        <v>503.69304261527651</v>
      </c>
      <c r="GF40" s="62">
        <f t="shared" si="50"/>
        <v>267.2998309535638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projet'!$B$17,Paramètres!$A$1:$I$88,3,0)*0.475*44/12</f>
        <v>0</v>
      </c>
      <c r="GM40" s="23">
        <f>EXP(-LN(2)/25)*GM39+(1-EXP(-LN(2)/25))/(LN(2)/25)*Calculateur!GH40*Calculateur!GJ40*VLOOKUP('Données projet'!$B$17,Paramètres!$A$1:$I$88,3,0)*0.475*44/12</f>
        <v>0</v>
      </c>
      <c r="GN40" s="23">
        <f>EXP(-LN(2)/2)*GN39+(1-EXP(-LN(2)/2))/(LN(2)/2)*GH40*GK40*VLOOKUP('Données projet'!$B$17,Paramètres!$A$1:$I$88,3,0)*0.475*44/12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11.2</v>
      </c>
      <c r="GU40" s="13">
        <f>IF('Données projet'!$A$270&gt;35,GU39+GT40-HC39,IF(A40&lt;'Données projet'!$A$270,$GR$205^A40,IF(A40='Données projet'!$A$270,'Données projet'!$B$270,GU39+GT40-HC39)))</f>
        <v>141.40000000000006</v>
      </c>
      <c r="GV40" s="18">
        <f>GU40*VLOOKUP('Données projet'!$B$18,Paramètres!$A$1:$I$88,3,0)*VLOOKUP('Données projet'!$B$18,Paramètres!$A$1:$I$88,5,0)</f>
        <v>147.79128000000006</v>
      </c>
      <c r="GW40" s="14">
        <f t="shared" si="51"/>
        <v>38.076213545724045</v>
      </c>
      <c r="GX40" s="22">
        <f t="shared" si="28"/>
        <v>323.71921792546948</v>
      </c>
      <c r="GY40" s="62">
        <f t="shared" si="29"/>
        <v>617.05255125880285</v>
      </c>
      <c r="GZ40" s="62">
        <f ca="1">AVERAGE(OFFSET($GY$3,0,0,'Données projet'!$E$18+1,1))-AVERAGE(OFFSET($H$3,0,0,'Données projet'!$E$18+1,1))</f>
        <v>582.89879210197682</v>
      </c>
      <c r="HA40" s="62">
        <f t="shared" si="52"/>
        <v>314.72094983133326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projet'!$B$18,Paramètres!$A$1:$I$88,3,0)*0.475*44/12</f>
        <v>0</v>
      </c>
      <c r="HH40" s="23">
        <f>EXP(-LN(2)/25)*HH39+(1-EXP(-LN(2)/25))/(LN(2)/25)*Calculateur!HC40*Calculateur!HE40*VLOOKUP('Données projet'!$B$18,Paramètres!$A$1:$I$88,3,0)*0.475*44/12</f>
        <v>0</v>
      </c>
      <c r="HI40" s="23">
        <f>EXP(-LN(2)/2)*HI39+(1-EXP(-LN(2)/2))/(LN(2)/2)*HC40*HF40*VLOOKUP('Données projet'!$B$18,Paramètres!$A$1:$I$88,3,0)*0.475*44/12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14.6</v>
      </c>
      <c r="N41" s="14">
        <f>IF('Données projet'!$A$36&gt;35,N40+M41-V40,IF(A41&lt;'Données projet'!$A$36,$K$205^A41,IF(A41='Données projet'!$A$36,'Données projet'!$B$36,N40+M41-V40)))</f>
        <v>237.79999999999993</v>
      </c>
      <c r="O41" s="14">
        <f>N41*VLOOKUP('Données projet'!$B$9,Paramètres!$A$1:$I$88,3,0)*VLOOKUP('Données projet'!$B$9,Paramètres!$A$1:$I$88,5,0)</f>
        <v>111.29039999999998</v>
      </c>
      <c r="P41" s="14">
        <f t="shared" si="33"/>
        <v>29.634806205918217</v>
      </c>
      <c r="Q41" s="22">
        <f t="shared" si="53"/>
        <v>245.44473414197418</v>
      </c>
      <c r="R41" s="62">
        <f t="shared" si="0"/>
        <v>538.77806747530747</v>
      </c>
      <c r="S41" s="62">
        <f ca="1">AVERAGE(OFFSET($R$3,0,0,'Données projet'!$E$9+1,1))-AVERAGE(OFFSET($H$3,0,0,'Données projet'!$E$9+1,1))</f>
        <v>399.92909819003523</v>
      </c>
      <c r="T41" s="62">
        <f t="shared" si="34"/>
        <v>163.7053537268381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projet'!$B$10,Paramètres!$A$1:$I$88,3,0)*VLOOKUP('Données projet'!$B$10,Paramètres!$A$1:$I$88,5,0)</f>
        <v>138.07248000000004</v>
      </c>
      <c r="AK41" s="14">
        <f t="shared" si="35"/>
        <v>35.85508207677799</v>
      </c>
      <c r="AL41" s="22">
        <f t="shared" si="4"/>
        <v>302.92383728372175</v>
      </c>
      <c r="AM41" s="62">
        <f t="shared" si="5"/>
        <v>596.25717061705507</v>
      </c>
      <c r="AN41" s="62">
        <f ca="1">AVERAGE(OFFSET($AM$3,0,0,'Données projet'!$E$10+1,1))-AVERAGE(OFFSET($H$3,0,0,'Données projet'!$E$10+1,1))</f>
        <v>510.56580450928806</v>
      </c>
      <c r="AO41" s="62">
        <f t="shared" si="36"/>
        <v>278.21741231699929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</v>
      </c>
      <c r="BD41" s="13">
        <f>IF('Données projet'!$A$88&gt;35,BD40+BC41-BL40,IF(A41&lt;'Données projet'!$A$88,$BA$205^A41,IF(A41='Données projet'!$A$88,'Données projet'!$B$88,BD40+BC41-BL40)))</f>
        <v>187.99999999999997</v>
      </c>
      <c r="BE41" s="14">
        <f>BD41*VLOOKUP('Données projet'!$B$11,Paramètres!$A$1:$I$88,3,0)*VLOOKUP('Données projet'!$B$11,Paramètres!$A$1:$I$88,5,0)</f>
        <v>178.90079999999998</v>
      </c>
      <c r="BF41" s="14">
        <f t="shared" si="37"/>
        <v>45.077547304318657</v>
      </c>
      <c r="BG41" s="22">
        <f t="shared" si="7"/>
        <v>390.09562155502158</v>
      </c>
      <c r="BH41" s="62">
        <f t="shared" si="8"/>
        <v>683.42895488835484</v>
      </c>
      <c r="BI41" s="62">
        <f ca="1">AVERAGE(OFFSET($BH$3,0,0,'Données projet'!$E$11+1,1))-AVERAGE(OFFSET($H$3,0,0,'Données projet'!$E$11+1,1))</f>
        <v>525.51330555662139</v>
      </c>
      <c r="BJ41" s="62">
        <f t="shared" si="38"/>
        <v>357.72390083433635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13.544857142857142</v>
      </c>
      <c r="BY41" s="13">
        <f>IF('Données projet'!$A$114&gt;35,BY40+BX41-CG40,IF(A41&lt;'Données projet'!$A$114,$BV$205^A41,IF(A41='Données projet'!$A$114,'Données projet'!$B$114,BY40+BX41-CG40)))</f>
        <v>319.43085714285723</v>
      </c>
      <c r="BZ41" s="14">
        <f>BY41*VLOOKUP('Données projet'!$B$12,Paramètres!$A$1:$I$88,3,0)*VLOOKUP('Données projet'!$B$12,Paramètres!$A$1:$I$88,5,0)</f>
        <v>191.01965257142865</v>
      </c>
      <c r="CA41" s="14">
        <f t="shared" si="39"/>
        <v>47.765313287689132</v>
      </c>
      <c r="CB41" s="22">
        <f t="shared" si="10"/>
        <v>415.88381553796347</v>
      </c>
      <c r="CC41" s="62">
        <f t="shared" si="11"/>
        <v>709.21714887129679</v>
      </c>
      <c r="CD41" s="62">
        <f ca="1">AVERAGE(OFFSET($CC$3,0,0,'Données projet'!$E$12+1,1))-AVERAGE(OFFSET($H$3,0,0,'Données projet'!$E$12+1,1))</f>
        <v>227.46616726010473</v>
      </c>
      <c r="CE41" s="62">
        <f t="shared" si="40"/>
        <v>314.188568589113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6.0424260758394874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0.65081410304806864</v>
      </c>
      <c r="CN41" s="24">
        <f t="shared" si="12"/>
        <v>6.6932401788875557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14.4</v>
      </c>
      <c r="CT41" s="13">
        <f>IF('Données projet'!$A$140&gt;35,CT40+CS41-DB40,IF(A41&lt;'Données projet'!$A$140,$CQ$205^A41,IF(A41='Données projet'!$A$140,'Données projet'!$B$140,CT40+CS41-DB40)))</f>
        <v>194.19999999999996</v>
      </c>
      <c r="CU41" s="18">
        <f>CT41*VLOOKUP('Données projet'!$B$13,Paramètres!$A$1:$I$88,3,0)*VLOOKUP('Données projet'!$B$13,Paramètres!$A$1:$I$88,5,0)</f>
        <v>116.13159999999998</v>
      </c>
      <c r="CV41" s="14">
        <f t="shared" si="41"/>
        <v>30.771045099371396</v>
      </c>
      <c r="CW41" s="22">
        <f t="shared" si="13"/>
        <v>255.85544021473845</v>
      </c>
      <c r="CX41" s="62">
        <f t="shared" si="14"/>
        <v>549.18877354807182</v>
      </c>
      <c r="CY41" s="62">
        <f ca="1">AVERAGE(OFFSET($CX$3,0,0,'Données projet'!$E$13+1,1))-AVERAGE(OFFSET($H$3,0,0,'Données projet'!$E$13+1,1))</f>
        <v>356.46794174556311</v>
      </c>
      <c r="CZ41" s="62">
        <f t="shared" si="42"/>
        <v>248.47107558211923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0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19.571428571428573</v>
      </c>
      <c r="DO41" s="13">
        <f>IF('Données projet'!$A$166&gt;35,DO40+DN41-DW40,IF(A41&lt;'Données projet'!$A$166,$DL$205^A41,IF(A41='Données projet'!$A$166,'Données projet'!$B$166,DO40+DN41-DW40)))</f>
        <v>340.71428571428555</v>
      </c>
      <c r="DP41" s="18">
        <f>DO41*VLOOKUP('Données projet'!$B$14,Paramètres!$A$1:$I$88,3,0)*VLOOKUP('Données projet'!$B$14,Paramètres!$A$1:$I$88,5,0)</f>
        <v>190.45928571428561</v>
      </c>
      <c r="DQ41" s="14">
        <f t="shared" si="43"/>
        <v>47.641480128932045</v>
      </c>
      <c r="DR41" s="22">
        <f t="shared" si="16"/>
        <v>414.6921671769374</v>
      </c>
      <c r="DS41" s="62">
        <f t="shared" si="17"/>
        <v>708.02550051027072</v>
      </c>
      <c r="DT41" s="62">
        <f ca="1">AVERAGE(OFFSET($DS$3,0,0,'Données projet'!$E$14+1,1))-AVERAGE(OFFSET($H$3,0,0,'Données projet'!$E$14+1,1))</f>
        <v>397.04445188588369</v>
      </c>
      <c r="DU41" s="62">
        <f t="shared" si="44"/>
        <v>350.01856672839466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4.2825678591479246</v>
      </c>
      <c r="EB41" s="23">
        <f>EXP(-LN(2)/25)*EB40+(1-EXP(-LN(2)/25))/(LN(2)/25)*Calculateur!DW41*Calculateur!DY41*VLOOKUP('Données projet'!$B$14,Paramètres!$A$1:$I$88,3,0)*0.475*44/12</f>
        <v>0</v>
      </c>
      <c r="EC41" s="23">
        <f>EXP(-LN(2)/2)*EC40+(1-EXP(-LN(2)/2))/(LN(2)/2)*DW41*DZ41*VLOOKUP('Données projet'!$B$14,Paramètres!$A$1:$I$88,3,0)*0.475*44/12</f>
        <v>1.0126685669076716</v>
      </c>
      <c r="ED41" s="24">
        <f t="shared" si="18"/>
        <v>5.2952364260555962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5.74</v>
      </c>
      <c r="EJ41" s="13">
        <f>IF('Données projet'!$A$192&gt;35,EJ40+EI41-ER40,IF(A41&lt;'Données projet'!$A$192,$EG$205^A41,IF(A41='Données projet'!$A$192,'Données projet'!$B$192,EJ40+EI41-ER40)))</f>
        <v>97.919999999999973</v>
      </c>
      <c r="EK41" s="18">
        <f>EJ41*VLOOKUP('Données projet'!$B$15,Paramètres!$A$1:$I$88,3,0)*VLOOKUP('Données projet'!$B$15,Paramètres!$A$1:$I$88,5,0)</f>
        <v>85.542911999999987</v>
      </c>
      <c r="EL41" s="14">
        <f t="shared" si="45"/>
        <v>23.487125799694358</v>
      </c>
      <c r="EM41" s="22">
        <f t="shared" si="19"/>
        <v>189.89398250113427</v>
      </c>
      <c r="EN41" s="62">
        <f t="shared" si="20"/>
        <v>483.22731583446762</v>
      </c>
      <c r="EO41" s="62">
        <f ca="1">AVERAGE(OFFSET($EN$3,0,0,'Données projet'!$E$15+1,1))-AVERAGE(OFFSET($H$3,0,0,'Données projet'!$E$15+1,1))</f>
        <v>202.5548390231225</v>
      </c>
      <c r="EP41" s="62">
        <f t="shared" si="46"/>
        <v>184.62184077734179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projet'!$B$15,Paramètres!$A$1:$I$88,3,0)*0.475*44/12</f>
        <v>0</v>
      </c>
      <c r="EW41" s="23">
        <f>EXP(-LN(2)/25)*EW40+(1-EXP(-LN(2)/25))/(LN(2)/25)*Calculateur!ER41*Calculateur!ET41*VLOOKUP('Données projet'!$B$15,Paramètres!$A$1:$I$88,3,0)*0.475*44/12</f>
        <v>0</v>
      </c>
      <c r="EX41" s="23">
        <f>EXP(-LN(2)/2)*EX40+(1-EXP(-LN(2)/2))/(LN(2)/2)*ER41*EU41*VLOOKUP('Données projet'!$B$15,Paramètres!$A$1:$I$88,3,0)*0.475*44/12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120.20000000000002</v>
      </c>
      <c r="FF41" s="18">
        <f>FE41*VLOOKUP('Données projet'!$B$16,Paramètres!$A$1:$I$88,3,0)*VLOOKUP('Données projet'!$B$16,Paramètres!$A$1:$I$88,5,0)</f>
        <v>116.25744000000003</v>
      </c>
      <c r="FG41" s="14">
        <f t="shared" si="47"/>
        <v>30.800505515381992</v>
      </c>
      <c r="FH41" s="22">
        <f t="shared" si="22"/>
        <v>256.12592177262371</v>
      </c>
      <c r="FI41" s="62">
        <f t="shared" si="23"/>
        <v>549.45925510595703</v>
      </c>
      <c r="FJ41" s="62">
        <f ca="1">AVERAGE(OFFSET($FI$3,0,0,'Données projet'!$E$16+1,1))-AVERAGE(OFFSET($H$3,0,0,'Données projet'!$E$16+1,1))</f>
        <v>456.96274622094955</v>
      </c>
      <c r="FK41" s="62">
        <f t="shared" si="48"/>
        <v>244.45149244446094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projet'!$B$16,Paramètres!$A$1:$I$88,3,0)*0.475*44/12</f>
        <v>0</v>
      </c>
      <c r="FR41" s="23">
        <f>EXP(-LN(2)/25)*FR40+(1-EXP(-LN(2)/25))/(LN(2)/25)*Calculateur!FM41*Calculateur!FO41*VLOOKUP('Données projet'!$B$16,Paramètres!$A$1:$I$88,3,0)*0.475*44/12</f>
        <v>0</v>
      </c>
      <c r="FS41" s="23">
        <f>EXP(-LN(2)/2)*FS40+(1-EXP(-LN(2)/2))/(LN(2)/2)*FM41*FP41*VLOOKUP('Données projet'!$B$16,Paramètres!$A$1:$I$88,3,0)*0.475*44/12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IF('Données projet'!$A$244&gt;35,FZ40+FY41-GH40,IF(A41&lt;'Données projet'!$A$244,$FW$205^A41,IF(A41='Données projet'!$A$244,'Données projet'!$B$244,FZ40+FY41-GH40)))</f>
        <v>120.20000000000002</v>
      </c>
      <c r="GA41" s="18">
        <f>FZ41*VLOOKUP('Données projet'!$B$17,Paramètres!$A$1:$I$88,3,0)*VLOOKUP('Données projet'!$B$17,Paramètres!$A$1:$I$88,5,0)</f>
        <v>129.38328000000001</v>
      </c>
      <c r="GB41" s="14">
        <f t="shared" si="49"/>
        <v>33.853814032069536</v>
      </c>
      <c r="GC41" s="22">
        <f t="shared" si="25"/>
        <v>284.30460543918775</v>
      </c>
      <c r="GD41" s="62">
        <f t="shared" si="26"/>
        <v>577.63793877252101</v>
      </c>
      <c r="GE41" s="62">
        <f ca="1">AVERAGE(OFFSET($GD$3,0,0,'Données projet'!$E$17+1,1))-AVERAGE(OFFSET($H$3,0,0,'Données projet'!$E$17+1,1))</f>
        <v>503.69304261527651</v>
      </c>
      <c r="GF41" s="62">
        <f t="shared" si="50"/>
        <v>267.2998309535638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projet'!$B$17,Paramètres!$A$1:$I$88,3,0)*0.475*44/12</f>
        <v>0</v>
      </c>
      <c r="GM41" s="23">
        <f>EXP(-LN(2)/25)*GM40+(1-EXP(-LN(2)/25))/(LN(2)/25)*Calculateur!GH41*Calculateur!GJ41*VLOOKUP('Données projet'!$B$17,Paramètres!$A$1:$I$88,3,0)*0.475*44/12</f>
        <v>0</v>
      </c>
      <c r="GN41" s="23">
        <f>EXP(-LN(2)/2)*GN40+(1-EXP(-LN(2)/2))/(LN(2)/2)*GH41*GK41*VLOOKUP('Données projet'!$B$17,Paramètres!$A$1:$I$88,3,0)*0.475*44/12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11.2</v>
      </c>
      <c r="GU41" s="13">
        <f>IF('Données projet'!$A$270&gt;35,GU40+GT41-HC40,IF(A41&lt;'Données projet'!$A$270,$GR$205^A41,IF(A41='Données projet'!$A$270,'Données projet'!$B$270,GU40+GT41-HC40)))</f>
        <v>152.60000000000005</v>
      </c>
      <c r="GV41" s="18">
        <f>GU41*VLOOKUP('Données projet'!$B$18,Paramètres!$A$1:$I$88,3,0)*VLOOKUP('Données projet'!$B$18,Paramètres!$A$1:$I$88,5,0)</f>
        <v>159.49752000000007</v>
      </c>
      <c r="GW41" s="14">
        <f t="shared" si="51"/>
        <v>40.729158900674037</v>
      </c>
      <c r="GX41" s="22">
        <f t="shared" si="28"/>
        <v>348.72813241867402</v>
      </c>
      <c r="GY41" s="62">
        <f t="shared" si="29"/>
        <v>642.06146575200728</v>
      </c>
      <c r="GZ41" s="62">
        <f ca="1">AVERAGE(OFFSET($GY$3,0,0,'Données projet'!$E$18+1,1))-AVERAGE(OFFSET($H$3,0,0,'Données projet'!$E$18+1,1))</f>
        <v>582.89879210197682</v>
      </c>
      <c r="HA41" s="62">
        <f t="shared" si="52"/>
        <v>314.72094983133326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projet'!$B$18,Paramètres!$A$1:$I$88,3,0)*0.475*44/12</f>
        <v>0</v>
      </c>
      <c r="HH41" s="23">
        <f>EXP(-LN(2)/25)*HH40+(1-EXP(-LN(2)/25))/(LN(2)/25)*Calculateur!HC41*Calculateur!HE41*VLOOKUP('Données projet'!$B$18,Paramètres!$A$1:$I$88,3,0)*0.475*44/12</f>
        <v>0</v>
      </c>
      <c r="HI41" s="23">
        <f>EXP(-LN(2)/2)*HI40+(1-EXP(-LN(2)/2))/(LN(2)/2)*HC41*HF41*VLOOKUP('Données projet'!$B$18,Paramètres!$A$1:$I$88,3,0)*0.475*44/12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14.6</v>
      </c>
      <c r="N42" s="14">
        <f>IF('Données projet'!$A$36&gt;35,N41+M42-V41,IF(A42&lt;'Données projet'!$A$36,$K$205^A42,IF(A42='Données projet'!$A$36,'Données projet'!$B$36,N41+M42-V41)))</f>
        <v>252.39999999999992</v>
      </c>
      <c r="O42" s="14">
        <f>N42*VLOOKUP('Données projet'!$B$9,Paramètres!$A$1:$I$88,3,0)*VLOOKUP('Données projet'!$B$9,Paramètres!$A$1:$I$88,5,0)</f>
        <v>118.12319999999995</v>
      </c>
      <c r="P42" s="14">
        <f t="shared" si="33"/>
        <v>31.236865730893584</v>
      </c>
      <c r="Q42" s="22">
        <f t="shared" si="53"/>
        <v>260.13544781463958</v>
      </c>
      <c r="R42" s="62">
        <f t="shared" si="0"/>
        <v>553.46878114797289</v>
      </c>
      <c r="S42" s="62">
        <f ca="1">AVERAGE(OFFSET($R$3,0,0,'Données projet'!$E$9+1,1))-AVERAGE(OFFSET($H$3,0,0,'Données projet'!$E$9+1,1))</f>
        <v>399.92909819003523</v>
      </c>
      <c r="T42" s="62">
        <f t="shared" si="34"/>
        <v>163.7053537268381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projet'!$B$10,Paramètres!$A$1:$I$88,3,0)*VLOOKUP('Données projet'!$B$10,Paramètres!$A$1:$I$88,5,0)</f>
        <v>148.20624000000004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617.93977141159837</v>
      </c>
      <c r="AN42" s="62">
        <f ca="1">AVERAGE(OFFSET($AM$3,0,0,'Données projet'!$E$10+1,1))-AVERAGE(OFFSET($H$3,0,0,'Données projet'!$E$10+1,1))</f>
        <v>510.56580450928806</v>
      </c>
      <c r="AO42" s="62">
        <f t="shared" si="36"/>
        <v>278.21741231699929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</v>
      </c>
      <c r="BD42" s="13">
        <f>IF('Données projet'!$A$88&gt;35,BD41+BC42-BL41,IF(A42&lt;'Données projet'!$A$88,$BA$205^A42,IF(A42='Données projet'!$A$88,'Données projet'!$B$88,BD41+BC42-BL41)))</f>
        <v>196.99999999999997</v>
      </c>
      <c r="BE42" s="14">
        <f>BD42*VLOOKUP('Données projet'!$B$11,Paramètres!$A$1:$I$88,3,0)*VLOOKUP('Données projet'!$B$11,Paramètres!$A$1:$I$88,5,0)</f>
        <v>187.46519999999995</v>
      </c>
      <c r="BF42" s="14">
        <f t="shared" si="37"/>
        <v>46.979107256618605</v>
      </c>
      <c r="BG42" s="22">
        <f t="shared" si="7"/>
        <v>408.3238351386106</v>
      </c>
      <c r="BH42" s="62">
        <f t="shared" si="8"/>
        <v>701.65716847194392</v>
      </c>
      <c r="BI42" s="62">
        <f ca="1">AVERAGE(OFFSET($BH$3,0,0,'Données projet'!$E$11+1,1))-AVERAGE(OFFSET($H$3,0,0,'Données projet'!$E$11+1,1))</f>
        <v>525.51330555662139</v>
      </c>
      <c r="BJ42" s="62">
        <f t="shared" si="38"/>
        <v>357.72390083433635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13.544857142857142</v>
      </c>
      <c r="BY42" s="13">
        <f>IF('Données projet'!$A$114&gt;35,BY41+BX42-CG41,IF(A42&lt;'Données projet'!$A$114,$BV$205^A42,IF(A42='Données projet'!$A$114,'Données projet'!$B$114,BY41+BX42-CG41)))</f>
        <v>332.97571428571439</v>
      </c>
      <c r="BZ42" s="14">
        <f>BY42*VLOOKUP('Données projet'!$B$12,Paramètres!$A$1:$I$88,3,0)*VLOOKUP('Données projet'!$B$12,Paramètres!$A$1:$I$88,5,0)</f>
        <v>199.11947714285722</v>
      </c>
      <c r="CA42" s="14">
        <f t="shared" si="39"/>
        <v>49.550605786666686</v>
      </c>
      <c r="CB42" s="22">
        <f t="shared" si="10"/>
        <v>433.10039443558748</v>
      </c>
      <c r="CC42" s="62">
        <f t="shared" si="11"/>
        <v>726.43372776892079</v>
      </c>
      <c r="CD42" s="62">
        <f ca="1">AVERAGE(OFFSET($CC$3,0,0,'Données projet'!$E$12+1,1))-AVERAGE(OFFSET($H$3,0,0,'Données projet'!$E$12+1,1))</f>
        <v>227.46616726010473</v>
      </c>
      <c r="CE42" s="62">
        <f t="shared" si="40"/>
        <v>314.188568589113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5.9239377860082669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0.46019506555712991</v>
      </c>
      <c r="CN42" s="24">
        <f t="shared" si="12"/>
        <v>6.384132851565397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14.4</v>
      </c>
      <c r="CT42" s="13">
        <f>IF('Données projet'!$A$140&gt;35,CT41+CS42-DB41,IF(A42&lt;'Données projet'!$A$140,$CQ$205^A42,IF(A42='Données projet'!$A$140,'Données projet'!$B$140,CT41+CS42-DB41)))</f>
        <v>208.59999999999997</v>
      </c>
      <c r="CU42" s="18">
        <f>CT42*VLOOKUP('Données projet'!$B$13,Paramètres!$A$1:$I$88,3,0)*VLOOKUP('Données projet'!$B$13,Paramètres!$A$1:$I$88,5,0)</f>
        <v>124.74279999999999</v>
      </c>
      <c r="CV42" s="14">
        <f t="shared" si="41"/>
        <v>32.778671669154043</v>
      </c>
      <c r="CW42" s="22">
        <f t="shared" si="13"/>
        <v>274.34989649044331</v>
      </c>
      <c r="CX42" s="62">
        <f t="shared" si="14"/>
        <v>567.68322982377663</v>
      </c>
      <c r="CY42" s="62">
        <f ca="1">AVERAGE(OFFSET($CX$3,0,0,'Données projet'!$E$13+1,1))-AVERAGE(OFFSET($H$3,0,0,'Données projet'!$E$13+1,1))</f>
        <v>356.46794174556311</v>
      </c>
      <c r="CZ42" s="62">
        <f t="shared" si="42"/>
        <v>248.47107558211923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0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19.571428571428573</v>
      </c>
      <c r="DO42" s="13">
        <f>IF('Données projet'!$A$166&gt;35,DO41+DN42-DW41,IF(A42&lt;'Données projet'!$A$166,$DL$205^A42,IF(A42='Données projet'!$A$166,'Données projet'!$B$166,DO41+DN42-DW41)))</f>
        <v>360.28571428571411</v>
      </c>
      <c r="DP42" s="18">
        <f>DO42*VLOOKUP('Données projet'!$B$14,Paramètres!$A$1:$I$88,3,0)*VLOOKUP('Données projet'!$B$14,Paramètres!$A$1:$I$88,5,0)</f>
        <v>201.39971428571417</v>
      </c>
      <c r="DQ42" s="14">
        <f t="shared" si="43"/>
        <v>50.051657588658017</v>
      </c>
      <c r="DR42" s="22">
        <f t="shared" si="16"/>
        <v>437.94447268119819</v>
      </c>
      <c r="DS42" s="62">
        <f t="shared" si="17"/>
        <v>731.27780601453151</v>
      </c>
      <c r="DT42" s="62">
        <f ca="1">AVERAGE(OFFSET($DS$3,0,0,'Données projet'!$E$14+1,1))-AVERAGE(OFFSET($H$3,0,0,'Données projet'!$E$14+1,1))</f>
        <v>397.04445188588369</v>
      </c>
      <c r="DU42" s="62">
        <f t="shared" si="44"/>
        <v>350.01856672839466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4.1985893155385039</v>
      </c>
      <c r="EB42" s="23">
        <f>EXP(-LN(2)/25)*EB41+(1-EXP(-LN(2)/25))/(LN(2)/25)*Calculateur!DW42*Calculateur!DY42*VLOOKUP('Données projet'!$B$14,Paramètres!$A$1:$I$88,3,0)*0.475*44/12</f>
        <v>0</v>
      </c>
      <c r="EC42" s="23">
        <f>EXP(-LN(2)/2)*EC41+(1-EXP(-LN(2)/2))/(LN(2)/2)*DW42*DZ42*VLOOKUP('Données projet'!$B$14,Paramètres!$A$1:$I$88,3,0)*0.475*44/12</f>
        <v>0.7160648107548776</v>
      </c>
      <c r="ED42" s="24">
        <f t="shared" si="18"/>
        <v>4.9146541262933816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5.74</v>
      </c>
      <c r="EJ42" s="13">
        <f>IF('Données projet'!$A$192&gt;35,EJ41+EI42-ER41,IF(A42&lt;'Données projet'!$A$192,$EG$205^A42,IF(A42='Données projet'!$A$192,'Données projet'!$B$192,EJ41+EI42-ER41)))</f>
        <v>103.65999999999997</v>
      </c>
      <c r="EK42" s="18">
        <f>EJ42*VLOOKUP('Données projet'!$B$15,Paramètres!$A$1:$I$88,3,0)*VLOOKUP('Données projet'!$B$15,Paramètres!$A$1:$I$88,5,0)</f>
        <v>90.557375999999991</v>
      </c>
      <c r="EL42" s="14">
        <f t="shared" si="45"/>
        <v>24.699602322908831</v>
      </c>
      <c r="EM42" s="22">
        <f t="shared" si="19"/>
        <v>200.73923724573285</v>
      </c>
      <c r="EN42" s="62">
        <f t="shared" si="20"/>
        <v>494.07257057906617</v>
      </c>
      <c r="EO42" s="62">
        <f ca="1">AVERAGE(OFFSET($EN$3,0,0,'Données projet'!$E$15+1,1))-AVERAGE(OFFSET($H$3,0,0,'Données projet'!$E$15+1,1))</f>
        <v>202.5548390231225</v>
      </c>
      <c r="EP42" s="62">
        <f t="shared" si="46"/>
        <v>184.62184077734179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projet'!$B$15,Paramètres!$A$1:$I$88,3,0)*0.475*44/12</f>
        <v>0</v>
      </c>
      <c r="EW42" s="23">
        <f>EXP(-LN(2)/25)*EW41+(1-EXP(-LN(2)/25))/(LN(2)/25)*Calculateur!ER42*Calculateur!ET42*VLOOKUP('Données projet'!$B$15,Paramètres!$A$1:$I$88,3,0)*0.475*44/12</f>
        <v>0</v>
      </c>
      <c r="EX42" s="23">
        <f>EXP(-LN(2)/2)*EX41+(1-EXP(-LN(2)/2))/(LN(2)/2)*ER42*EU42*VLOOKUP('Données projet'!$B$15,Paramètres!$A$1:$I$88,3,0)*0.475*44/12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128.60000000000002</v>
      </c>
      <c r="FF42" s="18">
        <f>FE42*VLOOKUP('Données projet'!$B$16,Paramètres!$A$1:$I$88,3,0)*VLOOKUP('Données projet'!$B$16,Paramètres!$A$1:$I$88,5,0)</f>
        <v>124.38192000000002</v>
      </c>
      <c r="FG42" s="14">
        <f t="shared" si="47"/>
        <v>32.694867122876893</v>
      </c>
      <c r="FH42" s="22">
        <f t="shared" si="22"/>
        <v>273.5754042390106</v>
      </c>
      <c r="FI42" s="62">
        <f t="shared" si="23"/>
        <v>566.90873757234385</v>
      </c>
      <c r="FJ42" s="62">
        <f ca="1">AVERAGE(OFFSET($FI$3,0,0,'Données projet'!$E$16+1,1))-AVERAGE(OFFSET($H$3,0,0,'Données projet'!$E$16+1,1))</f>
        <v>456.96274622094955</v>
      </c>
      <c r="FK42" s="62">
        <f t="shared" si="48"/>
        <v>244.45149244446094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projet'!$B$16,Paramètres!$A$1:$I$88,3,0)*0.475*44/12</f>
        <v>0</v>
      </c>
      <c r="FR42" s="23">
        <f>EXP(-LN(2)/25)*FR41+(1-EXP(-LN(2)/25))/(LN(2)/25)*Calculateur!FM42*Calculateur!FO42*VLOOKUP('Données projet'!$B$16,Paramètres!$A$1:$I$88,3,0)*0.475*44/12</f>
        <v>0</v>
      </c>
      <c r="FS42" s="23">
        <f>EXP(-LN(2)/2)*FS41+(1-EXP(-LN(2)/2))/(LN(2)/2)*FM42*FP42*VLOOKUP('Données projet'!$B$16,Paramètres!$A$1:$I$88,3,0)*0.475*44/12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IF('Données projet'!$A$244&gt;35,FZ41+FY42-GH41,IF(A42&lt;'Données projet'!$A$244,$FW$205^A42,IF(A42='Données projet'!$A$244,'Données projet'!$B$244,FZ41+FY42-GH41)))</f>
        <v>128.60000000000002</v>
      </c>
      <c r="GA42" s="18">
        <f>FZ42*VLOOKUP('Données projet'!$B$17,Paramètres!$A$1:$I$88,3,0)*VLOOKUP('Données projet'!$B$17,Paramètres!$A$1:$I$88,5,0)</f>
        <v>138.42504000000002</v>
      </c>
      <c r="GB42" s="14">
        <f t="shared" si="49"/>
        <v>35.935967051850263</v>
      </c>
      <c r="GC42" s="22">
        <f t="shared" si="25"/>
        <v>303.67875394863927</v>
      </c>
      <c r="GD42" s="62">
        <f t="shared" si="26"/>
        <v>597.01208728197253</v>
      </c>
      <c r="GE42" s="62">
        <f ca="1">AVERAGE(OFFSET($GD$3,0,0,'Données projet'!$E$17+1,1))-AVERAGE(OFFSET($H$3,0,0,'Données projet'!$E$17+1,1))</f>
        <v>503.69304261527651</v>
      </c>
      <c r="GF42" s="62">
        <f t="shared" si="50"/>
        <v>267.2998309535638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projet'!$B$17,Paramètres!$A$1:$I$88,3,0)*0.475*44/12</f>
        <v>0</v>
      </c>
      <c r="GM42" s="23">
        <f>EXP(-LN(2)/25)*GM41+(1-EXP(-LN(2)/25))/(LN(2)/25)*Calculateur!GH42*Calculateur!GJ42*VLOOKUP('Données projet'!$B$17,Paramètres!$A$1:$I$88,3,0)*0.475*44/12</f>
        <v>0</v>
      </c>
      <c r="GN42" s="23">
        <f>EXP(-LN(2)/2)*GN41+(1-EXP(-LN(2)/2))/(LN(2)/2)*GH42*GK42*VLOOKUP('Données projet'!$B$17,Paramètres!$A$1:$I$88,3,0)*0.475*44/12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11.2</v>
      </c>
      <c r="GU42" s="13">
        <f>IF('Données projet'!$A$270&gt;35,GU41+GT42-HC41,IF(A42&lt;'Données projet'!$A$270,$GR$205^A42,IF(A42='Données projet'!$A$270,'Données projet'!$B$270,GU41+GT42-HC41)))</f>
        <v>163.80000000000004</v>
      </c>
      <c r="GV42" s="18">
        <f>GU42*VLOOKUP('Données projet'!$B$18,Paramètres!$A$1:$I$88,3,0)*VLOOKUP('Données projet'!$B$18,Paramètres!$A$1:$I$88,5,0)</f>
        <v>171.20376000000007</v>
      </c>
      <c r="GW42" s="14">
        <f t="shared" si="51"/>
        <v>43.359514967164522</v>
      </c>
      <c r="GX42" s="22">
        <f t="shared" si="28"/>
        <v>373.69770390114496</v>
      </c>
      <c r="GY42" s="62">
        <f t="shared" si="29"/>
        <v>667.03103723447828</v>
      </c>
      <c r="GZ42" s="62">
        <f ca="1">AVERAGE(OFFSET($GY$3,0,0,'Données projet'!$E$18+1,1))-AVERAGE(OFFSET($H$3,0,0,'Données projet'!$E$18+1,1))</f>
        <v>582.89879210197682</v>
      </c>
      <c r="HA42" s="62">
        <f t="shared" si="52"/>
        <v>314.72094983133326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projet'!$B$18,Paramètres!$A$1:$I$88,3,0)*0.475*44/12</f>
        <v>0</v>
      </c>
      <c r="HH42" s="23">
        <f>EXP(-LN(2)/25)*HH41+(1-EXP(-LN(2)/25))/(LN(2)/25)*Calculateur!HC42*Calculateur!HE42*VLOOKUP('Données projet'!$B$18,Paramètres!$A$1:$I$88,3,0)*0.475*44/12</f>
        <v>0</v>
      </c>
      <c r="HI42" s="23">
        <f>EXP(-LN(2)/2)*HI41+(1-EXP(-LN(2)/2))/(LN(2)/2)*HC42*HF42*VLOOKUP('Données projet'!$B$18,Paramètres!$A$1:$I$88,3,0)*0.475*44/12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267</v>
      </c>
      <c r="L43" s="13">
        <f>VLOOKUP(A43,'Données projet'!$A$35:$I$55,9,0)</f>
        <v>14.6</v>
      </c>
      <c r="M43" s="13">
        <f t="array" ref="M43">INDEX(L:L,MIN(IF(ISNUMBER(L43:L239),ROW(L43:L239),"")))</f>
        <v>14.6</v>
      </c>
      <c r="N43" s="14">
        <f>IF('Données projet'!$A$36&gt;35,N42+M43-V42,IF(A43&lt;'Données projet'!$A$36,$K$205^A43,IF(A43='Données projet'!$A$36,'Données projet'!$B$36,N42+M43-V42)))</f>
        <v>266.99999999999994</v>
      </c>
      <c r="O43" s="14">
        <f>N43*VLOOKUP('Données projet'!$B$9,Paramètres!$A$1:$I$88,3,0)*VLOOKUP('Données projet'!$B$9,Paramètres!$A$1:$I$88,5,0)</f>
        <v>124.95599999999997</v>
      </c>
      <c r="P43" s="14">
        <f t="shared" si="33"/>
        <v>32.828168295117194</v>
      </c>
      <c r="Q43" s="22">
        <f t="shared" si="53"/>
        <v>274.80742644732908</v>
      </c>
      <c r="R43" s="62">
        <f t="shared" si="0"/>
        <v>568.14075978066239</v>
      </c>
      <c r="S43" s="62">
        <f ca="1">AVERAGE(OFFSET($R$3,0,0,'Données projet'!$E$9+1,1))-AVERAGE(OFFSET($H$3,0,0,'Données projet'!$E$9+1,1))</f>
        <v>399.92909819003523</v>
      </c>
      <c r="T43" s="62">
        <f t="shared" si="34"/>
        <v>163.7053537268381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91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projet'!$B$10,Paramètres!$A$1:$I$88,3,0)*VLOOKUP('Données projet'!$B$10,Paramètres!$A$1:$I$88,5,0)</f>
        <v>158.34000000000003</v>
      </c>
      <c r="AK43" s="14">
        <f t="shared" si="35"/>
        <v>40.467870812652819</v>
      </c>
      <c r="AL43" s="22">
        <f t="shared" si="4"/>
        <v>346.25704166537042</v>
      </c>
      <c r="AM43" s="62">
        <f t="shared" si="5"/>
        <v>639.59037499870374</v>
      </c>
      <c r="AN43" s="62">
        <f ca="1">AVERAGE(OFFSET($AM$3,0,0,'Données projet'!$E$10+1,1))-AVERAGE(OFFSET($H$3,0,0,'Données projet'!$E$10+1,1))</f>
        <v>510.56580450928806</v>
      </c>
      <c r="AO43" s="62">
        <f t="shared" si="36"/>
        <v>278.21741231699929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206</v>
      </c>
      <c r="BB43" s="13">
        <f>VLOOKUP(A43,'Données projet'!$A$87:$I$107,9,0)</f>
        <v>9</v>
      </c>
      <c r="BC43" s="13">
        <f t="array" ref="BC43">INDEX(BB:BB,MIN(IF(ISNUMBER(BB43:BB239),ROW(BB43:BB239),"")))</f>
        <v>9</v>
      </c>
      <c r="BD43" s="13">
        <f>IF('Données projet'!$A$88&gt;35,BD42+BC43-BL42,IF(A43&lt;'Données projet'!$A$88,$BA$205^A43,IF(A43='Données projet'!$A$88,'Données projet'!$B$88,BD42+BC43-BL42)))</f>
        <v>205.99999999999997</v>
      </c>
      <c r="BE43" s="14">
        <f>BD43*VLOOKUP('Données projet'!$B$11,Paramètres!$A$1:$I$88,3,0)*VLOOKUP('Données projet'!$B$11,Paramètres!$A$1:$I$88,5,0)</f>
        <v>196.02959999999999</v>
      </c>
      <c r="BF43" s="14">
        <f t="shared" si="37"/>
        <v>48.870578290511943</v>
      </c>
      <c r="BG43" s="22">
        <f t="shared" si="7"/>
        <v>426.53447718930823</v>
      </c>
      <c r="BH43" s="62">
        <f t="shared" si="8"/>
        <v>719.86781052264155</v>
      </c>
      <c r="BI43" s="62">
        <f ca="1">AVERAGE(OFFSET($BH$3,0,0,'Données projet'!$E$11+1,1))-AVERAGE(OFFSET($H$3,0,0,'Données projet'!$E$11+1,1))</f>
        <v>525.51330555662139</v>
      </c>
      <c r="BJ43" s="62">
        <f t="shared" si="38"/>
        <v>357.72390083433635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13.544857142857142</v>
      </c>
      <c r="BY43" s="13">
        <f>IF('Données projet'!$A$114&gt;35,BY42+BX43-CG42,IF(A43&lt;'Données projet'!$A$114,$BV$205^A43,IF(A43='Données projet'!$A$114,'Données projet'!$B$114,BY42+BX43-CG42)))</f>
        <v>346.52057142857154</v>
      </c>
      <c r="BZ43" s="14">
        <f>BY43*VLOOKUP('Données projet'!$B$12,Paramètres!$A$1:$I$88,3,0)*VLOOKUP('Données projet'!$B$12,Paramètres!$A$1:$I$88,5,0)</f>
        <v>207.21930171428579</v>
      </c>
      <c r="CA43" s="14">
        <f t="shared" si="39"/>
        <v>51.32746254986548</v>
      </c>
      <c r="CB43" s="22">
        <f t="shared" si="10"/>
        <v>450.30228109339674</v>
      </c>
      <c r="CC43" s="62">
        <f t="shared" si="11"/>
        <v>743.63561442673006</v>
      </c>
      <c r="CD43" s="62">
        <f ca="1">AVERAGE(OFFSET($CC$3,0,0,'Données projet'!$E$12+1,1))-AVERAGE(OFFSET($H$3,0,0,'Données projet'!$E$12+1,1))</f>
        <v>227.46616726010473</v>
      </c>
      <c r="CE43" s="62">
        <f t="shared" si="40"/>
        <v>314.188568589113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5.8077729792699158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0.32540705152403437</v>
      </c>
      <c r="CN43" s="24">
        <f t="shared" si="12"/>
        <v>6.1331800307939499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223</v>
      </c>
      <c r="CR43" s="13">
        <f>VLOOKUP(A43,'Données projet'!$A$139:$I$159,9,0)</f>
        <v>14.4</v>
      </c>
      <c r="CS43" s="13">
        <f t="array" ref="CS43">INDEX(CR:CR,MIN(IF(ISNUMBER(CR43:CR239),ROW(CR43:CR239),"")))</f>
        <v>14.4</v>
      </c>
      <c r="CT43" s="13">
        <f>IF('Données projet'!$A$140&gt;35,CT42+CS43-DB42,IF(A43&lt;'Données projet'!$A$140,$CQ$205^A43,IF(A43='Données projet'!$A$140,'Données projet'!$B$140,CT42+CS43-DB42)))</f>
        <v>222.99999999999997</v>
      </c>
      <c r="CU43" s="18">
        <f>CT43*VLOOKUP('Données projet'!$B$13,Paramètres!$A$1:$I$88,3,0)*VLOOKUP('Données projet'!$B$13,Paramètres!$A$1:$I$88,5,0)</f>
        <v>133.35400000000001</v>
      </c>
      <c r="CV43" s="14">
        <f t="shared" si="41"/>
        <v>34.770217553947298</v>
      </c>
      <c r="CW43" s="22">
        <f t="shared" si="13"/>
        <v>292.81634557312492</v>
      </c>
      <c r="CX43" s="62">
        <f t="shared" si="14"/>
        <v>586.14967890645823</v>
      </c>
      <c r="CY43" s="62">
        <f ca="1">AVERAGE(OFFSET($CX$3,0,0,'Données projet'!$E$13+1,1))-AVERAGE(OFFSET($H$3,0,0,'Données projet'!$E$13+1,1))</f>
        <v>356.46794174556311</v>
      </c>
      <c r="CZ43" s="62">
        <f t="shared" si="42"/>
        <v>248.47107558211923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0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19.571428571428573</v>
      </c>
      <c r="DO43" s="13">
        <f>IF('Données projet'!$A$166&gt;35,DO42+DN43-DW42,IF(A43&lt;'Données projet'!$A$166,$DL$205^A43,IF(A43='Données projet'!$A$166,'Données projet'!$B$166,DO42+DN43-DW42)))</f>
        <v>379.85714285714266</v>
      </c>
      <c r="DP43" s="18">
        <f>DO43*VLOOKUP('Données projet'!$B$14,Paramètres!$A$1:$I$88,3,0)*VLOOKUP('Données projet'!$B$14,Paramètres!$A$1:$I$88,5,0)</f>
        <v>212.34014285714278</v>
      </c>
      <c r="DQ43" s="14">
        <f t="shared" si="43"/>
        <v>52.446635499473253</v>
      </c>
      <c r="DR43" s="22">
        <f t="shared" si="16"/>
        <v>461.17030563777286</v>
      </c>
      <c r="DS43" s="62">
        <f t="shared" si="17"/>
        <v>754.50363897110617</v>
      </c>
      <c r="DT43" s="62">
        <f ca="1">AVERAGE(OFFSET($DS$3,0,0,'Données projet'!$E$14+1,1))-AVERAGE(OFFSET($H$3,0,0,'Données projet'!$E$14+1,1))</f>
        <v>397.04445188588369</v>
      </c>
      <c r="DU43" s="62">
        <f t="shared" si="44"/>
        <v>350.01856672839466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4.1162575399474095</v>
      </c>
      <c r="EB43" s="23">
        <f>EXP(-LN(2)/25)*EB42+(1-EXP(-LN(2)/25))/(LN(2)/25)*Calculateur!DW43*Calculateur!DY43*VLOOKUP('Données projet'!$B$14,Paramètres!$A$1:$I$88,3,0)*0.475*44/12</f>
        <v>0</v>
      </c>
      <c r="EC43" s="23">
        <f>EXP(-LN(2)/2)*EC42+(1-EXP(-LN(2)/2))/(LN(2)/2)*DW43*DZ43*VLOOKUP('Données projet'!$B$14,Paramètres!$A$1:$I$88,3,0)*0.475*44/12</f>
        <v>0.5063342834538358</v>
      </c>
      <c r="ED43" s="24">
        <f t="shared" si="18"/>
        <v>4.6225918234012457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109.4</v>
      </c>
      <c r="EH43" s="13">
        <f>VLOOKUP(A43,'Données projet'!$A$191:$I$211,9,0)</f>
        <v>5.74</v>
      </c>
      <c r="EI43" s="13">
        <f t="array" ref="EI43">INDEX(EH:EH,MIN(IF(ISNUMBER(EH43:EH239),ROW(EH43:EH239),"")))</f>
        <v>5.74</v>
      </c>
      <c r="EJ43" s="13">
        <f>IF('Données projet'!$A$192&gt;35,EJ42+EI43-ER42,IF(A43&lt;'Données projet'!$A$192,$EG$205^A43,IF(A43='Données projet'!$A$192,'Données projet'!$B$192,EJ42+EI43-ER42)))</f>
        <v>109.39999999999996</v>
      </c>
      <c r="EK43" s="18">
        <f>EJ43*VLOOKUP('Données projet'!$B$15,Paramètres!$A$1:$I$88,3,0)*VLOOKUP('Données projet'!$B$15,Paramètres!$A$1:$I$88,5,0)</f>
        <v>95.57183999999998</v>
      </c>
      <c r="EL43" s="14">
        <f t="shared" si="45"/>
        <v>25.904284808769916</v>
      </c>
      <c r="EM43" s="22">
        <f t="shared" si="19"/>
        <v>211.57091737527423</v>
      </c>
      <c r="EN43" s="62">
        <f t="shared" si="20"/>
        <v>504.90425070860755</v>
      </c>
      <c r="EO43" s="62">
        <f ca="1">AVERAGE(OFFSET($EN$3,0,0,'Données projet'!$E$15+1,1))-AVERAGE(OFFSET($H$3,0,0,'Données projet'!$E$15+1,1))</f>
        <v>202.5548390231225</v>
      </c>
      <c r="EP43" s="62">
        <f t="shared" si="46"/>
        <v>184.62184077734179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projet'!$B$15,Paramètres!$A$1:$I$88,3,0)*0.475*44/12</f>
        <v>0</v>
      </c>
      <c r="EW43" s="23">
        <f>EXP(-LN(2)/25)*EW42+(1-EXP(-LN(2)/25))/(LN(2)/25)*Calculateur!ER43*Calculateur!ET43*VLOOKUP('Données projet'!$B$15,Paramètres!$A$1:$I$88,3,0)*0.475*44/12</f>
        <v>0</v>
      </c>
      <c r="EX43" s="23">
        <f>EXP(-LN(2)/2)*EX42+(1-EXP(-LN(2)/2))/(LN(2)/2)*ER43*EU43*VLOOKUP('Données projet'!$B$15,Paramètres!$A$1:$I$88,3,0)*0.475*44/12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137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137.00000000000003</v>
      </c>
      <c r="FF43" s="18">
        <f>FE43*VLOOKUP('Données projet'!$B$16,Paramètres!$A$1:$I$88,3,0)*VLOOKUP('Données projet'!$B$16,Paramètres!$A$1:$I$88,5,0)</f>
        <v>132.50640000000001</v>
      </c>
      <c r="FG43" s="14">
        <f t="shared" si="47"/>
        <v>34.574869530248939</v>
      </c>
      <c r="FH43" s="22">
        <f t="shared" si="22"/>
        <v>290.99987776518356</v>
      </c>
      <c r="FI43" s="62">
        <f t="shared" si="23"/>
        <v>584.33321109851681</v>
      </c>
      <c r="FJ43" s="62">
        <f ca="1">AVERAGE(OFFSET($FI$3,0,0,'Données projet'!$E$16+1,1))-AVERAGE(OFFSET($H$3,0,0,'Données projet'!$E$16+1,1))</f>
        <v>456.96274622094955</v>
      </c>
      <c r="FK43" s="62">
        <f t="shared" si="48"/>
        <v>244.45149244446094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projet'!$B$16,Paramètres!$A$1:$I$88,3,0)*0.475*44/12</f>
        <v>0</v>
      </c>
      <c r="FR43" s="23">
        <f>EXP(-LN(2)/25)*FR42+(1-EXP(-LN(2)/25))/(LN(2)/25)*Calculateur!FM43*Calculateur!FO43*VLOOKUP('Données projet'!$B$16,Paramètres!$A$1:$I$88,3,0)*0.475*44/12</f>
        <v>0</v>
      </c>
      <c r="FS43" s="23">
        <f>EXP(-LN(2)/2)*FS42+(1-EXP(-LN(2)/2))/(LN(2)/2)*FM43*FP43*VLOOKUP('Données projet'!$B$16,Paramètres!$A$1:$I$88,3,0)*0.475*44/12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137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IF('Données projet'!$A$244&gt;35,FZ42+FY43-GH42,IF(A43&lt;'Données projet'!$A$244,$FW$205^A43,IF(A43='Données projet'!$A$244,'Données projet'!$B$244,FZ42+FY43-GH42)))</f>
        <v>137.00000000000003</v>
      </c>
      <c r="GA43" s="18">
        <f>FZ43*VLOOKUP('Données projet'!$B$17,Paramètres!$A$1:$I$88,3,0)*VLOOKUP('Données projet'!$B$17,Paramètres!$A$1:$I$88,5,0)</f>
        <v>147.46680000000003</v>
      </c>
      <c r="GB43" s="14">
        <f t="shared" si="49"/>
        <v>38.002337418636309</v>
      </c>
      <c r="GC43" s="22">
        <f t="shared" si="25"/>
        <v>323.02541433745824</v>
      </c>
      <c r="GD43" s="62">
        <f t="shared" si="26"/>
        <v>616.35874767079156</v>
      </c>
      <c r="GE43" s="62">
        <f ca="1">AVERAGE(OFFSET($GD$3,0,0,'Données projet'!$E$17+1,1))-AVERAGE(OFFSET($H$3,0,0,'Données projet'!$E$17+1,1))</f>
        <v>503.69304261527651</v>
      </c>
      <c r="GF43" s="62">
        <f t="shared" si="50"/>
        <v>267.2998309535638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projet'!$B$17,Paramètres!$A$1:$I$88,3,0)*0.475*44/12</f>
        <v>0</v>
      </c>
      <c r="GM43" s="23">
        <f>EXP(-LN(2)/25)*GM42+(1-EXP(-LN(2)/25))/(LN(2)/25)*Calculateur!GH43*Calculateur!GJ43*VLOOKUP('Données projet'!$B$17,Paramètres!$A$1:$I$88,3,0)*0.475*44/12</f>
        <v>0</v>
      </c>
      <c r="GN43" s="23">
        <f>EXP(-LN(2)/2)*GN42+(1-EXP(-LN(2)/2))/(LN(2)/2)*GH43*GK43*VLOOKUP('Données projet'!$B$17,Paramètres!$A$1:$I$88,3,0)*0.475*44/12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175</v>
      </c>
      <c r="GS43" s="13">
        <f>VLOOKUP(A43,'Données projet'!$A$269:$I$289,9,0)</f>
        <v>11.2</v>
      </c>
      <c r="GT43" s="13">
        <f t="array" ref="GT43">INDEX(GS:GS,MIN(IF(ISNUMBER(GS43:GS239),ROW(GS43:GS239),"")))</f>
        <v>11.2</v>
      </c>
      <c r="GU43" s="13">
        <f>IF('Données projet'!$A$270&gt;35,GU42+GT43-HC42,IF(A43&lt;'Données projet'!$A$270,$GR$205^A43,IF(A43='Données projet'!$A$270,'Données projet'!$B$270,GU42+GT43-HC42)))</f>
        <v>175.00000000000003</v>
      </c>
      <c r="GV43" s="18">
        <f>GU43*VLOOKUP('Données projet'!$B$18,Paramètres!$A$1:$I$88,3,0)*VLOOKUP('Données projet'!$B$18,Paramètres!$A$1:$I$88,5,0)</f>
        <v>182.91000000000005</v>
      </c>
      <c r="GW43" s="14">
        <f t="shared" si="51"/>
        <v>45.969002027971285</v>
      </c>
      <c r="GX43" s="22">
        <f t="shared" si="28"/>
        <v>398.63092853205012</v>
      </c>
      <c r="GY43" s="62">
        <f t="shared" si="29"/>
        <v>691.96426186538338</v>
      </c>
      <c r="GZ43" s="62">
        <f ca="1">AVERAGE(OFFSET($GY$3,0,0,'Données projet'!$E$18+1,1))-AVERAGE(OFFSET($H$3,0,0,'Données projet'!$E$18+1,1))</f>
        <v>582.89879210197682</v>
      </c>
      <c r="HA43" s="62">
        <f t="shared" si="52"/>
        <v>314.72094983133326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projet'!$B$18,Paramètres!$A$1:$I$88,3,0)*0.475*44/12</f>
        <v>0</v>
      </c>
      <c r="HH43" s="23">
        <f>EXP(-LN(2)/25)*HH42+(1-EXP(-LN(2)/25))/(LN(2)/25)*Calculateur!HC43*Calculateur!HE43*VLOOKUP('Données projet'!$B$18,Paramètres!$A$1:$I$88,3,0)*0.475*44/12</f>
        <v>0</v>
      </c>
      <c r="HI43" s="23">
        <f>EXP(-LN(2)/2)*HI42+(1-EXP(-LN(2)/2))/(LN(2)/2)*HC43*HF43*VLOOKUP('Données projet'!$B$18,Paramètres!$A$1:$I$88,3,0)*0.475*44/12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20.399999999999999</v>
      </c>
      <c r="N44" s="14">
        <f>IF('Données projet'!$A$36&gt;35,N43+M44-V43,IF(A44&lt;'Données projet'!$A$36,$K$205^A44,IF(A44='Données projet'!$A$36,'Données projet'!$B$36,N43+M44-V43)))</f>
        <v>196.39999999999992</v>
      </c>
      <c r="O44" s="14">
        <f>N44*VLOOKUP('Données projet'!$B$9,Paramètres!$A$1:$I$88,3,0)*VLOOKUP('Données projet'!$B$9,Paramètres!$A$1:$I$88,5,0)</f>
        <v>91.915199999999956</v>
      </c>
      <c r="P44" s="14">
        <f t="shared" si="33"/>
        <v>25.026557534351902</v>
      </c>
      <c r="Q44" s="22">
        <f t="shared" si="53"/>
        <v>203.67356103899616</v>
      </c>
      <c r="R44" s="62">
        <f t="shared" si="0"/>
        <v>497.0068943723295</v>
      </c>
      <c r="S44" s="62">
        <f ca="1">AVERAGE(OFFSET($R$3,0,0,'Données projet'!$E$9+1,1))-AVERAGE(OFFSET($H$3,0,0,'Données projet'!$E$9+1,1))</f>
        <v>399.92909819003523</v>
      </c>
      <c r="T44" s="62">
        <f t="shared" si="34"/>
        <v>163.7053537268381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projet'!$B$10,Paramètres!$A$1:$I$88,3,0)*VLOOKUP('Données projet'!$B$10,Paramètres!$A$1:$I$88,5,0)</f>
        <v>168.65472000000003</v>
      </c>
      <c r="AK44" s="14">
        <f t="shared" si="35"/>
        <v>42.78858644059585</v>
      </c>
      <c r="AL44" s="22">
        <f t="shared" si="4"/>
        <v>368.2637587173711</v>
      </c>
      <c r="AM44" s="62">
        <f t="shared" si="5"/>
        <v>661.59709205070442</v>
      </c>
      <c r="AN44" s="62">
        <f ca="1">AVERAGE(OFFSET($AM$3,0,0,'Données projet'!$E$10+1,1))-AVERAGE(OFFSET($H$3,0,0,'Données projet'!$E$10+1,1))</f>
        <v>510.56580450928806</v>
      </c>
      <c r="AO44" s="62">
        <f t="shared" si="36"/>
        <v>278.21741231699929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8.8000000000000007</v>
      </c>
      <c r="BD44" s="13">
        <f>IF('Données projet'!$A$88&gt;35,BD43+BC44-BL43,IF(A44&lt;'Données projet'!$A$88,$BA$205^A44,IF(A44='Données projet'!$A$88,'Données projet'!$B$88,BD43+BC44-BL43)))</f>
        <v>214.79999999999998</v>
      </c>
      <c r="BE44" s="14">
        <f>BD44*VLOOKUP('Données projet'!$B$11,Paramètres!$A$1:$I$88,3,0)*VLOOKUP('Données projet'!$B$11,Paramètres!$A$1:$I$88,5,0)</f>
        <v>204.40367999999998</v>
      </c>
      <c r="BF44" s="14">
        <f t="shared" si="37"/>
        <v>50.710733146553501</v>
      </c>
      <c r="BG44" s="22">
        <f t="shared" si="7"/>
        <v>444.32426956358063</v>
      </c>
      <c r="BH44" s="62">
        <f t="shared" si="8"/>
        <v>737.65760289691389</v>
      </c>
      <c r="BI44" s="62">
        <f ca="1">AVERAGE(OFFSET($BH$3,0,0,'Données projet'!$E$11+1,1))-AVERAGE(OFFSET($H$3,0,0,'Données projet'!$E$11+1,1))</f>
        <v>525.51330555662139</v>
      </c>
      <c r="BJ44" s="62">
        <f t="shared" si="38"/>
        <v>357.72390083433635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13.544857142857142</v>
      </c>
      <c r="BY44" s="13">
        <f>IF('Données projet'!$A$114&gt;35,BY43+BX44-CG43,IF(A44&lt;'Données projet'!$A$114,$BV$205^A44,IF(A44='Données projet'!$A$114,'Données projet'!$B$114,BY43+BX44-CG43)))</f>
        <v>360.0654285714287</v>
      </c>
      <c r="BZ44" s="14">
        <f>BY44*VLOOKUP('Données projet'!$B$12,Paramètres!$A$1:$I$88,3,0)*VLOOKUP('Données projet'!$B$12,Paramètres!$A$1:$I$88,5,0)</f>
        <v>215.31912628571439</v>
      </c>
      <c r="CA44" s="14">
        <f t="shared" si="39"/>
        <v>53.096251050690682</v>
      </c>
      <c r="CB44" s="22">
        <f t="shared" si="10"/>
        <v>467.49011552757219</v>
      </c>
      <c r="CC44" s="62">
        <f t="shared" si="11"/>
        <v>760.8234488609055</v>
      </c>
      <c r="CD44" s="62">
        <f ca="1">AVERAGE(OFFSET($CC$3,0,0,'Données projet'!$E$12+1,1))-AVERAGE(OFFSET($H$3,0,0,'Données projet'!$E$12+1,1))</f>
        <v>227.46616726010473</v>
      </c>
      <c r="CE44" s="62">
        <f t="shared" si="40"/>
        <v>314.188568589113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5.6938860935381683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0.23009753277856498</v>
      </c>
      <c r="CN44" s="24">
        <f t="shared" si="12"/>
        <v>5.9239836263167334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16.600000000000001</v>
      </c>
      <c r="CT44" s="13">
        <f>IF('Données projet'!$A$140&gt;35,CT43+CS44-DB43,IF(A44&lt;'Données projet'!$A$140,$CQ$205^A44,IF(A44='Données projet'!$A$140,'Données projet'!$B$140,CT43+CS44-DB43)))</f>
        <v>239.59999999999997</v>
      </c>
      <c r="CU44" s="18">
        <f>CT44*VLOOKUP('Données projet'!$B$13,Paramètres!$A$1:$I$88,3,0)*VLOOKUP('Données projet'!$B$13,Paramètres!$A$1:$I$88,5,0)</f>
        <v>143.2808</v>
      </c>
      <c r="CV44" s="14">
        <f t="shared" si="41"/>
        <v>37.047574465948948</v>
      </c>
      <c r="CW44" s="22">
        <f t="shared" si="13"/>
        <v>314.07191886152776</v>
      </c>
      <c r="CX44" s="62">
        <f t="shared" si="14"/>
        <v>607.40525219486108</v>
      </c>
      <c r="CY44" s="62">
        <f ca="1">AVERAGE(OFFSET($CX$3,0,0,'Données projet'!$E$13+1,1))-AVERAGE(OFFSET($H$3,0,0,'Données projet'!$E$13+1,1))</f>
        <v>356.46794174556311</v>
      </c>
      <c r="CZ44" s="62">
        <f t="shared" si="42"/>
        <v>248.47107558211923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0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19.571428571428573</v>
      </c>
      <c r="DO44" s="13">
        <f>IF('Données projet'!$A$166&gt;35,DO43+DN44-DW43,IF(A44&lt;'Données projet'!$A$166,$DL$205^A44,IF(A44='Données projet'!$A$166,'Données projet'!$B$166,DO43+DN44-DW43)))</f>
        <v>399.42857142857122</v>
      </c>
      <c r="DP44" s="18">
        <f>DO44*VLOOKUP('Données projet'!$B$14,Paramètres!$A$1:$I$88,3,0)*VLOOKUP('Données projet'!$B$14,Paramètres!$A$1:$I$88,5,0)</f>
        <v>223.28057142857133</v>
      </c>
      <c r="DQ44" s="14">
        <f t="shared" si="43"/>
        <v>54.827286320639246</v>
      </c>
      <c r="DR44" s="22">
        <f t="shared" si="16"/>
        <v>484.37118557987498</v>
      </c>
      <c r="DS44" s="62">
        <f t="shared" si="17"/>
        <v>777.70451891320829</v>
      </c>
      <c r="DT44" s="62">
        <f ca="1">AVERAGE(OFFSET($DS$3,0,0,'Données projet'!$E$14+1,1))-AVERAGE(OFFSET($H$3,0,0,'Données projet'!$E$14+1,1))</f>
        <v>397.04445188588369</v>
      </c>
      <c r="DU44" s="62">
        <f t="shared" si="44"/>
        <v>350.01856672839466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4.0355402402582321</v>
      </c>
      <c r="EB44" s="23">
        <f>EXP(-LN(2)/25)*EB43+(1-EXP(-LN(2)/25))/(LN(2)/25)*Calculateur!DW44*Calculateur!DY44*VLOOKUP('Données projet'!$B$14,Paramètres!$A$1:$I$88,3,0)*0.475*44/12</f>
        <v>0</v>
      </c>
      <c r="EC44" s="23">
        <f>EXP(-LN(2)/2)*EC43+(1-EXP(-LN(2)/2))/(LN(2)/2)*DW44*DZ44*VLOOKUP('Données projet'!$B$14,Paramètres!$A$1:$I$88,3,0)*0.475*44/12</f>
        <v>0.3580324053774388</v>
      </c>
      <c r="ED44" s="24">
        <f t="shared" si="18"/>
        <v>4.393572645635671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4.8599999999999968</v>
      </c>
      <c r="EJ44" s="13">
        <f>IF('Données projet'!$A$192&gt;35,EJ43+EI44-ER43,IF(A44&lt;'Données projet'!$A$192,$EG$205^A44,IF(A44='Données projet'!$A$192,'Données projet'!$B$192,EJ43+EI44-ER43)))</f>
        <v>114.25999999999996</v>
      </c>
      <c r="EK44" s="18">
        <f>EJ44*VLOOKUP('Données projet'!$B$15,Paramètres!$A$1:$I$88,3,0)*VLOOKUP('Données projet'!$B$15,Paramètres!$A$1:$I$88,5,0)</f>
        <v>99.817535999999976</v>
      </c>
      <c r="EL44" s="14">
        <f t="shared" si="45"/>
        <v>26.918523397124979</v>
      </c>
      <c r="EM44" s="22">
        <f t="shared" si="19"/>
        <v>220.73197011665931</v>
      </c>
      <c r="EN44" s="62">
        <f t="shared" si="20"/>
        <v>514.0653034499926</v>
      </c>
      <c r="EO44" s="62">
        <f ca="1">AVERAGE(OFFSET($EN$3,0,0,'Données projet'!$E$15+1,1))-AVERAGE(OFFSET($H$3,0,0,'Données projet'!$E$15+1,1))</f>
        <v>202.5548390231225</v>
      </c>
      <c r="EP44" s="62">
        <f t="shared" si="46"/>
        <v>184.62184077734179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projet'!$B$15,Paramètres!$A$1:$I$88,3,0)*0.475*44/12</f>
        <v>0</v>
      </c>
      <c r="EW44" s="23">
        <f>EXP(-LN(2)/25)*EW43+(1-EXP(-LN(2)/25))/(LN(2)/25)*Calculateur!ER44*Calculateur!ET44*VLOOKUP('Données projet'!$B$15,Paramètres!$A$1:$I$88,3,0)*0.475*44/12</f>
        <v>0</v>
      </c>
      <c r="EX44" s="23">
        <f>EXP(-LN(2)/2)*EX43+(1-EXP(-LN(2)/2))/(LN(2)/2)*ER44*EU44*VLOOKUP('Données projet'!$B$15,Paramètres!$A$1:$I$88,3,0)*0.475*44/12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145.40000000000003</v>
      </c>
      <c r="FF44" s="18">
        <f>FE44*VLOOKUP('Données projet'!$B$16,Paramètres!$A$1:$I$88,3,0)*VLOOKUP('Données projet'!$B$16,Paramètres!$A$1:$I$88,5,0)</f>
        <v>140.63088000000005</v>
      </c>
      <c r="FG44" s="14">
        <f t="shared" si="47"/>
        <v>36.441493403146445</v>
      </c>
      <c r="FH44" s="22">
        <f t="shared" si="22"/>
        <v>308.40105034381344</v>
      </c>
      <c r="FI44" s="62">
        <f t="shared" si="23"/>
        <v>601.73438367714675</v>
      </c>
      <c r="FJ44" s="62">
        <f ca="1">AVERAGE(OFFSET($FI$3,0,0,'Données projet'!$E$16+1,1))-AVERAGE(OFFSET($H$3,0,0,'Données projet'!$E$16+1,1))</f>
        <v>456.96274622094955</v>
      </c>
      <c r="FK44" s="62">
        <f t="shared" si="48"/>
        <v>244.45149244446094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projet'!$B$16,Paramètres!$A$1:$I$88,3,0)*0.475*44/12</f>
        <v>0</v>
      </c>
      <c r="FR44" s="23">
        <f>EXP(-LN(2)/25)*FR43+(1-EXP(-LN(2)/25))/(LN(2)/25)*Calculateur!FM44*Calculateur!FO44*VLOOKUP('Données projet'!$B$16,Paramètres!$A$1:$I$88,3,0)*0.475*44/12</f>
        <v>0</v>
      </c>
      <c r="FS44" s="23">
        <f>EXP(-LN(2)/2)*FS43+(1-EXP(-LN(2)/2))/(LN(2)/2)*FM44*FP44*VLOOKUP('Données projet'!$B$16,Paramètres!$A$1:$I$88,3,0)*0.475*44/12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IF('Données projet'!$A$244&gt;35,FZ43+FY44-GH43,IF(A44&lt;'Données projet'!$A$244,$FW$205^A44,IF(A44='Données projet'!$A$244,'Données projet'!$B$244,FZ43+FY44-GH43)))</f>
        <v>145.40000000000003</v>
      </c>
      <c r="GA44" s="18">
        <f>FZ44*VLOOKUP('Données projet'!$B$17,Paramètres!$A$1:$I$88,3,0)*VLOOKUP('Données projet'!$B$17,Paramètres!$A$1:$I$88,5,0)</f>
        <v>156.50856000000005</v>
      </c>
      <c r="GB44" s="14">
        <f t="shared" si="49"/>
        <v>40.054003013194027</v>
      </c>
      <c r="GC44" s="22">
        <f t="shared" si="25"/>
        <v>342.34646391464634</v>
      </c>
      <c r="GD44" s="62">
        <f t="shared" si="26"/>
        <v>635.67979724797965</v>
      </c>
      <c r="GE44" s="62">
        <f ca="1">AVERAGE(OFFSET($GD$3,0,0,'Données projet'!$E$17+1,1))-AVERAGE(OFFSET($H$3,0,0,'Données projet'!$E$17+1,1))</f>
        <v>503.69304261527651</v>
      </c>
      <c r="GF44" s="62">
        <f t="shared" si="50"/>
        <v>267.2998309535638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projet'!$B$17,Paramètres!$A$1:$I$88,3,0)*0.475*44/12</f>
        <v>0</v>
      </c>
      <c r="GM44" s="23">
        <f>EXP(-LN(2)/25)*GM43+(1-EXP(-LN(2)/25))/(LN(2)/25)*Calculateur!GH44*Calculateur!GJ44*VLOOKUP('Données projet'!$B$17,Paramètres!$A$1:$I$88,3,0)*0.475*44/12</f>
        <v>0</v>
      </c>
      <c r="GN44" s="23">
        <f>EXP(-LN(2)/2)*GN43+(1-EXP(-LN(2)/2))/(LN(2)/2)*GH44*GK44*VLOOKUP('Données projet'!$B$17,Paramètres!$A$1:$I$88,3,0)*0.475*44/12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11.4</v>
      </c>
      <c r="GU44" s="13">
        <f>IF('Données projet'!$A$270&gt;35,GU43+GT44-HC43,IF(A44&lt;'Données projet'!$A$270,$GR$205^A44,IF(A44='Données projet'!$A$270,'Données projet'!$B$270,GU43+GT44-HC43)))</f>
        <v>186.40000000000003</v>
      </c>
      <c r="GV44" s="18">
        <f>GU44*VLOOKUP('Données projet'!$B$18,Paramètres!$A$1:$I$88,3,0)*VLOOKUP('Données projet'!$B$18,Paramètres!$A$1:$I$88,5,0)</f>
        <v>194.82528000000005</v>
      </c>
      <c r="GW44" s="14">
        <f t="shared" si="51"/>
        <v>48.605191658533819</v>
      </c>
      <c r="GX44" s="22">
        <f t="shared" si="28"/>
        <v>423.97473813861308</v>
      </c>
      <c r="GY44" s="62">
        <f t="shared" si="29"/>
        <v>717.30807147194639</v>
      </c>
      <c r="GZ44" s="62">
        <f ca="1">AVERAGE(OFFSET($GY$3,0,0,'Données projet'!$E$18+1,1))-AVERAGE(OFFSET($H$3,0,0,'Données projet'!$E$18+1,1))</f>
        <v>582.89879210197682</v>
      </c>
      <c r="HA44" s="62">
        <f t="shared" si="52"/>
        <v>314.72094983133326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projet'!$B$18,Paramètres!$A$1:$I$88,3,0)*0.475*44/12</f>
        <v>0</v>
      </c>
      <c r="HH44" s="23">
        <f>EXP(-LN(2)/25)*HH43+(1-EXP(-LN(2)/25))/(LN(2)/25)*Calculateur!HC44*Calculateur!HE44*VLOOKUP('Données projet'!$B$18,Paramètres!$A$1:$I$88,3,0)*0.475*44/12</f>
        <v>0</v>
      </c>
      <c r="HI44" s="23">
        <f>EXP(-LN(2)/2)*HI43+(1-EXP(-LN(2)/2))/(LN(2)/2)*HC44*HF44*VLOOKUP('Données projet'!$B$18,Paramètres!$A$1:$I$88,3,0)*0.475*44/12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20.399999999999999</v>
      </c>
      <c r="N45" s="14">
        <f>IF('Données projet'!$A$36&gt;35,N44+M45-V44,IF(A45&lt;'Données projet'!$A$36,$K$205^A45,IF(A45='Données projet'!$A$36,'Données projet'!$B$36,N44+M45-V44)))</f>
        <v>216.79999999999993</v>
      </c>
      <c r="O45" s="14">
        <f>N45*VLOOKUP('Données projet'!$B$9,Paramètres!$A$1:$I$88,3,0)*VLOOKUP('Données projet'!$B$9,Paramètres!$A$1:$I$88,5,0)</f>
        <v>101.46239999999997</v>
      </c>
      <c r="P45" s="14">
        <f t="shared" si="33"/>
        <v>27.310099257465147</v>
      </c>
      <c r="Q45" s="22">
        <f t="shared" si="53"/>
        <v>224.27876954008505</v>
      </c>
      <c r="R45" s="62">
        <f t="shared" si="0"/>
        <v>517.61210287341839</v>
      </c>
      <c r="S45" s="62">
        <f ca="1">AVERAGE(OFFSET($R$3,0,0,'Données projet'!$E$9+1,1))-AVERAGE(OFFSET($H$3,0,0,'Données projet'!$E$9+1,1))</f>
        <v>399.92909819003523</v>
      </c>
      <c r="T45" s="62">
        <f t="shared" si="34"/>
        <v>163.7053537268381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projet'!$B$10,Paramètres!$A$1:$I$88,3,0)*VLOOKUP('Données projet'!$B$10,Paramètres!$A$1:$I$88,5,0)</f>
        <v>178.96944000000002</v>
      </c>
      <c r="AK45" s="14">
        <f t="shared" si="35"/>
        <v>45.092828990632619</v>
      </c>
      <c r="AL45" s="22">
        <f t="shared" si="4"/>
        <v>390.24178515868516</v>
      </c>
      <c r="AM45" s="62">
        <f t="shared" si="5"/>
        <v>683.57511849201842</v>
      </c>
      <c r="AN45" s="62">
        <f ca="1">AVERAGE(OFFSET($AM$3,0,0,'Données projet'!$E$10+1,1))-AVERAGE(OFFSET($H$3,0,0,'Données projet'!$E$10+1,1))</f>
        <v>510.56580450928806</v>
      </c>
      <c r="AO45" s="62">
        <f t="shared" si="36"/>
        <v>278.21741231699929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8.8000000000000007</v>
      </c>
      <c r="BD45" s="13">
        <f>IF('Données projet'!$A$88&gt;35,BD44+BC45-BL44,IF(A45&lt;'Données projet'!$A$88,$BA$205^A45,IF(A45='Données projet'!$A$88,'Données projet'!$B$88,BD44+BC45-BL44)))</f>
        <v>223.6</v>
      </c>
      <c r="BE45" s="14">
        <f>BD45*VLOOKUP('Données projet'!$B$11,Paramètres!$A$1:$I$88,3,0)*VLOOKUP('Données projet'!$B$11,Paramètres!$A$1:$I$88,5,0)</f>
        <v>212.77775999999997</v>
      </c>
      <c r="BF45" s="14">
        <f t="shared" si="37"/>
        <v>52.542131131270303</v>
      </c>
      <c r="BG45" s="22">
        <f t="shared" si="7"/>
        <v>462.09881038696238</v>
      </c>
      <c r="BH45" s="62">
        <f t="shared" si="8"/>
        <v>755.4321437202957</v>
      </c>
      <c r="BI45" s="62">
        <f ca="1">AVERAGE(OFFSET($BH$3,0,0,'Données projet'!$E$11+1,1))-AVERAGE(OFFSET($H$3,0,0,'Données projet'!$E$11+1,1))</f>
        <v>525.51330555662139</v>
      </c>
      <c r="BJ45" s="62">
        <f t="shared" si="38"/>
        <v>357.72390083433635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13.544857142857142</v>
      </c>
      <c r="BY45" s="13">
        <f>IF('Données projet'!$A$114&gt;35,BY44+BX45-CG44,IF(A45&lt;'Données projet'!$A$114,$BV$205^A45,IF(A45='Données projet'!$A$114,'Données projet'!$B$114,BY44+BX45-CG44)))</f>
        <v>373.61028571428585</v>
      </c>
      <c r="BZ45" s="14">
        <f>BY45*VLOOKUP('Données projet'!$B$12,Paramètres!$A$1:$I$88,3,0)*VLOOKUP('Données projet'!$B$12,Paramètres!$A$1:$I$88,5,0)</f>
        <v>223.41895085714296</v>
      </c>
      <c r="CA45" s="14">
        <f t="shared" si="39"/>
        <v>54.857309549343888</v>
      </c>
      <c r="CB45" s="22">
        <f t="shared" si="10"/>
        <v>484.66448687463122</v>
      </c>
      <c r="CC45" s="62">
        <f t="shared" si="11"/>
        <v>777.99782020796454</v>
      </c>
      <c r="CD45" s="62">
        <f ca="1">AVERAGE(OFFSET($CC$3,0,0,'Données projet'!$E$12+1,1))-AVERAGE(OFFSET($H$3,0,0,'Données projet'!$E$12+1,1))</f>
        <v>227.46616726010473</v>
      </c>
      <c r="CE45" s="62">
        <f t="shared" si="40"/>
        <v>314.188568589113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5.582232460171479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0.16270352576201721</v>
      </c>
      <c r="CN45" s="24">
        <f t="shared" si="12"/>
        <v>5.7449359859334965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16.600000000000001</v>
      </c>
      <c r="CT45" s="13">
        <f>IF('Données projet'!$A$140&gt;35,CT44+CS45-DB44,IF(A45&lt;'Données projet'!$A$140,$CQ$205^A45,IF(A45='Données projet'!$A$140,'Données projet'!$B$140,CT44+CS45-DB44)))</f>
        <v>256.2</v>
      </c>
      <c r="CU45" s="18">
        <f>CT45*VLOOKUP('Données projet'!$B$13,Paramètres!$A$1:$I$88,3,0)*VLOOKUP('Données projet'!$B$13,Paramètres!$A$1:$I$88,5,0)</f>
        <v>153.20760000000001</v>
      </c>
      <c r="CV45" s="14">
        <f t="shared" si="41"/>
        <v>39.306624169832133</v>
      </c>
      <c r="CW45" s="22">
        <f t="shared" si="13"/>
        <v>335.29560709579096</v>
      </c>
      <c r="CX45" s="62">
        <f t="shared" si="14"/>
        <v>628.62894042912421</v>
      </c>
      <c r="CY45" s="62">
        <f ca="1">AVERAGE(OFFSET($CX$3,0,0,'Données projet'!$E$13+1,1))-AVERAGE(OFFSET($H$3,0,0,'Données projet'!$E$13+1,1))</f>
        <v>356.46794174556311</v>
      </c>
      <c r="CZ45" s="62">
        <f t="shared" si="42"/>
        <v>248.47107558211923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0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>
        <f>VLOOKUP(A45,'Données projet'!$A$165:$I$185,2,0)</f>
        <v>419</v>
      </c>
      <c r="DM45" s="13">
        <f>VLOOKUP(A45,'Données projet'!$A$165:$I$185,9,0)</f>
        <v>19.571428571428573</v>
      </c>
      <c r="DN45" s="13">
        <f t="array" ref="DN45">INDEX(DM:DM,MIN(IF(ISNUMBER(DM45:DM241),ROW(DM45:DM241),"")))</f>
        <v>19.571428571428573</v>
      </c>
      <c r="DO45" s="13">
        <f>IF('Données projet'!$A$166&gt;35,DO44+DN45-DW44,IF(A45&lt;'Données projet'!$A$166,$DL$205^A45,IF(A45='Données projet'!$A$166,'Données projet'!$B$166,DO44+DN45-DW44)))</f>
        <v>418.99999999999977</v>
      </c>
      <c r="DP45" s="18">
        <f>DO45*VLOOKUP('Données projet'!$B$14,Paramètres!$A$1:$I$88,3,0)*VLOOKUP('Données projet'!$B$14,Paramètres!$A$1:$I$88,5,0)</f>
        <v>234.22099999999989</v>
      </c>
      <c r="DQ45" s="14">
        <f t="shared" si="43"/>
        <v>57.194392182630075</v>
      </c>
      <c r="DR45" s="22">
        <f t="shared" si="16"/>
        <v>507.54847471808051</v>
      </c>
      <c r="DS45" s="62">
        <f t="shared" si="17"/>
        <v>800.88180805141383</v>
      </c>
      <c r="DT45" s="62">
        <f ca="1">AVERAGE(OFFSET($DS$3,0,0,'Données projet'!$E$14+1,1))-AVERAGE(OFFSET($H$3,0,0,'Données projet'!$E$14+1,1))</f>
        <v>397.04445188588369</v>
      </c>
      <c r="DU45" s="62">
        <f t="shared" si="44"/>
        <v>350.01856672839466</v>
      </c>
      <c r="DV45" s="16">
        <f>IF(ISNA(VLOOKUP(A45,'Données projet'!$A$165:$I$185,3,0)),0,VLOOKUP(A45,'Données projet'!$A$165:$I$185,3,0))</f>
        <v>3</v>
      </c>
      <c r="DW45" s="16">
        <f>IF(ISNA(VLOOKUP(A45,'Données projet'!$A$165:$I$185,4,0)),0,VLOOKUP(A45,'Données projet'!$A$165:$I$185,4,0))</f>
        <v>77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3.9564057575832678</v>
      </c>
      <c r="EB45" s="23">
        <f>EXP(-LN(2)/25)*EB44+(1-EXP(-LN(2)/25))/(LN(2)/25)*Calculateur!DW45*Calculateur!DY45*VLOOKUP('Données projet'!$B$14,Paramètres!$A$1:$I$88,3,0)*0.475*44/12</f>
        <v>0</v>
      </c>
      <c r="EC45" s="23">
        <f>EXP(-LN(2)/2)*EC44+(1-EXP(-LN(2)/2))/(LN(2)/2)*DW45*DZ45*VLOOKUP('Données projet'!$B$14,Paramètres!$A$1:$I$88,3,0)*0.475*44/12</f>
        <v>0.2531671417269179</v>
      </c>
      <c r="ED45" s="24">
        <f t="shared" si="18"/>
        <v>4.209572899310186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4.8599999999999968</v>
      </c>
      <c r="EJ45" s="13">
        <f>IF('Données projet'!$A$192&gt;35,EJ44+EI45-ER44,IF(A45&lt;'Données projet'!$A$192,$EG$205^A45,IF(A45='Données projet'!$A$192,'Données projet'!$B$192,EJ44+EI45-ER44)))</f>
        <v>119.11999999999996</v>
      </c>
      <c r="EK45" s="18">
        <f>EJ45*VLOOKUP('Données projet'!$B$15,Paramètres!$A$1:$I$88,3,0)*VLOOKUP('Données projet'!$B$15,Paramètres!$A$1:$I$88,5,0)</f>
        <v>104.06323199999999</v>
      </c>
      <c r="EL45" s="14">
        <f t="shared" si="45"/>
        <v>27.927751280684614</v>
      </c>
      <c r="EM45" s="22">
        <f t="shared" si="19"/>
        <v>229.88429588052566</v>
      </c>
      <c r="EN45" s="62">
        <f t="shared" si="20"/>
        <v>523.21762921385903</v>
      </c>
      <c r="EO45" s="62">
        <f ca="1">AVERAGE(OFFSET($EN$3,0,0,'Données projet'!$E$15+1,1))-AVERAGE(OFFSET($H$3,0,0,'Données projet'!$E$15+1,1))</f>
        <v>202.5548390231225</v>
      </c>
      <c r="EP45" s="62">
        <f t="shared" si="46"/>
        <v>184.62184077734179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projet'!$B$15,Paramètres!$A$1:$I$88,3,0)*0.475*44/12</f>
        <v>0</v>
      </c>
      <c r="EW45" s="23">
        <f>EXP(-LN(2)/25)*EW44+(1-EXP(-LN(2)/25))/(LN(2)/25)*Calculateur!ER45*Calculateur!ET45*VLOOKUP('Données projet'!$B$15,Paramètres!$A$1:$I$88,3,0)*0.475*44/12</f>
        <v>0</v>
      </c>
      <c r="EX45" s="23">
        <f>EXP(-LN(2)/2)*EX44+(1-EXP(-LN(2)/2))/(LN(2)/2)*ER45*EU45*VLOOKUP('Données projet'!$B$15,Paramètres!$A$1:$I$88,3,0)*0.475*44/12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153.80000000000004</v>
      </c>
      <c r="FF45" s="18">
        <f>FE45*VLOOKUP('Données projet'!$B$16,Paramètres!$A$1:$I$88,3,0)*VLOOKUP('Données projet'!$B$16,Paramètres!$A$1:$I$88,5,0)</f>
        <v>148.75536000000005</v>
      </c>
      <c r="FG45" s="14">
        <f t="shared" si="47"/>
        <v>38.295599697511591</v>
      </c>
      <c r="FH45" s="22">
        <f t="shared" si="22"/>
        <v>325.78042147316609</v>
      </c>
      <c r="FI45" s="62">
        <f t="shared" si="23"/>
        <v>619.1137548064994</v>
      </c>
      <c r="FJ45" s="62">
        <f ca="1">AVERAGE(OFFSET($FI$3,0,0,'Données projet'!$E$16+1,1))-AVERAGE(OFFSET($H$3,0,0,'Données projet'!$E$16+1,1))</f>
        <v>456.96274622094955</v>
      </c>
      <c r="FK45" s="62">
        <f t="shared" si="48"/>
        <v>244.45149244446094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projet'!$B$16,Paramètres!$A$1:$I$88,3,0)*0.475*44/12</f>
        <v>0</v>
      </c>
      <c r="FR45" s="23">
        <f>EXP(-LN(2)/25)*FR44+(1-EXP(-LN(2)/25))/(LN(2)/25)*Calculateur!FM45*Calculateur!FO45*VLOOKUP('Données projet'!$B$16,Paramètres!$A$1:$I$88,3,0)*0.475*44/12</f>
        <v>0</v>
      </c>
      <c r="FS45" s="23">
        <f>EXP(-LN(2)/2)*FS44+(1-EXP(-LN(2)/2))/(LN(2)/2)*FM45*FP45*VLOOKUP('Données projet'!$B$16,Paramètres!$A$1:$I$88,3,0)*0.475*44/12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IF('Données projet'!$A$244&gt;35,FZ44+FY45-GH44,IF(A45&lt;'Données projet'!$A$244,$FW$205^A45,IF(A45='Données projet'!$A$244,'Données projet'!$B$244,FZ44+FY45-GH44)))</f>
        <v>153.80000000000004</v>
      </c>
      <c r="GA45" s="18">
        <f>FZ45*VLOOKUP('Données projet'!$B$17,Paramètres!$A$1:$I$88,3,0)*VLOOKUP('Données projet'!$B$17,Paramètres!$A$1:$I$88,5,0)</f>
        <v>165.55032000000003</v>
      </c>
      <c r="GB45" s="14">
        <f t="shared" si="49"/>
        <v>42.091910139548794</v>
      </c>
      <c r="GC45" s="22">
        <f t="shared" si="25"/>
        <v>361.64355082638082</v>
      </c>
      <c r="GD45" s="62">
        <f t="shared" si="26"/>
        <v>654.97688415971413</v>
      </c>
      <c r="GE45" s="62">
        <f ca="1">AVERAGE(OFFSET($GD$3,0,0,'Données projet'!$E$17+1,1))-AVERAGE(OFFSET($H$3,0,0,'Données projet'!$E$17+1,1))</f>
        <v>503.69304261527651</v>
      </c>
      <c r="GF45" s="62">
        <f t="shared" si="50"/>
        <v>267.2998309535638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projet'!$B$17,Paramètres!$A$1:$I$88,3,0)*0.475*44/12</f>
        <v>0</v>
      </c>
      <c r="GM45" s="23">
        <f>EXP(-LN(2)/25)*GM44+(1-EXP(-LN(2)/25))/(LN(2)/25)*Calculateur!GH45*Calculateur!GJ45*VLOOKUP('Données projet'!$B$17,Paramètres!$A$1:$I$88,3,0)*0.475*44/12</f>
        <v>0</v>
      </c>
      <c r="GN45" s="23">
        <f>EXP(-LN(2)/2)*GN44+(1-EXP(-LN(2)/2))/(LN(2)/2)*GH45*GK45*VLOOKUP('Données projet'!$B$17,Paramètres!$A$1:$I$88,3,0)*0.475*44/12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11.4</v>
      </c>
      <c r="GU45" s="13">
        <f>IF('Données projet'!$A$270&gt;35,GU44+GT45-HC44,IF(A45&lt;'Données projet'!$A$270,$GR$205^A45,IF(A45='Données projet'!$A$270,'Données projet'!$B$270,GU44+GT45-HC44)))</f>
        <v>197.80000000000004</v>
      </c>
      <c r="GV45" s="18">
        <f>GU45*VLOOKUP('Données projet'!$B$18,Paramètres!$A$1:$I$88,3,0)*VLOOKUP('Données projet'!$B$18,Paramètres!$A$1:$I$88,5,0)</f>
        <v>206.74056000000007</v>
      </c>
      <c r="GW45" s="14">
        <f t="shared" si="51"/>
        <v>51.222668889939278</v>
      </c>
      <c r="GX45" s="22">
        <f t="shared" si="28"/>
        <v>449.285956983311</v>
      </c>
      <c r="GY45" s="62">
        <f t="shared" si="29"/>
        <v>742.61929031664431</v>
      </c>
      <c r="GZ45" s="62">
        <f ca="1">AVERAGE(OFFSET($GY$3,0,0,'Données projet'!$E$18+1,1))-AVERAGE(OFFSET($H$3,0,0,'Données projet'!$E$18+1,1))</f>
        <v>582.89879210197682</v>
      </c>
      <c r="HA45" s="62">
        <f t="shared" si="52"/>
        <v>314.72094983133326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projet'!$B$18,Paramètres!$A$1:$I$88,3,0)*0.475*44/12</f>
        <v>0</v>
      </c>
      <c r="HH45" s="23">
        <f>EXP(-LN(2)/25)*HH44+(1-EXP(-LN(2)/25))/(LN(2)/25)*Calculateur!HC45*Calculateur!HE45*VLOOKUP('Données projet'!$B$18,Paramètres!$A$1:$I$88,3,0)*0.475*44/12</f>
        <v>0</v>
      </c>
      <c r="HI45" s="23">
        <f>EXP(-LN(2)/2)*HI44+(1-EXP(-LN(2)/2))/(LN(2)/2)*HC45*HF45*VLOOKUP('Données projet'!$B$18,Paramètres!$A$1:$I$88,3,0)*0.475*44/12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20.399999999999999</v>
      </c>
      <c r="N46" s="14">
        <f>IF('Données projet'!$A$36&gt;35,N45+M46-V45,IF(A46&lt;'Données projet'!$A$36,$K$205^A46,IF(A46='Données projet'!$A$36,'Données projet'!$B$36,N45+M46-V45)))</f>
        <v>237.19999999999993</v>
      </c>
      <c r="O46" s="14">
        <f>N46*VLOOKUP('Données projet'!$B$9,Paramètres!$A$1:$I$88,3,0)*VLOOKUP('Données projet'!$B$9,Paramètres!$A$1:$I$88,5,0)</f>
        <v>111.00959999999996</v>
      </c>
      <c r="P46" s="14">
        <f t="shared" si="33"/>
        <v>29.568727576170897</v>
      </c>
      <c r="Q46" s="22">
        <f t="shared" si="53"/>
        <v>244.8405871951642</v>
      </c>
      <c r="R46" s="62">
        <f t="shared" si="0"/>
        <v>538.17392052849755</v>
      </c>
      <c r="S46" s="62">
        <f ca="1">AVERAGE(OFFSET($R$3,0,0,'Données projet'!$E$9+1,1))-AVERAGE(OFFSET($H$3,0,0,'Données projet'!$E$9+1,1))</f>
        <v>399.92909819003523</v>
      </c>
      <c r="T46" s="62">
        <f t="shared" si="34"/>
        <v>163.7053537268381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projet'!$B$10,Paramètres!$A$1:$I$88,3,0)*VLOOKUP('Données projet'!$B$10,Paramètres!$A$1:$I$88,5,0)</f>
        <v>189.28416000000001</v>
      </c>
      <c r="AK46" s="14">
        <f t="shared" si="35"/>
        <v>47.381656039514027</v>
      </c>
      <c r="AL46" s="22">
        <f t="shared" si="4"/>
        <v>412.19296293548695</v>
      </c>
      <c r="AM46" s="62">
        <f t="shared" si="5"/>
        <v>705.52629626882026</v>
      </c>
      <c r="AN46" s="62">
        <f ca="1">AVERAGE(OFFSET($AM$3,0,0,'Données projet'!$E$10+1,1))-AVERAGE(OFFSET($H$3,0,0,'Données projet'!$E$10+1,1))</f>
        <v>510.56580450928806</v>
      </c>
      <c r="AO46" s="62">
        <f t="shared" si="36"/>
        <v>278.21741231699929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8.8000000000000007</v>
      </c>
      <c r="BD46" s="13">
        <f>IF('Données projet'!$A$88&gt;35,BD45+BC46-BL45,IF(A46&lt;'Données projet'!$A$88,$BA$205^A46,IF(A46='Données projet'!$A$88,'Données projet'!$B$88,BD45+BC46-BL45)))</f>
        <v>232.4</v>
      </c>
      <c r="BE46" s="14">
        <f>BD46*VLOOKUP('Données projet'!$B$11,Paramètres!$A$1:$I$88,3,0)*VLOOKUP('Données projet'!$B$11,Paramètres!$A$1:$I$88,5,0)</f>
        <v>221.15184000000002</v>
      </c>
      <c r="BF46" s="14">
        <f t="shared" si="37"/>
        <v>54.365156317632952</v>
      </c>
      <c r="BG46" s="22">
        <f t="shared" si="7"/>
        <v>479.85876858654404</v>
      </c>
      <c r="BH46" s="62">
        <f t="shared" si="8"/>
        <v>773.19210191987736</v>
      </c>
      <c r="BI46" s="62">
        <f ca="1">AVERAGE(OFFSET($BH$3,0,0,'Données projet'!$E$11+1,1))-AVERAGE(OFFSET($H$3,0,0,'Données projet'!$E$11+1,1))</f>
        <v>525.51330555662139</v>
      </c>
      <c r="BJ46" s="62">
        <f t="shared" si="38"/>
        <v>357.72390083433635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13.544857142857142</v>
      </c>
      <c r="BY46" s="13">
        <f>IF('Données projet'!$A$114&gt;35,BY45+BX46-CG45,IF(A46&lt;'Données projet'!$A$114,$BV$205^A46,IF(A46='Données projet'!$A$114,'Données projet'!$B$114,BY45+BX46-CG45)))</f>
        <v>387.15514285714301</v>
      </c>
      <c r="BZ46" s="14">
        <f>BY46*VLOOKUP('Données projet'!$B$12,Paramètres!$A$1:$I$88,3,0)*VLOOKUP('Données projet'!$B$12,Paramètres!$A$1:$I$88,5,0)</f>
        <v>231.51877542857153</v>
      </c>
      <c r="CA46" s="14">
        <f t="shared" si="39"/>
        <v>56.610950389397928</v>
      </c>
      <c r="CB46" s="22">
        <f t="shared" si="10"/>
        <v>501.82593913296341</v>
      </c>
      <c r="CC46" s="62">
        <f t="shared" si="11"/>
        <v>795.15927246629667</v>
      </c>
      <c r="CD46" s="62">
        <f ca="1">AVERAGE(OFFSET($CC$3,0,0,'Données projet'!$E$12+1,1))-AVERAGE(OFFSET($H$3,0,0,'Données projet'!$E$12+1,1))</f>
        <v>227.46616726010473</v>
      </c>
      <c r="CE46" s="62">
        <f t="shared" si="40"/>
        <v>314.188568589113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5.4727682864531184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0.11504876638928251</v>
      </c>
      <c r="CN46" s="24">
        <f t="shared" si="12"/>
        <v>5.5878170528424009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16.600000000000001</v>
      </c>
      <c r="CT46" s="13">
        <f>IF('Données projet'!$A$140&gt;35,CT45+CS46-DB45,IF(A46&lt;'Données projet'!$A$140,$CQ$205^A46,IF(A46='Données projet'!$A$140,'Données projet'!$B$140,CT45+CS46-DB45)))</f>
        <v>272.8</v>
      </c>
      <c r="CU46" s="18">
        <f>CT46*VLOOKUP('Données projet'!$B$13,Paramètres!$A$1:$I$88,3,0)*VLOOKUP('Données projet'!$B$13,Paramètres!$A$1:$I$88,5,0)</f>
        <v>163.13440000000003</v>
      </c>
      <c r="CV46" s="14">
        <f t="shared" si="41"/>
        <v>41.54868784542596</v>
      </c>
      <c r="CW46" s="22">
        <f t="shared" si="13"/>
        <v>356.48971133078356</v>
      </c>
      <c r="CX46" s="62">
        <f t="shared" si="14"/>
        <v>649.82304466411688</v>
      </c>
      <c r="CY46" s="62">
        <f ca="1">AVERAGE(OFFSET($CX$3,0,0,'Données projet'!$E$13+1,1))-AVERAGE(OFFSET($H$3,0,0,'Données projet'!$E$13+1,1))</f>
        <v>356.46794174556311</v>
      </c>
      <c r="CZ46" s="62">
        <f t="shared" si="42"/>
        <v>248.47107558211923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0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18.714285714285715</v>
      </c>
      <c r="DO46" s="13">
        <f>IF('Données projet'!$A$166&gt;35,DO45+DN46-DW45,IF(A46&lt;'Données projet'!$A$166,$DL$205^A46,IF(A46='Données projet'!$A$166,'Données projet'!$B$166,DO45+DN46-DW45)))</f>
        <v>360.7142857142855</v>
      </c>
      <c r="DP46" s="18">
        <f>DO46*VLOOKUP('Données projet'!$B$14,Paramètres!$A$1:$I$88,3,0)*VLOOKUP('Données projet'!$B$14,Paramètres!$A$1:$I$88,5,0)</f>
        <v>201.63928571428559</v>
      </c>
      <c r="DQ46" s="14">
        <f t="shared" si="43"/>
        <v>50.104261772905943</v>
      </c>
      <c r="DR46" s="22">
        <f t="shared" si="16"/>
        <v>438.45334520685856</v>
      </c>
      <c r="DS46" s="62">
        <f t="shared" si="17"/>
        <v>731.78667854019182</v>
      </c>
      <c r="DT46" s="62">
        <f ca="1">AVERAGE(OFFSET($DS$3,0,0,'Données projet'!$E$14+1,1))-AVERAGE(OFFSET($H$3,0,0,'Données projet'!$E$14+1,1))</f>
        <v>397.04445188588369</v>
      </c>
      <c r="DU46" s="62">
        <f t="shared" si="44"/>
        <v>350.01856672839466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3.8788230538462916</v>
      </c>
      <c r="EB46" s="23">
        <f>EXP(-LN(2)/25)*EB45+(1-EXP(-LN(2)/25))/(LN(2)/25)*Calculateur!DW46*Calculateur!DY46*VLOOKUP('Données projet'!$B$14,Paramètres!$A$1:$I$88,3,0)*0.475*44/12</f>
        <v>0</v>
      </c>
      <c r="EC46" s="23">
        <f>EXP(-LN(2)/2)*EC45+(1-EXP(-LN(2)/2))/(LN(2)/2)*DW46*DZ46*VLOOKUP('Données projet'!$B$14,Paramètres!$A$1:$I$88,3,0)*0.475*44/12</f>
        <v>0.1790162026887194</v>
      </c>
      <c r="ED46" s="24">
        <f t="shared" si="18"/>
        <v>4.0578392565350105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4.8599999999999968</v>
      </c>
      <c r="EJ46" s="13">
        <f>IF('Données projet'!$A$192&gt;35,EJ45+EI46-ER45,IF(A46&lt;'Données projet'!$A$192,$EG$205^A46,IF(A46='Données projet'!$A$192,'Données projet'!$B$192,EJ45+EI46-ER45)))</f>
        <v>123.97999999999996</v>
      </c>
      <c r="EK46" s="18">
        <f>EJ46*VLOOKUP('Données projet'!$B$15,Paramètres!$A$1:$I$88,3,0)*VLOOKUP('Données projet'!$B$15,Paramètres!$A$1:$I$88,5,0)</f>
        <v>108.30892799999998</v>
      </c>
      <c r="EL46" s="14">
        <f t="shared" si="45"/>
        <v>28.932196275908854</v>
      </c>
      <c r="EM46" s="22">
        <f t="shared" si="19"/>
        <v>239.02829144720786</v>
      </c>
      <c r="EN46" s="62">
        <f t="shared" si="20"/>
        <v>532.36162478054121</v>
      </c>
      <c r="EO46" s="62">
        <f ca="1">AVERAGE(OFFSET($EN$3,0,0,'Données projet'!$E$15+1,1))-AVERAGE(OFFSET($H$3,0,0,'Données projet'!$E$15+1,1))</f>
        <v>202.5548390231225</v>
      </c>
      <c r="EP46" s="62">
        <f t="shared" si="46"/>
        <v>184.62184077734179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projet'!$B$15,Paramètres!$A$1:$I$88,3,0)*0.475*44/12</f>
        <v>0</v>
      </c>
      <c r="EW46" s="23">
        <f>EXP(-LN(2)/25)*EW45+(1-EXP(-LN(2)/25))/(LN(2)/25)*Calculateur!ER46*Calculateur!ET46*VLOOKUP('Données projet'!$B$15,Paramètres!$A$1:$I$88,3,0)*0.475*44/12</f>
        <v>0</v>
      </c>
      <c r="EX46" s="23">
        <f>EXP(-LN(2)/2)*EX45+(1-EXP(-LN(2)/2))/(LN(2)/2)*ER46*EU46*VLOOKUP('Données projet'!$B$15,Paramètres!$A$1:$I$88,3,0)*0.475*44/12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162.20000000000005</v>
      </c>
      <c r="FF46" s="18">
        <f>FE46*VLOOKUP('Données projet'!$B$16,Paramètres!$A$1:$I$88,3,0)*VLOOKUP('Données projet'!$B$16,Paramètres!$A$1:$I$88,5,0)</f>
        <v>156.87984000000003</v>
      </c>
      <c r="FG46" s="14">
        <f t="shared" si="47"/>
        <v>40.137950013229407</v>
      </c>
      <c r="FH46" s="22">
        <f t="shared" si="22"/>
        <v>343.13931760637462</v>
      </c>
      <c r="FI46" s="62">
        <f t="shared" si="23"/>
        <v>636.47265093970793</v>
      </c>
      <c r="FJ46" s="62">
        <f ca="1">AVERAGE(OFFSET($FI$3,0,0,'Données projet'!$E$16+1,1))-AVERAGE(OFFSET($H$3,0,0,'Données projet'!$E$16+1,1))</f>
        <v>456.96274622094955</v>
      </c>
      <c r="FK46" s="62">
        <f t="shared" si="48"/>
        <v>244.45149244446094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projet'!$B$16,Paramètres!$A$1:$I$88,3,0)*0.475*44/12</f>
        <v>0</v>
      </c>
      <c r="FR46" s="23">
        <f>EXP(-LN(2)/25)*FR45+(1-EXP(-LN(2)/25))/(LN(2)/25)*Calculateur!FM46*Calculateur!FO46*VLOOKUP('Données projet'!$B$16,Paramètres!$A$1:$I$88,3,0)*0.475*44/12</f>
        <v>0</v>
      </c>
      <c r="FS46" s="23">
        <f>EXP(-LN(2)/2)*FS45+(1-EXP(-LN(2)/2))/(LN(2)/2)*FM46*FP46*VLOOKUP('Données projet'!$B$16,Paramètres!$A$1:$I$88,3,0)*0.475*44/12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IF('Données projet'!$A$244&gt;35,FZ45+FY46-GH45,IF(A46&lt;'Données projet'!$A$244,$FW$205^A46,IF(A46='Données projet'!$A$244,'Données projet'!$B$244,FZ45+FY46-GH45)))</f>
        <v>162.20000000000005</v>
      </c>
      <c r="GA46" s="18">
        <f>FZ46*VLOOKUP('Données projet'!$B$17,Paramètres!$A$1:$I$88,3,0)*VLOOKUP('Données projet'!$B$17,Paramètres!$A$1:$I$88,5,0)</f>
        <v>174.59208000000004</v>
      </c>
      <c r="GB46" s="14">
        <f t="shared" si="49"/>
        <v>44.116895896327598</v>
      </c>
      <c r="GC46" s="22">
        <f t="shared" si="25"/>
        <v>380.91813301943733</v>
      </c>
      <c r="GD46" s="62">
        <f t="shared" si="26"/>
        <v>674.25146635277065</v>
      </c>
      <c r="GE46" s="62">
        <f ca="1">AVERAGE(OFFSET($GD$3,0,0,'Données projet'!$E$17+1,1))-AVERAGE(OFFSET($H$3,0,0,'Données projet'!$E$17+1,1))</f>
        <v>503.69304261527651</v>
      </c>
      <c r="GF46" s="62">
        <f t="shared" si="50"/>
        <v>267.2998309535638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projet'!$B$17,Paramètres!$A$1:$I$88,3,0)*0.475*44/12</f>
        <v>0</v>
      </c>
      <c r="GM46" s="23">
        <f>EXP(-LN(2)/25)*GM45+(1-EXP(-LN(2)/25))/(LN(2)/25)*Calculateur!GH46*Calculateur!GJ46*VLOOKUP('Données projet'!$B$17,Paramètres!$A$1:$I$88,3,0)*0.475*44/12</f>
        <v>0</v>
      </c>
      <c r="GN46" s="23">
        <f>EXP(-LN(2)/2)*GN45+(1-EXP(-LN(2)/2))/(LN(2)/2)*GH46*GK46*VLOOKUP('Données projet'!$B$17,Paramètres!$A$1:$I$88,3,0)*0.475*44/12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11.4</v>
      </c>
      <c r="GU46" s="13">
        <f>IF('Données projet'!$A$270&gt;35,GU45+GT46-HC45,IF(A46&lt;'Données projet'!$A$270,$GR$205^A46,IF(A46='Données projet'!$A$270,'Données projet'!$B$270,GU45+GT46-HC45)))</f>
        <v>209.20000000000005</v>
      </c>
      <c r="GV46" s="18">
        <f>GU46*VLOOKUP('Données projet'!$B$18,Paramètres!$A$1:$I$88,3,0)*VLOOKUP('Données projet'!$B$18,Paramètres!$A$1:$I$88,5,0)</f>
        <v>218.65584000000007</v>
      </c>
      <c r="GW46" s="14">
        <f t="shared" si="51"/>
        <v>53.822635064063022</v>
      </c>
      <c r="GX46" s="22">
        <f t="shared" si="28"/>
        <v>474.5666774032432</v>
      </c>
      <c r="GY46" s="62">
        <f t="shared" si="29"/>
        <v>767.90001073657652</v>
      </c>
      <c r="GZ46" s="62">
        <f ca="1">AVERAGE(OFFSET($GY$3,0,0,'Données projet'!$E$18+1,1))-AVERAGE(OFFSET($H$3,0,0,'Données projet'!$E$18+1,1))</f>
        <v>582.89879210197682</v>
      </c>
      <c r="HA46" s="62">
        <f t="shared" si="52"/>
        <v>314.72094983133326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projet'!$B$18,Paramètres!$A$1:$I$88,3,0)*0.475*44/12</f>
        <v>0</v>
      </c>
      <c r="HH46" s="23">
        <f>EXP(-LN(2)/25)*HH45+(1-EXP(-LN(2)/25))/(LN(2)/25)*Calculateur!HC46*Calculateur!HE46*VLOOKUP('Données projet'!$B$18,Paramètres!$A$1:$I$88,3,0)*0.475*44/12</f>
        <v>0</v>
      </c>
      <c r="HI46" s="23">
        <f>EXP(-LN(2)/2)*HI45+(1-EXP(-LN(2)/2))/(LN(2)/2)*HC46*HF46*VLOOKUP('Données projet'!$B$18,Paramètres!$A$1:$I$88,3,0)*0.475*44/12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20.399999999999999</v>
      </c>
      <c r="N47" s="14">
        <f>IF('Données projet'!$A$36&gt;35,N46+M47-V46,IF(A47&lt;'Données projet'!$A$36,$K$205^A47,IF(A47='Données projet'!$A$36,'Données projet'!$B$36,N46+M47-V46)))</f>
        <v>257.59999999999991</v>
      </c>
      <c r="O47" s="14">
        <f>N47*VLOOKUP('Données projet'!$B$9,Paramètres!$A$1:$I$88,3,0)*VLOOKUP('Données projet'!$B$9,Paramètres!$A$1:$I$88,5,0)</f>
        <v>120.55679999999995</v>
      </c>
      <c r="P47" s="14">
        <f t="shared" si="33"/>
        <v>31.804828741198779</v>
      </c>
      <c r="Q47" s="22">
        <f t="shared" si="53"/>
        <v>265.36317005758775</v>
      </c>
      <c r="R47" s="62">
        <f t="shared" si="0"/>
        <v>558.69650339092107</v>
      </c>
      <c r="S47" s="62">
        <f ca="1">AVERAGE(OFFSET($R$3,0,0,'Données projet'!$E$9+1,1))-AVERAGE(OFFSET($H$3,0,0,'Données projet'!$E$9+1,1))</f>
        <v>399.92909819003523</v>
      </c>
      <c r="T47" s="62">
        <f t="shared" si="34"/>
        <v>163.7053537268381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projet'!$B$10,Paramètres!$A$1:$I$88,3,0)*VLOOKUP('Données projet'!$B$10,Paramètres!$A$1:$I$88,5,0)</f>
        <v>199.59888000000004</v>
      </c>
      <c r="AK47" s="14">
        <f t="shared" si="35"/>
        <v>49.656003392529037</v>
      </c>
      <c r="AL47" s="22">
        <f t="shared" si="4"/>
        <v>434.11892190865478</v>
      </c>
      <c r="AM47" s="62">
        <f t="shared" si="5"/>
        <v>727.45225524198804</v>
      </c>
      <c r="AN47" s="62">
        <f ca="1">AVERAGE(OFFSET($AM$3,0,0,'Données projet'!$E$10+1,1))-AVERAGE(OFFSET($H$3,0,0,'Données projet'!$E$10+1,1))</f>
        <v>510.56580450928806</v>
      </c>
      <c r="AO47" s="62">
        <f t="shared" si="36"/>
        <v>278.21741231699929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8.8000000000000007</v>
      </c>
      <c r="BD47" s="13">
        <f>IF('Données projet'!$A$88&gt;35,BD46+BC47-BL46,IF(A47&lt;'Données projet'!$A$88,$BA$205^A47,IF(A47='Données projet'!$A$88,'Données projet'!$B$88,BD46+BC47-BL46)))</f>
        <v>241.20000000000002</v>
      </c>
      <c r="BE47" s="14">
        <f>BD47*VLOOKUP('Données projet'!$B$11,Paramètres!$A$1:$I$88,3,0)*VLOOKUP('Données projet'!$B$11,Paramètres!$A$1:$I$88,5,0)</f>
        <v>229.52592000000001</v>
      </c>
      <c r="BF47" s="14">
        <f t="shared" si="37"/>
        <v>56.180162044652334</v>
      </c>
      <c r="BG47" s="22">
        <f t="shared" si="7"/>
        <v>497.60475956110281</v>
      </c>
      <c r="BH47" s="62">
        <f t="shared" si="8"/>
        <v>790.93809289443607</v>
      </c>
      <c r="BI47" s="62">
        <f ca="1">AVERAGE(OFFSET($BH$3,0,0,'Données projet'!$E$11+1,1))-AVERAGE(OFFSET($H$3,0,0,'Données projet'!$E$11+1,1))</f>
        <v>525.51330555662139</v>
      </c>
      <c r="BJ47" s="62">
        <f t="shared" si="38"/>
        <v>357.72390083433635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400.7</v>
      </c>
      <c r="BW47" s="13">
        <f>VLOOKUP(A47,'Données projet'!$A$113:$I$133,9,0)</f>
        <v>13.544857142857142</v>
      </c>
      <c r="BX47" s="13">
        <f t="array" ref="BX47">INDEX(BW:BW,MIN(IF(ISNUMBER(BW47:BW243),ROW(BW47:BW243),"")))</f>
        <v>13.544857142857142</v>
      </c>
      <c r="BY47" s="13">
        <f>IF('Données projet'!$A$114&gt;35,BY46+BX47-CG46,IF(A47&lt;'Données projet'!$A$114,$BV$205^A47,IF(A47='Données projet'!$A$114,'Données projet'!$B$114,BY46+BX47-CG46)))</f>
        <v>400.70000000000016</v>
      </c>
      <c r="BZ47" s="14">
        <f>BY47*VLOOKUP('Données projet'!$B$12,Paramètres!$A$1:$I$88,3,0)*VLOOKUP('Données projet'!$B$12,Paramètres!$A$1:$I$88,5,0)</f>
        <v>239.61860000000013</v>
      </c>
      <c r="CA47" s="14">
        <f t="shared" si="39"/>
        <v>58.357462820078766</v>
      </c>
      <c r="CB47" s="22">
        <f t="shared" si="10"/>
        <v>518.97497607830405</v>
      </c>
      <c r="CC47" s="62">
        <f t="shared" si="11"/>
        <v>812.30830941163731</v>
      </c>
      <c r="CD47" s="62">
        <f ca="1">AVERAGE(OFFSET($CC$3,0,0,'Données projet'!$E$12+1,1))-AVERAGE(OFFSET($H$3,0,0,'Données projet'!$E$12+1,1))</f>
        <v>227.46616726010473</v>
      </c>
      <c r="CE47" s="62">
        <f t="shared" si="40"/>
        <v>314.188568589113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400.7</v>
      </c>
      <c r="CH47" s="17">
        <f>IF(ISNA(VLOOKUP(A47,'Données projet'!$A$113:$I$133,5,0)),0%,VLOOKUP(A47,'Données projet'!$A$113:$I$133,5,0)*VLOOKUP('Données projet'!$B$12,Paramètres!$A$1:$I$88,7,0))</f>
        <v>0.27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0.4</v>
      </c>
      <c r="CK47" s="23">
        <f>EXP(-LN(2)/35)*CK46+(1-EXP(-LN(2)/35))/(LN(2)/35)*CG47*CH47*VLOOKUP('Données projet'!$B$12,Paramètres!$A$1:$I$88,3,0)*0.475*44/12</f>
        <v>91.190220396404811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108.60291896611113</v>
      </c>
      <c r="CN47" s="24">
        <f t="shared" si="12"/>
        <v>199.79313936251594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16.600000000000001</v>
      </c>
      <c r="CT47" s="13">
        <f>IF('Données projet'!$A$140&gt;35,CT46+CS47-DB46,IF(A47&lt;'Données projet'!$A$140,$CQ$205^A47,IF(A47='Données projet'!$A$140,'Données projet'!$B$140,CT46+CS47-DB46)))</f>
        <v>289.40000000000003</v>
      </c>
      <c r="CU47" s="18">
        <f>CT47*VLOOKUP('Données projet'!$B$13,Paramètres!$A$1:$I$88,3,0)*VLOOKUP('Données projet'!$B$13,Paramètres!$A$1:$I$88,5,0)</f>
        <v>173.06120000000004</v>
      </c>
      <c r="CV47" s="14">
        <f t="shared" si="41"/>
        <v>43.774916798471111</v>
      </c>
      <c r="CW47" s="22">
        <f t="shared" si="13"/>
        <v>377.65623675733718</v>
      </c>
      <c r="CX47" s="62">
        <f t="shared" si="14"/>
        <v>670.98957009067044</v>
      </c>
      <c r="CY47" s="62">
        <f ca="1">AVERAGE(OFFSET($CX$3,0,0,'Données projet'!$E$13+1,1))-AVERAGE(OFFSET($H$3,0,0,'Données projet'!$E$13+1,1))</f>
        <v>356.46794174556311</v>
      </c>
      <c r="CZ47" s="62">
        <f t="shared" si="42"/>
        <v>248.47107558211923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0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18.714285714285715</v>
      </c>
      <c r="DO47" s="13">
        <f>IF('Données projet'!$A$166&gt;35,DO46+DN47-DW46,IF(A47&lt;'Données projet'!$A$166,$DL$205^A47,IF(A47='Données projet'!$A$166,'Données projet'!$B$166,DO46+DN47-DW46)))</f>
        <v>379.42857142857122</v>
      </c>
      <c r="DP47" s="18">
        <f>DO47*VLOOKUP('Données projet'!$B$14,Paramètres!$A$1:$I$88,3,0)*VLOOKUP('Données projet'!$B$14,Paramètres!$A$1:$I$88,5,0)</f>
        <v>212.10057142857133</v>
      </c>
      <c r="DQ47" s="14">
        <f t="shared" si="43"/>
        <v>52.394347167709434</v>
      </c>
      <c r="DR47" s="22">
        <f t="shared" si="16"/>
        <v>460.66198322185556</v>
      </c>
      <c r="DS47" s="62">
        <f t="shared" si="17"/>
        <v>753.99531655518888</v>
      </c>
      <c r="DT47" s="62">
        <f ca="1">AVERAGE(OFFSET($DS$3,0,0,'Données projet'!$E$14+1,1))-AVERAGE(OFFSET($H$3,0,0,'Données projet'!$E$14+1,1))</f>
        <v>397.04445188588369</v>
      </c>
      <c r="DU47" s="62">
        <f t="shared" si="44"/>
        <v>350.01856672839466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3.8027616996088205</v>
      </c>
      <c r="EB47" s="23">
        <f>EXP(-LN(2)/25)*EB46+(1-EXP(-LN(2)/25))/(LN(2)/25)*Calculateur!DW47*Calculateur!DY47*VLOOKUP('Données projet'!$B$14,Paramètres!$A$1:$I$88,3,0)*0.475*44/12</f>
        <v>0</v>
      </c>
      <c r="EC47" s="23">
        <f>EXP(-LN(2)/2)*EC46+(1-EXP(-LN(2)/2))/(LN(2)/2)*DW47*DZ47*VLOOKUP('Données projet'!$B$14,Paramètres!$A$1:$I$88,3,0)*0.475*44/12</f>
        <v>0.12658357086345895</v>
      </c>
      <c r="ED47" s="24">
        <f t="shared" si="18"/>
        <v>3.9293452704722793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4.8599999999999968</v>
      </c>
      <c r="EJ47" s="13">
        <f>IF('Données projet'!$A$192&gt;35,EJ46+EI47-ER46,IF(A47&lt;'Données projet'!$A$192,$EG$205^A47,IF(A47='Données projet'!$A$192,'Données projet'!$B$192,EJ46+EI47-ER46)))</f>
        <v>128.83999999999995</v>
      </c>
      <c r="EK47" s="18">
        <f>EJ47*VLOOKUP('Données projet'!$B$15,Paramètres!$A$1:$I$88,3,0)*VLOOKUP('Données projet'!$B$15,Paramètres!$A$1:$I$88,5,0)</f>
        <v>112.55462399999996</v>
      </c>
      <c r="EL47" s="14">
        <f t="shared" si="45"/>
        <v>29.932067327275888</v>
      </c>
      <c r="EM47" s="22">
        <f t="shared" si="19"/>
        <v>248.16432072833879</v>
      </c>
      <c r="EN47" s="62">
        <f t="shared" si="20"/>
        <v>541.49765406167216</v>
      </c>
      <c r="EO47" s="62">
        <f ca="1">AVERAGE(OFFSET($EN$3,0,0,'Données projet'!$E$15+1,1))-AVERAGE(OFFSET($H$3,0,0,'Données projet'!$E$15+1,1))</f>
        <v>202.5548390231225</v>
      </c>
      <c r="EP47" s="62">
        <f t="shared" si="46"/>
        <v>184.62184077734179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projet'!$B$15,Paramètres!$A$1:$I$88,3,0)*0.475*44/12</f>
        <v>0</v>
      </c>
      <c r="EW47" s="23">
        <f>EXP(-LN(2)/25)*EW46+(1-EXP(-LN(2)/25))/(LN(2)/25)*Calculateur!ER47*Calculateur!ET47*VLOOKUP('Données projet'!$B$15,Paramètres!$A$1:$I$88,3,0)*0.475*44/12</f>
        <v>0</v>
      </c>
      <c r="EX47" s="23">
        <f>EXP(-LN(2)/2)*EX46+(1-EXP(-LN(2)/2))/(LN(2)/2)*ER47*EU47*VLOOKUP('Données projet'!$B$15,Paramètres!$A$1:$I$88,3,0)*0.475*44/12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170.60000000000005</v>
      </c>
      <c r="FF47" s="18">
        <f>FE47*VLOOKUP('Données projet'!$B$16,Paramètres!$A$1:$I$88,3,0)*VLOOKUP('Données projet'!$B$16,Paramètres!$A$1:$I$88,5,0)</f>
        <v>165.00432000000006</v>
      </c>
      <c r="FG47" s="14">
        <f t="shared" si="47"/>
        <v>41.969222611359086</v>
      </c>
      <c r="FH47" s="22">
        <f t="shared" si="22"/>
        <v>360.47892004811712</v>
      </c>
      <c r="FI47" s="62">
        <f t="shared" si="23"/>
        <v>653.81225338145043</v>
      </c>
      <c r="FJ47" s="62">
        <f ca="1">AVERAGE(OFFSET($FI$3,0,0,'Données projet'!$E$16+1,1))-AVERAGE(OFFSET($H$3,0,0,'Données projet'!$E$16+1,1))</f>
        <v>456.96274622094955</v>
      </c>
      <c r="FK47" s="62">
        <f t="shared" si="48"/>
        <v>244.45149244446094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projet'!$B$16,Paramètres!$A$1:$I$88,3,0)*0.475*44/12</f>
        <v>0</v>
      </c>
      <c r="FR47" s="23">
        <f>EXP(-LN(2)/25)*FR46+(1-EXP(-LN(2)/25))/(LN(2)/25)*Calculateur!FM47*Calculateur!FO47*VLOOKUP('Données projet'!$B$16,Paramètres!$A$1:$I$88,3,0)*0.475*44/12</f>
        <v>0</v>
      </c>
      <c r="FS47" s="23">
        <f>EXP(-LN(2)/2)*FS46+(1-EXP(-LN(2)/2))/(LN(2)/2)*FM47*FP47*VLOOKUP('Données projet'!$B$16,Paramètres!$A$1:$I$88,3,0)*0.475*44/12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IF('Données projet'!$A$244&gt;35,FZ46+FY47-GH46,IF(A47&lt;'Données projet'!$A$244,$FW$205^A47,IF(A47='Données projet'!$A$244,'Données projet'!$B$244,FZ46+FY47-GH46)))</f>
        <v>170.60000000000005</v>
      </c>
      <c r="GA47" s="18">
        <f>FZ47*VLOOKUP('Données projet'!$B$17,Paramètres!$A$1:$I$88,3,0)*VLOOKUP('Données projet'!$B$17,Paramètres!$A$1:$I$88,5,0)</f>
        <v>183.63384000000005</v>
      </c>
      <c r="GB47" s="14">
        <f t="shared" si="49"/>
        <v>46.129705781806493</v>
      </c>
      <c r="GC47" s="22">
        <f t="shared" si="25"/>
        <v>400.17150890331305</v>
      </c>
      <c r="GD47" s="62">
        <f t="shared" si="26"/>
        <v>693.50484223664637</v>
      </c>
      <c r="GE47" s="62">
        <f ca="1">AVERAGE(OFFSET($GD$3,0,0,'Données projet'!$E$17+1,1))-AVERAGE(OFFSET($H$3,0,0,'Données projet'!$E$17+1,1))</f>
        <v>503.69304261527651</v>
      </c>
      <c r="GF47" s="62">
        <f t="shared" si="50"/>
        <v>267.2998309535638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projet'!$B$17,Paramètres!$A$1:$I$88,3,0)*0.475*44/12</f>
        <v>0</v>
      </c>
      <c r="GM47" s="23">
        <f>EXP(-LN(2)/25)*GM46+(1-EXP(-LN(2)/25))/(LN(2)/25)*Calculateur!GH47*Calculateur!GJ47*VLOOKUP('Données projet'!$B$17,Paramètres!$A$1:$I$88,3,0)*0.475*44/12</f>
        <v>0</v>
      </c>
      <c r="GN47" s="23">
        <f>EXP(-LN(2)/2)*GN46+(1-EXP(-LN(2)/2))/(LN(2)/2)*GH47*GK47*VLOOKUP('Données projet'!$B$17,Paramètres!$A$1:$I$88,3,0)*0.475*44/12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11.4</v>
      </c>
      <c r="GU47" s="13">
        <f>IF('Données projet'!$A$270&gt;35,GU46+GT47-HC46,IF(A47&lt;'Données projet'!$A$270,$GR$205^A47,IF(A47='Données projet'!$A$270,'Données projet'!$B$270,GU46+GT47-HC46)))</f>
        <v>220.60000000000005</v>
      </c>
      <c r="GV47" s="18">
        <f>GU47*VLOOKUP('Données projet'!$B$18,Paramètres!$A$1:$I$88,3,0)*VLOOKUP('Données projet'!$B$18,Paramètres!$A$1:$I$88,5,0)</f>
        <v>230.57112000000009</v>
      </c>
      <c r="GW47" s="14">
        <f t="shared" si="51"/>
        <v>56.406153197919657</v>
      </c>
      <c r="GX47" s="22">
        <f t="shared" si="28"/>
        <v>499.81875081971026</v>
      </c>
      <c r="GY47" s="62">
        <f t="shared" si="29"/>
        <v>793.15208415304357</v>
      </c>
      <c r="GZ47" s="62">
        <f ca="1">AVERAGE(OFFSET($GY$3,0,0,'Données projet'!$E$18+1,1))-AVERAGE(OFFSET($H$3,0,0,'Données projet'!$E$18+1,1))</f>
        <v>582.89879210197682</v>
      </c>
      <c r="HA47" s="62">
        <f t="shared" si="52"/>
        <v>314.72094983133326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projet'!$B$18,Paramètres!$A$1:$I$88,3,0)*0.475*44/12</f>
        <v>0</v>
      </c>
      <c r="HH47" s="23">
        <f>EXP(-LN(2)/25)*HH46+(1-EXP(-LN(2)/25))/(LN(2)/25)*Calculateur!HC47*Calculateur!HE47*VLOOKUP('Données projet'!$B$18,Paramètres!$A$1:$I$88,3,0)*0.475*44/12</f>
        <v>0</v>
      </c>
      <c r="HI47" s="23">
        <f>EXP(-LN(2)/2)*HI46+(1-EXP(-LN(2)/2))/(LN(2)/2)*HC47*HF47*VLOOKUP('Données projet'!$B$18,Paramètres!$A$1:$I$88,3,0)*0.475*44/12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20.399999999999999</v>
      </c>
      <c r="N48" s="14">
        <f>IF('Données projet'!$A$36&gt;35,N47+M48-V47,IF(A48&lt;'Données projet'!$A$36,$K$205^A48,IF(A48='Données projet'!$A$36,'Données projet'!$B$36,N47+M48-V47)))</f>
        <v>277.99999999999989</v>
      </c>
      <c r="O48" s="14">
        <f>N48*VLOOKUP('Données projet'!$B$9,Paramètres!$A$1:$I$88,3,0)*VLOOKUP('Données projet'!$B$9,Paramètres!$A$1:$I$88,5,0)</f>
        <v>130.10399999999996</v>
      </c>
      <c r="P48" s="14">
        <f t="shared" si="33"/>
        <v>34.020389560268086</v>
      </c>
      <c r="Q48" s="22">
        <f t="shared" si="53"/>
        <v>285.84997848413349</v>
      </c>
      <c r="R48" s="62">
        <f t="shared" si="0"/>
        <v>579.1833118174668</v>
      </c>
      <c r="S48" s="62">
        <f ca="1">AVERAGE(OFFSET($R$3,0,0,'Données projet'!$E$9+1,1))-AVERAGE(OFFSET($H$3,0,0,'Données projet'!$E$9+1,1))</f>
        <v>399.92909819003523</v>
      </c>
      <c r="T48" s="62">
        <f t="shared" si="34"/>
        <v>163.7053537268381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projet'!$B$10,Paramètres!$A$1:$I$88,3,0)*VLOOKUP('Données projet'!$B$10,Paramètres!$A$1:$I$88,5,0)</f>
        <v>209.91360000000006</v>
      </c>
      <c r="AK48" s="14">
        <f t="shared" si="35"/>
        <v>51.916704672341361</v>
      </c>
      <c r="AL48" s="22">
        <f t="shared" si="4"/>
        <v>456.02111397099458</v>
      </c>
      <c r="AM48" s="62">
        <f t="shared" si="5"/>
        <v>749.35444730432789</v>
      </c>
      <c r="AN48" s="62">
        <f ca="1">AVERAGE(OFFSET($AM$3,0,0,'Données projet'!$E$10+1,1))-AVERAGE(OFFSET($H$3,0,0,'Données projet'!$E$10+1,1))</f>
        <v>510.56580450928806</v>
      </c>
      <c r="AO48" s="62">
        <f t="shared" si="36"/>
        <v>278.21741231699929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250</v>
      </c>
      <c r="BB48" s="13">
        <f>VLOOKUP(A48,'Données projet'!$A$87:$I$107,9,0)</f>
        <v>8.8000000000000007</v>
      </c>
      <c r="BC48" s="13">
        <f t="array" ref="BC48">INDEX(BB:BB,MIN(IF(ISNUMBER(BB48:BB244),ROW(BB48:BB244),"")))</f>
        <v>8.8000000000000007</v>
      </c>
      <c r="BD48" s="13">
        <f>IF('Données projet'!$A$88&gt;35,BD47+BC48-BL47,IF(A48&lt;'Données projet'!$A$88,$BA$205^A48,IF(A48='Données projet'!$A$88,'Données projet'!$B$88,BD47+BC48-BL47)))</f>
        <v>250.00000000000003</v>
      </c>
      <c r="BE48" s="14">
        <f>BD48*VLOOKUP('Données projet'!$B$11,Paramètres!$A$1:$I$88,3,0)*VLOOKUP('Données projet'!$B$11,Paramètres!$A$1:$I$88,5,0)</f>
        <v>237.9</v>
      </c>
      <c r="BF48" s="14">
        <f t="shared" si="37"/>
        <v>57.987474407587428</v>
      </c>
      <c r="BG48" s="22">
        <f t="shared" si="7"/>
        <v>515.33735125988142</v>
      </c>
      <c r="BH48" s="62">
        <f t="shared" si="8"/>
        <v>808.67068459321467</v>
      </c>
      <c r="BI48" s="62">
        <f ca="1">AVERAGE(OFFSET($BH$3,0,0,'Données projet'!$E$11+1,1))-AVERAGE(OFFSET($H$3,0,0,'Données projet'!$E$11+1,1))</f>
        <v>525.51330555662139</v>
      </c>
      <c r="BJ48" s="62">
        <f t="shared" si="38"/>
        <v>357.72390083433635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44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1.7053025658242404E-13</v>
      </c>
      <c r="BZ48" s="14">
        <f>BY48*VLOOKUP('Données projet'!$B$12,Paramètres!$A$1:$I$88,3,0)*VLOOKUP('Données projet'!$B$12,Paramètres!$A$1:$I$88,5,0)</f>
        <v>1.0197709343628959E-13</v>
      </c>
      <c r="CA48" s="14">
        <f t="shared" si="39"/>
        <v>1.5284983994279675E-12</v>
      </c>
      <c r="CB48" s="22">
        <f t="shared" si="10"/>
        <v>2.839744816738581E-12</v>
      </c>
      <c r="CC48" s="62">
        <f t="shared" si="11"/>
        <v>293.33333333333616</v>
      </c>
      <c r="CD48" s="62">
        <f ca="1">AVERAGE(OFFSET($CC$3,0,0,'Données projet'!$E$12+1,1))-AVERAGE(OFFSET($H$3,0,0,'Données projet'!$E$12+1,1))</f>
        <v>227.46616726010473</v>
      </c>
      <c r="CE48" s="62">
        <f t="shared" si="40"/>
        <v>314.188568589113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89.402035794973685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76.793860457590299</v>
      </c>
      <c r="CN48" s="24">
        <f t="shared" si="12"/>
        <v>166.19589625256398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306</v>
      </c>
      <c r="CR48" s="13">
        <f>VLOOKUP(A48,'Données projet'!$A$139:$I$159,9,0)</f>
        <v>16.600000000000001</v>
      </c>
      <c r="CS48" s="13">
        <f t="array" ref="CS48">INDEX(CR:CR,MIN(IF(ISNUMBER(CR48:CR244),ROW(CR48:CR244),"")))</f>
        <v>16.600000000000001</v>
      </c>
      <c r="CT48" s="13">
        <f>IF('Données projet'!$A$140&gt;35,CT47+CS48-DB47,IF(A48&lt;'Données projet'!$A$140,$CQ$205^A48,IF(A48='Données projet'!$A$140,'Données projet'!$B$140,CT47+CS48-DB47)))</f>
        <v>306.00000000000006</v>
      </c>
      <c r="CU48" s="18">
        <f>CT48*VLOOKUP('Données projet'!$B$13,Paramètres!$A$1:$I$88,3,0)*VLOOKUP('Données projet'!$B$13,Paramètres!$A$1:$I$88,5,0)</f>
        <v>182.98800000000003</v>
      </c>
      <c r="CV48" s="14">
        <f t="shared" si="41"/>
        <v>45.986322796524831</v>
      </c>
      <c r="CW48" s="22">
        <f t="shared" si="13"/>
        <v>398.79694553728081</v>
      </c>
      <c r="CX48" s="62">
        <f t="shared" si="14"/>
        <v>692.13027887061412</v>
      </c>
      <c r="CY48" s="62">
        <f ca="1">AVERAGE(OFFSET($CX$3,0,0,'Données projet'!$E$13+1,1))-AVERAGE(OFFSET($H$3,0,0,'Données projet'!$E$13+1,1))</f>
        <v>356.46794174556311</v>
      </c>
      <c r="CZ48" s="62">
        <f t="shared" si="42"/>
        <v>248.47107558211923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94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0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18.714285714285715</v>
      </c>
      <c r="DO48" s="13">
        <f>IF('Données projet'!$A$166&gt;35,DO47+DN48-DW47,IF(A48&lt;'Données projet'!$A$166,$DL$205^A48,IF(A48='Données projet'!$A$166,'Données projet'!$B$166,DO47+DN48-DW47)))</f>
        <v>398.14285714285694</v>
      </c>
      <c r="DP48" s="18">
        <f>DO48*VLOOKUP('Données projet'!$B$14,Paramètres!$A$1:$I$88,3,0)*VLOOKUP('Données projet'!$B$14,Paramètres!$A$1:$I$88,5,0)</f>
        <v>222.56185714285704</v>
      </c>
      <c r="DQ48" s="14">
        <f t="shared" si="43"/>
        <v>54.671316974727738</v>
      </c>
      <c r="DR48" s="22">
        <f t="shared" si="16"/>
        <v>482.84777825479341</v>
      </c>
      <c r="DS48" s="62">
        <f t="shared" si="17"/>
        <v>776.18111158812667</v>
      </c>
      <c r="DT48" s="62">
        <f ca="1">AVERAGE(OFFSET($DS$3,0,0,'Données projet'!$E$14+1,1))-AVERAGE(OFFSET($H$3,0,0,'Données projet'!$E$14+1,1))</f>
        <v>397.04445188588369</v>
      </c>
      <c r="DU48" s="62">
        <f t="shared" si="44"/>
        <v>350.01856672839466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3.7281918621351009</v>
      </c>
      <c r="EB48" s="23">
        <f>EXP(-LN(2)/25)*EB47+(1-EXP(-LN(2)/25))/(LN(2)/25)*Calculateur!DW48*Calculateur!DY48*VLOOKUP('Données projet'!$B$14,Paramètres!$A$1:$I$88,3,0)*0.475*44/12</f>
        <v>0</v>
      </c>
      <c r="EC48" s="23">
        <f>EXP(-LN(2)/2)*EC47+(1-EXP(-LN(2)/2))/(LN(2)/2)*DW48*DZ48*VLOOKUP('Données projet'!$B$14,Paramètres!$A$1:$I$88,3,0)*0.475*44/12</f>
        <v>8.95081013443597E-2</v>
      </c>
      <c r="ED48" s="24">
        <f t="shared" si="18"/>
        <v>3.8176999634794604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133.69999999999999</v>
      </c>
      <c r="EH48" s="13">
        <f>VLOOKUP(A48,'Données projet'!$A$191:$I$211,9,0)</f>
        <v>4.8599999999999968</v>
      </c>
      <c r="EI48" s="13">
        <f t="array" ref="EI48">INDEX(EH:EH,MIN(IF(ISNUMBER(EH48:EH244),ROW(EH48:EH244),"")))</f>
        <v>4.8599999999999968</v>
      </c>
      <c r="EJ48" s="13">
        <f>IF('Données projet'!$A$192&gt;35,EJ47+EI48-ER47,IF(A48&lt;'Données projet'!$A$192,$EG$205^A48,IF(A48='Données projet'!$A$192,'Données projet'!$B$192,EJ47+EI48-ER47)))</f>
        <v>133.69999999999993</v>
      </c>
      <c r="EK48" s="18">
        <f>EJ48*VLOOKUP('Données projet'!$B$15,Paramètres!$A$1:$I$88,3,0)*VLOOKUP('Données projet'!$B$15,Paramètres!$A$1:$I$88,5,0)</f>
        <v>116.80031999999996</v>
      </c>
      <c r="EL48" s="14">
        <f t="shared" si="45"/>
        <v>30.927556723066434</v>
      </c>
      <c r="EM48" s="22">
        <f t="shared" si="19"/>
        <v>257.29271862600729</v>
      </c>
      <c r="EN48" s="62">
        <f t="shared" si="20"/>
        <v>550.62605195934066</v>
      </c>
      <c r="EO48" s="62">
        <f ca="1">AVERAGE(OFFSET($EN$3,0,0,'Données projet'!$E$15+1,1))-AVERAGE(OFFSET($H$3,0,0,'Données projet'!$E$15+1,1))</f>
        <v>202.5548390231225</v>
      </c>
      <c r="EP48" s="62">
        <f t="shared" si="46"/>
        <v>184.62184077734179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projet'!$B$15,Paramètres!$A$1:$I$88,3,0)*0.475*44/12</f>
        <v>0</v>
      </c>
      <c r="EW48" s="23">
        <f>EXP(-LN(2)/25)*EW47+(1-EXP(-LN(2)/25))/(LN(2)/25)*Calculateur!ER48*Calculateur!ET48*VLOOKUP('Données projet'!$B$15,Paramètres!$A$1:$I$88,3,0)*0.475*44/12</f>
        <v>0</v>
      </c>
      <c r="EX48" s="23">
        <f>EXP(-LN(2)/2)*EX47+(1-EXP(-LN(2)/2))/(LN(2)/2)*ER48*EU48*VLOOKUP('Données projet'!$B$15,Paramètres!$A$1:$I$88,3,0)*0.475*44/12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179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179.00000000000006</v>
      </c>
      <c r="FF48" s="18">
        <f>FE48*VLOOKUP('Données projet'!$B$16,Paramètres!$A$1:$I$88,3,0)*VLOOKUP('Données projet'!$B$16,Paramètres!$A$1:$I$88,5,0)</f>
        <v>173.12880000000007</v>
      </c>
      <c r="FG48" s="14">
        <f t="shared" si="47"/>
        <v>43.790025187181634</v>
      </c>
      <c r="FH48" s="22">
        <f t="shared" si="22"/>
        <v>377.80028720100813</v>
      </c>
      <c r="FI48" s="62">
        <f t="shared" si="23"/>
        <v>671.13362053434139</v>
      </c>
      <c r="FJ48" s="62">
        <f ca="1">AVERAGE(OFFSET($FI$3,0,0,'Données projet'!$E$16+1,1))-AVERAGE(OFFSET($H$3,0,0,'Données projet'!$E$16+1,1))</f>
        <v>456.96274622094955</v>
      </c>
      <c r="FK48" s="62">
        <f t="shared" si="48"/>
        <v>244.45149244446094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42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projet'!$B$16,Paramètres!$A$1:$I$88,3,0)*0.475*44/12</f>
        <v>0</v>
      </c>
      <c r="FR48" s="23">
        <f>EXP(-LN(2)/25)*FR47+(1-EXP(-LN(2)/25))/(LN(2)/25)*Calculateur!FM48*Calculateur!FO48*VLOOKUP('Données projet'!$B$16,Paramètres!$A$1:$I$88,3,0)*0.475*44/12</f>
        <v>0</v>
      </c>
      <c r="FS48" s="23">
        <f>EXP(-LN(2)/2)*FS47+(1-EXP(-LN(2)/2))/(LN(2)/2)*FM48*FP48*VLOOKUP('Données projet'!$B$16,Paramètres!$A$1:$I$88,3,0)*0.475*44/12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179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IF('Données projet'!$A$244&gt;35,FZ47+FY48-GH47,IF(A48&lt;'Données projet'!$A$244,$FW$205^A48,IF(A48='Données projet'!$A$244,'Données projet'!$B$244,FZ47+FY48-GH47)))</f>
        <v>179.00000000000006</v>
      </c>
      <c r="GA48" s="18">
        <f>FZ48*VLOOKUP('Données projet'!$B$17,Paramètres!$A$1:$I$88,3,0)*VLOOKUP('Données projet'!$B$17,Paramètres!$A$1:$I$88,5,0)</f>
        <v>192.67560000000006</v>
      </c>
      <c r="GB48" s="14">
        <f t="shared" si="49"/>
        <v>48.131007733172986</v>
      </c>
      <c r="GC48" s="22">
        <f t="shared" si="25"/>
        <v>419.40484180194306</v>
      </c>
      <c r="GD48" s="62">
        <f t="shared" si="26"/>
        <v>712.73817513527638</v>
      </c>
      <c r="GE48" s="62">
        <f ca="1">AVERAGE(OFFSET($GD$3,0,0,'Données projet'!$E$17+1,1))-AVERAGE(OFFSET($H$3,0,0,'Données projet'!$E$17+1,1))</f>
        <v>503.69304261527651</v>
      </c>
      <c r="GF48" s="62">
        <f t="shared" si="50"/>
        <v>267.2998309535638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42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projet'!$B$17,Paramètres!$A$1:$I$88,3,0)*0.475*44/12</f>
        <v>0</v>
      </c>
      <c r="GM48" s="23">
        <f>EXP(-LN(2)/25)*GM47+(1-EXP(-LN(2)/25))/(LN(2)/25)*Calculateur!GH48*Calculateur!GJ48*VLOOKUP('Données projet'!$B$17,Paramètres!$A$1:$I$88,3,0)*0.475*44/12</f>
        <v>0</v>
      </c>
      <c r="GN48" s="23">
        <f>EXP(-LN(2)/2)*GN47+(1-EXP(-LN(2)/2))/(LN(2)/2)*GH48*GK48*VLOOKUP('Données projet'!$B$17,Paramètres!$A$1:$I$88,3,0)*0.475*44/12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232</v>
      </c>
      <c r="GS48" s="13">
        <f>VLOOKUP(A48,'Données projet'!$A$269:$I$289,9,0)</f>
        <v>11.4</v>
      </c>
      <c r="GT48" s="13">
        <f t="array" ref="GT48">INDEX(GS:GS,MIN(IF(ISNUMBER(GS48:GS244),ROW(GS48:GS244),"")))</f>
        <v>11.4</v>
      </c>
      <c r="GU48" s="13">
        <f>IF('Données projet'!$A$270&gt;35,GU47+GT48-HC47,IF(A48&lt;'Données projet'!$A$270,$GR$205^A48,IF(A48='Données projet'!$A$270,'Données projet'!$B$270,GU47+GT48-HC47)))</f>
        <v>232.00000000000006</v>
      </c>
      <c r="GV48" s="18">
        <f>GU48*VLOOKUP('Données projet'!$B$18,Paramètres!$A$1:$I$88,3,0)*VLOOKUP('Données projet'!$B$18,Paramètres!$A$1:$I$88,5,0)</f>
        <v>242.48640000000009</v>
      </c>
      <c r="GW48" s="14">
        <f t="shared" si="51"/>
        <v>58.974170235372476</v>
      </c>
      <c r="GX48" s="22">
        <f t="shared" si="28"/>
        <v>525.04382649327385</v>
      </c>
      <c r="GY48" s="62">
        <f t="shared" si="29"/>
        <v>818.37715982660711</v>
      </c>
      <c r="GZ48" s="62">
        <f ca="1">AVERAGE(OFFSET($GY$3,0,0,'Données projet'!$E$18+1,1))-AVERAGE(OFFSET($H$3,0,0,'Données projet'!$E$18+1,1))</f>
        <v>582.89879210197682</v>
      </c>
      <c r="HA48" s="62">
        <f t="shared" si="52"/>
        <v>314.72094983133326</v>
      </c>
      <c r="HB48" s="16">
        <f>IF(ISNA(VLOOKUP(A48,'Données projet'!$A$269:$I$289,3,0)),0,VLOOKUP(A48,'Données projet'!$A$269:$I$289,3,0))</f>
        <v>3</v>
      </c>
      <c r="HC48" s="16">
        <f>IF(ISNA(VLOOKUP(A48,'Données projet'!$A$269:$I$289,4,0)),0,VLOOKUP(A48,'Données projet'!$A$269:$I$289,4,0))</f>
        <v>56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projet'!$B$18,Paramètres!$A$1:$I$88,3,0)*0.475*44/12</f>
        <v>0</v>
      </c>
      <c r="HH48" s="23">
        <f>EXP(-LN(2)/25)*HH47+(1-EXP(-LN(2)/25))/(LN(2)/25)*Calculateur!HC48*Calculateur!HE48*VLOOKUP('Données projet'!$B$18,Paramètres!$A$1:$I$88,3,0)*0.475*44/12</f>
        <v>0</v>
      </c>
      <c r="HI48" s="23">
        <f>EXP(-LN(2)/2)*HI47+(1-EXP(-LN(2)/2))/(LN(2)/2)*HC48*HF48*VLOOKUP('Données projet'!$B$18,Paramètres!$A$1:$I$88,3,0)*0.475*44/12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IF('Données projet'!$A$36&gt;35,N48+M49-V48,IF(A49&lt;'Données projet'!$A$36,$K$205^A49,IF(A49='Données projet'!$A$36,'Données projet'!$B$36,N48+M49-V48)))</f>
        <v>298.39999999999986</v>
      </c>
      <c r="O49" s="14">
        <f>N49*VLOOKUP('Données projet'!$B$9,Paramètres!$A$1:$I$88,3,0)*VLOOKUP('Données projet'!$B$9,Paramètres!$A$1:$I$88,5,0)</f>
        <v>139.65119999999993</v>
      </c>
      <c r="P49" s="14">
        <f t="shared" si="33"/>
        <v>36.217088715919452</v>
      </c>
      <c r="Q49" s="22">
        <f t="shared" si="53"/>
        <v>306.30393618022629</v>
      </c>
      <c r="R49" s="62">
        <f t="shared" si="0"/>
        <v>599.63726951355966</v>
      </c>
      <c r="S49" s="62">
        <f ca="1">AVERAGE(OFFSET($R$3,0,0,'Données projet'!$E$9+1,1))-AVERAGE(OFFSET($H$3,0,0,'Données projet'!$E$9+1,1))</f>
        <v>399.92909819003523</v>
      </c>
      <c r="T49" s="62">
        <f t="shared" si="34"/>
        <v>163.7053537268381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projet'!$B$10,Paramètres!$A$1:$I$88,3,0)*VLOOKUP('Données projet'!$B$10,Paramètres!$A$1:$I$88,5,0)</f>
        <v>169.19760000000005</v>
      </c>
      <c r="AK49" s="14">
        <f t="shared" si="35"/>
        <v>42.910263223432885</v>
      </c>
      <c r="AL49" s="22">
        <f t="shared" si="4"/>
        <v>369.42119511414563</v>
      </c>
      <c r="AM49" s="62">
        <f t="shared" si="5"/>
        <v>662.75452844747895</v>
      </c>
      <c r="AN49" s="62">
        <f ca="1">AVERAGE(OFFSET($AM$3,0,0,'Données projet'!$E$10+1,1))-AVERAGE(OFFSET($H$3,0,0,'Données projet'!$E$10+1,1))</f>
        <v>510.56580450928806</v>
      </c>
      <c r="AO49" s="62">
        <f t="shared" si="36"/>
        <v>278.21741231699929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214.20000000000005</v>
      </c>
      <c r="BE49" s="14">
        <f>BD49*VLOOKUP('Données projet'!$B$11,Paramètres!$A$1:$I$88,3,0)*VLOOKUP('Données projet'!$B$11,Paramètres!$A$1:$I$88,5,0)</f>
        <v>203.83272000000005</v>
      </c>
      <c r="BF49" s="14">
        <f t="shared" si="37"/>
        <v>50.585550755991541</v>
      </c>
      <c r="BG49" s="22">
        <f t="shared" si="7"/>
        <v>443.11182156668536</v>
      </c>
      <c r="BH49" s="62">
        <f t="shared" si="8"/>
        <v>736.44515490001868</v>
      </c>
      <c r="BI49" s="62">
        <f ca="1">AVERAGE(OFFSET($BH$3,0,0,'Données projet'!$E$11+1,1))-AVERAGE(OFFSET($H$3,0,0,'Données projet'!$E$11+1,1))</f>
        <v>525.51330555662139</v>
      </c>
      <c r="BJ49" s="62">
        <f t="shared" si="38"/>
        <v>357.72390083433635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1.7053025658242404E-13</v>
      </c>
      <c r="BZ49" s="14">
        <f>BY49*VLOOKUP('Données projet'!$B$12,Paramètres!$A$1:$I$88,3,0)*VLOOKUP('Données projet'!$B$12,Paramètres!$A$1:$I$88,5,0)</f>
        <v>1.0197709343628959E-13</v>
      </c>
      <c r="CA49" s="14">
        <f t="shared" si="39"/>
        <v>1.5284983994279675E-12</v>
      </c>
      <c r="CB49" s="22">
        <f t="shared" si="10"/>
        <v>2.839744816738581E-12</v>
      </c>
      <c r="CC49" s="62">
        <f t="shared" si="11"/>
        <v>293.33333333333616</v>
      </c>
      <c r="CD49" s="62">
        <f ca="1">AVERAGE(OFFSET($CC$3,0,0,'Données projet'!$E$12+1,1))-AVERAGE(OFFSET($H$3,0,0,'Données projet'!$E$12+1,1))</f>
        <v>227.46616726010473</v>
      </c>
      <c r="CE49" s="62">
        <f t="shared" si="40"/>
        <v>314.188568589113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87.648916402891714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54.301459483055574</v>
      </c>
      <c r="CN49" s="24">
        <f t="shared" si="12"/>
        <v>141.9503758859473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17.399999999999999</v>
      </c>
      <c r="CT49" s="13">
        <f>IF('Données projet'!$A$140&gt;35,CT48+CS49-DB48,IF(A49&lt;'Données projet'!$A$140,$CQ$205^A49,IF(A49='Données projet'!$A$140,'Données projet'!$B$140,CT48+CS49-DB48)))</f>
        <v>229.40000000000003</v>
      </c>
      <c r="CU49" s="18">
        <f>CT49*VLOOKUP('Données projet'!$B$13,Paramètres!$A$1:$I$88,3,0)*VLOOKUP('Données projet'!$B$13,Paramètres!$A$1:$I$88,5,0)</f>
        <v>137.18120000000002</v>
      </c>
      <c r="CV49" s="14">
        <f t="shared" si="41"/>
        <v>35.650495570194252</v>
      </c>
      <c r="CW49" s="22">
        <f t="shared" si="13"/>
        <v>301.01520311808832</v>
      </c>
      <c r="CX49" s="62">
        <f t="shared" si="14"/>
        <v>594.34853645142164</v>
      </c>
      <c r="CY49" s="62">
        <f ca="1">AVERAGE(OFFSET($CX$3,0,0,'Données projet'!$E$13+1,1))-AVERAGE(OFFSET($H$3,0,0,'Données projet'!$E$13+1,1))</f>
        <v>356.46794174556311</v>
      </c>
      <c r="CZ49" s="62">
        <f t="shared" si="42"/>
        <v>248.47107558211923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0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18.714285714285715</v>
      </c>
      <c r="DO49" s="13">
        <f>IF('Données projet'!$A$166&gt;35,DO48+DN49-DW48,IF(A49&lt;'Données projet'!$A$166,$DL$205^A49,IF(A49='Données projet'!$A$166,'Données projet'!$B$166,DO48+DN49-DW48)))</f>
        <v>416.85714285714266</v>
      </c>
      <c r="DP49" s="18">
        <f>DO49*VLOOKUP('Données projet'!$B$14,Paramètres!$A$1:$I$88,3,0)*VLOOKUP('Données projet'!$B$14,Paramètres!$A$1:$I$88,5,0)</f>
        <v>233.02314285714277</v>
      </c>
      <c r="DQ49" s="14">
        <f t="shared" si="43"/>
        <v>56.935858075040223</v>
      </c>
      <c r="DR49" s="22">
        <f t="shared" si="16"/>
        <v>505.01192662355203</v>
      </c>
      <c r="DS49" s="62">
        <f t="shared" si="17"/>
        <v>798.34525995688534</v>
      </c>
      <c r="DT49" s="62">
        <f ca="1">AVERAGE(OFFSET($DS$3,0,0,'Données projet'!$E$14+1,1))-AVERAGE(OFFSET($H$3,0,0,'Données projet'!$E$14+1,1))</f>
        <v>397.04445188588369</v>
      </c>
      <c r="DU49" s="62">
        <f t="shared" si="44"/>
        <v>350.01856672839466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3.6550842936911314</v>
      </c>
      <c r="EB49" s="23">
        <f>EXP(-LN(2)/25)*EB48+(1-EXP(-LN(2)/25))/(LN(2)/25)*Calculateur!DW49*Calculateur!DY49*VLOOKUP('Données projet'!$B$14,Paramètres!$A$1:$I$88,3,0)*0.475*44/12</f>
        <v>0</v>
      </c>
      <c r="EC49" s="23">
        <f>EXP(-LN(2)/2)*EC48+(1-EXP(-LN(2)/2))/(LN(2)/2)*DW49*DZ49*VLOOKUP('Données projet'!$B$14,Paramètres!$A$1:$I$88,3,0)*0.475*44/12</f>
        <v>6.3291785431729475E-2</v>
      </c>
      <c r="ED49" s="24">
        <f t="shared" si="18"/>
        <v>3.7183760791228608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4.1800000000000042</v>
      </c>
      <c r="EJ49" s="13">
        <f>IF('Données projet'!$A$192&gt;35,EJ48+EI49-ER48,IF(A49&lt;'Données projet'!$A$192,$EG$205^A49,IF(A49='Données projet'!$A$192,'Données projet'!$B$192,EJ48+EI49-ER48)))</f>
        <v>109.87999999999994</v>
      </c>
      <c r="EK49" s="18">
        <f>EJ49*VLOOKUP('Données projet'!$B$15,Paramètres!$A$1:$I$88,3,0)*VLOOKUP('Données projet'!$B$15,Paramètres!$A$1:$I$88,5,0)</f>
        <v>95.991167999999959</v>
      </c>
      <c r="EL49" s="14">
        <f t="shared" si="45"/>
        <v>26.004686376814568</v>
      </c>
      <c r="EM49" s="22">
        <f t="shared" si="19"/>
        <v>212.47611303961864</v>
      </c>
      <c r="EN49" s="62">
        <f t="shared" si="20"/>
        <v>505.80944637295192</v>
      </c>
      <c r="EO49" s="62">
        <f ca="1">AVERAGE(OFFSET($EN$3,0,0,'Données projet'!$E$15+1,1))-AVERAGE(OFFSET($H$3,0,0,'Données projet'!$E$15+1,1))</f>
        <v>202.5548390231225</v>
      </c>
      <c r="EP49" s="62">
        <f t="shared" si="46"/>
        <v>184.62184077734179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projet'!$B$15,Paramètres!$A$1:$I$88,3,0)*0.475*44/12</f>
        <v>0</v>
      </c>
      <c r="EW49" s="23">
        <f>EXP(-LN(2)/25)*EW48+(1-EXP(-LN(2)/25))/(LN(2)/25)*Calculateur!ER49*Calculateur!ET49*VLOOKUP('Données projet'!$B$15,Paramètres!$A$1:$I$88,3,0)*0.475*44/12</f>
        <v>0</v>
      </c>
      <c r="EX49" s="23">
        <f>EXP(-LN(2)/2)*EX48+(1-EXP(-LN(2)/2))/(LN(2)/2)*ER49*EU49*VLOOKUP('Données projet'!$B$15,Paramètres!$A$1:$I$88,3,0)*0.475*44/12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IF('Données projet'!$A$218&gt;35,FE48+FD49-FM48,IF(A49&lt;'Données projet'!$A$218,$FB$205^A49,IF(A49='Données projet'!$A$218,'Données projet'!$B$218,FE48+FD49-FM48)))</f>
        <v>145.20000000000005</v>
      </c>
      <c r="FF49" s="18">
        <f>FE49*VLOOKUP('Données projet'!$B$16,Paramètres!$A$1:$I$88,3,0)*VLOOKUP('Données projet'!$B$16,Paramètres!$A$1:$I$88,5,0)</f>
        <v>140.43744000000004</v>
      </c>
      <c r="FG49" s="14">
        <f t="shared" si="47"/>
        <v>36.397198653986358</v>
      </c>
      <c r="FH49" s="22">
        <f t="shared" si="22"/>
        <v>307.98699565569297</v>
      </c>
      <c r="FI49" s="62">
        <f t="shared" si="23"/>
        <v>601.32032898902628</v>
      </c>
      <c r="FJ49" s="62">
        <f ca="1">AVERAGE(OFFSET($FI$3,0,0,'Données projet'!$E$16+1,1))-AVERAGE(OFFSET($H$3,0,0,'Données projet'!$E$16+1,1))</f>
        <v>456.96274622094955</v>
      </c>
      <c r="FK49" s="62">
        <f t="shared" si="48"/>
        <v>244.45149244446094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projet'!$B$16,Paramètres!$A$1:$I$88,3,0)*0.475*44/12</f>
        <v>0</v>
      </c>
      <c r="FR49" s="23">
        <f>EXP(-LN(2)/25)*FR48+(1-EXP(-LN(2)/25))/(LN(2)/25)*Calculateur!FM49*Calculateur!FO49*VLOOKUP('Données projet'!$B$16,Paramètres!$A$1:$I$88,3,0)*0.475*44/12</f>
        <v>0</v>
      </c>
      <c r="FS49" s="23">
        <f>EXP(-LN(2)/2)*FS48+(1-EXP(-LN(2)/2))/(LN(2)/2)*FM49*FP49*VLOOKUP('Données projet'!$B$16,Paramètres!$A$1:$I$88,3,0)*0.475*44/12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IF('Données projet'!$A$244&gt;35,FZ48+FY49-GH48,IF(A49&lt;'Données projet'!$A$244,$FW$205^A49,IF(A49='Données projet'!$A$244,'Données projet'!$B$244,FZ48+FY49-GH48)))</f>
        <v>145.20000000000005</v>
      </c>
      <c r="GA49" s="18">
        <f>FZ49*VLOOKUP('Données projet'!$B$17,Paramètres!$A$1:$I$88,3,0)*VLOOKUP('Données projet'!$B$17,Paramètres!$A$1:$I$88,5,0)</f>
        <v>156.29328000000004</v>
      </c>
      <c r="GB49" s="14">
        <f t="shared" si="49"/>
        <v>40.005317247308959</v>
      </c>
      <c r="GC49" s="22">
        <f t="shared" si="25"/>
        <v>341.88672353906321</v>
      </c>
      <c r="GD49" s="62">
        <f t="shared" si="26"/>
        <v>635.22005687239653</v>
      </c>
      <c r="GE49" s="62">
        <f ca="1">AVERAGE(OFFSET($GD$3,0,0,'Données projet'!$E$17+1,1))-AVERAGE(OFFSET($H$3,0,0,'Données projet'!$E$17+1,1))</f>
        <v>503.69304261527651</v>
      </c>
      <c r="GF49" s="62">
        <f t="shared" si="50"/>
        <v>267.2998309535638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projet'!$B$17,Paramètres!$A$1:$I$88,3,0)*0.475*44/12</f>
        <v>0</v>
      </c>
      <c r="GM49" s="23">
        <f>EXP(-LN(2)/25)*GM48+(1-EXP(-LN(2)/25))/(LN(2)/25)*Calculateur!GH49*Calculateur!GJ49*VLOOKUP('Données projet'!$B$17,Paramètres!$A$1:$I$88,3,0)*0.475*44/12</f>
        <v>0</v>
      </c>
      <c r="GN49" s="23">
        <f>EXP(-LN(2)/2)*GN48+(1-EXP(-LN(2)/2))/(LN(2)/2)*GH49*GK49*VLOOKUP('Données projet'!$B$17,Paramètres!$A$1:$I$88,3,0)*0.475*44/12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11</v>
      </c>
      <c r="GU49" s="13">
        <f>IF('Données projet'!$A$270&gt;35,GU48+GT49-HC48,IF(A49&lt;'Données projet'!$A$270,$GR$205^A49,IF(A49='Données projet'!$A$270,'Données projet'!$B$270,GU48+GT49-HC48)))</f>
        <v>187.00000000000006</v>
      </c>
      <c r="GV49" s="18">
        <f>GU49*VLOOKUP('Données projet'!$B$18,Paramètres!$A$1:$I$88,3,0)*VLOOKUP('Données projet'!$B$18,Paramètres!$A$1:$I$88,5,0)</f>
        <v>195.4524000000001</v>
      </c>
      <c r="GW49" s="14">
        <f t="shared" si="51"/>
        <v>48.743408969320619</v>
      </c>
      <c r="GX49" s="22">
        <f t="shared" si="28"/>
        <v>425.30770062156694</v>
      </c>
      <c r="GY49" s="62">
        <f t="shared" si="29"/>
        <v>718.64103395490019</v>
      </c>
      <c r="GZ49" s="62">
        <f ca="1">AVERAGE(OFFSET($GY$3,0,0,'Données projet'!$E$18+1,1))-AVERAGE(OFFSET($H$3,0,0,'Données projet'!$E$18+1,1))</f>
        <v>582.89879210197682</v>
      </c>
      <c r="HA49" s="62">
        <f t="shared" si="52"/>
        <v>314.72094983133326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projet'!$B$18,Paramètres!$A$1:$I$88,3,0)*0.475*44/12</f>
        <v>0</v>
      </c>
      <c r="HH49" s="23">
        <f>EXP(-LN(2)/25)*HH48+(1-EXP(-LN(2)/25))/(LN(2)/25)*Calculateur!HC49*Calculateur!HE49*VLOOKUP('Données projet'!$B$18,Paramètres!$A$1:$I$88,3,0)*0.475*44/12</f>
        <v>0</v>
      </c>
      <c r="HI49" s="23">
        <f>EXP(-LN(2)/2)*HI48+(1-EXP(-LN(2)/2))/(LN(2)/2)*HC49*HF49*VLOOKUP('Données projet'!$B$18,Paramètres!$A$1:$I$88,3,0)*0.475*44/12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IF('Données projet'!$A$36&gt;35,N49+M50-V49,IF(A50&lt;'Données projet'!$A$36,$K$205^A50,IF(A50='Données projet'!$A$36,'Données projet'!$B$36,N49+M50-V49)))</f>
        <v>318.79999999999984</v>
      </c>
      <c r="O50" s="14">
        <f>N50*VLOOKUP('Données projet'!$B$9,Paramètres!$A$1:$I$88,3,0)*VLOOKUP('Données projet'!$B$9,Paramètres!$A$1:$I$88,5,0)</f>
        <v>149.19839999999994</v>
      </c>
      <c r="P50" s="14">
        <f t="shared" si="33"/>
        <v>38.396362373864498</v>
      </c>
      <c r="Q50" s="22">
        <f t="shared" si="53"/>
        <v>326.72754446781386</v>
      </c>
      <c r="R50" s="62">
        <f t="shared" si="0"/>
        <v>620.06087780114717</v>
      </c>
      <c r="S50" s="62">
        <f ca="1">AVERAGE(OFFSET($R$3,0,0,'Données projet'!$E$9+1,1))-AVERAGE(OFFSET($H$3,0,0,'Données projet'!$E$9+1,1))</f>
        <v>399.92909819003523</v>
      </c>
      <c r="T50" s="62">
        <f t="shared" si="34"/>
        <v>163.7053537268381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projet'!$B$10,Paramètres!$A$1:$I$88,3,0)*VLOOKUP('Données projet'!$B$10,Paramètres!$A$1:$I$88,5,0)</f>
        <v>179.15040000000005</v>
      </c>
      <c r="AK50" s="14">
        <f t="shared" si="35"/>
        <v>45.133113803437347</v>
      </c>
      <c r="AL50" s="22">
        <f t="shared" si="4"/>
        <v>390.62711987432004</v>
      </c>
      <c r="AM50" s="62">
        <f t="shared" si="5"/>
        <v>683.96045320765336</v>
      </c>
      <c r="AN50" s="62">
        <f ca="1">AVERAGE(OFFSET($AM$3,0,0,'Données projet'!$E$10+1,1))-AVERAGE(OFFSET($H$3,0,0,'Données projet'!$E$10+1,1))</f>
        <v>510.56580450928806</v>
      </c>
      <c r="AO50" s="62">
        <f t="shared" si="36"/>
        <v>278.21741231699929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222.40000000000003</v>
      </c>
      <c r="BE50" s="14">
        <f>BD50*VLOOKUP('Données projet'!$B$11,Paramètres!$A$1:$I$88,3,0)*VLOOKUP('Données projet'!$B$11,Paramètres!$A$1:$I$88,5,0)</f>
        <v>211.63584000000003</v>
      </c>
      <c r="BF50" s="14">
        <f t="shared" si="37"/>
        <v>52.292896299216586</v>
      </c>
      <c r="BG50" s="22">
        <f t="shared" si="7"/>
        <v>459.67588238780223</v>
      </c>
      <c r="BH50" s="62">
        <f t="shared" si="8"/>
        <v>753.00921572113555</v>
      </c>
      <c r="BI50" s="62">
        <f ca="1">AVERAGE(OFFSET($BH$3,0,0,'Données projet'!$E$11+1,1))-AVERAGE(OFFSET($H$3,0,0,'Données projet'!$E$11+1,1))</f>
        <v>525.51330555662139</v>
      </c>
      <c r="BJ50" s="62">
        <f t="shared" si="38"/>
        <v>357.72390083433635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1.7053025658242404E-13</v>
      </c>
      <c r="BZ50" s="14">
        <f>BY50*VLOOKUP('Données projet'!$B$12,Paramètres!$A$1:$I$88,3,0)*VLOOKUP('Données projet'!$B$12,Paramètres!$A$1:$I$88,5,0)</f>
        <v>1.0197709343628959E-13</v>
      </c>
      <c r="CA50" s="14">
        <f t="shared" si="39"/>
        <v>1.5284983994279675E-12</v>
      </c>
      <c r="CB50" s="22">
        <f t="shared" si="10"/>
        <v>2.839744816738581E-12</v>
      </c>
      <c r="CC50" s="62">
        <f t="shared" si="11"/>
        <v>293.33333333333616</v>
      </c>
      <c r="CD50" s="62">
        <f ca="1">AVERAGE(OFFSET($CC$3,0,0,'Données projet'!$E$12+1,1))-AVERAGE(OFFSET($H$3,0,0,'Données projet'!$E$12+1,1))</f>
        <v>227.46616726010473</v>
      </c>
      <c r="CE50" s="62">
        <f t="shared" si="40"/>
        <v>314.188568589113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85.93017461279122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38.396930228795156</v>
      </c>
      <c r="CN50" s="24">
        <f t="shared" si="12"/>
        <v>124.32710484158638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17.399999999999999</v>
      </c>
      <c r="CT50" s="13">
        <f>IF('Données projet'!$A$140&gt;35,CT49+CS50-DB49,IF(A50&lt;'Données projet'!$A$140,$CQ$205^A50,IF(A50='Données projet'!$A$140,'Données projet'!$B$140,CT49+CS50-DB49)))</f>
        <v>246.80000000000004</v>
      </c>
      <c r="CU50" s="18">
        <f>CT50*VLOOKUP('Données projet'!$B$13,Paramètres!$A$1:$I$88,3,0)*VLOOKUP('Données projet'!$B$13,Paramètres!$A$1:$I$88,5,0)</f>
        <v>147.58640000000003</v>
      </c>
      <c r="CV50" s="14">
        <f t="shared" si="41"/>
        <v>38.029569600982974</v>
      </c>
      <c r="CW50" s="22">
        <f t="shared" si="13"/>
        <v>323.28114705504538</v>
      </c>
      <c r="CX50" s="62">
        <f t="shared" si="14"/>
        <v>616.61448038837875</v>
      </c>
      <c r="CY50" s="62">
        <f ca="1">AVERAGE(OFFSET($CX$3,0,0,'Données projet'!$E$13+1,1))-AVERAGE(OFFSET($H$3,0,0,'Données projet'!$E$13+1,1))</f>
        <v>356.46794174556311</v>
      </c>
      <c r="CZ50" s="62">
        <f t="shared" si="42"/>
        <v>248.47107558211923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0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18.714285714285715</v>
      </c>
      <c r="DO50" s="13">
        <f>IF('Données projet'!$A$166&gt;35,DO49+DN50-DW49,IF(A50&lt;'Données projet'!$A$166,$DL$205^A50,IF(A50='Données projet'!$A$166,'Données projet'!$B$166,DO49+DN50-DW49)))</f>
        <v>435.57142857142838</v>
      </c>
      <c r="DP50" s="18">
        <f>DO50*VLOOKUP('Données projet'!$B$14,Paramètres!$A$1:$I$88,3,0)*VLOOKUP('Données projet'!$B$14,Paramètres!$A$1:$I$88,5,0)</f>
        <v>243.48442857142848</v>
      </c>
      <c r="DQ50" s="14">
        <f t="shared" si="43"/>
        <v>59.188592189821975</v>
      </c>
      <c r="DR50" s="22">
        <f t="shared" si="16"/>
        <v>527.15551115917788</v>
      </c>
      <c r="DS50" s="62">
        <f t="shared" si="17"/>
        <v>820.48884449251113</v>
      </c>
      <c r="DT50" s="62">
        <f ca="1">AVERAGE(OFFSET($DS$3,0,0,'Données projet'!$E$14+1,1))-AVERAGE(OFFSET($H$3,0,0,'Données projet'!$E$14+1,1))</f>
        <v>397.04445188588369</v>
      </c>
      <c r="DU50" s="62">
        <f t="shared" si="44"/>
        <v>350.01856672839466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3.5834103200731344</v>
      </c>
      <c r="EB50" s="23">
        <f>EXP(-LN(2)/25)*EB49+(1-EXP(-LN(2)/25))/(LN(2)/25)*Calculateur!DW50*Calculateur!DY50*VLOOKUP('Données projet'!$B$14,Paramètres!$A$1:$I$88,3,0)*0.475*44/12</f>
        <v>0</v>
      </c>
      <c r="EC50" s="23">
        <f>EXP(-LN(2)/2)*EC49+(1-EXP(-LN(2)/2))/(LN(2)/2)*DW50*DZ50*VLOOKUP('Données projet'!$B$14,Paramètres!$A$1:$I$88,3,0)*0.475*44/12</f>
        <v>4.475405067217985E-2</v>
      </c>
      <c r="ED50" s="24">
        <f t="shared" si="18"/>
        <v>3.6281643707453144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4.1800000000000042</v>
      </c>
      <c r="EJ50" s="13">
        <f>IF('Données projet'!$A$192&gt;35,EJ49+EI50-ER49,IF(A50&lt;'Données projet'!$A$192,$EG$205^A50,IF(A50='Données projet'!$A$192,'Données projet'!$B$192,EJ49+EI50-ER49)))</f>
        <v>114.05999999999995</v>
      </c>
      <c r="EK50" s="18">
        <f>EJ50*VLOOKUP('Données projet'!$B$15,Paramètres!$A$1:$I$88,3,0)*VLOOKUP('Données projet'!$B$15,Paramètres!$A$1:$I$88,5,0)</f>
        <v>99.642815999999968</v>
      </c>
      <c r="EL50" s="14">
        <f t="shared" si="45"/>
        <v>26.876885672773401</v>
      </c>
      <c r="EM50" s="22">
        <f t="shared" si="19"/>
        <v>220.35514708008029</v>
      </c>
      <c r="EN50" s="62">
        <f t="shared" si="20"/>
        <v>513.68848041341357</v>
      </c>
      <c r="EO50" s="62">
        <f ca="1">AVERAGE(OFFSET($EN$3,0,0,'Données projet'!$E$15+1,1))-AVERAGE(OFFSET($H$3,0,0,'Données projet'!$E$15+1,1))</f>
        <v>202.5548390231225</v>
      </c>
      <c r="EP50" s="62">
        <f t="shared" si="46"/>
        <v>184.62184077734179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projet'!$B$15,Paramètres!$A$1:$I$88,3,0)*0.475*44/12</f>
        <v>0</v>
      </c>
      <c r="EW50" s="23">
        <f>EXP(-LN(2)/25)*EW49+(1-EXP(-LN(2)/25))/(LN(2)/25)*Calculateur!ER50*Calculateur!ET50*VLOOKUP('Données projet'!$B$15,Paramètres!$A$1:$I$88,3,0)*0.475*44/12</f>
        <v>0</v>
      </c>
      <c r="EX50" s="23">
        <f>EXP(-LN(2)/2)*EX49+(1-EXP(-LN(2)/2))/(LN(2)/2)*ER50*EU50*VLOOKUP('Données projet'!$B$15,Paramètres!$A$1:$I$88,3,0)*0.475*44/12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IF('Données projet'!$A$218&gt;35,FE49+FD50-FM49,IF(A50&lt;'Données projet'!$A$218,$FB$205^A50,IF(A50='Données projet'!$A$218,'Données projet'!$B$218,FE49+FD50-FM49)))</f>
        <v>153.40000000000003</v>
      </c>
      <c r="FF50" s="18">
        <f>FE50*VLOOKUP('Données projet'!$B$16,Paramètres!$A$1:$I$88,3,0)*VLOOKUP('Données projet'!$B$16,Paramètres!$A$1:$I$88,5,0)</f>
        <v>148.36848000000003</v>
      </c>
      <c r="FG50" s="14">
        <f t="shared" si="47"/>
        <v>38.207581183185901</v>
      </c>
      <c r="FH50" s="22">
        <f t="shared" si="22"/>
        <v>324.95330656071548</v>
      </c>
      <c r="FI50" s="62">
        <f t="shared" si="23"/>
        <v>618.28663989404879</v>
      </c>
      <c r="FJ50" s="62">
        <f ca="1">AVERAGE(OFFSET($FI$3,0,0,'Données projet'!$E$16+1,1))-AVERAGE(OFFSET($H$3,0,0,'Données projet'!$E$16+1,1))</f>
        <v>456.96274622094955</v>
      </c>
      <c r="FK50" s="62">
        <f t="shared" si="48"/>
        <v>244.45149244446094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projet'!$B$16,Paramètres!$A$1:$I$88,3,0)*0.475*44/12</f>
        <v>0</v>
      </c>
      <c r="FR50" s="23">
        <f>EXP(-LN(2)/25)*FR49+(1-EXP(-LN(2)/25))/(LN(2)/25)*Calculateur!FM50*Calculateur!FO50*VLOOKUP('Données projet'!$B$16,Paramètres!$A$1:$I$88,3,0)*0.475*44/12</f>
        <v>0</v>
      </c>
      <c r="FS50" s="23">
        <f>EXP(-LN(2)/2)*FS49+(1-EXP(-LN(2)/2))/(LN(2)/2)*FM50*FP50*VLOOKUP('Données projet'!$B$16,Paramètres!$A$1:$I$88,3,0)*0.475*44/12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IF('Données projet'!$A$244&gt;35,FZ49+FY50-GH49,IF(A50&lt;'Données projet'!$A$244,$FW$205^A50,IF(A50='Données projet'!$A$244,'Données projet'!$B$244,FZ49+FY50-GH49)))</f>
        <v>153.40000000000003</v>
      </c>
      <c r="GA50" s="18">
        <f>FZ50*VLOOKUP('Données projet'!$B$17,Paramètres!$A$1:$I$88,3,0)*VLOOKUP('Données projet'!$B$17,Paramètres!$A$1:$I$88,5,0)</f>
        <v>165.11976000000004</v>
      </c>
      <c r="GB50" s="14">
        <f t="shared" si="49"/>
        <v>41.995166194425131</v>
      </c>
      <c r="GC50" s="22">
        <f t="shared" si="25"/>
        <v>360.72516312195717</v>
      </c>
      <c r="GD50" s="62">
        <f t="shared" si="26"/>
        <v>654.05849645529042</v>
      </c>
      <c r="GE50" s="62">
        <f ca="1">AVERAGE(OFFSET($GD$3,0,0,'Données projet'!$E$17+1,1))-AVERAGE(OFFSET($H$3,0,0,'Données projet'!$E$17+1,1))</f>
        <v>503.69304261527651</v>
      </c>
      <c r="GF50" s="62">
        <f t="shared" si="50"/>
        <v>267.2998309535638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projet'!$B$17,Paramètres!$A$1:$I$88,3,0)*0.475*44/12</f>
        <v>0</v>
      </c>
      <c r="GM50" s="23">
        <f>EXP(-LN(2)/25)*GM49+(1-EXP(-LN(2)/25))/(LN(2)/25)*Calculateur!GH50*Calculateur!GJ50*VLOOKUP('Données projet'!$B$17,Paramètres!$A$1:$I$88,3,0)*0.475*44/12</f>
        <v>0</v>
      </c>
      <c r="GN50" s="23">
        <f>EXP(-LN(2)/2)*GN49+(1-EXP(-LN(2)/2))/(LN(2)/2)*GH50*GK50*VLOOKUP('Données projet'!$B$17,Paramètres!$A$1:$I$88,3,0)*0.475*44/12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11</v>
      </c>
      <c r="GU50" s="13">
        <f>IF('Données projet'!$A$270&gt;35,GU49+GT50-HC49,IF(A50&lt;'Données projet'!$A$270,$GR$205^A50,IF(A50='Données projet'!$A$270,'Données projet'!$B$270,GU49+GT50-HC49)))</f>
        <v>198.00000000000006</v>
      </c>
      <c r="GV50" s="18">
        <f>GU50*VLOOKUP('Données projet'!$B$18,Paramètres!$A$1:$I$88,3,0)*VLOOKUP('Données projet'!$B$18,Paramètres!$A$1:$I$88,5,0)</f>
        <v>206.94960000000009</v>
      </c>
      <c r="GW50" s="14">
        <f t="shared" si="51"/>
        <v>51.268429949375587</v>
      </c>
      <c r="GX50" s="22">
        <f t="shared" si="28"/>
        <v>449.72973549516269</v>
      </c>
      <c r="GY50" s="62">
        <f t="shared" si="29"/>
        <v>743.06306882849594</v>
      </c>
      <c r="GZ50" s="62">
        <f ca="1">AVERAGE(OFFSET($GY$3,0,0,'Données projet'!$E$18+1,1))-AVERAGE(OFFSET($H$3,0,0,'Données projet'!$E$18+1,1))</f>
        <v>582.89879210197682</v>
      </c>
      <c r="HA50" s="62">
        <f t="shared" si="52"/>
        <v>314.72094983133326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projet'!$B$18,Paramètres!$A$1:$I$88,3,0)*0.475*44/12</f>
        <v>0</v>
      </c>
      <c r="HH50" s="23">
        <f>EXP(-LN(2)/25)*HH49+(1-EXP(-LN(2)/25))/(LN(2)/25)*Calculateur!HC50*Calculateur!HE50*VLOOKUP('Données projet'!$B$18,Paramètres!$A$1:$I$88,3,0)*0.475*44/12</f>
        <v>0</v>
      </c>
      <c r="HI50" s="23">
        <f>EXP(-LN(2)/2)*HI49+(1-EXP(-LN(2)/2))/(LN(2)/2)*HC50*HF50*VLOOKUP('Données projet'!$B$18,Paramètres!$A$1:$I$88,3,0)*0.475*44/12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IF('Données projet'!$A$36&gt;35,N50+M51-V50,IF(A51&lt;'Données projet'!$A$36,$K$205^A51,IF(A51='Données projet'!$A$36,'Données projet'!$B$36,N50+M51-V50)))</f>
        <v>339.19999999999982</v>
      </c>
      <c r="O51" s="14">
        <f>N51*VLOOKUP('Données projet'!$B$9,Paramètres!$A$1:$I$88,3,0)*VLOOKUP('Données projet'!$B$9,Paramètres!$A$1:$I$88,5,0)</f>
        <v>158.74559999999991</v>
      </c>
      <c r="P51" s="14">
        <f t="shared" si="33"/>
        <v>40.559452507902058</v>
      </c>
      <c r="Q51" s="22">
        <f t="shared" si="53"/>
        <v>347.12296645126258</v>
      </c>
      <c r="R51" s="62">
        <f t="shared" si="0"/>
        <v>640.4562997845959</v>
      </c>
      <c r="S51" s="62">
        <f ca="1">AVERAGE(OFFSET($R$3,0,0,'Données projet'!$E$9+1,1))-AVERAGE(OFFSET($H$3,0,0,'Données projet'!$E$9+1,1))</f>
        <v>399.92909819003523</v>
      </c>
      <c r="T51" s="62">
        <f t="shared" si="34"/>
        <v>163.7053537268381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projet'!$B$10,Paramètres!$A$1:$I$88,3,0)*VLOOKUP('Données projet'!$B$10,Paramètres!$A$1:$I$88,5,0)</f>
        <v>189.10320000000004</v>
      </c>
      <c r="AK51" s="14">
        <f t="shared" si="35"/>
        <v>47.341628542787163</v>
      </c>
      <c r="AL51" s="22">
        <f t="shared" si="4"/>
        <v>411.8080763786877</v>
      </c>
      <c r="AM51" s="62">
        <f t="shared" si="5"/>
        <v>705.14140971202096</v>
      </c>
      <c r="AN51" s="62">
        <f ca="1">AVERAGE(OFFSET($AM$3,0,0,'Données projet'!$E$10+1,1))-AVERAGE(OFFSET($H$3,0,0,'Données projet'!$E$10+1,1))</f>
        <v>510.56580450928806</v>
      </c>
      <c r="AO51" s="62">
        <f t="shared" si="36"/>
        <v>278.21741231699929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230.60000000000002</v>
      </c>
      <c r="BE51" s="14">
        <f>BD51*VLOOKUP('Données projet'!$B$11,Paramètres!$A$1:$I$88,3,0)*VLOOKUP('Données projet'!$B$11,Paramètres!$A$1:$I$88,5,0)</f>
        <v>219.43896000000001</v>
      </c>
      <c r="BF51" s="14">
        <f t="shared" si="37"/>
        <v>53.992928333089367</v>
      </c>
      <c r="BG51" s="22">
        <f t="shared" si="7"/>
        <v>476.22720551346396</v>
      </c>
      <c r="BH51" s="62">
        <f t="shared" si="8"/>
        <v>769.56053884679727</v>
      </c>
      <c r="BI51" s="62">
        <f ca="1">AVERAGE(OFFSET($BH$3,0,0,'Données projet'!$E$11+1,1))-AVERAGE(OFFSET($H$3,0,0,'Données projet'!$E$11+1,1))</f>
        <v>525.51330555662139</v>
      </c>
      <c r="BJ51" s="62">
        <f t="shared" si="38"/>
        <v>357.72390083433635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1.7053025658242404E-13</v>
      </c>
      <c r="BZ51" s="14">
        <f>BY51*VLOOKUP('Données projet'!$B$12,Paramètres!$A$1:$I$88,3,0)*VLOOKUP('Données projet'!$B$12,Paramètres!$A$1:$I$88,5,0)</f>
        <v>1.0197709343628959E-13</v>
      </c>
      <c r="CA51" s="14">
        <f t="shared" si="39"/>
        <v>1.5284983994279675E-12</v>
      </c>
      <c r="CB51" s="22">
        <f t="shared" si="10"/>
        <v>2.839744816738581E-12</v>
      </c>
      <c r="CC51" s="62">
        <f t="shared" si="11"/>
        <v>293.33333333333616</v>
      </c>
      <c r="CD51" s="62">
        <f ca="1">AVERAGE(OFFSET($CC$3,0,0,'Données projet'!$E$12+1,1))-AVERAGE(OFFSET($H$3,0,0,'Données projet'!$E$12+1,1))</f>
        <v>227.46616726010473</v>
      </c>
      <c r="CE51" s="62">
        <f t="shared" si="40"/>
        <v>314.188568589113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84.245136300865624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27.15072974152779</v>
      </c>
      <c r="CN51" s="24">
        <f t="shared" si="12"/>
        <v>111.39586604239341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17.399999999999999</v>
      </c>
      <c r="CT51" s="13">
        <f>IF('Données projet'!$A$140&gt;35,CT50+CS51-DB50,IF(A51&lt;'Données projet'!$A$140,$CQ$205^A51,IF(A51='Données projet'!$A$140,'Données projet'!$B$140,CT50+CS51-DB50)))</f>
        <v>264.20000000000005</v>
      </c>
      <c r="CU51" s="18">
        <f>CT51*VLOOKUP('Données projet'!$B$13,Paramètres!$A$1:$I$88,3,0)*VLOOKUP('Données projet'!$B$13,Paramètres!$A$1:$I$88,5,0)</f>
        <v>157.99160000000003</v>
      </c>
      <c r="CV51" s="14">
        <f t="shared" si="41"/>
        <v>40.389182682530297</v>
      </c>
      <c r="CW51" s="22">
        <f t="shared" si="13"/>
        <v>345.513196505407</v>
      </c>
      <c r="CX51" s="62">
        <f t="shared" si="14"/>
        <v>638.84652983874025</v>
      </c>
      <c r="CY51" s="62">
        <f ca="1">AVERAGE(OFFSET($CX$3,0,0,'Données projet'!$E$13+1,1))-AVERAGE(OFFSET($H$3,0,0,'Données projet'!$E$13+1,1))</f>
        <v>356.46794174556311</v>
      </c>
      <c r="CZ51" s="62">
        <f t="shared" si="42"/>
        <v>248.47107558211923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0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18.714285714285715</v>
      </c>
      <c r="DO51" s="13">
        <f>IF('Données projet'!$A$166&gt;35,DO50+DN51-DW50,IF(A51&lt;'Données projet'!$A$166,$DL$205^A51,IF(A51='Données projet'!$A$166,'Données projet'!$B$166,DO50+DN51-DW50)))</f>
        <v>454.28571428571411</v>
      </c>
      <c r="DP51" s="18">
        <f>DO51*VLOOKUP('Données projet'!$B$14,Paramètres!$A$1:$I$88,3,0)*VLOOKUP('Données projet'!$B$14,Paramètres!$A$1:$I$88,5,0)</f>
        <v>253.94571428571419</v>
      </c>
      <c r="DQ51" s="14">
        <f t="shared" si="43"/>
        <v>61.430084594341928</v>
      </c>
      <c r="DR51" s="22">
        <f t="shared" si="16"/>
        <v>549.27951638276431</v>
      </c>
      <c r="DS51" s="62">
        <f t="shared" si="17"/>
        <v>842.61284971609757</v>
      </c>
      <c r="DT51" s="62">
        <f ca="1">AVERAGE(OFFSET($DS$3,0,0,'Données projet'!$E$14+1,1))-AVERAGE(OFFSET($H$3,0,0,'Données projet'!$E$14+1,1))</f>
        <v>397.04445188588369</v>
      </c>
      <c r="DU51" s="62">
        <f t="shared" si="44"/>
        <v>350.01856672839466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3.5131418293609791</v>
      </c>
      <c r="EB51" s="23">
        <f>EXP(-LN(2)/25)*EB50+(1-EXP(-LN(2)/25))/(LN(2)/25)*Calculateur!DW51*Calculateur!DY51*VLOOKUP('Données projet'!$B$14,Paramètres!$A$1:$I$88,3,0)*0.475*44/12</f>
        <v>0</v>
      </c>
      <c r="EC51" s="23">
        <f>EXP(-LN(2)/2)*EC50+(1-EXP(-LN(2)/2))/(LN(2)/2)*DW51*DZ51*VLOOKUP('Données projet'!$B$14,Paramètres!$A$1:$I$88,3,0)*0.475*44/12</f>
        <v>3.1645892715864737E-2</v>
      </c>
      <c r="ED51" s="24">
        <f t="shared" si="18"/>
        <v>3.544787722076844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4.1800000000000042</v>
      </c>
      <c r="EJ51" s="13">
        <f>IF('Données projet'!$A$192&gt;35,EJ50+EI51-ER50,IF(A51&lt;'Données projet'!$A$192,$EG$205^A51,IF(A51='Données projet'!$A$192,'Données projet'!$B$192,EJ50+EI51-ER50)))</f>
        <v>118.23999999999995</v>
      </c>
      <c r="EK51" s="18">
        <f>EJ51*VLOOKUP('Données projet'!$B$15,Paramètres!$A$1:$I$88,3,0)*VLOOKUP('Données projet'!$B$15,Paramètres!$A$1:$I$88,5,0)</f>
        <v>103.29446399999998</v>
      </c>
      <c r="EL51" s="14">
        <f t="shared" si="45"/>
        <v>27.745371426606621</v>
      </c>
      <c r="EM51" s="22">
        <f t="shared" si="19"/>
        <v>228.22771336800648</v>
      </c>
      <c r="EN51" s="62">
        <f t="shared" si="20"/>
        <v>521.56104670133982</v>
      </c>
      <c r="EO51" s="62">
        <f ca="1">AVERAGE(OFFSET($EN$3,0,0,'Données projet'!$E$15+1,1))-AVERAGE(OFFSET($H$3,0,0,'Données projet'!$E$15+1,1))</f>
        <v>202.5548390231225</v>
      </c>
      <c r="EP51" s="62">
        <f t="shared" si="46"/>
        <v>184.62184077734179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projet'!$B$15,Paramètres!$A$1:$I$88,3,0)*0.475*44/12</f>
        <v>0</v>
      </c>
      <c r="EW51" s="23">
        <f>EXP(-LN(2)/25)*EW50+(1-EXP(-LN(2)/25))/(LN(2)/25)*Calculateur!ER51*Calculateur!ET51*VLOOKUP('Données projet'!$B$15,Paramètres!$A$1:$I$88,3,0)*0.475*44/12</f>
        <v>0</v>
      </c>
      <c r="EX51" s="23">
        <f>EXP(-LN(2)/2)*EX50+(1-EXP(-LN(2)/2))/(LN(2)/2)*ER51*EU51*VLOOKUP('Données projet'!$B$15,Paramètres!$A$1:$I$88,3,0)*0.475*44/12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IF('Données projet'!$A$218&gt;35,FE50+FD51-FM50,IF(A51&lt;'Données projet'!$A$218,$FB$205^A51,IF(A51='Données projet'!$A$218,'Données projet'!$B$218,FE50+FD51-FM50)))</f>
        <v>161.60000000000002</v>
      </c>
      <c r="FF51" s="18">
        <f>FE51*VLOOKUP('Données projet'!$B$16,Paramètres!$A$1:$I$88,3,0)*VLOOKUP('Données projet'!$B$16,Paramètres!$A$1:$I$88,5,0)</f>
        <v>156.29952000000003</v>
      </c>
      <c r="FG51" s="14">
        <f t="shared" si="47"/>
        <v>40.006728538728431</v>
      </c>
      <c r="FH51" s="22">
        <f t="shared" si="22"/>
        <v>341.90004953828537</v>
      </c>
      <c r="FI51" s="62">
        <f t="shared" si="23"/>
        <v>635.23338287161869</v>
      </c>
      <c r="FJ51" s="62">
        <f ca="1">AVERAGE(OFFSET($FI$3,0,0,'Données projet'!$E$16+1,1))-AVERAGE(OFFSET($H$3,0,0,'Données projet'!$E$16+1,1))</f>
        <v>456.96274622094955</v>
      </c>
      <c r="FK51" s="62">
        <f t="shared" si="48"/>
        <v>244.45149244446094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projet'!$B$16,Paramètres!$A$1:$I$88,3,0)*0.475*44/12</f>
        <v>0</v>
      </c>
      <c r="FR51" s="23">
        <f>EXP(-LN(2)/25)*FR50+(1-EXP(-LN(2)/25))/(LN(2)/25)*Calculateur!FM51*Calculateur!FO51*VLOOKUP('Données projet'!$B$16,Paramètres!$A$1:$I$88,3,0)*0.475*44/12</f>
        <v>0</v>
      </c>
      <c r="FS51" s="23">
        <f>EXP(-LN(2)/2)*FS50+(1-EXP(-LN(2)/2))/(LN(2)/2)*FM51*FP51*VLOOKUP('Données projet'!$B$16,Paramètres!$A$1:$I$88,3,0)*0.475*44/12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IF('Données projet'!$A$244&gt;35,FZ50+FY51-GH50,IF(A51&lt;'Données projet'!$A$244,$FW$205^A51,IF(A51='Données projet'!$A$244,'Données projet'!$B$244,FZ50+FY51-GH50)))</f>
        <v>161.60000000000002</v>
      </c>
      <c r="GA51" s="18">
        <f>FZ51*VLOOKUP('Données projet'!$B$17,Paramètres!$A$1:$I$88,3,0)*VLOOKUP('Données projet'!$B$17,Paramètres!$A$1:$I$88,5,0)</f>
        <v>173.94624000000002</v>
      </c>
      <c r="GB51" s="14">
        <f t="shared" si="49"/>
        <v>43.972666205274265</v>
      </c>
      <c r="GC51" s="22">
        <f t="shared" si="25"/>
        <v>379.54209497418606</v>
      </c>
      <c r="GD51" s="62">
        <f t="shared" si="26"/>
        <v>672.87542830751931</v>
      </c>
      <c r="GE51" s="62">
        <f ca="1">AVERAGE(OFFSET($GD$3,0,0,'Données projet'!$E$17+1,1))-AVERAGE(OFFSET($H$3,0,0,'Données projet'!$E$17+1,1))</f>
        <v>503.69304261527651</v>
      </c>
      <c r="GF51" s="62">
        <f t="shared" si="50"/>
        <v>267.2998309535638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projet'!$B$17,Paramètres!$A$1:$I$88,3,0)*0.475*44/12</f>
        <v>0</v>
      </c>
      <c r="GM51" s="23">
        <f>EXP(-LN(2)/25)*GM50+(1-EXP(-LN(2)/25))/(LN(2)/25)*Calculateur!GH51*Calculateur!GJ51*VLOOKUP('Données projet'!$B$17,Paramètres!$A$1:$I$88,3,0)*0.475*44/12</f>
        <v>0</v>
      </c>
      <c r="GN51" s="23">
        <f>EXP(-LN(2)/2)*GN50+(1-EXP(-LN(2)/2))/(LN(2)/2)*GH51*GK51*VLOOKUP('Données projet'!$B$17,Paramètres!$A$1:$I$88,3,0)*0.475*44/12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11</v>
      </c>
      <c r="GU51" s="13">
        <f>IF('Données projet'!$A$270&gt;35,GU50+GT51-HC50,IF(A51&lt;'Données projet'!$A$270,$GR$205^A51,IF(A51='Données projet'!$A$270,'Données projet'!$B$270,GU50+GT51-HC50)))</f>
        <v>209.00000000000006</v>
      </c>
      <c r="GV51" s="18">
        <f>GU51*VLOOKUP('Données projet'!$B$18,Paramètres!$A$1:$I$88,3,0)*VLOOKUP('Données projet'!$B$18,Paramètres!$A$1:$I$88,5,0)</f>
        <v>218.44680000000011</v>
      </c>
      <c r="GW51" s="14">
        <f t="shared" si="51"/>
        <v>53.777166299799873</v>
      </c>
      <c r="GX51" s="22">
        <f t="shared" si="28"/>
        <v>474.12340797215165</v>
      </c>
      <c r="GY51" s="62">
        <f t="shared" si="29"/>
        <v>767.45674130548491</v>
      </c>
      <c r="GZ51" s="62">
        <f ca="1">AVERAGE(OFFSET($GY$3,0,0,'Données projet'!$E$18+1,1))-AVERAGE(OFFSET($H$3,0,0,'Données projet'!$E$18+1,1))</f>
        <v>582.89879210197682</v>
      </c>
      <c r="HA51" s="62">
        <f t="shared" si="52"/>
        <v>314.72094983133326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projet'!$B$18,Paramètres!$A$1:$I$88,3,0)*0.475*44/12</f>
        <v>0</v>
      </c>
      <c r="HH51" s="23">
        <f>EXP(-LN(2)/25)*HH50+(1-EXP(-LN(2)/25))/(LN(2)/25)*Calculateur!HC51*Calculateur!HE51*VLOOKUP('Données projet'!$B$18,Paramètres!$A$1:$I$88,3,0)*0.475*44/12</f>
        <v>0</v>
      </c>
      <c r="HI51" s="23">
        <f>EXP(-LN(2)/2)*HI50+(1-EXP(-LN(2)/2))/(LN(2)/2)*HC51*HF51*VLOOKUP('Données projet'!$B$18,Paramètres!$A$1:$I$88,3,0)*0.475*44/12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IF('Données projet'!$A$36&gt;35,N51+M52-V51,IF(A52&lt;'Données projet'!$A$36,$K$205^A52,IF(A52='Données projet'!$A$36,'Données projet'!$B$36,N51+M52-V51)))</f>
        <v>359.5999999999998</v>
      </c>
      <c r="O52" s="14">
        <f>N52*VLOOKUP('Données projet'!$B$9,Paramètres!$A$1:$I$88,3,0)*VLOOKUP('Données projet'!$B$9,Paramètres!$A$1:$I$88,5,0)</f>
        <v>168.29279999999991</v>
      </c>
      <c r="P52" s="14">
        <f t="shared" si="33"/>
        <v>42.707443263135069</v>
      </c>
      <c r="Q52" s="22">
        <f t="shared" si="53"/>
        <v>367.49209034996011</v>
      </c>
      <c r="R52" s="62">
        <f t="shared" si="0"/>
        <v>660.82542368329337</v>
      </c>
      <c r="S52" s="62">
        <f ca="1">AVERAGE(OFFSET($R$3,0,0,'Données projet'!$E$9+1,1))-AVERAGE(OFFSET($H$3,0,0,'Données projet'!$E$9+1,1))</f>
        <v>399.92909819003523</v>
      </c>
      <c r="T52" s="62">
        <f t="shared" si="34"/>
        <v>163.7053537268381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projet'!$B$10,Paramètres!$A$1:$I$88,3,0)*VLOOKUP('Données projet'!$B$10,Paramètres!$A$1:$I$88,5,0)</f>
        <v>199.05600000000004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726.29886194422556</v>
      </c>
      <c r="AN52" s="62">
        <f ca="1">AVERAGE(OFFSET($AM$3,0,0,'Données projet'!$E$10+1,1))-AVERAGE(OFFSET($H$3,0,0,'Données projet'!$E$10+1,1))</f>
        <v>510.56580450928806</v>
      </c>
      <c r="AO52" s="62">
        <f t="shared" si="36"/>
        <v>278.21741231699929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238.8</v>
      </c>
      <c r="BE52" s="14">
        <f>BD52*VLOOKUP('Données projet'!$B$11,Paramètres!$A$1:$I$88,3,0)*VLOOKUP('Données projet'!$B$11,Paramètres!$A$1:$I$88,5,0)</f>
        <v>227.24208000000002</v>
      </c>
      <c r="BF52" s="14">
        <f t="shared" si="37"/>
        <v>55.685936717321951</v>
      </c>
      <c r="BG52" s="22">
        <f t="shared" si="7"/>
        <v>492.76629578266898</v>
      </c>
      <c r="BH52" s="62">
        <f t="shared" si="8"/>
        <v>786.09962911600223</v>
      </c>
      <c r="BI52" s="62">
        <f ca="1">AVERAGE(OFFSET($BH$3,0,0,'Données projet'!$E$11+1,1))-AVERAGE(OFFSET($H$3,0,0,'Données projet'!$E$11+1,1))</f>
        <v>525.51330555662139</v>
      </c>
      <c r="BJ52" s="62">
        <f t="shared" si="38"/>
        <v>357.72390083433635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1.7053025658242404E-13</v>
      </c>
      <c r="BZ52" s="14">
        <f>BY52*VLOOKUP('Données projet'!$B$12,Paramètres!$A$1:$I$88,3,0)*VLOOKUP('Données projet'!$B$12,Paramètres!$A$1:$I$88,5,0)</f>
        <v>1.0197709343628959E-13</v>
      </c>
      <c r="CA52" s="14">
        <f t="shared" si="39"/>
        <v>1.5284983994279675E-12</v>
      </c>
      <c r="CB52" s="22">
        <f t="shared" si="10"/>
        <v>2.839744816738581E-12</v>
      </c>
      <c r="CC52" s="62">
        <f t="shared" si="11"/>
        <v>293.33333333333616</v>
      </c>
      <c r="CD52" s="62">
        <f ca="1">AVERAGE(OFFSET($CC$3,0,0,'Données projet'!$E$12+1,1))-AVERAGE(OFFSET($H$3,0,0,'Données projet'!$E$12+1,1))</f>
        <v>227.46616726010473</v>
      </c>
      <c r="CE52" s="62">
        <f t="shared" si="40"/>
        <v>314.188568589113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82.593140562464995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19.198465114397582</v>
      </c>
      <c r="CN52" s="24">
        <f t="shared" si="12"/>
        <v>101.79160567686257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17.399999999999999</v>
      </c>
      <c r="CT52" s="13">
        <f>IF('Données projet'!$A$140&gt;35,CT51+CS52-DB51,IF(A52&lt;'Données projet'!$A$140,$CQ$205^A52,IF(A52='Données projet'!$A$140,'Données projet'!$B$140,CT51+CS52-DB51)))</f>
        <v>281.60000000000002</v>
      </c>
      <c r="CU52" s="18">
        <f>CT52*VLOOKUP('Données projet'!$B$13,Paramètres!$A$1:$I$88,3,0)*VLOOKUP('Données projet'!$B$13,Paramètres!$A$1:$I$88,5,0)</f>
        <v>168.39680000000004</v>
      </c>
      <c r="CV52" s="14">
        <f t="shared" si="41"/>
        <v>42.730762346041978</v>
      </c>
      <c r="CW52" s="22">
        <f t="shared" si="13"/>
        <v>367.71383775268987</v>
      </c>
      <c r="CX52" s="62">
        <f t="shared" si="14"/>
        <v>661.04717108602313</v>
      </c>
      <c r="CY52" s="62">
        <f ca="1">AVERAGE(OFFSET($CX$3,0,0,'Données projet'!$E$13+1,1))-AVERAGE(OFFSET($H$3,0,0,'Données projet'!$E$13+1,1))</f>
        <v>356.46794174556311</v>
      </c>
      <c r="CZ52" s="62">
        <f t="shared" si="42"/>
        <v>248.47107558211923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0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>
        <f>VLOOKUP(A52,'Données projet'!$A$165:$I$185,2,0)</f>
        <v>473</v>
      </c>
      <c r="DM52" s="13">
        <f>VLOOKUP(A52,'Données projet'!$A$165:$I$185,9,0)</f>
        <v>18.714285714285715</v>
      </c>
      <c r="DN52" s="13">
        <f t="array" ref="DN52">INDEX(DM:DM,MIN(IF(ISNUMBER(DM52:DM248),ROW(DM52:DM248),"")))</f>
        <v>18.714285714285715</v>
      </c>
      <c r="DO52" s="13">
        <f>IF('Données projet'!$A$166&gt;35,DO51+DN52-DW51,IF(A52&lt;'Données projet'!$A$166,$DL$205^A52,IF(A52='Données projet'!$A$166,'Données projet'!$B$166,DO51+DN52-DW51)))</f>
        <v>472.99999999999983</v>
      </c>
      <c r="DP52" s="18">
        <f>DO52*VLOOKUP('Données projet'!$B$14,Paramètres!$A$1:$I$88,3,0)*VLOOKUP('Données projet'!$B$14,Paramètres!$A$1:$I$88,5,0)</f>
        <v>264.40699999999993</v>
      </c>
      <c r="DQ52" s="14">
        <f t="shared" si="43"/>
        <v>63.660851355620842</v>
      </c>
      <c r="DR52" s="22">
        <f t="shared" si="16"/>
        <v>571.38484111103946</v>
      </c>
      <c r="DS52" s="62">
        <f t="shared" si="17"/>
        <v>864.71817444437283</v>
      </c>
      <c r="DT52" s="62">
        <f ca="1">AVERAGE(OFFSET($DS$3,0,0,'Données projet'!$E$14+1,1))-AVERAGE(OFFSET($H$3,0,0,'Données projet'!$E$14+1,1))</f>
        <v>397.04445188588369</v>
      </c>
      <c r="DU52" s="62">
        <f t="shared" si="44"/>
        <v>350.01856672839466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3.4442512608921416</v>
      </c>
      <c r="EB52" s="23">
        <f>EXP(-LN(2)/25)*EB51+(1-EXP(-LN(2)/25))/(LN(2)/25)*Calculateur!DW52*Calculateur!DY52*VLOOKUP('Données projet'!$B$14,Paramètres!$A$1:$I$88,3,0)*0.475*44/12</f>
        <v>0</v>
      </c>
      <c r="EC52" s="23">
        <f>EXP(-LN(2)/2)*EC51+(1-EXP(-LN(2)/2))/(LN(2)/2)*DW52*DZ52*VLOOKUP('Données projet'!$B$14,Paramètres!$A$1:$I$88,3,0)*0.475*44/12</f>
        <v>2.2377025336089925E-2</v>
      </c>
      <c r="ED52" s="24">
        <f t="shared" si="18"/>
        <v>3.4666282862282314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4.1800000000000042</v>
      </c>
      <c r="EJ52" s="13">
        <f>IF('Données projet'!$A$192&gt;35,EJ51+EI52-ER51,IF(A52&lt;'Données projet'!$A$192,$EG$205^A52,IF(A52='Données projet'!$A$192,'Données projet'!$B$192,EJ51+EI52-ER51)))</f>
        <v>122.41999999999996</v>
      </c>
      <c r="EK52" s="18">
        <f>EJ52*VLOOKUP('Données projet'!$B$15,Paramètres!$A$1:$I$88,3,0)*VLOOKUP('Données projet'!$B$15,Paramètres!$A$1:$I$88,5,0)</f>
        <v>106.94611199999999</v>
      </c>
      <c r="EL52" s="14">
        <f t="shared" si="45"/>
        <v>28.610289960694857</v>
      </c>
      <c r="EM52" s="22">
        <f t="shared" si="19"/>
        <v>236.09406674821017</v>
      </c>
      <c r="EN52" s="62">
        <f t="shared" si="20"/>
        <v>529.42740008154351</v>
      </c>
      <c r="EO52" s="62">
        <f ca="1">AVERAGE(OFFSET($EN$3,0,0,'Données projet'!$E$15+1,1))-AVERAGE(OFFSET($H$3,0,0,'Données projet'!$E$15+1,1))</f>
        <v>202.5548390231225</v>
      </c>
      <c r="EP52" s="62">
        <f t="shared" si="46"/>
        <v>184.62184077734179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projet'!$B$15,Paramètres!$A$1:$I$88,3,0)*0.475*44/12</f>
        <v>0</v>
      </c>
      <c r="EW52" s="23">
        <f>EXP(-LN(2)/25)*EW51+(1-EXP(-LN(2)/25))/(LN(2)/25)*Calculateur!ER52*Calculateur!ET52*VLOOKUP('Données projet'!$B$15,Paramètres!$A$1:$I$88,3,0)*0.475*44/12</f>
        <v>0</v>
      </c>
      <c r="EX52" s="23">
        <f>EXP(-LN(2)/2)*EX51+(1-EXP(-LN(2)/2))/(LN(2)/2)*ER52*EU52*VLOOKUP('Données projet'!$B$15,Paramètres!$A$1:$I$88,3,0)*0.475*44/12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IF('Données projet'!$A$218&gt;35,FE51+FD52-FM51,IF(A52&lt;'Données projet'!$A$218,$FB$205^A52,IF(A52='Données projet'!$A$218,'Données projet'!$B$218,FE51+FD52-FM51)))</f>
        <v>169.8</v>
      </c>
      <c r="FF52" s="18">
        <f>FE52*VLOOKUP('Données projet'!$B$16,Paramètres!$A$1:$I$88,3,0)*VLOOKUP('Données projet'!$B$16,Paramètres!$A$1:$I$88,5,0)</f>
        <v>164.23056000000003</v>
      </c>
      <c r="FG52" s="14">
        <f t="shared" si="47"/>
        <v>41.795275864636551</v>
      </c>
      <c r="FH52" s="22">
        <f t="shared" si="22"/>
        <v>358.82833079757535</v>
      </c>
      <c r="FI52" s="62">
        <f t="shared" si="23"/>
        <v>652.16166413090866</v>
      </c>
      <c r="FJ52" s="62">
        <f ca="1">AVERAGE(OFFSET($FI$3,0,0,'Données projet'!$E$16+1,1))-AVERAGE(OFFSET($H$3,0,0,'Données projet'!$E$16+1,1))</f>
        <v>456.96274622094955</v>
      </c>
      <c r="FK52" s="62">
        <f t="shared" si="48"/>
        <v>244.45149244446094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projet'!$B$16,Paramètres!$A$1:$I$88,3,0)*0.475*44/12</f>
        <v>0</v>
      </c>
      <c r="FR52" s="23">
        <f>EXP(-LN(2)/25)*FR51+(1-EXP(-LN(2)/25))/(LN(2)/25)*Calculateur!FM52*Calculateur!FO52*VLOOKUP('Données projet'!$B$16,Paramètres!$A$1:$I$88,3,0)*0.475*44/12</f>
        <v>0</v>
      </c>
      <c r="FS52" s="23">
        <f>EXP(-LN(2)/2)*FS51+(1-EXP(-LN(2)/2))/(LN(2)/2)*FM52*FP52*VLOOKUP('Données projet'!$B$16,Paramètres!$A$1:$I$88,3,0)*0.475*44/12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IF('Données projet'!$A$244&gt;35,FZ51+FY52-GH51,IF(A52&lt;'Données projet'!$A$244,$FW$205^A52,IF(A52='Données projet'!$A$244,'Données projet'!$B$244,FZ51+FY52-GH51)))</f>
        <v>169.8</v>
      </c>
      <c r="GA52" s="18">
        <f>FZ52*VLOOKUP('Données projet'!$B$17,Paramètres!$A$1:$I$88,3,0)*VLOOKUP('Données projet'!$B$17,Paramètres!$A$1:$I$88,5,0)</f>
        <v>182.77271999999999</v>
      </c>
      <c r="GB52" s="14">
        <f t="shared" si="49"/>
        <v>45.938515386827795</v>
      </c>
      <c r="GC52" s="22">
        <f t="shared" si="25"/>
        <v>398.33873496539172</v>
      </c>
      <c r="GD52" s="62">
        <f t="shared" si="26"/>
        <v>691.67206829872498</v>
      </c>
      <c r="GE52" s="62">
        <f ca="1">AVERAGE(OFFSET($GD$3,0,0,'Données projet'!$E$17+1,1))-AVERAGE(OFFSET($H$3,0,0,'Données projet'!$E$17+1,1))</f>
        <v>503.69304261527651</v>
      </c>
      <c r="GF52" s="62">
        <f t="shared" si="50"/>
        <v>267.2998309535638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projet'!$B$17,Paramètres!$A$1:$I$88,3,0)*0.475*44/12</f>
        <v>0</v>
      </c>
      <c r="GM52" s="23">
        <f>EXP(-LN(2)/25)*GM51+(1-EXP(-LN(2)/25))/(LN(2)/25)*Calculateur!GH52*Calculateur!GJ52*VLOOKUP('Données projet'!$B$17,Paramètres!$A$1:$I$88,3,0)*0.475*44/12</f>
        <v>0</v>
      </c>
      <c r="GN52" s="23">
        <f>EXP(-LN(2)/2)*GN51+(1-EXP(-LN(2)/2))/(LN(2)/2)*GH52*GK52*VLOOKUP('Données projet'!$B$17,Paramètres!$A$1:$I$88,3,0)*0.475*44/12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11</v>
      </c>
      <c r="GU52" s="13">
        <f>IF('Données projet'!$A$270&gt;35,GU51+GT52-HC51,IF(A52&lt;'Données projet'!$A$270,$GR$205^A52,IF(A52='Données projet'!$A$270,'Données projet'!$B$270,GU51+GT52-HC51)))</f>
        <v>220.00000000000006</v>
      </c>
      <c r="GV52" s="18">
        <f>GU52*VLOOKUP('Données projet'!$B$18,Paramètres!$A$1:$I$88,3,0)*VLOOKUP('Données projet'!$B$18,Paramètres!$A$1:$I$88,5,0)</f>
        <v>229.94400000000007</v>
      </c>
      <c r="GW52" s="14">
        <f t="shared" si="51"/>
        <v>56.270572850262418</v>
      </c>
      <c r="GX52" s="22">
        <f t="shared" si="28"/>
        <v>498.49038104754044</v>
      </c>
      <c r="GY52" s="62">
        <f t="shared" si="29"/>
        <v>791.82371438087375</v>
      </c>
      <c r="GZ52" s="62">
        <f ca="1">AVERAGE(OFFSET($GY$3,0,0,'Données projet'!$E$18+1,1))-AVERAGE(OFFSET($H$3,0,0,'Données projet'!$E$18+1,1))</f>
        <v>582.89879210197682</v>
      </c>
      <c r="HA52" s="62">
        <f t="shared" si="52"/>
        <v>314.72094983133326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projet'!$B$18,Paramètres!$A$1:$I$88,3,0)*0.475*44/12</f>
        <v>0</v>
      </c>
      <c r="HH52" s="23">
        <f>EXP(-LN(2)/25)*HH51+(1-EXP(-LN(2)/25))/(LN(2)/25)*Calculateur!HC52*Calculateur!HE52*VLOOKUP('Données projet'!$B$18,Paramètres!$A$1:$I$88,3,0)*0.475*44/12</f>
        <v>0</v>
      </c>
      <c r="HI52" s="23">
        <f>EXP(-LN(2)/2)*HI51+(1-EXP(-LN(2)/2))/(LN(2)/2)*HC52*HF52*VLOOKUP('Données projet'!$B$18,Paramètres!$A$1:$I$88,3,0)*0.475*44/12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380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IF('Données projet'!$A$36&gt;35,N52+M53-V52,IF(A53&lt;'Données projet'!$A$36,$K$205^A53,IF(A53='Données projet'!$A$36,'Données projet'!$B$36,N52+M53-V52)))</f>
        <v>379.99999999999977</v>
      </c>
      <c r="O53" s="14">
        <f>N53*VLOOKUP('Données projet'!$B$9,Paramètres!$A$1:$I$88,3,0)*VLOOKUP('Données projet'!$B$9,Paramètres!$A$1:$I$88,5,0)</f>
        <v>177.83999999999992</v>
      </c>
      <c r="P53" s="14">
        <f t="shared" si="33"/>
        <v>44.841288830609102</v>
      </c>
      <c r="Q53" s="22">
        <f t="shared" si="53"/>
        <v>387.83657804664404</v>
      </c>
      <c r="R53" s="62">
        <f t="shared" si="0"/>
        <v>681.16991137997729</v>
      </c>
      <c r="S53" s="62">
        <f ca="1">AVERAGE(OFFSET($R$3,0,0,'Données projet'!$E$9+1,1))-AVERAGE(OFFSET($H$3,0,0,'Données projet'!$E$9+1,1))</f>
        <v>399.92909819003523</v>
      </c>
      <c r="T53" s="62">
        <f t="shared" si="34"/>
        <v>163.7053537268381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91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projet'!$B$10,Paramètres!$A$1:$I$88,3,0)*VLOOKUP('Données projet'!$B$10,Paramètres!$A$1:$I$88,5,0)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747.43411921957727</v>
      </c>
      <c r="AN53" s="62">
        <f ca="1">AVERAGE(OFFSET($AM$3,0,0,'Données projet'!$E$10+1,1))-AVERAGE(OFFSET($H$3,0,0,'Données projet'!$E$10+1,1))</f>
        <v>510.56580450928806</v>
      </c>
      <c r="AO53" s="62">
        <f t="shared" si="36"/>
        <v>278.21741231699929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247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247</v>
      </c>
      <c r="BE53" s="14">
        <f>BD53*VLOOKUP('Données projet'!$B$11,Paramètres!$A$1:$I$88,3,0)*VLOOKUP('Données projet'!$B$11,Paramètres!$A$1:$I$88,5,0)</f>
        <v>235.04519999999999</v>
      </c>
      <c r="BF53" s="14">
        <f t="shared" si="37"/>
        <v>57.372190275906782</v>
      </c>
      <c r="BG53" s="22">
        <f t="shared" si="7"/>
        <v>509.29362139720428</v>
      </c>
      <c r="BH53" s="62">
        <f t="shared" si="8"/>
        <v>802.62695473053759</v>
      </c>
      <c r="BI53" s="62">
        <f ca="1">AVERAGE(OFFSET($BH$3,0,0,'Données projet'!$E$11+1,1))-AVERAGE(OFFSET($H$3,0,0,'Données projet'!$E$11+1,1))</f>
        <v>525.51330555662139</v>
      </c>
      <c r="BJ53" s="62">
        <f t="shared" si="38"/>
        <v>357.72390083433635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1.7053025658242404E-13</v>
      </c>
      <c r="BZ53" s="14">
        <f>BY53*VLOOKUP('Données projet'!$B$12,Paramètres!$A$1:$I$88,3,0)*VLOOKUP('Données projet'!$B$12,Paramètres!$A$1:$I$88,5,0)</f>
        <v>1.0197709343628959E-13</v>
      </c>
      <c r="CA53" s="14">
        <f t="shared" si="39"/>
        <v>1.5284983994279675E-12</v>
      </c>
      <c r="CB53" s="22">
        <f t="shared" si="10"/>
        <v>2.839744816738581E-12</v>
      </c>
      <c r="CC53" s="62">
        <f t="shared" si="11"/>
        <v>293.33333333333616</v>
      </c>
      <c r="CD53" s="62">
        <f ca="1">AVERAGE(OFFSET($CC$3,0,0,'Données projet'!$E$12+1,1))-AVERAGE(OFFSET($H$3,0,0,'Données projet'!$E$12+1,1))</f>
        <v>227.46616726010473</v>
      </c>
      <c r="CE53" s="62">
        <f t="shared" si="40"/>
        <v>314.188568589113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80.973539452876494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13.575364870763897</v>
      </c>
      <c r="CN53" s="24">
        <f t="shared" si="12"/>
        <v>94.548904323640386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299</v>
      </c>
      <c r="CR53" s="13">
        <f>VLOOKUP(A53,'Données projet'!$A$139:$I$159,9,0)</f>
        <v>17.399999999999999</v>
      </c>
      <c r="CS53" s="13">
        <f t="array" ref="CS53">INDEX(CR:CR,MIN(IF(ISNUMBER(CR53:CR249),ROW(CR53:CR249),"")))</f>
        <v>17.399999999999999</v>
      </c>
      <c r="CT53" s="13">
        <f>IF('Données projet'!$A$140&gt;35,CT52+CS53-DB52,IF(A53&lt;'Données projet'!$A$140,$CQ$205^A53,IF(A53='Données projet'!$A$140,'Données projet'!$B$140,CT52+CS53-DB52)))</f>
        <v>299</v>
      </c>
      <c r="CU53" s="18">
        <f>CT53*VLOOKUP('Données projet'!$B$13,Paramètres!$A$1:$I$88,3,0)*VLOOKUP('Données projet'!$B$13,Paramètres!$A$1:$I$88,5,0)</f>
        <v>178.80199999999999</v>
      </c>
      <c r="CV53" s="14">
        <f t="shared" si="41"/>
        <v>45.055549739375941</v>
      </c>
      <c r="CW53" s="22">
        <f t="shared" si="13"/>
        <v>389.88523246274644</v>
      </c>
      <c r="CX53" s="62">
        <f t="shared" si="14"/>
        <v>683.2185657960797</v>
      </c>
      <c r="CY53" s="62">
        <f ca="1">AVERAGE(OFFSET($CX$3,0,0,'Données projet'!$E$13+1,1))-AVERAGE(OFFSET($H$3,0,0,'Données projet'!$E$13+1,1))</f>
        <v>356.46794174556311</v>
      </c>
      <c r="CZ53" s="62">
        <f t="shared" si="42"/>
        <v>248.47107558211923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0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17.285714285714285</v>
      </c>
      <c r="DO53" s="13">
        <f>IF('Données projet'!$A$166&gt;35,DO52+DN53-DW52,IF(A53&lt;'Données projet'!$A$166,$DL$205^A53,IF(A53='Données projet'!$A$166,'Données projet'!$B$166,DO52+DN53-DW52)))</f>
        <v>490.28571428571411</v>
      </c>
      <c r="DP53" s="18">
        <f>DO53*VLOOKUP('Données projet'!$B$14,Paramètres!$A$1:$I$88,3,0)*VLOOKUP('Données projet'!$B$14,Paramètres!$A$1:$I$88,5,0)</f>
        <v>274.06971428571421</v>
      </c>
      <c r="DQ53" s="14">
        <f t="shared" si="43"/>
        <v>65.712211911346515</v>
      </c>
      <c r="DR53" s="22">
        <f t="shared" si="16"/>
        <v>591.78685479321405</v>
      </c>
      <c r="DS53" s="62">
        <f t="shared" si="17"/>
        <v>885.12018812654742</v>
      </c>
      <c r="DT53" s="62">
        <f ca="1">AVERAGE(OFFSET($DS$3,0,0,'Données projet'!$E$14+1,1))-AVERAGE(OFFSET($H$3,0,0,'Données projet'!$E$14+1,1))</f>
        <v>397.04445188588369</v>
      </c>
      <c r="DU53" s="62">
        <f t="shared" si="44"/>
        <v>350.01856672839466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3.3767115944518804</v>
      </c>
      <c r="EB53" s="23">
        <f>EXP(-LN(2)/25)*EB52+(1-EXP(-LN(2)/25))/(LN(2)/25)*Calculateur!DW53*Calculateur!DY53*VLOOKUP('Données projet'!$B$14,Paramètres!$A$1:$I$88,3,0)*0.475*44/12</f>
        <v>0</v>
      </c>
      <c r="EC53" s="23">
        <f>EXP(-LN(2)/2)*EC52+(1-EXP(-LN(2)/2))/(LN(2)/2)*DW53*DZ53*VLOOKUP('Données projet'!$B$14,Paramètres!$A$1:$I$88,3,0)*0.475*44/12</f>
        <v>1.5822946357932369E-2</v>
      </c>
      <c r="ED53" s="24">
        <f t="shared" si="18"/>
        <v>3.3925345408098129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126.60000000000001</v>
      </c>
      <c r="EH53" s="13">
        <f>VLOOKUP(A53,'Données projet'!$A$191:$I$211,9,0)</f>
        <v>4.1800000000000042</v>
      </c>
      <c r="EI53" s="13">
        <f t="array" ref="EI53">INDEX(EH:EH,MIN(IF(ISNUMBER(EH53:EH249),ROW(EH53:EH249),"")))</f>
        <v>4.1800000000000042</v>
      </c>
      <c r="EJ53" s="13">
        <f>IF('Données projet'!$A$192&gt;35,EJ52+EI53-ER52,IF(A53&lt;'Données projet'!$A$192,$EG$205^A53,IF(A53='Données projet'!$A$192,'Données projet'!$B$192,EJ52+EI53-ER52)))</f>
        <v>126.59999999999997</v>
      </c>
      <c r="EK53" s="18">
        <f>EJ53*VLOOKUP('Données projet'!$B$15,Paramètres!$A$1:$I$88,3,0)*VLOOKUP('Données projet'!$B$15,Paramètres!$A$1:$I$88,5,0)</f>
        <v>110.59775999999998</v>
      </c>
      <c r="EL53" s="14">
        <f t="shared" si="45"/>
        <v>29.471777038327073</v>
      </c>
      <c r="EM53" s="22">
        <f t="shared" si="19"/>
        <v>243.95444367508625</v>
      </c>
      <c r="EN53" s="62">
        <f t="shared" si="20"/>
        <v>537.28777700841954</v>
      </c>
      <c r="EO53" s="62">
        <f ca="1">AVERAGE(OFFSET($EN$3,0,0,'Données projet'!$E$15+1,1))-AVERAGE(OFFSET($H$3,0,0,'Données projet'!$E$15+1,1))</f>
        <v>202.5548390231225</v>
      </c>
      <c r="EP53" s="62">
        <f t="shared" si="46"/>
        <v>184.62184077734179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projet'!$B$15,Paramètres!$A$1:$I$88,3,0)*0.475*44/12</f>
        <v>0</v>
      </c>
      <c r="EW53" s="23">
        <f>EXP(-LN(2)/25)*EW52+(1-EXP(-LN(2)/25))/(LN(2)/25)*Calculateur!ER53*Calculateur!ET53*VLOOKUP('Données projet'!$B$15,Paramètres!$A$1:$I$88,3,0)*0.475*44/12</f>
        <v>0</v>
      </c>
      <c r="EX53" s="23">
        <f>EXP(-LN(2)/2)*EX52+(1-EXP(-LN(2)/2))/(LN(2)/2)*ER53*EU53*VLOOKUP('Données projet'!$B$15,Paramètres!$A$1:$I$88,3,0)*0.475*44/12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178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IF('Données projet'!$A$218&gt;35,FE52+FD53-FM52,IF(A53&lt;'Données projet'!$A$218,$FB$205^A53,IF(A53='Données projet'!$A$218,'Données projet'!$B$218,FE52+FD53-FM52)))</f>
        <v>178</v>
      </c>
      <c r="FF53" s="18">
        <f>FE53*VLOOKUP('Données projet'!$B$16,Paramètres!$A$1:$I$88,3,0)*VLOOKUP('Données projet'!$B$16,Paramètres!$A$1:$I$88,5,0)</f>
        <v>172.16159999999999</v>
      </c>
      <c r="FG53" s="14">
        <f t="shared" si="47"/>
        <v>43.57379349403616</v>
      </c>
      <c r="FH53" s="22">
        <f t="shared" si="22"/>
        <v>375.7391436687796</v>
      </c>
      <c r="FI53" s="62">
        <f t="shared" si="23"/>
        <v>669.07247700211292</v>
      </c>
      <c r="FJ53" s="62">
        <f ca="1">AVERAGE(OFFSET($FI$3,0,0,'Données projet'!$E$16+1,1))-AVERAGE(OFFSET($H$3,0,0,'Données projet'!$E$16+1,1))</f>
        <v>456.96274622094955</v>
      </c>
      <c r="FK53" s="62">
        <f t="shared" si="48"/>
        <v>244.45149244446094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projet'!$B$16,Paramètres!$A$1:$I$88,3,0)*0.475*44/12</f>
        <v>0</v>
      </c>
      <c r="FR53" s="23">
        <f>EXP(-LN(2)/25)*FR52+(1-EXP(-LN(2)/25))/(LN(2)/25)*Calculateur!FM53*Calculateur!FO53*VLOOKUP('Données projet'!$B$16,Paramètres!$A$1:$I$88,3,0)*0.475*44/12</f>
        <v>0</v>
      </c>
      <c r="FS53" s="23">
        <f>EXP(-LN(2)/2)*FS52+(1-EXP(-LN(2)/2))/(LN(2)/2)*FM53*FP53*VLOOKUP('Données projet'!$B$16,Paramètres!$A$1:$I$88,3,0)*0.475*44/12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178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IF('Données projet'!$A$244&gt;35,FZ52+FY53-GH52,IF(A53&lt;'Données projet'!$A$244,$FW$205^A53,IF(A53='Données projet'!$A$244,'Données projet'!$B$244,FZ52+FY53-GH52)))</f>
        <v>178</v>
      </c>
      <c r="GA53" s="18">
        <f>FZ53*VLOOKUP('Données projet'!$B$17,Paramètres!$A$1:$I$88,3,0)*VLOOKUP('Données projet'!$B$17,Paramètres!$A$1:$I$88,5,0)</f>
        <v>191.5992</v>
      </c>
      <c r="GB53" s="14">
        <f t="shared" si="49"/>
        <v>47.893340610341859</v>
      </c>
      <c r="GC53" s="22">
        <f t="shared" si="25"/>
        <v>417.1161748963454</v>
      </c>
      <c r="GD53" s="62">
        <f t="shared" si="26"/>
        <v>710.44950822967871</v>
      </c>
      <c r="GE53" s="62">
        <f ca="1">AVERAGE(OFFSET($GD$3,0,0,'Données projet'!$E$17+1,1))-AVERAGE(OFFSET($H$3,0,0,'Données projet'!$E$17+1,1))</f>
        <v>503.69304261527651</v>
      </c>
      <c r="GF53" s="62">
        <f t="shared" si="50"/>
        <v>267.2998309535638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projet'!$B$17,Paramètres!$A$1:$I$88,3,0)*0.475*44/12</f>
        <v>0</v>
      </c>
      <c r="GM53" s="23">
        <f>EXP(-LN(2)/25)*GM52+(1-EXP(-LN(2)/25))/(LN(2)/25)*Calculateur!GH53*Calculateur!GJ53*VLOOKUP('Données projet'!$B$17,Paramètres!$A$1:$I$88,3,0)*0.475*44/12</f>
        <v>0</v>
      </c>
      <c r="GN53" s="23">
        <f>EXP(-LN(2)/2)*GN52+(1-EXP(-LN(2)/2))/(LN(2)/2)*GH53*GK53*VLOOKUP('Données projet'!$B$17,Paramètres!$A$1:$I$88,3,0)*0.475*44/12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231</v>
      </c>
      <c r="GS53" s="13">
        <f>VLOOKUP(A53,'Données projet'!$A$269:$I$289,9,0)</f>
        <v>11</v>
      </c>
      <c r="GT53" s="13">
        <f t="array" ref="GT53">INDEX(GS:GS,MIN(IF(ISNUMBER(GS53:GS249),ROW(GS53:GS249),"")))</f>
        <v>11</v>
      </c>
      <c r="GU53" s="13">
        <f>IF('Données projet'!$A$270&gt;35,GU52+GT53-HC52,IF(A53&lt;'Données projet'!$A$270,$GR$205^A53,IF(A53='Données projet'!$A$270,'Données projet'!$B$270,GU52+GT53-HC52)))</f>
        <v>231.00000000000006</v>
      </c>
      <c r="GV53" s="18">
        <f>GU53*VLOOKUP('Données projet'!$B$18,Paramètres!$A$1:$I$88,3,0)*VLOOKUP('Données projet'!$B$18,Paramètres!$A$1:$I$88,5,0)</f>
        <v>241.44120000000007</v>
      </c>
      <c r="GW53" s="14">
        <f t="shared" si="51"/>
        <v>58.749503553680732</v>
      </c>
      <c r="GX53" s="22">
        <f t="shared" si="28"/>
        <v>522.83214202266072</v>
      </c>
      <c r="GY53" s="62">
        <f t="shared" si="29"/>
        <v>816.16547535599398</v>
      </c>
      <c r="GZ53" s="62">
        <f ca="1">AVERAGE(OFFSET($GY$3,0,0,'Données projet'!$E$18+1,1))-AVERAGE(OFFSET($H$3,0,0,'Données projet'!$E$18+1,1))</f>
        <v>582.89879210197682</v>
      </c>
      <c r="HA53" s="62">
        <f t="shared" si="52"/>
        <v>314.72094983133326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projet'!$B$18,Paramètres!$A$1:$I$88,3,0)*0.475*44/12</f>
        <v>0</v>
      </c>
      <c r="HH53" s="23">
        <f>EXP(-LN(2)/25)*HH52+(1-EXP(-LN(2)/25))/(LN(2)/25)*Calculateur!HC53*Calculateur!HE53*VLOOKUP('Données projet'!$B$18,Paramètres!$A$1:$I$88,3,0)*0.475*44/12</f>
        <v>0</v>
      </c>
      <c r="HI53" s="23">
        <f>EXP(-LN(2)/2)*HI52+(1-EXP(-LN(2)/2))/(LN(2)/2)*HC53*HF53*VLOOKUP('Données projet'!$B$18,Paramètres!$A$1:$I$88,3,0)*0.475*44/12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22.7</v>
      </c>
      <c r="N54" s="14">
        <f>IF('Données projet'!$A$36&gt;35,N53+M54-V53,IF(A54&lt;'Données projet'!$A$36,$K$205^A54,IF(A54='Données projet'!$A$36,'Données projet'!$B$36,N53+M54-V53)))</f>
        <v>311.69999999999976</v>
      </c>
      <c r="O54" s="14">
        <f>N54*VLOOKUP('Données projet'!$B$9,Paramètres!$A$1:$I$88,3,0)*VLOOKUP('Données projet'!$B$9,Paramètres!$A$1:$I$88,5,0)</f>
        <v>145.87559999999988</v>
      </c>
      <c r="P54" s="14">
        <f t="shared" si="33"/>
        <v>37.639785440563593</v>
      </c>
      <c r="Q54" s="22">
        <f t="shared" si="53"/>
        <v>319.62262964231468</v>
      </c>
      <c r="R54" s="62">
        <f t="shared" si="0"/>
        <v>612.95596297564794</v>
      </c>
      <c r="S54" s="62">
        <f ca="1">AVERAGE(OFFSET($R$3,0,0,'Données projet'!$E$9+1,1))-AVERAGE(OFFSET($H$3,0,0,'Données projet'!$E$9+1,1))</f>
        <v>399.92909819003523</v>
      </c>
      <c r="T54" s="62">
        <f t="shared" si="34"/>
        <v>163.7053537268381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projet'!$B$10,Paramètres!$A$1:$I$88,3,0)*VLOOKUP('Données projet'!$B$10,Paramètres!$A$1:$I$88,5,0)</f>
        <v>218.23776000000004</v>
      </c>
      <c r="AK54" s="14">
        <f t="shared" si="35"/>
        <v>53.731692470599071</v>
      </c>
      <c r="AL54" s="22">
        <f t="shared" si="4"/>
        <v>473.68012971962668</v>
      </c>
      <c r="AM54" s="62">
        <f t="shared" si="5"/>
        <v>767.01346305295999</v>
      </c>
      <c r="AN54" s="62">
        <f ca="1">AVERAGE(OFFSET($AM$3,0,0,'Données projet'!$E$10+1,1))-AVERAGE(OFFSET($H$3,0,0,'Données projet'!$E$10+1,1))</f>
        <v>510.56580450928806</v>
      </c>
      <c r="AO54" s="62">
        <f t="shared" si="36"/>
        <v>278.21741231699929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7.6</v>
      </c>
      <c r="BD54" s="13">
        <f>IF('Données projet'!$A$88&gt;35,BD53+BC54-BL53,IF(A54&lt;'Données projet'!$A$88,$BA$205^A54,IF(A54='Données projet'!$A$88,'Données projet'!$B$88,BD53+BC54-BL53)))</f>
        <v>254.6</v>
      </c>
      <c r="BE54" s="14">
        <f>BD54*VLOOKUP('Données projet'!$B$11,Paramètres!$A$1:$I$88,3,0)*VLOOKUP('Données projet'!$B$11,Paramètres!$A$1:$I$88,5,0)</f>
        <v>242.27735999999999</v>
      </c>
      <c r="BF54" s="14">
        <f t="shared" si="37"/>
        <v>58.929245931818649</v>
      </c>
      <c r="BG54" s="22">
        <f t="shared" si="7"/>
        <v>524.60150533125068</v>
      </c>
      <c r="BH54" s="62">
        <f t="shared" si="8"/>
        <v>817.93483866458405</v>
      </c>
      <c r="BI54" s="62">
        <f ca="1">AVERAGE(OFFSET($BH$3,0,0,'Données projet'!$E$11+1,1))-AVERAGE(OFFSET($H$3,0,0,'Données projet'!$E$11+1,1))</f>
        <v>525.51330555662139</v>
      </c>
      <c r="BJ54" s="62">
        <f t="shared" si="38"/>
        <v>357.72390083433635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1.7053025658242404E-13</v>
      </c>
      <c r="BZ54" s="14">
        <f>BY54*VLOOKUP('Données projet'!$B$12,Paramètres!$A$1:$I$88,3,0)*VLOOKUP('Données projet'!$B$12,Paramètres!$A$1:$I$88,5,0)</f>
        <v>1.0197709343628959E-13</v>
      </c>
      <c r="CA54" s="14">
        <f t="shared" si="39"/>
        <v>1.5284983994279675E-12</v>
      </c>
      <c r="CB54" s="22">
        <f t="shared" si="10"/>
        <v>2.839744816738581E-12</v>
      </c>
      <c r="CC54" s="62">
        <f t="shared" si="11"/>
        <v>293.33333333333616</v>
      </c>
      <c r="CD54" s="62">
        <f ca="1">AVERAGE(OFFSET($CC$3,0,0,'Données projet'!$E$12+1,1))-AVERAGE(OFFSET($H$3,0,0,'Données projet'!$E$12+1,1))</f>
        <v>227.46616726010473</v>
      </c>
      <c r="CE54" s="62">
        <f t="shared" si="40"/>
        <v>314.188568589113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79.385697733187897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9.5992325571987909</v>
      </c>
      <c r="CN54" s="24">
        <f t="shared" si="12"/>
        <v>88.984930290386686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14.5</v>
      </c>
      <c r="CT54" s="13">
        <f>IF('Données projet'!$A$140&gt;35,CT53+CS54-DB53,IF(A54&lt;'Données projet'!$A$140,$CQ$205^A54,IF(A54='Données projet'!$A$140,'Données projet'!$B$140,CT53+CS54-DB53)))</f>
        <v>313.5</v>
      </c>
      <c r="CU54" s="18">
        <f>CT54*VLOOKUP('Données projet'!$B$13,Paramètres!$A$1:$I$88,3,0)*VLOOKUP('Données projet'!$B$13,Paramètres!$A$1:$I$88,5,0)</f>
        <v>187.47300000000001</v>
      </c>
      <c r="CV54" s="14">
        <f t="shared" si="41"/>
        <v>46.980834419747985</v>
      </c>
      <c r="CW54" s="22">
        <f t="shared" si="13"/>
        <v>408.34042828106112</v>
      </c>
      <c r="CX54" s="62">
        <f t="shared" si="14"/>
        <v>701.67376161439438</v>
      </c>
      <c r="CY54" s="62">
        <f ca="1">AVERAGE(OFFSET($CX$3,0,0,'Données projet'!$E$13+1,1))-AVERAGE(OFFSET($H$3,0,0,'Données projet'!$E$13+1,1))</f>
        <v>356.46794174556311</v>
      </c>
      <c r="CZ54" s="62">
        <f t="shared" si="42"/>
        <v>248.47107558211923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0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17.285714285714285</v>
      </c>
      <c r="DO54" s="13">
        <f>IF('Données projet'!$A$166&gt;35,DO53+DN54-DW53,IF(A54&lt;'Données projet'!$A$166,$DL$205^A54,IF(A54='Données projet'!$A$166,'Données projet'!$B$166,DO53+DN54-DW53)))</f>
        <v>507.57142857142838</v>
      </c>
      <c r="DP54" s="18">
        <f>DO54*VLOOKUP('Données projet'!$B$14,Paramètres!$A$1:$I$88,3,0)*VLOOKUP('Données projet'!$B$14,Paramètres!$A$1:$I$88,5,0)</f>
        <v>283.73242857142844</v>
      </c>
      <c r="DQ54" s="14">
        <f t="shared" si="43"/>
        <v>67.755169410440615</v>
      </c>
      <c r="DR54" s="22">
        <f t="shared" si="16"/>
        <v>612.17423315175517</v>
      </c>
      <c r="DS54" s="62">
        <f t="shared" si="17"/>
        <v>905.50756648508855</v>
      </c>
      <c r="DT54" s="62">
        <f ca="1">AVERAGE(OFFSET($DS$3,0,0,'Données projet'!$E$14+1,1))-AVERAGE(OFFSET($H$3,0,0,'Données projet'!$E$14+1,1))</f>
        <v>397.04445188588369</v>
      </c>
      <c r="DU54" s="62">
        <f t="shared" si="44"/>
        <v>350.01856672839466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3.3104963396753839</v>
      </c>
      <c r="EB54" s="23">
        <f>EXP(-LN(2)/25)*EB53+(1-EXP(-LN(2)/25))/(LN(2)/25)*Calculateur!DW54*Calculateur!DY54*VLOOKUP('Données projet'!$B$14,Paramètres!$A$1:$I$88,3,0)*0.475*44/12</f>
        <v>0</v>
      </c>
      <c r="EC54" s="23">
        <f>EXP(-LN(2)/2)*EC53+(1-EXP(-LN(2)/2))/(LN(2)/2)*DW54*DZ54*VLOOKUP('Données projet'!$B$14,Paramètres!$A$1:$I$88,3,0)*0.475*44/12</f>
        <v>1.1188512668044963E-2</v>
      </c>
      <c r="ED54" s="24">
        <f t="shared" si="18"/>
        <v>3.321684852343429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3.5799999999999983</v>
      </c>
      <c r="EJ54" s="13">
        <f>IF('Données projet'!$A$192&gt;35,EJ53+EI54-ER53,IF(A54&lt;'Données projet'!$A$192,$EG$205^A54,IF(A54='Données projet'!$A$192,'Données projet'!$B$192,EJ53+EI54-ER53)))</f>
        <v>130.17999999999995</v>
      </c>
      <c r="EK54" s="18">
        <f>EJ54*VLOOKUP('Données projet'!$B$15,Paramètres!$A$1:$I$88,3,0)*VLOOKUP('Données projet'!$B$15,Paramètres!$A$1:$I$88,5,0)</f>
        <v>113.72524799999997</v>
      </c>
      <c r="EL54" s="14">
        <f t="shared" si="45"/>
        <v>30.206973539156177</v>
      </c>
      <c r="EM54" s="22">
        <f t="shared" si="19"/>
        <v>250.68195251403026</v>
      </c>
      <c r="EN54" s="62">
        <f t="shared" si="20"/>
        <v>544.01528584736354</v>
      </c>
      <c r="EO54" s="62">
        <f ca="1">AVERAGE(OFFSET($EN$3,0,0,'Données projet'!$E$15+1,1))-AVERAGE(OFFSET($H$3,0,0,'Données projet'!$E$15+1,1))</f>
        <v>202.5548390231225</v>
      </c>
      <c r="EP54" s="62">
        <f t="shared" si="46"/>
        <v>184.62184077734179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projet'!$B$15,Paramètres!$A$1:$I$88,3,0)*0.475*44/12</f>
        <v>0</v>
      </c>
      <c r="EW54" s="23">
        <f>EXP(-LN(2)/25)*EW53+(1-EXP(-LN(2)/25))/(LN(2)/25)*Calculateur!ER54*Calculateur!ET54*VLOOKUP('Données projet'!$B$15,Paramètres!$A$1:$I$88,3,0)*0.475*44/12</f>
        <v>0</v>
      </c>
      <c r="EX54" s="23">
        <f>EXP(-LN(2)/2)*EX53+(1-EXP(-LN(2)/2))/(LN(2)/2)*ER54*EU54*VLOOKUP('Données projet'!$B$15,Paramètres!$A$1:$I$88,3,0)*0.475*44/12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186</v>
      </c>
      <c r="FF54" s="18">
        <f>FE54*VLOOKUP('Données projet'!$B$16,Paramètres!$A$1:$I$88,3,0)*VLOOKUP('Données projet'!$B$16,Paramètres!$A$1:$I$88,5,0)</f>
        <v>179.89920000000001</v>
      </c>
      <c r="FG54" s="14">
        <f t="shared" si="47"/>
        <v>45.299759292628586</v>
      </c>
      <c r="FH54" s="22">
        <f t="shared" si="22"/>
        <v>392.22152076799483</v>
      </c>
      <c r="FI54" s="62">
        <f t="shared" si="23"/>
        <v>685.55485410132815</v>
      </c>
      <c r="FJ54" s="62">
        <f ca="1">AVERAGE(OFFSET($FI$3,0,0,'Données projet'!$E$16+1,1))-AVERAGE(OFFSET($H$3,0,0,'Données projet'!$E$16+1,1))</f>
        <v>456.96274622094955</v>
      </c>
      <c r="FK54" s="62">
        <f t="shared" si="48"/>
        <v>244.45149244446094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projet'!$B$16,Paramètres!$A$1:$I$88,3,0)*0.475*44/12</f>
        <v>0</v>
      </c>
      <c r="FR54" s="23">
        <f>EXP(-LN(2)/25)*FR53+(1-EXP(-LN(2)/25))/(LN(2)/25)*Calculateur!FM54*Calculateur!FO54*VLOOKUP('Données projet'!$B$16,Paramètres!$A$1:$I$88,3,0)*0.475*44/12</f>
        <v>0</v>
      </c>
      <c r="FS54" s="23">
        <f>EXP(-LN(2)/2)*FS53+(1-EXP(-LN(2)/2))/(LN(2)/2)*FM54*FP54*VLOOKUP('Données projet'!$B$16,Paramètres!$A$1:$I$88,3,0)*0.475*44/12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IF('Données projet'!$A$244&gt;35,FZ53+FY54-GH53,IF(A54&lt;'Données projet'!$A$244,$FW$205^A54,IF(A54='Données projet'!$A$244,'Données projet'!$B$244,FZ53+FY54-GH53)))</f>
        <v>186</v>
      </c>
      <c r="GA54" s="18">
        <f>FZ54*VLOOKUP('Données projet'!$B$17,Paramètres!$A$1:$I$88,3,0)*VLOOKUP('Données projet'!$B$17,Paramètres!$A$1:$I$88,5,0)</f>
        <v>200.21040000000002</v>
      </c>
      <c r="GB54" s="14">
        <f t="shared" si="49"/>
        <v>49.790404447235048</v>
      </c>
      <c r="GC54" s="22">
        <f t="shared" si="25"/>
        <v>435.41806774560104</v>
      </c>
      <c r="GD54" s="62">
        <f t="shared" si="26"/>
        <v>728.75140107893435</v>
      </c>
      <c r="GE54" s="62">
        <f ca="1">AVERAGE(OFFSET($GD$3,0,0,'Données projet'!$E$17+1,1))-AVERAGE(OFFSET($H$3,0,0,'Données projet'!$E$17+1,1))</f>
        <v>503.69304261527651</v>
      </c>
      <c r="GF54" s="62">
        <f t="shared" si="50"/>
        <v>267.2998309535638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projet'!$B$17,Paramètres!$A$1:$I$88,3,0)*0.475*44/12</f>
        <v>0</v>
      </c>
      <c r="GM54" s="23">
        <f>EXP(-LN(2)/25)*GM53+(1-EXP(-LN(2)/25))/(LN(2)/25)*Calculateur!GH54*Calculateur!GJ54*VLOOKUP('Données projet'!$B$17,Paramètres!$A$1:$I$88,3,0)*0.475*44/12</f>
        <v>0</v>
      </c>
      <c r="GN54" s="23">
        <f>EXP(-LN(2)/2)*GN53+(1-EXP(-LN(2)/2))/(LN(2)/2)*GH54*GK54*VLOOKUP('Données projet'!$B$17,Paramètres!$A$1:$I$88,3,0)*0.475*44/12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10.199999999999999</v>
      </c>
      <c r="GU54" s="13">
        <f>IF('Données projet'!$A$270&gt;35,GU53+GT54-HC53,IF(A54&lt;'Données projet'!$A$270,$GR$205^A54,IF(A54='Données projet'!$A$270,'Données projet'!$B$270,GU53+GT54-HC53)))</f>
        <v>241.20000000000005</v>
      </c>
      <c r="GV54" s="18">
        <f>GU54*VLOOKUP('Données projet'!$B$18,Paramètres!$A$1:$I$88,3,0)*VLOOKUP('Données projet'!$B$18,Paramètres!$A$1:$I$88,5,0)</f>
        <v>252.10224000000008</v>
      </c>
      <c r="GW54" s="14">
        <f t="shared" si="51"/>
        <v>61.035884284157149</v>
      </c>
      <c r="GX54" s="22">
        <f t="shared" si="28"/>
        <v>545.3822331282405</v>
      </c>
      <c r="GY54" s="62">
        <f t="shared" si="29"/>
        <v>838.71556646157387</v>
      </c>
      <c r="GZ54" s="62">
        <f ca="1">AVERAGE(OFFSET($GY$3,0,0,'Données projet'!$E$18+1,1))-AVERAGE(OFFSET($H$3,0,0,'Données projet'!$E$18+1,1))</f>
        <v>582.89879210197682</v>
      </c>
      <c r="HA54" s="62">
        <f t="shared" si="52"/>
        <v>314.72094983133326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projet'!$B$18,Paramètres!$A$1:$I$88,3,0)*0.475*44/12</f>
        <v>0</v>
      </c>
      <c r="HH54" s="23">
        <f>EXP(-LN(2)/25)*HH53+(1-EXP(-LN(2)/25))/(LN(2)/25)*Calculateur!HC54*Calculateur!HE54*VLOOKUP('Données projet'!$B$18,Paramètres!$A$1:$I$88,3,0)*0.475*44/12</f>
        <v>0</v>
      </c>
      <c r="HI54" s="23">
        <f>EXP(-LN(2)/2)*HI53+(1-EXP(-LN(2)/2))/(LN(2)/2)*HC54*HF54*VLOOKUP('Données projet'!$B$18,Paramètres!$A$1:$I$88,3,0)*0.475*44/12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22.7</v>
      </c>
      <c r="N55" s="14">
        <f>IF('Données projet'!$A$36&gt;35,N54+M55-V54,IF(A55&lt;'Données projet'!$A$36,$K$205^A55,IF(A55='Données projet'!$A$36,'Données projet'!$B$36,N54+M55-V54)))</f>
        <v>334.39999999999975</v>
      </c>
      <c r="O55" s="14">
        <f>N55*VLOOKUP('Données projet'!$B$9,Paramètres!$A$1:$I$88,3,0)*VLOOKUP('Données projet'!$B$9,Paramètres!$A$1:$I$88,5,0)</f>
        <v>156.49919999999989</v>
      </c>
      <c r="P55" s="14">
        <f t="shared" si="33"/>
        <v>40.051886402928353</v>
      </c>
      <c r="Q55" s="22">
        <f t="shared" si="53"/>
        <v>342.32647548509999</v>
      </c>
      <c r="R55" s="62">
        <f t="shared" si="0"/>
        <v>635.65980881843325</v>
      </c>
      <c r="S55" s="62">
        <f ca="1">AVERAGE(OFFSET($R$3,0,0,'Données projet'!$E$9+1,1))-AVERAGE(OFFSET($H$3,0,0,'Données projet'!$E$9+1,1))</f>
        <v>399.92909819003523</v>
      </c>
      <c r="T55" s="62">
        <f t="shared" si="34"/>
        <v>163.7053537268381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projet'!$B$10,Paramètres!$A$1:$I$88,3,0)*VLOOKUP('Données projet'!$B$10,Paramètres!$A$1:$I$88,5,0)</f>
        <v>227.46672000000004</v>
      </c>
      <c r="AK55" s="14">
        <f t="shared" si="35"/>
        <v>55.734574592438989</v>
      </c>
      <c r="AL55" s="22">
        <f t="shared" si="4"/>
        <v>493.24225474849794</v>
      </c>
      <c r="AM55" s="62">
        <f t="shared" si="5"/>
        <v>786.57558808183126</v>
      </c>
      <c r="AN55" s="62">
        <f ca="1">AVERAGE(OFFSET($AM$3,0,0,'Données projet'!$E$10+1,1))-AVERAGE(OFFSET($H$3,0,0,'Données projet'!$E$10+1,1))</f>
        <v>510.56580450928806</v>
      </c>
      <c r="AO55" s="62">
        <f t="shared" si="36"/>
        <v>278.21741231699929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7.6</v>
      </c>
      <c r="BD55" s="13">
        <f>IF('Données projet'!$A$88&gt;35,BD54+BC55-BL54,IF(A55&lt;'Données projet'!$A$88,$BA$205^A55,IF(A55='Données projet'!$A$88,'Données projet'!$B$88,BD54+BC55-BL54)))</f>
        <v>262.2</v>
      </c>
      <c r="BE55" s="14">
        <f>BD55*VLOOKUP('Données projet'!$B$11,Paramètres!$A$1:$I$88,3,0)*VLOOKUP('Données projet'!$B$11,Paramètres!$A$1:$I$88,5,0)</f>
        <v>249.50951999999998</v>
      </c>
      <c r="BF55" s="14">
        <f t="shared" si="37"/>
        <v>60.480899941029307</v>
      </c>
      <c r="BG55" s="22">
        <f t="shared" si="7"/>
        <v>539.89998139729266</v>
      </c>
      <c r="BH55" s="62">
        <f t="shared" si="8"/>
        <v>833.23331473062603</v>
      </c>
      <c r="BI55" s="62">
        <f ca="1">AVERAGE(OFFSET($BH$3,0,0,'Données projet'!$E$11+1,1))-AVERAGE(OFFSET($H$3,0,0,'Données projet'!$E$11+1,1))</f>
        <v>525.51330555662139</v>
      </c>
      <c r="BJ55" s="62">
        <f t="shared" si="38"/>
        <v>357.72390083433635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1.7053025658242404E-13</v>
      </c>
      <c r="BZ55" s="14">
        <f>BY55*VLOOKUP('Données projet'!$B$12,Paramètres!$A$1:$I$88,3,0)*VLOOKUP('Données projet'!$B$12,Paramètres!$A$1:$I$88,5,0)</f>
        <v>1.0197709343628959E-13</v>
      </c>
      <c r="CA55" s="14">
        <f t="shared" si="39"/>
        <v>1.5284983994279675E-12</v>
      </c>
      <c r="CB55" s="22">
        <f t="shared" si="10"/>
        <v>2.839744816738581E-12</v>
      </c>
      <c r="CC55" s="62">
        <f t="shared" si="11"/>
        <v>293.33333333333616</v>
      </c>
      <c r="CD55" s="62">
        <f ca="1">AVERAGE(OFFSET($CC$3,0,0,'Données projet'!$E$12+1,1))-AVERAGE(OFFSET($H$3,0,0,'Données projet'!$E$12+1,1))</f>
        <v>227.46616726010473</v>
      </c>
      <c r="CE55" s="62">
        <f t="shared" si="40"/>
        <v>314.188568589113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77.828992621134574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6.7876824353819485</v>
      </c>
      <c r="CN55" s="24">
        <f t="shared" si="12"/>
        <v>84.616675056516527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14.5</v>
      </c>
      <c r="CT55" s="13">
        <f>IF('Données projet'!$A$140&gt;35,CT54+CS55-DB54,IF(A55&lt;'Données projet'!$A$140,$CQ$205^A55,IF(A55='Données projet'!$A$140,'Données projet'!$B$140,CT54+CS55-DB54)))</f>
        <v>328</v>
      </c>
      <c r="CU55" s="18">
        <f>CT55*VLOOKUP('Données projet'!$B$13,Paramètres!$A$1:$I$88,3,0)*VLOOKUP('Données projet'!$B$13,Paramètres!$A$1:$I$88,5,0)</f>
        <v>196.14400000000001</v>
      </c>
      <c r="CV55" s="14">
        <f t="shared" si="41"/>
        <v>48.895777841838495</v>
      </c>
      <c r="CW55" s="22">
        <f t="shared" si="13"/>
        <v>426.77761307453534</v>
      </c>
      <c r="CX55" s="62">
        <f t="shared" si="14"/>
        <v>720.1109464078686</v>
      </c>
      <c r="CY55" s="62">
        <f ca="1">AVERAGE(OFFSET($CX$3,0,0,'Données projet'!$E$13+1,1))-AVERAGE(OFFSET($H$3,0,0,'Données projet'!$E$13+1,1))</f>
        <v>356.46794174556311</v>
      </c>
      <c r="CZ55" s="62">
        <f t="shared" si="42"/>
        <v>248.47107558211923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0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17.285714285714285</v>
      </c>
      <c r="DO55" s="13">
        <f>IF('Données projet'!$A$166&gt;35,DO54+DN55-DW54,IF(A55&lt;'Données projet'!$A$166,$DL$205^A55,IF(A55='Données projet'!$A$166,'Données projet'!$B$166,DO54+DN55-DW54)))</f>
        <v>524.85714285714266</v>
      </c>
      <c r="DP55" s="18">
        <f>DO55*VLOOKUP('Données projet'!$B$14,Paramètres!$A$1:$I$88,3,0)*VLOOKUP('Données projet'!$B$14,Paramètres!$A$1:$I$88,5,0)</f>
        <v>293.39514285714279</v>
      </c>
      <c r="DQ55" s="14">
        <f t="shared" si="43"/>
        <v>69.790042828443532</v>
      </c>
      <c r="DR55" s="22">
        <f t="shared" si="16"/>
        <v>632.54753173572942</v>
      </c>
      <c r="DS55" s="62">
        <f t="shared" si="17"/>
        <v>925.88086506906279</v>
      </c>
      <c r="DT55" s="62">
        <f ca="1">AVERAGE(OFFSET($DS$3,0,0,'Données projet'!$E$14+1,1))-AVERAGE(OFFSET($H$3,0,0,'Données projet'!$E$14+1,1))</f>
        <v>397.04445188588369</v>
      </c>
      <c r="DU55" s="62">
        <f t="shared" si="44"/>
        <v>350.01856672839466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3.2455795256577371</v>
      </c>
      <c r="EB55" s="23">
        <f>EXP(-LN(2)/25)*EB54+(1-EXP(-LN(2)/25))/(LN(2)/25)*Calculateur!DW55*Calculateur!DY55*VLOOKUP('Données projet'!$B$14,Paramètres!$A$1:$I$88,3,0)*0.475*44/12</f>
        <v>0</v>
      </c>
      <c r="EC55" s="23">
        <f>EXP(-LN(2)/2)*EC54+(1-EXP(-LN(2)/2))/(LN(2)/2)*DW55*DZ55*VLOOKUP('Données projet'!$B$14,Paramètres!$A$1:$I$88,3,0)*0.475*44/12</f>
        <v>7.9114731789661843E-3</v>
      </c>
      <c r="ED55" s="24">
        <f t="shared" si="18"/>
        <v>3.2534909988367033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3.5799999999999983</v>
      </c>
      <c r="EJ55" s="13">
        <f>IF('Données projet'!$A$192&gt;35,EJ54+EI55-ER54,IF(A55&lt;'Données projet'!$A$192,$EG$205^A55,IF(A55='Données projet'!$A$192,'Données projet'!$B$192,EJ54+EI55-ER54)))</f>
        <v>133.75999999999993</v>
      </c>
      <c r="EK55" s="18">
        <f>EJ55*VLOOKUP('Données projet'!$B$15,Paramètres!$A$1:$I$88,3,0)*VLOOKUP('Données projet'!$B$15,Paramètres!$A$1:$I$88,5,0)</f>
        <v>116.85273599999995</v>
      </c>
      <c r="EL55" s="14">
        <f t="shared" si="45"/>
        <v>30.939820092771573</v>
      </c>
      <c r="EM55" s="22">
        <f t="shared" si="19"/>
        <v>257.40536852824368</v>
      </c>
      <c r="EN55" s="62">
        <f t="shared" si="20"/>
        <v>550.73870186157706</v>
      </c>
      <c r="EO55" s="62">
        <f ca="1">AVERAGE(OFFSET($EN$3,0,0,'Données projet'!$E$15+1,1))-AVERAGE(OFFSET($H$3,0,0,'Données projet'!$E$15+1,1))</f>
        <v>202.5548390231225</v>
      </c>
      <c r="EP55" s="62">
        <f t="shared" si="46"/>
        <v>184.62184077734179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projet'!$B$15,Paramètres!$A$1:$I$88,3,0)*0.475*44/12</f>
        <v>0</v>
      </c>
      <c r="EW55" s="23">
        <f>EXP(-LN(2)/25)*EW54+(1-EXP(-LN(2)/25))/(LN(2)/25)*Calculateur!ER55*Calculateur!ET55*VLOOKUP('Données projet'!$B$15,Paramètres!$A$1:$I$88,3,0)*0.475*44/12</f>
        <v>0</v>
      </c>
      <c r="EX55" s="23">
        <f>EXP(-LN(2)/2)*EX54+(1-EXP(-LN(2)/2))/(LN(2)/2)*ER55*EU55*VLOOKUP('Données projet'!$B$15,Paramètres!$A$1:$I$88,3,0)*0.475*44/12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194</v>
      </c>
      <c r="FF55" s="18">
        <f>FE55*VLOOKUP('Données projet'!$B$16,Paramètres!$A$1:$I$88,3,0)*VLOOKUP('Données projet'!$B$16,Paramètres!$A$1:$I$88,5,0)</f>
        <v>187.63680000000002</v>
      </c>
      <c r="FG55" s="14">
        <f t="shared" si="47"/>
        <v>47.01710291385907</v>
      </c>
      <c r="FH55" s="22">
        <f t="shared" si="22"/>
        <v>408.68888090830461</v>
      </c>
      <c r="FI55" s="62">
        <f t="shared" si="23"/>
        <v>702.02221424163793</v>
      </c>
      <c r="FJ55" s="62">
        <f ca="1">AVERAGE(OFFSET($FI$3,0,0,'Données projet'!$E$16+1,1))-AVERAGE(OFFSET($H$3,0,0,'Données projet'!$E$16+1,1))</f>
        <v>456.96274622094955</v>
      </c>
      <c r="FK55" s="62">
        <f t="shared" si="48"/>
        <v>244.45149244446094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projet'!$B$16,Paramètres!$A$1:$I$88,3,0)*0.475*44/12</f>
        <v>0</v>
      </c>
      <c r="FR55" s="23">
        <f>EXP(-LN(2)/25)*FR54+(1-EXP(-LN(2)/25))/(LN(2)/25)*Calculateur!FM55*Calculateur!FO55*VLOOKUP('Données projet'!$B$16,Paramètres!$A$1:$I$88,3,0)*0.475*44/12</f>
        <v>0</v>
      </c>
      <c r="FS55" s="23">
        <f>EXP(-LN(2)/2)*FS54+(1-EXP(-LN(2)/2))/(LN(2)/2)*FM55*FP55*VLOOKUP('Données projet'!$B$16,Paramètres!$A$1:$I$88,3,0)*0.475*44/12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IF('Données projet'!$A$244&gt;35,FZ54+FY55-GH54,IF(A55&lt;'Données projet'!$A$244,$FW$205^A55,IF(A55='Données projet'!$A$244,'Données projet'!$B$244,FZ54+FY55-GH54)))</f>
        <v>194</v>
      </c>
      <c r="GA55" s="18">
        <f>FZ55*VLOOKUP('Données projet'!$B$17,Paramètres!$A$1:$I$88,3,0)*VLOOKUP('Données projet'!$B$17,Paramètres!$A$1:$I$88,5,0)</f>
        <v>208.82159999999999</v>
      </c>
      <c r="GB55" s="14">
        <f t="shared" si="49"/>
        <v>51.6779913750944</v>
      </c>
      <c r="GC55" s="22">
        <f t="shared" si="25"/>
        <v>453.70345497828936</v>
      </c>
      <c r="GD55" s="62">
        <f t="shared" si="26"/>
        <v>747.03678831162267</v>
      </c>
      <c r="GE55" s="62">
        <f ca="1">AVERAGE(OFFSET($GD$3,0,0,'Données projet'!$E$17+1,1))-AVERAGE(OFFSET($H$3,0,0,'Données projet'!$E$17+1,1))</f>
        <v>503.69304261527651</v>
      </c>
      <c r="GF55" s="62">
        <f t="shared" si="50"/>
        <v>267.2998309535638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projet'!$B$17,Paramètres!$A$1:$I$88,3,0)*0.475*44/12</f>
        <v>0</v>
      </c>
      <c r="GM55" s="23">
        <f>EXP(-LN(2)/25)*GM54+(1-EXP(-LN(2)/25))/(LN(2)/25)*Calculateur!GH55*Calculateur!GJ55*VLOOKUP('Données projet'!$B$17,Paramètres!$A$1:$I$88,3,0)*0.475*44/12</f>
        <v>0</v>
      </c>
      <c r="GN55" s="23">
        <f>EXP(-LN(2)/2)*GN54+(1-EXP(-LN(2)/2))/(LN(2)/2)*GH55*GK55*VLOOKUP('Données projet'!$B$17,Paramètres!$A$1:$I$88,3,0)*0.475*44/12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10.199999999999999</v>
      </c>
      <c r="GU55" s="13">
        <f>IF('Données projet'!$A$270&gt;35,GU54+GT55-HC54,IF(A55&lt;'Données projet'!$A$270,$GR$205^A55,IF(A55='Données projet'!$A$270,'Données projet'!$B$270,GU54+GT55-HC54)))</f>
        <v>251.40000000000003</v>
      </c>
      <c r="GV55" s="18">
        <f>GU55*VLOOKUP('Données projet'!$B$18,Paramètres!$A$1:$I$88,3,0)*VLOOKUP('Données projet'!$B$18,Paramètres!$A$1:$I$88,5,0)</f>
        <v>262.76328000000007</v>
      </c>
      <c r="GW55" s="14">
        <f t="shared" si="51"/>
        <v>63.3110346805516</v>
      </c>
      <c r="GX55" s="22">
        <f t="shared" si="28"/>
        <v>567.9127647352941</v>
      </c>
      <c r="GY55" s="62">
        <f t="shared" si="29"/>
        <v>861.24609806862736</v>
      </c>
      <c r="GZ55" s="62">
        <f ca="1">AVERAGE(OFFSET($GY$3,0,0,'Données projet'!$E$18+1,1))-AVERAGE(OFFSET($H$3,0,0,'Données projet'!$E$18+1,1))</f>
        <v>582.89879210197682</v>
      </c>
      <c r="HA55" s="62">
        <f t="shared" si="52"/>
        <v>314.72094983133326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projet'!$B$18,Paramètres!$A$1:$I$88,3,0)*0.475*44/12</f>
        <v>0</v>
      </c>
      <c r="HH55" s="23">
        <f>EXP(-LN(2)/25)*HH54+(1-EXP(-LN(2)/25))/(LN(2)/25)*Calculateur!HC55*Calculateur!HE55*VLOOKUP('Données projet'!$B$18,Paramètres!$A$1:$I$88,3,0)*0.475*44/12</f>
        <v>0</v>
      </c>
      <c r="HI55" s="23">
        <f>EXP(-LN(2)/2)*HI54+(1-EXP(-LN(2)/2))/(LN(2)/2)*HC55*HF55*VLOOKUP('Données projet'!$B$18,Paramètres!$A$1:$I$88,3,0)*0.475*44/12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22.7</v>
      </c>
      <c r="N56" s="14">
        <f>IF('Données projet'!$A$36&gt;35,N55+M56-V55,IF(A56&lt;'Données projet'!$A$36,$K$205^A56,IF(A56='Données projet'!$A$36,'Données projet'!$B$36,N55+M56-V55)))</f>
        <v>357.09999999999974</v>
      </c>
      <c r="O56" s="14">
        <f>N56*VLOOKUP('Données projet'!$B$9,Paramètres!$A$1:$I$88,3,0)*VLOOKUP('Données projet'!$B$9,Paramètres!$A$1:$I$88,5,0)</f>
        <v>167.12279999999987</v>
      </c>
      <c r="P56" s="14">
        <f t="shared" si="33"/>
        <v>42.444987720629342</v>
      </c>
      <c r="Q56" s="22">
        <f t="shared" si="53"/>
        <v>364.99723028009589</v>
      </c>
      <c r="R56" s="62">
        <f t="shared" si="0"/>
        <v>658.33056361342915</v>
      </c>
      <c r="S56" s="62">
        <f ca="1">AVERAGE(OFFSET($R$3,0,0,'Données projet'!$E$9+1,1))-AVERAGE(OFFSET($H$3,0,0,'Données projet'!$E$9+1,1))</f>
        <v>399.92909819003523</v>
      </c>
      <c r="T56" s="62">
        <f t="shared" si="34"/>
        <v>163.7053537268381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projet'!$B$10,Paramètres!$A$1:$I$88,3,0)*VLOOKUP('Données projet'!$B$10,Paramètres!$A$1:$I$88,5,0)</f>
        <v>236.69568000000001</v>
      </c>
      <c r="AK56" s="14">
        <f t="shared" si="35"/>
        <v>57.72801732243034</v>
      </c>
      <c r="AL56" s="22">
        <f t="shared" si="4"/>
        <v>512.78793950323291</v>
      </c>
      <c r="AM56" s="62">
        <f t="shared" si="5"/>
        <v>806.12127283656628</v>
      </c>
      <c r="AN56" s="62">
        <f ca="1">AVERAGE(OFFSET($AM$3,0,0,'Données projet'!$E$10+1,1))-AVERAGE(OFFSET($H$3,0,0,'Données projet'!$E$10+1,1))</f>
        <v>510.56580450928806</v>
      </c>
      <c r="AO56" s="62">
        <f t="shared" si="36"/>
        <v>278.21741231699929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7.6</v>
      </c>
      <c r="BD56" s="13">
        <f>IF('Données projet'!$A$88&gt;35,BD55+BC56-BL55,IF(A56&lt;'Données projet'!$A$88,$BA$205^A56,IF(A56='Données projet'!$A$88,'Données projet'!$B$88,BD55+BC56-BL55)))</f>
        <v>269.8</v>
      </c>
      <c r="BE56" s="14">
        <f>BD56*VLOOKUP('Données projet'!$B$11,Paramètres!$A$1:$I$88,3,0)*VLOOKUP('Données projet'!$B$11,Paramètres!$A$1:$I$88,5,0)</f>
        <v>256.74168000000003</v>
      </c>
      <c r="BF56" s="14">
        <f t="shared" si="37"/>
        <v>62.027326852695715</v>
      </c>
      <c r="BG56" s="22">
        <f t="shared" si="7"/>
        <v>555.18935360177841</v>
      </c>
      <c r="BH56" s="62">
        <f t="shared" si="8"/>
        <v>848.52268693511178</v>
      </c>
      <c r="BI56" s="62">
        <f ca="1">AVERAGE(OFFSET($BH$3,0,0,'Données projet'!$E$11+1,1))-AVERAGE(OFFSET($H$3,0,0,'Données projet'!$E$11+1,1))</f>
        <v>525.51330555662139</v>
      </c>
      <c r="BJ56" s="62">
        <f t="shared" si="38"/>
        <v>357.72390083433635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1.7053025658242404E-13</v>
      </c>
      <c r="BZ56" s="14">
        <f>BY56*VLOOKUP('Données projet'!$B$12,Paramètres!$A$1:$I$88,3,0)*VLOOKUP('Données projet'!$B$12,Paramètres!$A$1:$I$88,5,0)</f>
        <v>1.0197709343628959E-13</v>
      </c>
      <c r="CA56" s="14">
        <f t="shared" si="39"/>
        <v>1.5284983994279675E-12</v>
      </c>
      <c r="CB56" s="22">
        <f t="shared" si="10"/>
        <v>2.839744816738581E-12</v>
      </c>
      <c r="CC56" s="62">
        <f t="shared" si="11"/>
        <v>293.33333333333616</v>
      </c>
      <c r="CD56" s="62">
        <f ca="1">AVERAGE(OFFSET($CC$3,0,0,'Données projet'!$E$12+1,1))-AVERAGE(OFFSET($H$3,0,0,'Données projet'!$E$12+1,1))</f>
        <v>227.46616726010473</v>
      </c>
      <c r="CE56" s="62">
        <f t="shared" si="40"/>
        <v>314.188568589113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76.302813546832255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4.7996162785993954</v>
      </c>
      <c r="CN56" s="24">
        <f t="shared" si="12"/>
        <v>81.102429825431656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14.5</v>
      </c>
      <c r="CT56" s="13">
        <f>IF('Données projet'!$A$140&gt;35,CT55+CS56-DB55,IF(A56&lt;'Données projet'!$A$140,$CQ$205^A56,IF(A56='Données projet'!$A$140,'Données projet'!$B$140,CT55+CS56-DB55)))</f>
        <v>342.5</v>
      </c>
      <c r="CU56" s="18">
        <f>CT56*VLOOKUP('Données projet'!$B$13,Paramètres!$A$1:$I$88,3,0)*VLOOKUP('Données projet'!$B$13,Paramètres!$A$1:$I$88,5,0)</f>
        <v>204.81500000000003</v>
      </c>
      <c r="CV56" s="14">
        <f t="shared" si="41"/>
        <v>50.800889406233551</v>
      </c>
      <c r="CW56" s="22">
        <f t="shared" si="13"/>
        <v>445.19767404919008</v>
      </c>
      <c r="CX56" s="62">
        <f t="shared" si="14"/>
        <v>738.5310073825234</v>
      </c>
      <c r="CY56" s="62">
        <f ca="1">AVERAGE(OFFSET($CX$3,0,0,'Données projet'!$E$13+1,1))-AVERAGE(OFFSET($H$3,0,0,'Données projet'!$E$13+1,1))</f>
        <v>356.46794174556311</v>
      </c>
      <c r="CZ56" s="62">
        <f t="shared" si="42"/>
        <v>248.47107558211923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0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17.285714285714285</v>
      </c>
      <c r="DO56" s="13">
        <f>IF('Données projet'!$A$166&gt;35,DO55+DN56-DW55,IF(A56&lt;'Données projet'!$A$166,$DL$205^A56,IF(A56='Données projet'!$A$166,'Données projet'!$B$166,DO55+DN56-DW55)))</f>
        <v>542.142857142857</v>
      </c>
      <c r="DP56" s="18">
        <f>DO56*VLOOKUP('Données projet'!$B$14,Paramètres!$A$1:$I$88,3,0)*VLOOKUP('Données projet'!$B$14,Paramètres!$A$1:$I$88,5,0)</f>
        <v>303.05785714285707</v>
      </c>
      <c r="DQ56" s="14">
        <f t="shared" si="43"/>
        <v>71.817128938088587</v>
      </c>
      <c r="DR56" s="22">
        <f t="shared" si="16"/>
        <v>652.90726742431355</v>
      </c>
      <c r="DS56" s="62">
        <f t="shared" si="17"/>
        <v>946.24060075764692</v>
      </c>
      <c r="DT56" s="62">
        <f ca="1">AVERAGE(OFFSET($DS$3,0,0,'Données projet'!$E$14+1,1))-AVERAGE(OFFSET($H$3,0,0,'Données projet'!$E$14+1,1))</f>
        <v>397.04445188588369</v>
      </c>
      <c r="DU56" s="62">
        <f t="shared" si="44"/>
        <v>350.01856672839466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3.1819356907676295</v>
      </c>
      <c r="EB56" s="23">
        <f>EXP(-LN(2)/25)*EB55+(1-EXP(-LN(2)/25))/(LN(2)/25)*Calculateur!DW56*Calculateur!DY56*VLOOKUP('Données projet'!$B$14,Paramètres!$A$1:$I$88,3,0)*0.475*44/12</f>
        <v>0</v>
      </c>
      <c r="EC56" s="23">
        <f>EXP(-LN(2)/2)*EC55+(1-EXP(-LN(2)/2))/(LN(2)/2)*DW56*DZ56*VLOOKUP('Données projet'!$B$14,Paramètres!$A$1:$I$88,3,0)*0.475*44/12</f>
        <v>5.5942563340224813E-3</v>
      </c>
      <c r="ED56" s="24">
        <f t="shared" si="18"/>
        <v>3.1875299471016518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3.5799999999999983</v>
      </c>
      <c r="EJ56" s="13">
        <f>IF('Données projet'!$A$192&gt;35,EJ55+EI56-ER55,IF(A56&lt;'Données projet'!$A$192,$EG$205^A56,IF(A56='Données projet'!$A$192,'Données projet'!$B$192,EJ55+EI56-ER55)))</f>
        <v>137.33999999999992</v>
      </c>
      <c r="EK56" s="18">
        <f>EJ56*VLOOKUP('Données projet'!$B$15,Paramètres!$A$1:$I$88,3,0)*VLOOKUP('Données projet'!$B$15,Paramètres!$A$1:$I$88,5,0)</f>
        <v>119.98022399999995</v>
      </c>
      <c r="EL56" s="14">
        <f t="shared" si="45"/>
        <v>31.67038682263966</v>
      </c>
      <c r="EM56" s="22">
        <f t="shared" si="19"/>
        <v>264.12481384943067</v>
      </c>
      <c r="EN56" s="62">
        <f t="shared" si="20"/>
        <v>557.45814718276392</v>
      </c>
      <c r="EO56" s="62">
        <f ca="1">AVERAGE(OFFSET($EN$3,0,0,'Données projet'!$E$15+1,1))-AVERAGE(OFFSET($H$3,0,0,'Données projet'!$E$15+1,1))</f>
        <v>202.5548390231225</v>
      </c>
      <c r="EP56" s="62">
        <f t="shared" si="46"/>
        <v>184.62184077734179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projet'!$B$15,Paramètres!$A$1:$I$88,3,0)*0.475*44/12</f>
        <v>0</v>
      </c>
      <c r="EW56" s="23">
        <f>EXP(-LN(2)/25)*EW55+(1-EXP(-LN(2)/25))/(LN(2)/25)*Calculateur!ER56*Calculateur!ET56*VLOOKUP('Données projet'!$B$15,Paramètres!$A$1:$I$88,3,0)*0.475*44/12</f>
        <v>0</v>
      </c>
      <c r="EX56" s="23">
        <f>EXP(-LN(2)/2)*EX55+(1-EXP(-LN(2)/2))/(LN(2)/2)*ER56*EU56*VLOOKUP('Données projet'!$B$15,Paramètres!$A$1:$I$88,3,0)*0.475*44/12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202</v>
      </c>
      <c r="FF56" s="18">
        <f>FE56*VLOOKUP('Données projet'!$B$16,Paramètres!$A$1:$I$88,3,0)*VLOOKUP('Données projet'!$B$16,Paramètres!$A$1:$I$88,5,0)</f>
        <v>195.37440000000001</v>
      </c>
      <c r="FG56" s="14">
        <f t="shared" si="47"/>
        <v>48.726220575731652</v>
      </c>
      <c r="FH56" s="22">
        <f t="shared" si="22"/>
        <v>425.14191416939929</v>
      </c>
      <c r="FI56" s="62">
        <f t="shared" si="23"/>
        <v>718.4752475027326</v>
      </c>
      <c r="FJ56" s="62">
        <f ca="1">AVERAGE(OFFSET($FI$3,0,0,'Données projet'!$E$16+1,1))-AVERAGE(OFFSET($H$3,0,0,'Données projet'!$E$16+1,1))</f>
        <v>456.96274622094955</v>
      </c>
      <c r="FK56" s="62">
        <f t="shared" si="48"/>
        <v>244.45149244446094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projet'!$B$16,Paramètres!$A$1:$I$88,3,0)*0.475*44/12</f>
        <v>0</v>
      </c>
      <c r="FR56" s="23">
        <f>EXP(-LN(2)/25)*FR55+(1-EXP(-LN(2)/25))/(LN(2)/25)*Calculateur!FM56*Calculateur!FO56*VLOOKUP('Données projet'!$B$16,Paramètres!$A$1:$I$88,3,0)*0.475*44/12</f>
        <v>0</v>
      </c>
      <c r="FS56" s="23">
        <f>EXP(-LN(2)/2)*FS55+(1-EXP(-LN(2)/2))/(LN(2)/2)*FM56*FP56*VLOOKUP('Données projet'!$B$16,Paramètres!$A$1:$I$88,3,0)*0.475*44/12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IF('Données projet'!$A$244&gt;35,FZ55+FY56-GH55,IF(A56&lt;'Données projet'!$A$244,$FW$205^A56,IF(A56='Données projet'!$A$244,'Données projet'!$B$244,FZ55+FY56-GH55)))</f>
        <v>202</v>
      </c>
      <c r="GA56" s="18">
        <f>FZ56*VLOOKUP('Données projet'!$B$17,Paramètres!$A$1:$I$88,3,0)*VLOOKUP('Données projet'!$B$17,Paramètres!$A$1:$I$88,5,0)</f>
        <v>217.43280000000001</v>
      </c>
      <c r="GB56" s="14">
        <f t="shared" si="49"/>
        <v>53.556536889714792</v>
      </c>
      <c r="GC56" s="22">
        <f t="shared" si="25"/>
        <v>471.97309508291988</v>
      </c>
      <c r="GD56" s="62">
        <f t="shared" si="26"/>
        <v>765.3064284162532</v>
      </c>
      <c r="GE56" s="62">
        <f ca="1">AVERAGE(OFFSET($GD$3,0,0,'Données projet'!$E$17+1,1))-AVERAGE(OFFSET($H$3,0,0,'Données projet'!$E$17+1,1))</f>
        <v>503.69304261527651</v>
      </c>
      <c r="GF56" s="62">
        <f t="shared" si="50"/>
        <v>267.2998309535638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projet'!$B$17,Paramètres!$A$1:$I$88,3,0)*0.475*44/12</f>
        <v>0</v>
      </c>
      <c r="GM56" s="23">
        <f>EXP(-LN(2)/25)*GM55+(1-EXP(-LN(2)/25))/(LN(2)/25)*Calculateur!GH56*Calculateur!GJ56*VLOOKUP('Données projet'!$B$17,Paramètres!$A$1:$I$88,3,0)*0.475*44/12</f>
        <v>0</v>
      </c>
      <c r="GN56" s="23">
        <f>EXP(-LN(2)/2)*GN55+(1-EXP(-LN(2)/2))/(LN(2)/2)*GH56*GK56*VLOOKUP('Données projet'!$B$17,Paramètres!$A$1:$I$88,3,0)*0.475*44/12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10.199999999999999</v>
      </c>
      <c r="GU56" s="13">
        <f>IF('Données projet'!$A$270&gt;35,GU55+GT56-HC55,IF(A56&lt;'Données projet'!$A$270,$GR$205^A56,IF(A56='Données projet'!$A$270,'Données projet'!$B$270,GU55+GT56-HC55)))</f>
        <v>261.60000000000002</v>
      </c>
      <c r="GV56" s="18">
        <f>GU56*VLOOKUP('Données projet'!$B$18,Paramètres!$A$1:$I$88,3,0)*VLOOKUP('Données projet'!$B$18,Paramètres!$A$1:$I$88,5,0)</f>
        <v>273.42432000000002</v>
      </c>
      <c r="GW56" s="14">
        <f t="shared" si="51"/>
        <v>65.575462510764154</v>
      </c>
      <c r="GX56" s="22">
        <f t="shared" si="28"/>
        <v>590.42462120624759</v>
      </c>
      <c r="GY56" s="62">
        <f t="shared" si="29"/>
        <v>883.75795453958085</v>
      </c>
      <c r="GZ56" s="62">
        <f ca="1">AVERAGE(OFFSET($GY$3,0,0,'Données projet'!$E$18+1,1))-AVERAGE(OFFSET($H$3,0,0,'Données projet'!$E$18+1,1))</f>
        <v>582.89879210197682</v>
      </c>
      <c r="HA56" s="62">
        <f t="shared" si="52"/>
        <v>314.72094983133326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projet'!$B$18,Paramètres!$A$1:$I$88,3,0)*0.475*44/12</f>
        <v>0</v>
      </c>
      <c r="HH56" s="23">
        <f>EXP(-LN(2)/25)*HH55+(1-EXP(-LN(2)/25))/(LN(2)/25)*Calculateur!HC56*Calculateur!HE56*VLOOKUP('Données projet'!$B$18,Paramètres!$A$1:$I$88,3,0)*0.475*44/12</f>
        <v>0</v>
      </c>
      <c r="HI56" s="23">
        <f>EXP(-LN(2)/2)*HI55+(1-EXP(-LN(2)/2))/(LN(2)/2)*HC56*HF56*VLOOKUP('Données projet'!$B$18,Paramètres!$A$1:$I$88,3,0)*0.475*44/12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22.7</v>
      </c>
      <c r="N57" s="14">
        <f>IF('Données projet'!$A$36&gt;35,N56+M57-V56,IF(A57&lt;'Données projet'!$A$36,$K$205^A57,IF(A57='Données projet'!$A$36,'Données projet'!$B$36,N56+M57-V56)))</f>
        <v>379.79999999999973</v>
      </c>
      <c r="O57" s="14">
        <f>N57*VLOOKUP('Données projet'!$B$9,Paramètres!$A$1:$I$88,3,0)*VLOOKUP('Données projet'!$B$9,Paramètres!$A$1:$I$88,5,0)</f>
        <v>177.74639999999988</v>
      </c>
      <c r="P57" s="14">
        <f t="shared" si="33"/>
        <v>44.820434632332443</v>
      </c>
      <c r="Q57" s="22">
        <f t="shared" si="53"/>
        <v>387.63723698464543</v>
      </c>
      <c r="R57" s="62">
        <f t="shared" si="0"/>
        <v>680.97057031797874</v>
      </c>
      <c r="S57" s="62">
        <f ca="1">AVERAGE(OFFSET($R$3,0,0,'Données projet'!$E$9+1,1))-AVERAGE(OFFSET($H$3,0,0,'Données projet'!$E$9+1,1))</f>
        <v>399.92909819003523</v>
      </c>
      <c r="T57" s="62">
        <f t="shared" si="34"/>
        <v>163.7053537268381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projet'!$B$10,Paramètres!$A$1:$I$88,3,0)*VLOOKUP('Données projet'!$B$10,Paramètres!$A$1:$I$88,5,0)</f>
        <v>245.92464000000001</v>
      </c>
      <c r="AK57" s="14">
        <f t="shared" si="35"/>
        <v>59.712430831913537</v>
      </c>
      <c r="AL57" s="22">
        <f t="shared" si="4"/>
        <v>532.31789836558266</v>
      </c>
      <c r="AM57" s="62">
        <f t="shared" si="5"/>
        <v>825.65123169891604</v>
      </c>
      <c r="AN57" s="62">
        <f ca="1">AVERAGE(OFFSET($AM$3,0,0,'Données projet'!$E$10+1,1))-AVERAGE(OFFSET($H$3,0,0,'Données projet'!$E$10+1,1))</f>
        <v>510.56580450928806</v>
      </c>
      <c r="AO57" s="62">
        <f t="shared" si="36"/>
        <v>278.21741231699929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7.6</v>
      </c>
      <c r="BD57" s="13">
        <f>IF('Données projet'!$A$88&gt;35,BD56+BC57-BL56,IF(A57&lt;'Données projet'!$A$88,$BA$205^A57,IF(A57='Données projet'!$A$88,'Données projet'!$B$88,BD56+BC57-BL56)))</f>
        <v>277.40000000000003</v>
      </c>
      <c r="BE57" s="14">
        <f>BD57*VLOOKUP('Données projet'!$B$11,Paramètres!$A$1:$I$88,3,0)*VLOOKUP('Données projet'!$B$11,Paramètres!$A$1:$I$88,5,0)</f>
        <v>263.97384000000005</v>
      </c>
      <c r="BF57" s="14">
        <f t="shared" si="37"/>
        <v>63.568690822779637</v>
      </c>
      <c r="BG57" s="22">
        <f t="shared" si="7"/>
        <v>570.46990784967454</v>
      </c>
      <c r="BH57" s="62">
        <f t="shared" si="8"/>
        <v>863.80324118300791</v>
      </c>
      <c r="BI57" s="62">
        <f ca="1">AVERAGE(OFFSET($BH$3,0,0,'Données projet'!$E$11+1,1))-AVERAGE(OFFSET($H$3,0,0,'Données projet'!$E$11+1,1))</f>
        <v>525.51330555662139</v>
      </c>
      <c r="BJ57" s="62">
        <f t="shared" si="38"/>
        <v>357.72390083433635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1.7053025658242404E-13</v>
      </c>
      <c r="BZ57" s="14">
        <f>BY57*VLOOKUP('Données projet'!$B$12,Paramètres!$A$1:$I$88,3,0)*VLOOKUP('Données projet'!$B$12,Paramètres!$A$1:$I$88,5,0)</f>
        <v>1.0197709343628959E-13</v>
      </c>
      <c r="CA57" s="14">
        <f t="shared" si="39"/>
        <v>1.5284983994279675E-12</v>
      </c>
      <c r="CB57" s="22">
        <f t="shared" si="10"/>
        <v>2.839744816738581E-12</v>
      </c>
      <c r="CC57" s="62">
        <f t="shared" si="11"/>
        <v>293.33333333333616</v>
      </c>
      <c r="CD57" s="62">
        <f ca="1">AVERAGE(OFFSET($CC$3,0,0,'Données projet'!$E$12+1,1))-AVERAGE(OFFSET($H$3,0,0,'Données projet'!$E$12+1,1))</f>
        <v>227.46616726010473</v>
      </c>
      <c r="CE57" s="62">
        <f t="shared" si="40"/>
        <v>314.188568589113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74.806561913299689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3.3938412176909742</v>
      </c>
      <c r="CN57" s="24">
        <f t="shared" si="12"/>
        <v>78.200403130990665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14.5</v>
      </c>
      <c r="CT57" s="13">
        <f>IF('Données projet'!$A$140&gt;35,CT56+CS57-DB56,IF(A57&lt;'Données projet'!$A$140,$CQ$205^A57,IF(A57='Données projet'!$A$140,'Données projet'!$B$140,CT56+CS57-DB56)))</f>
        <v>357</v>
      </c>
      <c r="CU57" s="18">
        <f>CT57*VLOOKUP('Données projet'!$B$13,Paramètres!$A$1:$I$88,3,0)*VLOOKUP('Données projet'!$B$13,Paramètres!$A$1:$I$88,5,0)</f>
        <v>213.48600000000002</v>
      </c>
      <c r="CV57" s="14">
        <f t="shared" si="41"/>
        <v>52.696632942005166</v>
      </c>
      <c r="CW57" s="22">
        <f t="shared" si="13"/>
        <v>463.60141904065904</v>
      </c>
      <c r="CX57" s="62">
        <f t="shared" si="14"/>
        <v>756.9347523739923</v>
      </c>
      <c r="CY57" s="62">
        <f ca="1">AVERAGE(OFFSET($CX$3,0,0,'Données projet'!$E$13+1,1))-AVERAGE(OFFSET($H$3,0,0,'Données projet'!$E$13+1,1))</f>
        <v>356.46794174556311</v>
      </c>
      <c r="CZ57" s="62">
        <f t="shared" si="42"/>
        <v>248.47107558211923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0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17.285714285714285</v>
      </c>
      <c r="DO57" s="13">
        <f>IF('Données projet'!$A$166&gt;35,DO56+DN57-DW56,IF(A57&lt;'Données projet'!$A$166,$DL$205^A57,IF(A57='Données projet'!$A$166,'Données projet'!$B$166,DO56+DN57-DW56)))</f>
        <v>559.42857142857133</v>
      </c>
      <c r="DP57" s="18">
        <f>DO57*VLOOKUP('Données projet'!$B$14,Paramètres!$A$1:$I$88,3,0)*VLOOKUP('Données projet'!$B$14,Paramètres!$A$1:$I$88,5,0)</f>
        <v>312.72057142857136</v>
      </c>
      <c r="DQ57" s="14">
        <f t="shared" si="43"/>
        <v>73.836704512884708</v>
      </c>
      <c r="DR57" s="22">
        <f t="shared" si="16"/>
        <v>673.25392226470251</v>
      </c>
      <c r="DS57" s="62">
        <f t="shared" si="17"/>
        <v>966.58725559803588</v>
      </c>
      <c r="DT57" s="62">
        <f ca="1">AVERAGE(OFFSET($DS$3,0,0,'Données projet'!$E$14+1,1))-AVERAGE(OFFSET($H$3,0,0,'Données projet'!$E$14+1,1))</f>
        <v>397.04445188588369</v>
      </c>
      <c r="DU57" s="62">
        <f t="shared" si="44"/>
        <v>350.01856672839466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3.1195398726608108</v>
      </c>
      <c r="EB57" s="23">
        <f>EXP(-LN(2)/25)*EB56+(1-EXP(-LN(2)/25))/(LN(2)/25)*Calculateur!DW57*Calculateur!DY57*VLOOKUP('Données projet'!$B$14,Paramètres!$A$1:$I$88,3,0)*0.475*44/12</f>
        <v>0</v>
      </c>
      <c r="EC57" s="23">
        <f>EXP(-LN(2)/2)*EC56+(1-EXP(-LN(2)/2))/(LN(2)/2)*DW57*DZ57*VLOOKUP('Données projet'!$B$14,Paramètres!$A$1:$I$88,3,0)*0.475*44/12</f>
        <v>3.9557365894830922E-3</v>
      </c>
      <c r="ED57" s="24">
        <f t="shared" si="18"/>
        <v>3.1234956092502939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3.5799999999999983</v>
      </c>
      <c r="EJ57" s="13">
        <f>IF('Données projet'!$A$192&gt;35,EJ56+EI57-ER56,IF(A57&lt;'Données projet'!$A$192,$EG$205^A57,IF(A57='Données projet'!$A$192,'Données projet'!$B$192,EJ56+EI57-ER56)))</f>
        <v>140.9199999999999</v>
      </c>
      <c r="EK57" s="18">
        <f>EJ57*VLOOKUP('Données projet'!$B$15,Paramètres!$A$1:$I$88,3,0)*VLOOKUP('Données projet'!$B$15,Paramètres!$A$1:$I$88,5,0)</f>
        <v>123.10771199999994</v>
      </c>
      <c r="EL57" s="14">
        <f t="shared" si="45"/>
        <v>32.39873998822911</v>
      </c>
      <c r="EM57" s="22">
        <f t="shared" si="19"/>
        <v>270.84040387949898</v>
      </c>
      <c r="EN57" s="62">
        <f t="shared" si="20"/>
        <v>564.17373721283229</v>
      </c>
      <c r="EO57" s="62">
        <f ca="1">AVERAGE(OFFSET($EN$3,0,0,'Données projet'!$E$15+1,1))-AVERAGE(OFFSET($H$3,0,0,'Données projet'!$E$15+1,1))</f>
        <v>202.5548390231225</v>
      </c>
      <c r="EP57" s="62">
        <f t="shared" si="46"/>
        <v>184.62184077734179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projet'!$B$15,Paramètres!$A$1:$I$88,3,0)*0.475*44/12</f>
        <v>0</v>
      </c>
      <c r="EW57" s="23">
        <f>EXP(-LN(2)/25)*EW56+(1-EXP(-LN(2)/25))/(LN(2)/25)*Calculateur!ER57*Calculateur!ET57*VLOOKUP('Données projet'!$B$15,Paramètres!$A$1:$I$88,3,0)*0.475*44/12</f>
        <v>0</v>
      </c>
      <c r="EX57" s="23">
        <f>EXP(-LN(2)/2)*EX56+(1-EXP(-LN(2)/2))/(LN(2)/2)*ER57*EU57*VLOOKUP('Données projet'!$B$15,Paramètres!$A$1:$I$88,3,0)*0.475*44/12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210</v>
      </c>
      <c r="FF57" s="18">
        <f>FE57*VLOOKUP('Données projet'!$B$16,Paramètres!$A$1:$I$88,3,0)*VLOOKUP('Données projet'!$B$16,Paramètres!$A$1:$I$88,5,0)</f>
        <v>203.11199999999999</v>
      </c>
      <c r="FG57" s="14">
        <f t="shared" si="47"/>
        <v>50.427475336015782</v>
      </c>
      <c r="FH57" s="22">
        <f t="shared" si="22"/>
        <v>441.5812528768941</v>
      </c>
      <c r="FI57" s="62">
        <f t="shared" si="23"/>
        <v>734.91458621022741</v>
      </c>
      <c r="FJ57" s="62">
        <f ca="1">AVERAGE(OFFSET($FI$3,0,0,'Données projet'!$E$16+1,1))-AVERAGE(OFFSET($H$3,0,0,'Données projet'!$E$16+1,1))</f>
        <v>456.96274622094955</v>
      </c>
      <c r="FK57" s="62">
        <f t="shared" si="48"/>
        <v>244.45149244446094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projet'!$B$16,Paramètres!$A$1:$I$88,3,0)*0.475*44/12</f>
        <v>0</v>
      </c>
      <c r="FR57" s="23">
        <f>EXP(-LN(2)/25)*FR56+(1-EXP(-LN(2)/25))/(LN(2)/25)*Calculateur!FM57*Calculateur!FO57*VLOOKUP('Données projet'!$B$16,Paramètres!$A$1:$I$88,3,0)*0.475*44/12</f>
        <v>0</v>
      </c>
      <c r="FS57" s="23">
        <f>EXP(-LN(2)/2)*FS56+(1-EXP(-LN(2)/2))/(LN(2)/2)*FM57*FP57*VLOOKUP('Données projet'!$B$16,Paramètres!$A$1:$I$88,3,0)*0.475*44/12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IF('Données projet'!$A$244&gt;35,FZ56+FY57-GH56,IF(A57&lt;'Données projet'!$A$244,$FW$205^A57,IF(A57='Données projet'!$A$244,'Données projet'!$B$244,FZ56+FY57-GH56)))</f>
        <v>210</v>
      </c>
      <c r="GA57" s="18">
        <f>FZ57*VLOOKUP('Données projet'!$B$17,Paramètres!$A$1:$I$88,3,0)*VLOOKUP('Données projet'!$B$17,Paramètres!$A$1:$I$88,5,0)</f>
        <v>226.04399999999998</v>
      </c>
      <c r="GB57" s="14">
        <f t="shared" si="49"/>
        <v>55.426440039423504</v>
      </c>
      <c r="GC57" s="22">
        <f t="shared" si="25"/>
        <v>490.22768306866254</v>
      </c>
      <c r="GD57" s="62">
        <f t="shared" si="26"/>
        <v>783.56101640199586</v>
      </c>
      <c r="GE57" s="62">
        <f ca="1">AVERAGE(OFFSET($GD$3,0,0,'Données projet'!$E$17+1,1))-AVERAGE(OFFSET($H$3,0,0,'Données projet'!$E$17+1,1))</f>
        <v>503.69304261527651</v>
      </c>
      <c r="GF57" s="62">
        <f t="shared" si="50"/>
        <v>267.2998309535638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projet'!$B$17,Paramètres!$A$1:$I$88,3,0)*0.475*44/12</f>
        <v>0</v>
      </c>
      <c r="GM57" s="23">
        <f>EXP(-LN(2)/25)*GM56+(1-EXP(-LN(2)/25))/(LN(2)/25)*Calculateur!GH57*Calculateur!GJ57*VLOOKUP('Données projet'!$B$17,Paramètres!$A$1:$I$88,3,0)*0.475*44/12</f>
        <v>0</v>
      </c>
      <c r="GN57" s="23">
        <f>EXP(-LN(2)/2)*GN56+(1-EXP(-LN(2)/2))/(LN(2)/2)*GH57*GK57*VLOOKUP('Données projet'!$B$17,Paramètres!$A$1:$I$88,3,0)*0.475*44/12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10.199999999999999</v>
      </c>
      <c r="GU57" s="13">
        <f>IF('Données projet'!$A$270&gt;35,GU56+GT57-HC56,IF(A57&lt;'Données projet'!$A$270,$GR$205^A57,IF(A57='Données projet'!$A$270,'Données projet'!$B$270,GU56+GT57-HC56)))</f>
        <v>271.8</v>
      </c>
      <c r="GV57" s="18">
        <f>GU57*VLOOKUP('Données projet'!$B$18,Paramètres!$A$1:$I$88,3,0)*VLOOKUP('Données projet'!$B$18,Paramètres!$A$1:$I$88,5,0)</f>
        <v>284.08536000000004</v>
      </c>
      <c r="GW57" s="14">
        <f t="shared" si="51"/>
        <v>67.829633704106129</v>
      </c>
      <c r="GX57" s="22">
        <f t="shared" si="28"/>
        <v>612.91861403465157</v>
      </c>
      <c r="GY57" s="62">
        <f t="shared" si="29"/>
        <v>906.25194736798494</v>
      </c>
      <c r="GZ57" s="62">
        <f ca="1">AVERAGE(OFFSET($GY$3,0,0,'Données projet'!$E$18+1,1))-AVERAGE(OFFSET($H$3,0,0,'Données projet'!$E$18+1,1))</f>
        <v>582.89879210197682</v>
      </c>
      <c r="HA57" s="62">
        <f t="shared" si="52"/>
        <v>314.72094983133326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projet'!$B$18,Paramètres!$A$1:$I$88,3,0)*0.475*44/12</f>
        <v>0</v>
      </c>
      <c r="HH57" s="23">
        <f>EXP(-LN(2)/25)*HH56+(1-EXP(-LN(2)/25))/(LN(2)/25)*Calculateur!HC57*Calculateur!HE57*VLOOKUP('Données projet'!$B$18,Paramètres!$A$1:$I$88,3,0)*0.475*44/12</f>
        <v>0</v>
      </c>
      <c r="HI57" s="23">
        <f>EXP(-LN(2)/2)*HI56+(1-EXP(-LN(2)/2))/(LN(2)/2)*HC57*HF57*VLOOKUP('Données projet'!$B$18,Paramètres!$A$1:$I$88,3,0)*0.475*44/12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22.7</v>
      </c>
      <c r="N58" s="14">
        <f>IF('Données projet'!$A$36&gt;35,N57+M58-V57,IF(A58&lt;'Données projet'!$A$36,$K$205^A58,IF(A58='Données projet'!$A$36,'Données projet'!$B$36,N57+M58-V57)))</f>
        <v>402.49999999999972</v>
      </c>
      <c r="O58" s="14">
        <f>N58*VLOOKUP('Données projet'!$B$9,Paramètres!$A$1:$I$88,3,0)*VLOOKUP('Données projet'!$B$9,Paramètres!$A$1:$I$88,5,0)</f>
        <v>188.36999999999986</v>
      </c>
      <c r="P58" s="14">
        <f t="shared" si="33"/>
        <v>47.179402486491256</v>
      </c>
      <c r="Q58" s="22">
        <f t="shared" si="53"/>
        <v>410.24854266397205</v>
      </c>
      <c r="R58" s="62">
        <f t="shared" si="0"/>
        <v>703.58187599730536</v>
      </c>
      <c r="S58" s="62">
        <f ca="1">AVERAGE(OFFSET($R$3,0,0,'Données projet'!$E$9+1,1))-AVERAGE(OFFSET($H$3,0,0,'Données projet'!$E$9+1,1))</f>
        <v>399.92909819003523</v>
      </c>
      <c r="T58" s="62">
        <f t="shared" si="34"/>
        <v>163.7053537268381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projet'!$B$10,Paramètres!$A$1:$I$88,3,0)*VLOOKUP('Données projet'!$B$10,Paramètres!$A$1:$I$88,5,0)</f>
        <v>255.15360000000001</v>
      </c>
      <c r="AK58" s="14">
        <f t="shared" si="35"/>
        <v>61.688192762754426</v>
      </c>
      <c r="AL58" s="22">
        <f t="shared" si="4"/>
        <v>551.83278906179726</v>
      </c>
      <c r="AM58" s="62">
        <f t="shared" si="5"/>
        <v>845.16612239513051</v>
      </c>
      <c r="AN58" s="62">
        <f ca="1">AVERAGE(OFFSET($AM$3,0,0,'Données projet'!$E$10+1,1))-AVERAGE(OFFSET($H$3,0,0,'Données projet'!$E$10+1,1))</f>
        <v>510.56580450928806</v>
      </c>
      <c r="AO58" s="62">
        <f t="shared" si="36"/>
        <v>278.21741231699929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285</v>
      </c>
      <c r="BB58" s="13">
        <f>VLOOKUP(A58,'Données projet'!$A$87:$I$107,9,0)</f>
        <v>7.6</v>
      </c>
      <c r="BC58" s="13">
        <f t="array" ref="BC58">INDEX(BB:BB,MIN(IF(ISNUMBER(BB58:BB254),ROW(BB58:BB254),"")))</f>
        <v>7.6</v>
      </c>
      <c r="BD58" s="13">
        <f>IF('Données projet'!$A$88&gt;35,BD57+BC58-BL57,IF(A58&lt;'Données projet'!$A$88,$BA$205^A58,IF(A58='Données projet'!$A$88,'Données projet'!$B$88,BD57+BC58-BL57)))</f>
        <v>285.00000000000006</v>
      </c>
      <c r="BE58" s="14">
        <f>BD58*VLOOKUP('Données projet'!$B$11,Paramètres!$A$1:$I$88,3,0)*VLOOKUP('Données projet'!$B$11,Paramètres!$A$1:$I$88,5,0)</f>
        <v>271.20600000000002</v>
      </c>
      <c r="BF58" s="14">
        <f t="shared" si="37"/>
        <v>65.105146500462041</v>
      </c>
      <c r="BG58" s="22">
        <f t="shared" si="7"/>
        <v>585.7419134883047</v>
      </c>
      <c r="BH58" s="62">
        <f t="shared" si="8"/>
        <v>879.07524682163807</v>
      </c>
      <c r="BI58" s="62">
        <f ca="1">AVERAGE(OFFSET($BH$3,0,0,'Données projet'!$E$11+1,1))-AVERAGE(OFFSET($H$3,0,0,'Données projet'!$E$11+1,1))</f>
        <v>525.51330555662139</v>
      </c>
      <c r="BJ58" s="62">
        <f t="shared" si="38"/>
        <v>357.72390083433635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44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1.7053025658242404E-13</v>
      </c>
      <c r="BZ58" s="14">
        <f>BY58*VLOOKUP('Données projet'!$B$12,Paramètres!$A$1:$I$88,3,0)*VLOOKUP('Données projet'!$B$12,Paramètres!$A$1:$I$88,5,0)</f>
        <v>1.0197709343628959E-13</v>
      </c>
      <c r="CA58" s="14">
        <f t="shared" si="39"/>
        <v>1.5284983994279675E-12</v>
      </c>
      <c r="CB58" s="22">
        <f t="shared" si="10"/>
        <v>2.839744816738581E-12</v>
      </c>
      <c r="CC58" s="62">
        <f t="shared" si="11"/>
        <v>293.33333333333616</v>
      </c>
      <c r="CD58" s="62">
        <f ca="1">AVERAGE(OFFSET($CC$3,0,0,'Données projet'!$E$12+1,1))-AVERAGE(OFFSET($H$3,0,0,'Données projet'!$E$12+1,1))</f>
        <v>227.46616726010473</v>
      </c>
      <c r="CE58" s="62">
        <f t="shared" si="40"/>
        <v>314.188568589113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73.339650861677313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2.3998081392996977</v>
      </c>
      <c r="CN58" s="24">
        <f t="shared" si="12"/>
        <v>75.739459000977007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14.5</v>
      </c>
      <c r="CT58" s="13">
        <f>IF('Données projet'!$A$140&gt;35,CT57+CS58-DB57,IF(A58&lt;'Données projet'!$A$140,$CQ$205^A58,IF(A58='Données projet'!$A$140,'Données projet'!$B$140,CT57+CS58-DB57)))</f>
        <v>371.5</v>
      </c>
      <c r="CU58" s="18">
        <f>CT58*VLOOKUP('Données projet'!$B$13,Paramètres!$A$1:$I$88,3,0)*VLOOKUP('Données projet'!$B$13,Paramètres!$A$1:$I$88,5,0)</f>
        <v>222.15700000000004</v>
      </c>
      <c r="CV58" s="14">
        <f t="shared" si="41"/>
        <v>54.583432467932887</v>
      </c>
      <c r="CW58" s="22">
        <f t="shared" si="13"/>
        <v>481.98958654831648</v>
      </c>
      <c r="CX58" s="62">
        <f t="shared" si="14"/>
        <v>775.3229198816498</v>
      </c>
      <c r="CY58" s="62">
        <f ca="1">AVERAGE(OFFSET($CX$3,0,0,'Données projet'!$E$13+1,1))-AVERAGE(OFFSET($H$3,0,0,'Données projet'!$E$13+1,1))</f>
        <v>356.46794174556311</v>
      </c>
      <c r="CZ58" s="62">
        <f t="shared" si="42"/>
        <v>248.47107558211923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0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17.285714285714285</v>
      </c>
      <c r="DO58" s="13">
        <f>IF('Données projet'!$A$166&gt;35,DO57+DN58-DW57,IF(A58&lt;'Données projet'!$A$166,$DL$205^A58,IF(A58='Données projet'!$A$166,'Données projet'!$B$166,DO57+DN58-DW57)))</f>
        <v>576.71428571428567</v>
      </c>
      <c r="DP58" s="18">
        <f>DO58*VLOOKUP('Données projet'!$B$14,Paramètres!$A$1:$I$88,3,0)*VLOOKUP('Données projet'!$B$14,Paramètres!$A$1:$I$88,5,0)</f>
        <v>322.38328571428571</v>
      </c>
      <c r="DQ58" s="14">
        <f t="shared" si="43"/>
        <v>75.849028250693692</v>
      </c>
      <c r="DR58" s="22">
        <f t="shared" si="16"/>
        <v>693.58794682233918</v>
      </c>
      <c r="DS58" s="62">
        <f t="shared" si="17"/>
        <v>986.92128015567255</v>
      </c>
      <c r="DT58" s="62">
        <f ca="1">AVERAGE(OFFSET($DS$3,0,0,'Données projet'!$E$14+1,1))-AVERAGE(OFFSET($H$3,0,0,'Données projet'!$E$14+1,1))</f>
        <v>397.04445188588369</v>
      </c>
      <c r="DU58" s="62">
        <f t="shared" si="44"/>
        <v>350.01856672839466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3.0583675984893754</v>
      </c>
      <c r="EB58" s="23">
        <f>EXP(-LN(2)/25)*EB57+(1-EXP(-LN(2)/25))/(LN(2)/25)*Calculateur!DW58*Calculateur!DY58*VLOOKUP('Données projet'!$B$14,Paramètres!$A$1:$I$88,3,0)*0.475*44/12</f>
        <v>0</v>
      </c>
      <c r="EC58" s="23">
        <f>EXP(-LN(2)/2)*EC57+(1-EXP(-LN(2)/2))/(LN(2)/2)*DW58*DZ58*VLOOKUP('Données projet'!$B$14,Paramètres!$A$1:$I$88,3,0)*0.475*44/12</f>
        <v>2.7971281670112406E-3</v>
      </c>
      <c r="ED58" s="24">
        <f t="shared" si="18"/>
        <v>3.0611647266563868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144.5</v>
      </c>
      <c r="EH58" s="13">
        <f>VLOOKUP(A58,'Données projet'!$A$191:$I$211,9,0)</f>
        <v>3.5799999999999983</v>
      </c>
      <c r="EI58" s="13">
        <f t="array" ref="EI58">INDEX(EH:EH,MIN(IF(ISNUMBER(EH58:EH254),ROW(EH58:EH254),"")))</f>
        <v>3.5799999999999983</v>
      </c>
      <c r="EJ58" s="13">
        <f>IF('Données projet'!$A$192&gt;35,EJ57+EI58-ER57,IF(A58&lt;'Données projet'!$A$192,$EG$205^A58,IF(A58='Données projet'!$A$192,'Données projet'!$B$192,EJ57+EI58-ER57)))</f>
        <v>144.49999999999989</v>
      </c>
      <c r="EK58" s="18">
        <f>EJ58*VLOOKUP('Données projet'!$B$15,Paramètres!$A$1:$I$88,3,0)*VLOOKUP('Données projet'!$B$15,Paramètres!$A$1:$I$88,5,0)</f>
        <v>126.23519999999992</v>
      </c>
      <c r="EL58" s="14">
        <f t="shared" si="45"/>
        <v>33.124942290606242</v>
      </c>
      <c r="EM58" s="22">
        <f t="shared" si="19"/>
        <v>277.55224782280578</v>
      </c>
      <c r="EN58" s="62">
        <f t="shared" si="20"/>
        <v>570.8855811561391</v>
      </c>
      <c r="EO58" s="62">
        <f ca="1">AVERAGE(OFFSET($EN$3,0,0,'Données projet'!$E$15+1,1))-AVERAGE(OFFSET($H$3,0,0,'Données projet'!$E$15+1,1))</f>
        <v>202.5548390231225</v>
      </c>
      <c r="EP58" s="62">
        <f t="shared" si="46"/>
        <v>184.62184077734179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19.7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projet'!$B$15,Paramètres!$A$1:$I$88,3,0)*0.475*44/12</f>
        <v>0</v>
      </c>
      <c r="EW58" s="23">
        <f>EXP(-LN(2)/25)*EW57+(1-EXP(-LN(2)/25))/(LN(2)/25)*Calculateur!ER58*Calculateur!ET58*VLOOKUP('Données projet'!$B$15,Paramètres!$A$1:$I$88,3,0)*0.475*44/12</f>
        <v>0</v>
      </c>
      <c r="EX58" s="23">
        <f>EXP(-LN(2)/2)*EX57+(1-EXP(-LN(2)/2))/(LN(2)/2)*ER58*EU58*VLOOKUP('Données projet'!$B$15,Paramètres!$A$1:$I$88,3,0)*0.475*44/12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218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218</v>
      </c>
      <c r="FF58" s="18">
        <f>FE58*VLOOKUP('Données projet'!$B$16,Paramètres!$A$1:$I$88,3,0)*VLOOKUP('Données projet'!$B$16,Paramètres!$A$1:$I$88,5,0)</f>
        <v>210.84960000000001</v>
      </c>
      <c r="FG58" s="14">
        <f t="shared" si="47"/>
        <v>52.121201024231922</v>
      </c>
      <c r="FH58" s="22">
        <f t="shared" si="22"/>
        <v>458.00747845053729</v>
      </c>
      <c r="FI58" s="62">
        <f t="shared" si="23"/>
        <v>751.34081178387055</v>
      </c>
      <c r="FJ58" s="62">
        <f ca="1">AVERAGE(OFFSET($FI$3,0,0,'Données projet'!$E$16+1,1))-AVERAGE(OFFSET($H$3,0,0,'Données projet'!$E$16+1,1))</f>
        <v>456.96274622094955</v>
      </c>
      <c r="FK58" s="62">
        <f t="shared" si="48"/>
        <v>244.45149244446094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42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projet'!$B$16,Paramètres!$A$1:$I$88,3,0)*0.475*44/12</f>
        <v>0</v>
      </c>
      <c r="FR58" s="23">
        <f>EXP(-LN(2)/25)*FR57+(1-EXP(-LN(2)/25))/(LN(2)/25)*Calculateur!FM58*Calculateur!FO58*VLOOKUP('Données projet'!$B$16,Paramètres!$A$1:$I$88,3,0)*0.475*44/12</f>
        <v>0</v>
      </c>
      <c r="FS58" s="23">
        <f>EXP(-LN(2)/2)*FS57+(1-EXP(-LN(2)/2))/(LN(2)/2)*FM58*FP58*VLOOKUP('Données projet'!$B$16,Paramètres!$A$1:$I$88,3,0)*0.475*44/12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218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IF('Données projet'!$A$244&gt;35,FZ57+FY58-GH57,IF(A58&lt;'Données projet'!$A$244,$FW$205^A58,IF(A58='Données projet'!$A$244,'Données projet'!$B$244,FZ57+FY58-GH57)))</f>
        <v>218</v>
      </c>
      <c r="GA58" s="18">
        <f>FZ58*VLOOKUP('Données projet'!$B$17,Paramètres!$A$1:$I$88,3,0)*VLOOKUP('Données projet'!$B$17,Paramètres!$A$1:$I$88,5,0)</f>
        <v>234.65519999999998</v>
      </c>
      <c r="GB58" s="14">
        <f t="shared" si="49"/>
        <v>57.288067746850999</v>
      </c>
      <c r="GC58" s="22">
        <f t="shared" si="25"/>
        <v>508.46785799243213</v>
      </c>
      <c r="GD58" s="62">
        <f t="shared" si="26"/>
        <v>801.80119132576544</v>
      </c>
      <c r="GE58" s="62">
        <f ca="1">AVERAGE(OFFSET($GD$3,0,0,'Données projet'!$E$17+1,1))-AVERAGE(OFFSET($H$3,0,0,'Données projet'!$E$17+1,1))</f>
        <v>503.69304261527651</v>
      </c>
      <c r="GF58" s="62">
        <f t="shared" si="50"/>
        <v>267.2998309535638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42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projet'!$B$17,Paramètres!$A$1:$I$88,3,0)*0.475*44/12</f>
        <v>0</v>
      </c>
      <c r="GM58" s="23">
        <f>EXP(-LN(2)/25)*GM57+(1-EXP(-LN(2)/25))/(LN(2)/25)*Calculateur!GH58*Calculateur!GJ58*VLOOKUP('Données projet'!$B$17,Paramètres!$A$1:$I$88,3,0)*0.475*44/12</f>
        <v>0</v>
      </c>
      <c r="GN58" s="23">
        <f>EXP(-LN(2)/2)*GN57+(1-EXP(-LN(2)/2))/(LN(2)/2)*GH58*GK58*VLOOKUP('Données projet'!$B$17,Paramètres!$A$1:$I$88,3,0)*0.475*44/12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282</v>
      </c>
      <c r="GS58" s="13">
        <f>VLOOKUP(A58,'Données projet'!$A$269:$I$289,9,0)</f>
        <v>10.199999999999999</v>
      </c>
      <c r="GT58" s="13">
        <f t="array" ref="GT58">INDEX(GS:GS,MIN(IF(ISNUMBER(GS58:GS254),ROW(GS58:GS254),"")))</f>
        <v>10.199999999999999</v>
      </c>
      <c r="GU58" s="13">
        <f>IF('Données projet'!$A$270&gt;35,GU57+GT58-HC57,IF(A58&lt;'Données projet'!$A$270,$GR$205^A58,IF(A58='Données projet'!$A$270,'Données projet'!$B$270,GU57+GT58-HC57)))</f>
        <v>282</v>
      </c>
      <c r="GV58" s="18">
        <f>GU58*VLOOKUP('Données projet'!$B$18,Paramètres!$A$1:$I$88,3,0)*VLOOKUP('Données projet'!$B$18,Paramètres!$A$1:$I$88,5,0)</f>
        <v>294.74639999999999</v>
      </c>
      <c r="GW58" s="14">
        <f t="shared" si="51"/>
        <v>70.073977238414798</v>
      </c>
      <c r="GX58" s="22">
        <f t="shared" si="28"/>
        <v>635.39549035690573</v>
      </c>
      <c r="GY58" s="62">
        <f t="shared" si="29"/>
        <v>928.7288236902391</v>
      </c>
      <c r="GZ58" s="62">
        <f ca="1">AVERAGE(OFFSET($GY$3,0,0,'Données projet'!$E$18+1,1))-AVERAGE(OFFSET($H$3,0,0,'Données projet'!$E$18+1,1))</f>
        <v>582.89879210197682</v>
      </c>
      <c r="HA58" s="62">
        <f t="shared" si="52"/>
        <v>314.72094983133326</v>
      </c>
      <c r="HB58" s="16">
        <f>IF(ISNA(VLOOKUP(A58,'Données projet'!$A$269:$I$289,3,0)),0,VLOOKUP(A58,'Données projet'!$A$269:$I$289,3,0))</f>
        <v>4</v>
      </c>
      <c r="HC58" s="16">
        <f>IF(ISNA(VLOOKUP(A58,'Données projet'!$A$269:$I$289,4,0)),0,VLOOKUP(A58,'Données projet'!$A$269:$I$289,4,0))</f>
        <v>56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projet'!$B$18,Paramètres!$A$1:$I$88,3,0)*0.475*44/12</f>
        <v>0</v>
      </c>
      <c r="HH58" s="23">
        <f>EXP(-LN(2)/25)*HH57+(1-EXP(-LN(2)/25))/(LN(2)/25)*Calculateur!HC58*Calculateur!HE58*VLOOKUP('Données projet'!$B$18,Paramètres!$A$1:$I$88,3,0)*0.475*44/12</f>
        <v>0</v>
      </c>
      <c r="HI58" s="23">
        <f>EXP(-LN(2)/2)*HI57+(1-EXP(-LN(2)/2))/(LN(2)/2)*HC58*HF58*VLOOKUP('Données projet'!$B$18,Paramètres!$A$1:$I$88,3,0)*0.475*44/12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22.7</v>
      </c>
      <c r="N59" s="14">
        <f>IF('Données projet'!$A$36&gt;35,N58+M59-V58,IF(A59&lt;'Données projet'!$A$36,$K$205^A59,IF(A59='Données projet'!$A$36,'Données projet'!$B$36,N58+M59-V58)))</f>
        <v>425.1999999999997</v>
      </c>
      <c r="O59" s="14">
        <f>N59*VLOOKUP('Données projet'!$B$9,Paramètres!$A$1:$I$88,3,0)*VLOOKUP('Données projet'!$B$9,Paramètres!$A$1:$I$88,5,0)</f>
        <v>198.99359999999987</v>
      </c>
      <c r="P59" s="14">
        <f t="shared" si="33"/>
        <v>49.522926570252494</v>
      </c>
      <c r="Q59" s="22">
        <f t="shared" si="53"/>
        <v>432.83295044318953</v>
      </c>
      <c r="R59" s="62">
        <f t="shared" si="0"/>
        <v>726.16628377652285</v>
      </c>
      <c r="S59" s="62">
        <f ca="1">AVERAGE(OFFSET($R$3,0,0,'Données projet'!$E$9+1,1))-AVERAGE(OFFSET($H$3,0,0,'Données projet'!$E$9+1,1))</f>
        <v>399.92909819003523</v>
      </c>
      <c r="T59" s="62">
        <f t="shared" si="34"/>
        <v>163.7053537268381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projet'!$B$10,Paramètres!$A$1:$I$88,3,0)*VLOOKUP('Données projet'!$B$10,Paramètres!$A$1:$I$88,5,0)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755.88227529661003</v>
      </c>
      <c r="AN59" s="62">
        <f ca="1">AVERAGE(OFFSET($AM$3,0,0,'Données projet'!$E$10+1,1))-AVERAGE(OFFSET($H$3,0,0,'Données projet'!$E$10+1,1))</f>
        <v>510.56580450928806</v>
      </c>
      <c r="AO59" s="62">
        <f t="shared" si="36"/>
        <v>278.21741231699929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248.40000000000003</v>
      </c>
      <c r="BE59" s="14">
        <f>BD59*VLOOKUP('Données projet'!$B$11,Paramètres!$A$1:$I$88,3,0)*VLOOKUP('Données projet'!$B$11,Paramètres!$A$1:$I$88,5,0)</f>
        <v>236.37744000000006</v>
      </c>
      <c r="BF59" s="14">
        <f t="shared" si="37"/>
        <v>57.659430484223826</v>
      </c>
      <c r="BG59" s="22">
        <f t="shared" si="7"/>
        <v>512.1142160933565</v>
      </c>
      <c r="BH59" s="62">
        <f t="shared" si="8"/>
        <v>805.44754942668987</v>
      </c>
      <c r="BI59" s="62">
        <f ca="1">AVERAGE(OFFSET($BH$3,0,0,'Données projet'!$E$11+1,1))-AVERAGE(OFFSET($H$3,0,0,'Données projet'!$E$11+1,1))</f>
        <v>525.51330555662139</v>
      </c>
      <c r="BJ59" s="62">
        <f t="shared" si="38"/>
        <v>357.72390083433635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1.7053025658242404E-13</v>
      </c>
      <c r="BZ59" s="14">
        <f>BY59*VLOOKUP('Données projet'!$B$12,Paramètres!$A$1:$I$88,3,0)*VLOOKUP('Données projet'!$B$12,Paramètres!$A$1:$I$88,5,0)</f>
        <v>1.0197709343628959E-13</v>
      </c>
      <c r="CA59" s="14">
        <f t="shared" si="39"/>
        <v>1.5284983994279675E-12</v>
      </c>
      <c r="CB59" s="22">
        <f t="shared" si="10"/>
        <v>2.839744816738581E-12</v>
      </c>
      <c r="CC59" s="62">
        <f t="shared" si="11"/>
        <v>293.33333333333616</v>
      </c>
      <c r="CD59" s="62">
        <f ca="1">AVERAGE(OFFSET($CC$3,0,0,'Données projet'!$E$12+1,1))-AVERAGE(OFFSET($H$3,0,0,'Données projet'!$E$12+1,1))</f>
        <v>227.46616726010473</v>
      </c>
      <c r="CE59" s="62">
        <f t="shared" si="40"/>
        <v>314.188568589113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71.901505041049859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1.6969206088454871</v>
      </c>
      <c r="CN59" s="24">
        <f t="shared" si="12"/>
        <v>73.598425649895347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14.5</v>
      </c>
      <c r="CT59" s="13">
        <f>IF('Données projet'!$A$140&gt;35,CT58+CS59-DB58,IF(A59&lt;'Données projet'!$A$140,$CQ$205^A59,IF(A59='Données projet'!$A$140,'Données projet'!$B$140,CT58+CS59-DB58)))</f>
        <v>386</v>
      </c>
      <c r="CU59" s="18">
        <f>CT59*VLOOKUP('Données projet'!$B$13,Paramètres!$A$1:$I$88,3,0)*VLOOKUP('Données projet'!$B$13,Paramètres!$A$1:$I$88,5,0)</f>
        <v>230.828</v>
      </c>
      <c r="CV59" s="14">
        <f t="shared" si="41"/>
        <v>56.461677028956025</v>
      </c>
      <c r="CW59" s="22">
        <f t="shared" si="13"/>
        <v>500.36285415876506</v>
      </c>
      <c r="CX59" s="62">
        <f t="shared" si="14"/>
        <v>793.69618749209837</v>
      </c>
      <c r="CY59" s="62">
        <f ca="1">AVERAGE(OFFSET($CX$3,0,0,'Données projet'!$E$13+1,1))-AVERAGE(OFFSET($H$3,0,0,'Données projet'!$E$13+1,1))</f>
        <v>356.46794174556311</v>
      </c>
      <c r="CZ59" s="62">
        <f t="shared" si="42"/>
        <v>248.47107558211923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0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>
        <f>VLOOKUP(A59,'Données projet'!$A$165:$I$185,2,0)</f>
        <v>594</v>
      </c>
      <c r="DM59" s="13">
        <f>VLOOKUP(A59,'Données projet'!$A$165:$I$185,9,0)</f>
        <v>17.285714285714285</v>
      </c>
      <c r="DN59" s="13">
        <f t="array" ref="DN59">INDEX(DM:DM,MIN(IF(ISNUMBER(DM59:DM255),ROW(DM59:DM255),"")))</f>
        <v>17.285714285714285</v>
      </c>
      <c r="DO59" s="13">
        <f>IF('Données projet'!$A$166&gt;35,DO58+DN59-DW58,IF(A59&lt;'Données projet'!$A$166,$DL$205^A59,IF(A59='Données projet'!$A$166,'Données projet'!$B$166,DO58+DN59-DW58)))</f>
        <v>594</v>
      </c>
      <c r="DP59" s="18">
        <f>DO59*VLOOKUP('Données projet'!$B$14,Paramètres!$A$1:$I$88,3,0)*VLOOKUP('Données projet'!$B$14,Paramètres!$A$1:$I$88,5,0)</f>
        <v>332.04599999999999</v>
      </c>
      <c r="DQ59" s="14">
        <f t="shared" si="43"/>
        <v>77.854342460208642</v>
      </c>
      <c r="DR59" s="22">
        <f t="shared" si="16"/>
        <v>713.90976311819679</v>
      </c>
      <c r="DS59" s="62">
        <f t="shared" si="17"/>
        <v>1007.2430964515302</v>
      </c>
      <c r="DT59" s="62">
        <f ca="1">AVERAGE(OFFSET($DS$3,0,0,'Données projet'!$E$14+1,1))-AVERAGE(OFFSET($H$3,0,0,'Données projet'!$E$14+1,1))</f>
        <v>397.04445188588369</v>
      </c>
      <c r="DU59" s="62">
        <f t="shared" si="44"/>
        <v>350.01856672839466</v>
      </c>
      <c r="DV59" s="16">
        <f>IF(ISNA(VLOOKUP(A59,'Données projet'!$A$165:$I$185,3,0)),0,VLOOKUP(A59,'Données projet'!$A$165:$I$185,3,0))</f>
        <v>4</v>
      </c>
      <c r="DW59" s="16">
        <f>IF(ISNA(VLOOKUP(A59,'Données projet'!$A$165:$I$185,4,0)),0,VLOOKUP(A59,'Données projet'!$A$165:$I$185,4,0))</f>
        <v>165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2.9983948753030392</v>
      </c>
      <c r="EB59" s="23">
        <f>EXP(-LN(2)/25)*EB58+(1-EXP(-LN(2)/25))/(LN(2)/25)*Calculateur!DW59*Calculateur!DY59*VLOOKUP('Données projet'!$B$14,Paramètres!$A$1:$I$88,3,0)*0.475*44/12</f>
        <v>0</v>
      </c>
      <c r="EC59" s="23">
        <f>EXP(-LN(2)/2)*EC58+(1-EXP(-LN(2)/2))/(LN(2)/2)*DW59*DZ59*VLOOKUP('Données projet'!$B$14,Paramètres!$A$1:$I$88,3,0)*0.475*44/12</f>
        <v>1.9778682947415461E-3</v>
      </c>
      <c r="ED59" s="24">
        <f t="shared" si="18"/>
        <v>3.0003727435977807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3.0800000000000041</v>
      </c>
      <c r="EJ59" s="13">
        <f>IF('Données projet'!$A$192&gt;35,EJ58+EI59-ER58,IF(A59&lt;'Données projet'!$A$192,$EG$205^A59,IF(A59='Données projet'!$A$192,'Données projet'!$B$192,EJ58+EI59-ER58)))</f>
        <v>127.8799999999999</v>
      </c>
      <c r="EK59" s="18">
        <f>EJ59*VLOOKUP('Données projet'!$B$15,Paramètres!$A$1:$I$88,3,0)*VLOOKUP('Données projet'!$B$15,Paramètres!$A$1:$I$88,5,0)</f>
        <v>111.71596799999993</v>
      </c>
      <c r="EL59" s="14">
        <f t="shared" si="45"/>
        <v>29.734915069774047</v>
      </c>
      <c r="EM59" s="22">
        <f t="shared" si="19"/>
        <v>246.36028801318966</v>
      </c>
      <c r="EN59" s="62">
        <f t="shared" si="20"/>
        <v>539.69362134652295</v>
      </c>
      <c r="EO59" s="62">
        <f ca="1">AVERAGE(OFFSET($EN$3,0,0,'Données projet'!$E$15+1,1))-AVERAGE(OFFSET($H$3,0,0,'Données projet'!$E$15+1,1))</f>
        <v>202.5548390231225</v>
      </c>
      <c r="EP59" s="62">
        <f t="shared" si="46"/>
        <v>184.62184077734179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projet'!$B$15,Paramètres!$A$1:$I$88,3,0)*0.475*44/12</f>
        <v>0</v>
      </c>
      <c r="EW59" s="23">
        <f>EXP(-LN(2)/25)*EW58+(1-EXP(-LN(2)/25))/(LN(2)/25)*Calculateur!ER59*Calculateur!ET59*VLOOKUP('Données projet'!$B$15,Paramètres!$A$1:$I$88,3,0)*0.475*44/12</f>
        <v>0</v>
      </c>
      <c r="EX59" s="23">
        <f>EXP(-LN(2)/2)*EX58+(1-EXP(-LN(2)/2))/(LN(2)/2)*ER59*EU59*VLOOKUP('Données projet'!$B$15,Paramètres!$A$1:$I$88,3,0)*0.475*44/12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183.6</v>
      </c>
      <c r="FF59" s="18">
        <f>FE59*VLOOKUP('Données projet'!$B$16,Paramètres!$A$1:$I$88,3,0)*VLOOKUP('Données projet'!$B$16,Paramètres!$A$1:$I$88,5,0)</f>
        <v>177.57792000000001</v>
      </c>
      <c r="FG59" s="14">
        <f t="shared" si="47"/>
        <v>44.782893853597976</v>
      </c>
      <c r="FH59" s="22">
        <f t="shared" si="22"/>
        <v>387.27841746168315</v>
      </c>
      <c r="FI59" s="62">
        <f t="shared" si="23"/>
        <v>680.61175079501641</v>
      </c>
      <c r="FJ59" s="62">
        <f ca="1">AVERAGE(OFFSET($FI$3,0,0,'Données projet'!$E$16+1,1))-AVERAGE(OFFSET($H$3,0,0,'Données projet'!$E$16+1,1))</f>
        <v>456.96274622094955</v>
      </c>
      <c r="FK59" s="62">
        <f t="shared" si="48"/>
        <v>244.45149244446094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projet'!$B$16,Paramètres!$A$1:$I$88,3,0)*0.475*44/12</f>
        <v>0</v>
      </c>
      <c r="FR59" s="23">
        <f>EXP(-LN(2)/25)*FR58+(1-EXP(-LN(2)/25))/(LN(2)/25)*Calculateur!FM59*Calculateur!FO59*VLOOKUP('Données projet'!$B$16,Paramètres!$A$1:$I$88,3,0)*0.475*44/12</f>
        <v>0</v>
      </c>
      <c r="FS59" s="23">
        <f>EXP(-LN(2)/2)*FS58+(1-EXP(-LN(2)/2))/(LN(2)/2)*FM59*FP59*VLOOKUP('Données projet'!$B$16,Paramètres!$A$1:$I$88,3,0)*0.475*44/12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7.6</v>
      </c>
      <c r="FZ59" s="13">
        <f>IF('Données projet'!$A$244&gt;35,FZ58+FY59-GH58,IF(A59&lt;'Données projet'!$A$244,$FW$205^A59,IF(A59='Données projet'!$A$244,'Données projet'!$B$244,FZ58+FY59-GH58)))</f>
        <v>183.6</v>
      </c>
      <c r="GA59" s="18">
        <f>FZ59*VLOOKUP('Données projet'!$B$17,Paramètres!$A$1:$I$88,3,0)*VLOOKUP('Données projet'!$B$17,Paramètres!$A$1:$I$88,5,0)</f>
        <v>197.62703999999999</v>
      </c>
      <c r="GB59" s="14">
        <f t="shared" si="49"/>
        <v>49.222301224260015</v>
      </c>
      <c r="GC59" s="22">
        <f t="shared" si="25"/>
        <v>429.92926929891951</v>
      </c>
      <c r="GD59" s="62">
        <f t="shared" si="26"/>
        <v>723.26260263225277</v>
      </c>
      <c r="GE59" s="62">
        <f ca="1">AVERAGE(OFFSET($GD$3,0,0,'Données projet'!$E$17+1,1))-AVERAGE(OFFSET($H$3,0,0,'Données projet'!$E$17+1,1))</f>
        <v>503.69304261527651</v>
      </c>
      <c r="GF59" s="62">
        <f t="shared" si="50"/>
        <v>267.2998309535638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projet'!$B$17,Paramètres!$A$1:$I$88,3,0)*0.475*44/12</f>
        <v>0</v>
      </c>
      <c r="GM59" s="23">
        <f>EXP(-LN(2)/25)*GM58+(1-EXP(-LN(2)/25))/(LN(2)/25)*Calculateur!GH59*Calculateur!GJ59*VLOOKUP('Données projet'!$B$17,Paramètres!$A$1:$I$88,3,0)*0.475*44/12</f>
        <v>0</v>
      </c>
      <c r="GN59" s="23">
        <f>EXP(-LN(2)/2)*GN58+(1-EXP(-LN(2)/2))/(LN(2)/2)*GH59*GK59*VLOOKUP('Données projet'!$B$17,Paramètres!$A$1:$I$88,3,0)*0.475*44/12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9.4</v>
      </c>
      <c r="GU59" s="13">
        <f>IF('Données projet'!$A$270&gt;35,GU58+GT59-HC58,IF(A59&lt;'Données projet'!$A$270,$GR$205^A59,IF(A59='Données projet'!$A$270,'Données projet'!$B$270,GU58+GT59-HC58)))</f>
        <v>235.39999999999998</v>
      </c>
      <c r="GV59" s="18">
        <f>GU59*VLOOKUP('Données projet'!$B$18,Paramètres!$A$1:$I$88,3,0)*VLOOKUP('Données projet'!$B$18,Paramètres!$A$1:$I$88,5,0)</f>
        <v>246.04007999999999</v>
      </c>
      <c r="GW59" s="14">
        <f t="shared" si="51"/>
        <v>59.737197231136641</v>
      </c>
      <c r="GX59" s="22">
        <f t="shared" si="28"/>
        <v>532.56209117756305</v>
      </c>
      <c r="GY59" s="62">
        <f t="shared" si="29"/>
        <v>825.89542451089642</v>
      </c>
      <c r="GZ59" s="62">
        <f ca="1">AVERAGE(OFFSET($GY$3,0,0,'Données projet'!$E$18+1,1))-AVERAGE(OFFSET($H$3,0,0,'Données projet'!$E$18+1,1))</f>
        <v>582.89879210197682</v>
      </c>
      <c r="HA59" s="62">
        <f t="shared" si="52"/>
        <v>314.72094983133326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projet'!$B$18,Paramètres!$A$1:$I$88,3,0)*0.475*44/12</f>
        <v>0</v>
      </c>
      <c r="HH59" s="23">
        <f>EXP(-LN(2)/25)*HH58+(1-EXP(-LN(2)/25))/(LN(2)/25)*Calculateur!HC59*Calculateur!HE59*VLOOKUP('Données projet'!$B$18,Paramètres!$A$1:$I$88,3,0)*0.475*44/12</f>
        <v>0</v>
      </c>
      <c r="HI59" s="23">
        <f>EXP(-LN(2)/2)*HI58+(1-EXP(-LN(2)/2))/(LN(2)/2)*HC59*HF59*VLOOKUP('Données projet'!$B$18,Paramètres!$A$1:$I$88,3,0)*0.475*44/12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22.7</v>
      </c>
      <c r="N60" s="14">
        <f>IF('Données projet'!$A$36&gt;35,N59+M60-V59,IF(A60&lt;'Données projet'!$A$36,$K$205^A60,IF(A60='Données projet'!$A$36,'Données projet'!$B$36,N59+M60-V59)))</f>
        <v>447.89999999999969</v>
      </c>
      <c r="O60" s="14">
        <f>N60*VLOOKUP('Données projet'!$B$9,Paramètres!$A$1:$I$88,3,0)*VLOOKUP('Données projet'!$B$9,Paramètres!$A$1:$I$88,5,0)</f>
        <v>209.61719999999985</v>
      </c>
      <c r="P60" s="14">
        <f t="shared" si="33"/>
        <v>51.851925386563117</v>
      </c>
      <c r="Q60" s="22">
        <f t="shared" si="53"/>
        <v>455.39206004826383</v>
      </c>
      <c r="R60" s="62">
        <f t="shared" si="0"/>
        <v>748.72539338159709</v>
      </c>
      <c r="S60" s="62">
        <f ca="1">AVERAGE(OFFSET($R$3,0,0,'Données projet'!$E$9+1,1))-AVERAGE(OFFSET($H$3,0,0,'Données projet'!$E$9+1,1))</f>
        <v>399.92909819003523</v>
      </c>
      <c r="T60" s="62">
        <f t="shared" si="34"/>
        <v>163.7053537268381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projet'!$B$10,Paramètres!$A$1:$I$88,3,0)*VLOOKUP('Données projet'!$B$10,Paramètres!$A$1:$I$88,5,0)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773.91966709175358</v>
      </c>
      <c r="AN60" s="62">
        <f ca="1">AVERAGE(OFFSET($AM$3,0,0,'Données projet'!$E$10+1,1))-AVERAGE(OFFSET($H$3,0,0,'Données projet'!$E$10+1,1))</f>
        <v>510.56580450928806</v>
      </c>
      <c r="AO60" s="62">
        <f t="shared" si="36"/>
        <v>278.21741231699929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255.80000000000004</v>
      </c>
      <c r="BE60" s="14">
        <f>BD60*VLOOKUP('Données projet'!$B$11,Paramètres!$A$1:$I$88,3,0)*VLOOKUP('Données projet'!$B$11,Paramètres!$A$1:$I$88,5,0)</f>
        <v>243.41928000000001</v>
      </c>
      <c r="BF60" s="14">
        <f t="shared" si="37"/>
        <v>59.174598437405322</v>
      </c>
      <c r="BG60" s="22">
        <f t="shared" si="7"/>
        <v>527.01767161181431</v>
      </c>
      <c r="BH60" s="62">
        <f t="shared" si="8"/>
        <v>820.35100494514768</v>
      </c>
      <c r="BI60" s="62">
        <f ca="1">AVERAGE(OFFSET($BH$3,0,0,'Données projet'!$E$11+1,1))-AVERAGE(OFFSET($H$3,0,0,'Données projet'!$E$11+1,1))</f>
        <v>525.51330555662139</v>
      </c>
      <c r="BJ60" s="62">
        <f t="shared" si="38"/>
        <v>357.72390083433635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1.7053025658242404E-13</v>
      </c>
      <c r="BZ60" s="14">
        <f>BY60*VLOOKUP('Données projet'!$B$12,Paramètres!$A$1:$I$88,3,0)*VLOOKUP('Données projet'!$B$12,Paramètres!$A$1:$I$88,5,0)</f>
        <v>1.0197709343628959E-13</v>
      </c>
      <c r="CA60" s="14">
        <f t="shared" si="39"/>
        <v>1.5284983994279675E-12</v>
      </c>
      <c r="CB60" s="22">
        <f t="shared" si="10"/>
        <v>2.839744816738581E-12</v>
      </c>
      <c r="CC60" s="62">
        <f t="shared" si="11"/>
        <v>293.33333333333616</v>
      </c>
      <c r="CD60" s="62">
        <f ca="1">AVERAGE(OFFSET($CC$3,0,0,'Données projet'!$E$12+1,1))-AVERAGE(OFFSET($H$3,0,0,'Données projet'!$E$12+1,1))</f>
        <v>227.46616726010473</v>
      </c>
      <c r="CE60" s="62">
        <f t="shared" si="40"/>
        <v>314.188568589113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70.491560382782566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1.1999040696498489</v>
      </c>
      <c r="CN60" s="24">
        <f t="shared" si="12"/>
        <v>71.691464452432413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14.5</v>
      </c>
      <c r="CT60" s="13">
        <f>IF('Données projet'!$A$140&gt;35,CT59+CS60-DB59,IF(A60&lt;'Données projet'!$A$140,$CQ$205^A60,IF(A60='Données projet'!$A$140,'Données projet'!$B$140,CT59+CS60-DB59)))</f>
        <v>400.5</v>
      </c>
      <c r="CU60" s="18">
        <f>CT60*VLOOKUP('Données projet'!$B$13,Paramètres!$A$1:$I$88,3,0)*VLOOKUP('Données projet'!$B$13,Paramètres!$A$1:$I$88,5,0)</f>
        <v>239.49900000000002</v>
      </c>
      <c r="CV60" s="14">
        <f t="shared" si="41"/>
        <v>58.331724785471216</v>
      </c>
      <c r="CW60" s="22">
        <f t="shared" si="13"/>
        <v>518.721845668029</v>
      </c>
      <c r="CX60" s="62">
        <f t="shared" si="14"/>
        <v>812.05517900136238</v>
      </c>
      <c r="CY60" s="62">
        <f ca="1">AVERAGE(OFFSET($CX$3,0,0,'Données projet'!$E$13+1,1))-AVERAGE(OFFSET($H$3,0,0,'Données projet'!$E$13+1,1))</f>
        <v>356.46794174556311</v>
      </c>
      <c r="CZ60" s="62">
        <f t="shared" si="42"/>
        <v>248.47107558211923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0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15.571428571428571</v>
      </c>
      <c r="DO60" s="13">
        <f>IF('Données projet'!$A$166&gt;35,DO59+DN60-DW59,IF(A60&lt;'Données projet'!$A$166,$DL$205^A60,IF(A60='Données projet'!$A$166,'Données projet'!$B$166,DO59+DN60-DW59)))</f>
        <v>444.57142857142856</v>
      </c>
      <c r="DP60" s="18">
        <f>DO60*VLOOKUP('Données projet'!$B$14,Paramètres!$A$1:$I$88,3,0)*VLOOKUP('Données projet'!$B$14,Paramètres!$A$1:$I$88,5,0)</f>
        <v>248.51542857142857</v>
      </c>
      <c r="DQ60" s="14">
        <f t="shared" si="43"/>
        <v>60.267932112745214</v>
      </c>
      <c r="DR60" s="22">
        <f t="shared" si="16"/>
        <v>537.79768652493601</v>
      </c>
      <c r="DS60" s="62">
        <f t="shared" si="17"/>
        <v>831.13101985826938</v>
      </c>
      <c r="DT60" s="62">
        <f ca="1">AVERAGE(OFFSET($DS$3,0,0,'Données projet'!$E$14+1,1))-AVERAGE(OFFSET($H$3,0,0,'Données projet'!$E$14+1,1))</f>
        <v>397.04445188588369</v>
      </c>
      <c r="DU60" s="62">
        <f t="shared" si="44"/>
        <v>350.01856672839466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2.9395981806386375</v>
      </c>
      <c r="EB60" s="23">
        <f>EXP(-LN(2)/25)*EB59+(1-EXP(-LN(2)/25))/(LN(2)/25)*Calculateur!DW60*Calculateur!DY60*VLOOKUP('Données projet'!$B$14,Paramètres!$A$1:$I$88,3,0)*0.475*44/12</f>
        <v>0</v>
      </c>
      <c r="EC60" s="23">
        <f>EXP(-LN(2)/2)*EC59+(1-EXP(-LN(2)/2))/(LN(2)/2)*DW60*DZ60*VLOOKUP('Données projet'!$B$14,Paramètres!$A$1:$I$88,3,0)*0.475*44/12</f>
        <v>1.3985640835056203E-3</v>
      </c>
      <c r="ED60" s="24">
        <f t="shared" si="18"/>
        <v>2.9409967447221432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3.0800000000000041</v>
      </c>
      <c r="EJ60" s="13">
        <f>IF('Données projet'!$A$192&gt;35,EJ59+EI60-ER59,IF(A60&lt;'Données projet'!$A$192,$EG$205^A60,IF(A60='Données projet'!$A$192,'Données projet'!$B$192,EJ59+EI60-ER59)))</f>
        <v>130.95999999999989</v>
      </c>
      <c r="EK60" s="18">
        <f>EJ60*VLOOKUP('Données projet'!$B$15,Paramètres!$A$1:$I$88,3,0)*VLOOKUP('Données projet'!$B$15,Paramètres!$A$1:$I$88,5,0)</f>
        <v>114.40665599999993</v>
      </c>
      <c r="EL60" s="14">
        <f t="shared" si="45"/>
        <v>30.366841752798013</v>
      </c>
      <c r="EM60" s="22">
        <f t="shared" si="19"/>
        <v>252.14717525278971</v>
      </c>
      <c r="EN60" s="62">
        <f t="shared" si="20"/>
        <v>545.48050858612305</v>
      </c>
      <c r="EO60" s="62">
        <f ca="1">AVERAGE(OFFSET($EN$3,0,0,'Données projet'!$E$15+1,1))-AVERAGE(OFFSET($H$3,0,0,'Données projet'!$E$15+1,1))</f>
        <v>202.5548390231225</v>
      </c>
      <c r="EP60" s="62">
        <f t="shared" si="46"/>
        <v>184.62184077734179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projet'!$B$15,Paramètres!$A$1:$I$88,3,0)*0.475*44/12</f>
        <v>0</v>
      </c>
      <c r="EW60" s="23">
        <f>EXP(-LN(2)/25)*EW59+(1-EXP(-LN(2)/25))/(LN(2)/25)*Calculateur!ER60*Calculateur!ET60*VLOOKUP('Données projet'!$B$15,Paramètres!$A$1:$I$88,3,0)*0.475*44/12</f>
        <v>0</v>
      </c>
      <c r="EX60" s="23">
        <f>EXP(-LN(2)/2)*EX59+(1-EXP(-LN(2)/2))/(LN(2)/2)*ER60*EU60*VLOOKUP('Données projet'!$B$15,Paramètres!$A$1:$I$88,3,0)*0.475*44/12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191.2</v>
      </c>
      <c r="FF60" s="18">
        <f>FE60*VLOOKUP('Données projet'!$B$16,Paramètres!$A$1:$I$88,3,0)*VLOOKUP('Données projet'!$B$16,Paramètres!$A$1:$I$88,5,0)</f>
        <v>184.92864</v>
      </c>
      <c r="FG60" s="14">
        <f t="shared" si="47"/>
        <v>46.416987887800225</v>
      </c>
      <c r="FH60" s="22">
        <f t="shared" si="22"/>
        <v>402.92696857125202</v>
      </c>
      <c r="FI60" s="62">
        <f t="shared" si="23"/>
        <v>696.26030190458528</v>
      </c>
      <c r="FJ60" s="62">
        <f ca="1">AVERAGE(OFFSET($FI$3,0,0,'Données projet'!$E$16+1,1))-AVERAGE(OFFSET($H$3,0,0,'Données projet'!$E$16+1,1))</f>
        <v>456.96274622094955</v>
      </c>
      <c r="FK60" s="62">
        <f t="shared" si="48"/>
        <v>244.45149244446094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projet'!$B$16,Paramètres!$A$1:$I$88,3,0)*0.475*44/12</f>
        <v>0</v>
      </c>
      <c r="FR60" s="23">
        <f>EXP(-LN(2)/25)*FR59+(1-EXP(-LN(2)/25))/(LN(2)/25)*Calculateur!FM60*Calculateur!FO60*VLOOKUP('Données projet'!$B$16,Paramètres!$A$1:$I$88,3,0)*0.475*44/12</f>
        <v>0</v>
      </c>
      <c r="FS60" s="23">
        <f>EXP(-LN(2)/2)*FS59+(1-EXP(-LN(2)/2))/(LN(2)/2)*FM60*FP60*VLOOKUP('Données projet'!$B$16,Paramètres!$A$1:$I$88,3,0)*0.475*44/12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7.6</v>
      </c>
      <c r="FZ60" s="13">
        <f>IF('Données projet'!$A$244&gt;35,FZ59+FY60-GH59,IF(A60&lt;'Données projet'!$A$244,$FW$205^A60,IF(A60='Données projet'!$A$244,'Données projet'!$B$244,FZ59+FY60-GH59)))</f>
        <v>191.2</v>
      </c>
      <c r="GA60" s="18">
        <f>FZ60*VLOOKUP('Données projet'!$B$17,Paramètres!$A$1:$I$88,3,0)*VLOOKUP('Données projet'!$B$17,Paramètres!$A$1:$I$88,5,0)</f>
        <v>205.80767999999995</v>
      </c>
      <c r="GB60" s="14">
        <f t="shared" si="49"/>
        <v>51.018385886479962</v>
      </c>
      <c r="GC60" s="22">
        <f t="shared" si="25"/>
        <v>447.30539808561917</v>
      </c>
      <c r="GD60" s="62">
        <f t="shared" si="26"/>
        <v>740.63873141895249</v>
      </c>
      <c r="GE60" s="62">
        <f ca="1">AVERAGE(OFFSET($GD$3,0,0,'Données projet'!$E$17+1,1))-AVERAGE(OFFSET($H$3,0,0,'Données projet'!$E$17+1,1))</f>
        <v>503.69304261527651</v>
      </c>
      <c r="GF60" s="62">
        <f t="shared" si="50"/>
        <v>267.2998309535638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projet'!$B$17,Paramètres!$A$1:$I$88,3,0)*0.475*44/12</f>
        <v>0</v>
      </c>
      <c r="GM60" s="23">
        <f>EXP(-LN(2)/25)*GM59+(1-EXP(-LN(2)/25))/(LN(2)/25)*Calculateur!GH60*Calculateur!GJ60*VLOOKUP('Données projet'!$B$17,Paramètres!$A$1:$I$88,3,0)*0.475*44/12</f>
        <v>0</v>
      </c>
      <c r="GN60" s="23">
        <f>EXP(-LN(2)/2)*GN59+(1-EXP(-LN(2)/2))/(LN(2)/2)*GH60*GK60*VLOOKUP('Données projet'!$B$17,Paramètres!$A$1:$I$88,3,0)*0.475*44/12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9.4</v>
      </c>
      <c r="GU60" s="13">
        <f>IF('Données projet'!$A$270&gt;35,GU59+GT60-HC59,IF(A60&lt;'Données projet'!$A$270,$GR$205^A60,IF(A60='Données projet'!$A$270,'Données projet'!$B$270,GU59+GT60-HC59)))</f>
        <v>244.79999999999998</v>
      </c>
      <c r="GV60" s="18">
        <f>GU60*VLOOKUP('Données projet'!$B$18,Paramètres!$A$1:$I$88,3,0)*VLOOKUP('Données projet'!$B$18,Paramètres!$A$1:$I$88,5,0)</f>
        <v>255.86496</v>
      </c>
      <c r="GW60" s="14">
        <f t="shared" si="51"/>
        <v>61.840133802494101</v>
      </c>
      <c r="GX60" s="22">
        <f t="shared" si="28"/>
        <v>553.33637170601048</v>
      </c>
      <c r="GY60" s="62">
        <f t="shared" si="29"/>
        <v>846.66970503934385</v>
      </c>
      <c r="GZ60" s="62">
        <f ca="1">AVERAGE(OFFSET($GY$3,0,0,'Données projet'!$E$18+1,1))-AVERAGE(OFFSET($H$3,0,0,'Données projet'!$E$18+1,1))</f>
        <v>582.89879210197682</v>
      </c>
      <c r="HA60" s="62">
        <f t="shared" si="52"/>
        <v>314.72094983133326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projet'!$B$18,Paramètres!$A$1:$I$88,3,0)*0.475*44/12</f>
        <v>0</v>
      </c>
      <c r="HH60" s="23">
        <f>EXP(-LN(2)/25)*HH59+(1-EXP(-LN(2)/25))/(LN(2)/25)*Calculateur!HC60*Calculateur!HE60*VLOOKUP('Données projet'!$B$18,Paramètres!$A$1:$I$88,3,0)*0.475*44/12</f>
        <v>0</v>
      </c>
      <c r="HI60" s="23">
        <f>EXP(-LN(2)/2)*HI59+(1-EXP(-LN(2)/2))/(LN(2)/2)*HC60*HF60*VLOOKUP('Données projet'!$B$18,Paramètres!$A$1:$I$88,3,0)*0.475*44/12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22.7</v>
      </c>
      <c r="N61" s="14">
        <f>IF('Données projet'!$A$36&gt;35,N60+M61-V60,IF(A61&lt;'Données projet'!$A$36,$K$205^A61,IF(A61='Données projet'!$A$36,'Données projet'!$B$36,N60+M61-V60)))</f>
        <v>470.59999999999968</v>
      </c>
      <c r="O61" s="14">
        <f>N61*VLOOKUP('Données projet'!$B$9,Paramètres!$A$1:$I$88,3,0)*VLOOKUP('Données projet'!$B$9,Paramètres!$A$1:$I$88,5,0)</f>
        <v>220.24079999999987</v>
      </c>
      <c r="P61" s="14">
        <f t="shared" si="33"/>
        <v>54.167219078226751</v>
      </c>
      <c r="Q61" s="22">
        <f t="shared" si="53"/>
        <v>477.92729989457803</v>
      </c>
      <c r="R61" s="62">
        <f t="shared" si="0"/>
        <v>771.26063322791128</v>
      </c>
      <c r="S61" s="62">
        <f ca="1">AVERAGE(OFFSET($R$3,0,0,'Données projet'!$E$9+1,1))-AVERAGE(OFFSET($H$3,0,0,'Données projet'!$E$9+1,1))</f>
        <v>399.92909819003523</v>
      </c>
      <c r="T61" s="62">
        <f t="shared" si="34"/>
        <v>163.7053537268381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projet'!$B$10,Paramètres!$A$1:$I$88,3,0)*VLOOKUP('Données projet'!$B$10,Paramètres!$A$1:$I$88,5,0)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791.94267592098333</v>
      </c>
      <c r="AN61" s="62">
        <f ca="1">AVERAGE(OFFSET($AM$3,0,0,'Données projet'!$E$10+1,1))-AVERAGE(OFFSET($H$3,0,0,'Données projet'!$E$10+1,1))</f>
        <v>510.56580450928806</v>
      </c>
      <c r="AO61" s="62">
        <f t="shared" si="36"/>
        <v>278.21741231699929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263.20000000000005</v>
      </c>
      <c r="BE61" s="14">
        <f>BD61*VLOOKUP('Données projet'!$B$11,Paramètres!$A$1:$I$88,3,0)*VLOOKUP('Données projet'!$B$11,Paramètres!$A$1:$I$88,5,0)</f>
        <v>250.46112000000005</v>
      </c>
      <c r="BF61" s="14">
        <f t="shared" si="37"/>
        <v>60.684672167637892</v>
      </c>
      <c r="BG61" s="22">
        <f t="shared" si="7"/>
        <v>541.91225469196945</v>
      </c>
      <c r="BH61" s="62">
        <f t="shared" si="8"/>
        <v>835.24558802530282</v>
      </c>
      <c r="BI61" s="62">
        <f ca="1">AVERAGE(OFFSET($BH$3,0,0,'Données projet'!$E$11+1,1))-AVERAGE(OFFSET($H$3,0,0,'Données projet'!$E$11+1,1))</f>
        <v>525.51330555662139</v>
      </c>
      <c r="BJ61" s="62">
        <f t="shared" si="38"/>
        <v>357.72390083433635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1.7053025658242404E-13</v>
      </c>
      <c r="BZ61" s="14">
        <f>BY61*VLOOKUP('Données projet'!$B$12,Paramètres!$A$1:$I$88,3,0)*VLOOKUP('Données projet'!$B$12,Paramètres!$A$1:$I$88,5,0)</f>
        <v>1.0197709343628959E-13</v>
      </c>
      <c r="CA61" s="14">
        <f t="shared" si="39"/>
        <v>1.5284983994279675E-12</v>
      </c>
      <c r="CB61" s="22">
        <f t="shared" si="10"/>
        <v>2.839744816738581E-12</v>
      </c>
      <c r="CC61" s="62">
        <f t="shared" si="11"/>
        <v>293.33333333333616</v>
      </c>
      <c r="CD61" s="62">
        <f ca="1">AVERAGE(OFFSET($CC$3,0,0,'Données projet'!$E$12+1,1))-AVERAGE(OFFSET($H$3,0,0,'Données projet'!$E$12+1,1))</f>
        <v>227.46616726010473</v>
      </c>
      <c r="CE61" s="62">
        <f t="shared" si="40"/>
        <v>314.188568589113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69.109263879282565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0.84846030442274356</v>
      </c>
      <c r="CN61" s="24">
        <f t="shared" si="12"/>
        <v>69.957724183705309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>
        <f>VLOOKUP(A61,'Données projet'!$A$139:$I$159,2,0)</f>
        <v>415</v>
      </c>
      <c r="CR61" s="13">
        <f>VLOOKUP(A61,'Données projet'!$A$139:$I$159,9,0)</f>
        <v>14.5</v>
      </c>
      <c r="CS61" s="13">
        <f t="array" ref="CS61">INDEX(CR:CR,MIN(IF(ISNUMBER(CR61:CR257),ROW(CR61:CR257),"")))</f>
        <v>14.5</v>
      </c>
      <c r="CT61" s="13">
        <f>IF('Données projet'!$A$140&gt;35,CT60+CS61-DB60,IF(A61&lt;'Données projet'!$A$140,$CQ$205^A61,IF(A61='Données projet'!$A$140,'Données projet'!$B$140,CT60+CS61-DB60)))</f>
        <v>415</v>
      </c>
      <c r="CU61" s="18">
        <f>CT61*VLOOKUP('Données projet'!$B$13,Paramètres!$A$1:$I$88,3,0)*VLOOKUP('Données projet'!$B$13,Paramètres!$A$1:$I$88,5,0)</f>
        <v>248.17000000000002</v>
      </c>
      <c r="CV61" s="14">
        <f t="shared" si="41"/>
        <v>60.193906493778854</v>
      </c>
      <c r="CW61" s="22">
        <f t="shared" si="13"/>
        <v>537.06713714333148</v>
      </c>
      <c r="CX61" s="62">
        <f t="shared" si="14"/>
        <v>830.40047047666485</v>
      </c>
      <c r="CY61" s="62">
        <f ca="1">AVERAGE(OFFSET($CX$3,0,0,'Données projet'!$E$13+1,1))-AVERAGE(OFFSET($H$3,0,0,'Données projet'!$E$13+1,1))</f>
        <v>356.46794174556311</v>
      </c>
      <c r="CZ61" s="62">
        <f t="shared" si="42"/>
        <v>248.47107558211923</v>
      </c>
      <c r="DA61" s="16">
        <f>IF(ISNA(VLOOKUP(A61,'Données projet'!$A$139:$I$159,3,0)),0,VLOOKUP(A61,'Données projet'!$A$139:$I$159,3,0))</f>
        <v>4</v>
      </c>
      <c r="DB61" s="16">
        <f>IF(ISNA(VLOOKUP(A61,'Données projet'!$A$139:$I$159,4,0)),0,VLOOKUP(A61,'Données projet'!$A$139:$I$159,4,0))</f>
        <v>131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0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15.571428571428571</v>
      </c>
      <c r="DO61" s="13">
        <f>IF('Données projet'!$A$166&gt;35,DO60+DN61-DW60,IF(A61&lt;'Données projet'!$A$166,$DL$205^A61,IF(A61='Données projet'!$A$166,'Données projet'!$B$166,DO60+DN61-DW60)))</f>
        <v>460.14285714285711</v>
      </c>
      <c r="DP61" s="18">
        <f>DO61*VLOOKUP('Données projet'!$B$14,Paramètres!$A$1:$I$88,3,0)*VLOOKUP('Données projet'!$B$14,Paramètres!$A$1:$I$88,5,0)</f>
        <v>257.21985714285711</v>
      </c>
      <c r="DQ61" s="14">
        <f t="shared" si="43"/>
        <v>62.129393573116417</v>
      </c>
      <c r="DR61" s="22">
        <f t="shared" si="16"/>
        <v>556.19994499698726</v>
      </c>
      <c r="DS61" s="62">
        <f t="shared" si="17"/>
        <v>849.53327833032063</v>
      </c>
      <c r="DT61" s="62">
        <f ca="1">AVERAGE(OFFSET($DS$3,0,0,'Données projet'!$E$14+1,1))-AVERAGE(OFFSET($H$3,0,0,'Données projet'!$E$14+1,1))</f>
        <v>397.04445188588369</v>
      </c>
      <c r="DU61" s="62">
        <f t="shared" si="44"/>
        <v>350.01856672839466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2.8819544532941621</v>
      </c>
      <c r="EB61" s="23">
        <f>EXP(-LN(2)/25)*EB60+(1-EXP(-LN(2)/25))/(LN(2)/25)*Calculateur!DW61*Calculateur!DY61*VLOOKUP('Données projet'!$B$14,Paramètres!$A$1:$I$88,3,0)*0.475*44/12</f>
        <v>0</v>
      </c>
      <c r="EC61" s="23">
        <f>EXP(-LN(2)/2)*EC60+(1-EXP(-LN(2)/2))/(LN(2)/2)*DW61*DZ61*VLOOKUP('Données projet'!$B$14,Paramètres!$A$1:$I$88,3,0)*0.475*44/12</f>
        <v>9.8893414737077304E-4</v>
      </c>
      <c r="ED61" s="24">
        <f t="shared" si="18"/>
        <v>2.8829433874415327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3.0800000000000041</v>
      </c>
      <c r="EJ61" s="13">
        <f>IF('Données projet'!$A$192&gt;35,EJ60+EI61-ER60,IF(A61&lt;'Données projet'!$A$192,$EG$205^A61,IF(A61='Données projet'!$A$192,'Données projet'!$B$192,EJ60+EI61-ER60)))</f>
        <v>134.03999999999991</v>
      </c>
      <c r="EK61" s="18">
        <f>EJ61*VLOOKUP('Données projet'!$B$15,Paramètres!$A$1:$I$88,3,0)*VLOOKUP('Données projet'!$B$15,Paramètres!$A$1:$I$88,5,0)</f>
        <v>117.09734399999994</v>
      </c>
      <c r="EL61" s="14">
        <f t="shared" si="45"/>
        <v>30.9970406905197</v>
      </c>
      <c r="EM61" s="22">
        <f t="shared" si="19"/>
        <v>257.93105333598834</v>
      </c>
      <c r="EN61" s="62">
        <f t="shared" si="20"/>
        <v>551.26438666932165</v>
      </c>
      <c r="EO61" s="62">
        <f ca="1">AVERAGE(OFFSET($EN$3,0,0,'Données projet'!$E$15+1,1))-AVERAGE(OFFSET($H$3,0,0,'Données projet'!$E$15+1,1))</f>
        <v>202.5548390231225</v>
      </c>
      <c r="EP61" s="62">
        <f t="shared" si="46"/>
        <v>184.62184077734179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projet'!$B$15,Paramètres!$A$1:$I$88,3,0)*0.475*44/12</f>
        <v>0</v>
      </c>
      <c r="EW61" s="23">
        <f>EXP(-LN(2)/25)*EW60+(1-EXP(-LN(2)/25))/(LN(2)/25)*Calculateur!ER61*Calculateur!ET61*VLOOKUP('Données projet'!$B$15,Paramètres!$A$1:$I$88,3,0)*0.475*44/12</f>
        <v>0</v>
      </c>
      <c r="EX61" s="23">
        <f>EXP(-LN(2)/2)*EX60+(1-EXP(-LN(2)/2))/(LN(2)/2)*ER61*EU61*VLOOKUP('Données projet'!$B$15,Paramètres!$A$1:$I$88,3,0)*0.475*44/12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198.79999999999998</v>
      </c>
      <c r="FF61" s="18">
        <f>FE61*VLOOKUP('Données projet'!$B$16,Paramètres!$A$1:$I$88,3,0)*VLOOKUP('Données projet'!$B$16,Paramètres!$A$1:$I$88,5,0)</f>
        <v>192.27936</v>
      </c>
      <c r="FG61" s="14">
        <f t="shared" si="47"/>
        <v>48.04353669645932</v>
      </c>
      <c r="FH61" s="22">
        <f t="shared" si="22"/>
        <v>418.56237841299998</v>
      </c>
      <c r="FI61" s="62">
        <f t="shared" si="23"/>
        <v>711.89571174633329</v>
      </c>
      <c r="FJ61" s="62">
        <f ca="1">AVERAGE(OFFSET($FI$3,0,0,'Données projet'!$E$16+1,1))-AVERAGE(OFFSET($H$3,0,0,'Données projet'!$E$16+1,1))</f>
        <v>456.96274622094955</v>
      </c>
      <c r="FK61" s="62">
        <f t="shared" si="48"/>
        <v>244.45149244446094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projet'!$B$16,Paramètres!$A$1:$I$88,3,0)*0.475*44/12</f>
        <v>0</v>
      </c>
      <c r="FR61" s="23">
        <f>EXP(-LN(2)/25)*FR60+(1-EXP(-LN(2)/25))/(LN(2)/25)*Calculateur!FM61*Calculateur!FO61*VLOOKUP('Données projet'!$B$16,Paramètres!$A$1:$I$88,3,0)*0.475*44/12</f>
        <v>0</v>
      </c>
      <c r="FS61" s="23">
        <f>EXP(-LN(2)/2)*FS60+(1-EXP(-LN(2)/2))/(LN(2)/2)*FM61*FP61*VLOOKUP('Données projet'!$B$16,Paramètres!$A$1:$I$88,3,0)*0.475*44/12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7.6</v>
      </c>
      <c r="FZ61" s="13">
        <f>IF('Données projet'!$A$244&gt;35,FZ60+FY61-GH60,IF(A61&lt;'Données projet'!$A$244,$FW$205^A61,IF(A61='Données projet'!$A$244,'Données projet'!$B$244,FZ60+FY61-GH60)))</f>
        <v>198.79999999999998</v>
      </c>
      <c r="GA61" s="18">
        <f>FZ61*VLOOKUP('Données projet'!$B$17,Paramètres!$A$1:$I$88,3,0)*VLOOKUP('Données projet'!$B$17,Paramètres!$A$1:$I$88,5,0)</f>
        <v>213.98831999999996</v>
      </c>
      <c r="GB61" s="14">
        <f t="shared" si="49"/>
        <v>52.806177351620995</v>
      </c>
      <c r="GC61" s="22">
        <f t="shared" si="25"/>
        <v>464.66708288740648</v>
      </c>
      <c r="GD61" s="62">
        <f t="shared" si="26"/>
        <v>758.00041622073979</v>
      </c>
      <c r="GE61" s="62">
        <f ca="1">AVERAGE(OFFSET($GD$3,0,0,'Données projet'!$E$17+1,1))-AVERAGE(OFFSET($H$3,0,0,'Données projet'!$E$17+1,1))</f>
        <v>503.69304261527651</v>
      </c>
      <c r="GF61" s="62">
        <f t="shared" si="50"/>
        <v>267.2998309535638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projet'!$B$17,Paramètres!$A$1:$I$88,3,0)*0.475*44/12</f>
        <v>0</v>
      </c>
      <c r="GM61" s="23">
        <f>EXP(-LN(2)/25)*GM60+(1-EXP(-LN(2)/25))/(LN(2)/25)*Calculateur!GH61*Calculateur!GJ61*VLOOKUP('Données projet'!$B$17,Paramètres!$A$1:$I$88,3,0)*0.475*44/12</f>
        <v>0</v>
      </c>
      <c r="GN61" s="23">
        <f>EXP(-LN(2)/2)*GN60+(1-EXP(-LN(2)/2))/(LN(2)/2)*GH61*GK61*VLOOKUP('Données projet'!$B$17,Paramètres!$A$1:$I$88,3,0)*0.475*44/12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9.4</v>
      </c>
      <c r="GU61" s="13">
        <f>IF('Données projet'!$A$270&gt;35,GU60+GT61-HC60,IF(A61&lt;'Données projet'!$A$270,$GR$205^A61,IF(A61='Données projet'!$A$270,'Données projet'!$B$270,GU60+GT61-HC60)))</f>
        <v>254.2</v>
      </c>
      <c r="GV61" s="18">
        <f>GU61*VLOOKUP('Données projet'!$B$18,Paramètres!$A$1:$I$88,3,0)*VLOOKUP('Données projet'!$B$18,Paramètres!$A$1:$I$88,5,0)</f>
        <v>265.68984</v>
      </c>
      <c r="GW61" s="14">
        <f t="shared" si="51"/>
        <v>63.933689611546271</v>
      </c>
      <c r="GX61" s="22">
        <f t="shared" si="28"/>
        <v>574.094314073443</v>
      </c>
      <c r="GY61" s="62">
        <f t="shared" si="29"/>
        <v>867.42764740677626</v>
      </c>
      <c r="GZ61" s="62">
        <f ca="1">AVERAGE(OFFSET($GY$3,0,0,'Données projet'!$E$18+1,1))-AVERAGE(OFFSET($H$3,0,0,'Données projet'!$E$18+1,1))</f>
        <v>582.89879210197682</v>
      </c>
      <c r="HA61" s="62">
        <f t="shared" si="52"/>
        <v>314.72094983133326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projet'!$B$18,Paramètres!$A$1:$I$88,3,0)*0.475*44/12</f>
        <v>0</v>
      </c>
      <c r="HH61" s="23">
        <f>EXP(-LN(2)/25)*HH60+(1-EXP(-LN(2)/25))/(LN(2)/25)*Calculateur!HC61*Calculateur!HE61*VLOOKUP('Données projet'!$B$18,Paramètres!$A$1:$I$88,3,0)*0.475*44/12</f>
        <v>0</v>
      </c>
      <c r="HI61" s="23">
        <f>EXP(-LN(2)/2)*HI60+(1-EXP(-LN(2)/2))/(LN(2)/2)*HC61*HF61*VLOOKUP('Données projet'!$B$18,Paramètres!$A$1:$I$88,3,0)*0.475*44/12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22.7</v>
      </c>
      <c r="N62" s="14">
        <f>IF('Données projet'!$A$36&gt;35,N61+M62-V61,IF(A62&lt;'Données projet'!$A$36,$K$205^A62,IF(A62='Données projet'!$A$36,'Données projet'!$B$36,N61+M62-V61)))</f>
        <v>493.29999999999967</v>
      </c>
      <c r="O62" s="14">
        <f>N62*VLOOKUP('Données projet'!$B$9,Paramètres!$A$1:$I$88,3,0)*VLOOKUP('Données projet'!$B$9,Paramètres!$A$1:$I$88,5,0)</f>
        <v>230.86439999999985</v>
      </c>
      <c r="P62" s="14">
        <f t="shared" si="33"/>
        <v>56.469544196332308</v>
      </c>
      <c r="Q62" s="22">
        <f t="shared" si="53"/>
        <v>500.43995280861185</v>
      </c>
      <c r="R62" s="62">
        <f t="shared" si="0"/>
        <v>793.77328614194516</v>
      </c>
      <c r="S62" s="62">
        <f ca="1">AVERAGE(OFFSET($R$3,0,0,'Données projet'!$E$9+1,1))-AVERAGE(OFFSET($H$3,0,0,'Données projet'!$E$9+1,1))</f>
        <v>399.92909819003523</v>
      </c>
      <c r="T62" s="62">
        <f t="shared" si="34"/>
        <v>163.7053537268381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projet'!$B$10,Paramètres!$A$1:$I$88,3,0)*VLOOKUP('Données projet'!$B$10,Paramètres!$A$1:$I$88,5,0)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809.95189455631794</v>
      </c>
      <c r="AN62" s="62">
        <f ca="1">AVERAGE(OFFSET($AM$3,0,0,'Données projet'!$E$10+1,1))-AVERAGE(OFFSET($H$3,0,0,'Données projet'!$E$10+1,1))</f>
        <v>510.56580450928806</v>
      </c>
      <c r="AO62" s="62">
        <f t="shared" si="36"/>
        <v>278.21741231699929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270.60000000000002</v>
      </c>
      <c r="BE62" s="14">
        <f>BD62*VLOOKUP('Données projet'!$B$11,Paramètres!$A$1:$I$88,3,0)*VLOOKUP('Données projet'!$B$11,Paramètres!$A$1:$I$88,5,0)</f>
        <v>257.50296000000003</v>
      </c>
      <c r="BF62" s="14">
        <f t="shared" si="37"/>
        <v>62.189811354397172</v>
      </c>
      <c r="BG62" s="22">
        <f t="shared" si="7"/>
        <v>556.79824344224187</v>
      </c>
      <c r="BH62" s="62">
        <f t="shared" si="8"/>
        <v>850.13157677557524</v>
      </c>
      <c r="BI62" s="62">
        <f ca="1">AVERAGE(OFFSET($BH$3,0,0,'Données projet'!$E$11+1,1))-AVERAGE(OFFSET($H$3,0,0,'Données projet'!$E$11+1,1))</f>
        <v>525.51330555662139</v>
      </c>
      <c r="BJ62" s="62">
        <f t="shared" si="38"/>
        <v>357.72390083433635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1.7053025658242404E-13</v>
      </c>
      <c r="BZ62" s="14">
        <f>BY62*VLOOKUP('Données projet'!$B$12,Paramètres!$A$1:$I$88,3,0)*VLOOKUP('Données projet'!$B$12,Paramètres!$A$1:$I$88,5,0)</f>
        <v>1.0197709343628959E-13</v>
      </c>
      <c r="CA62" s="14">
        <f t="shared" si="39"/>
        <v>1.5284983994279675E-12</v>
      </c>
      <c r="CB62" s="22">
        <f t="shared" si="10"/>
        <v>2.839744816738581E-12</v>
      </c>
      <c r="CC62" s="62">
        <f t="shared" si="11"/>
        <v>293.33333333333616</v>
      </c>
      <c r="CD62" s="62">
        <f ca="1">AVERAGE(OFFSET($CC$3,0,0,'Données projet'!$E$12+1,1))-AVERAGE(OFFSET($H$3,0,0,'Données projet'!$E$12+1,1))</f>
        <v>227.46616726010473</v>
      </c>
      <c r="CE62" s="62">
        <f t="shared" si="40"/>
        <v>314.188568589113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67.754073367098584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0.59995203482492443</v>
      </c>
      <c r="CN62" s="24">
        <f t="shared" si="12"/>
        <v>68.354025401923508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18.25</v>
      </c>
      <c r="CT62" s="13">
        <f>IF('Données projet'!$A$140&gt;35,CT61+CS62-DB61,IF(A62&lt;'Données projet'!$A$140,$CQ$205^A62,IF(A62='Données projet'!$A$140,'Données projet'!$B$140,CT61+CS62-DB61)))</f>
        <v>302.25</v>
      </c>
      <c r="CU62" s="18">
        <f>CT62*VLOOKUP('Données projet'!$B$13,Paramètres!$A$1:$I$88,3,0)*VLOOKUP('Données projet'!$B$13,Paramètres!$A$1:$I$88,5,0)</f>
        <v>180.74549999999999</v>
      </c>
      <c r="CV62" s="14">
        <f t="shared" si="41"/>
        <v>45.488006263298338</v>
      </c>
      <c r="CW62" s="22">
        <f t="shared" si="13"/>
        <v>394.02335674191119</v>
      </c>
      <c r="CX62" s="62">
        <f t="shared" si="14"/>
        <v>687.3566900752445</v>
      </c>
      <c r="CY62" s="62">
        <f ca="1">AVERAGE(OFFSET($CX$3,0,0,'Données projet'!$E$13+1,1))-AVERAGE(OFFSET($H$3,0,0,'Données projet'!$E$13+1,1))</f>
        <v>356.46794174556311</v>
      </c>
      <c r="CZ62" s="62">
        <f t="shared" si="42"/>
        <v>248.47107558211923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0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15.571428571428571</v>
      </c>
      <c r="DO62" s="13">
        <f>IF('Données projet'!$A$166&gt;35,DO61+DN62-DW61,IF(A62&lt;'Données projet'!$A$166,$DL$205^A62,IF(A62='Données projet'!$A$166,'Données projet'!$B$166,DO61+DN62-DW61)))</f>
        <v>475.71428571428567</v>
      </c>
      <c r="DP62" s="18">
        <f>DO62*VLOOKUP('Données projet'!$B$14,Paramètres!$A$1:$I$88,3,0)*VLOOKUP('Données projet'!$B$14,Paramètres!$A$1:$I$88,5,0)</f>
        <v>265.9242857142857</v>
      </c>
      <c r="DQ62" s="14">
        <f t="shared" si="43"/>
        <v>63.983535636381518</v>
      </c>
      <c r="DR62" s="22">
        <f t="shared" si="16"/>
        <v>574.5894555190788</v>
      </c>
      <c r="DS62" s="62">
        <f t="shared" si="17"/>
        <v>867.92278885241217</v>
      </c>
      <c r="DT62" s="62">
        <f ca="1">AVERAGE(OFFSET($DS$3,0,0,'Données projet'!$E$14+1,1))-AVERAGE(OFFSET($H$3,0,0,'Données projet'!$E$14+1,1))</f>
        <v>397.04445188588369</v>
      </c>
      <c r="DU62" s="62">
        <f t="shared" si="44"/>
        <v>350.01856672839466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2.8254410842837099</v>
      </c>
      <c r="EB62" s="23">
        <f>EXP(-LN(2)/25)*EB61+(1-EXP(-LN(2)/25))/(LN(2)/25)*Calculateur!DW62*Calculateur!DY62*VLOOKUP('Données projet'!$B$14,Paramètres!$A$1:$I$88,3,0)*0.475*44/12</f>
        <v>0</v>
      </c>
      <c r="EC62" s="23">
        <f>EXP(-LN(2)/2)*EC61+(1-EXP(-LN(2)/2))/(LN(2)/2)*DW62*DZ62*VLOOKUP('Données projet'!$B$14,Paramètres!$A$1:$I$88,3,0)*0.475*44/12</f>
        <v>6.9928204175281016E-4</v>
      </c>
      <c r="ED62" s="24">
        <f t="shared" si="18"/>
        <v>2.8261403663254625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3.0800000000000041</v>
      </c>
      <c r="EJ62" s="13">
        <f>IF('Données projet'!$A$192&gt;35,EJ61+EI62-ER61,IF(A62&lt;'Données projet'!$A$192,$EG$205^A62,IF(A62='Données projet'!$A$192,'Données projet'!$B$192,EJ61+EI62-ER61)))</f>
        <v>137.11999999999992</v>
      </c>
      <c r="EK62" s="18">
        <f>EJ62*VLOOKUP('Données projet'!$B$15,Paramètres!$A$1:$I$88,3,0)*VLOOKUP('Données projet'!$B$15,Paramètres!$A$1:$I$88,5,0)</f>
        <v>119.78803199999993</v>
      </c>
      <c r="EL62" s="14">
        <f t="shared" si="45"/>
        <v>31.625556153235223</v>
      </c>
      <c r="EM62" s="22">
        <f t="shared" si="19"/>
        <v>263.71199936688453</v>
      </c>
      <c r="EN62" s="62">
        <f t="shared" si="20"/>
        <v>557.04533270021784</v>
      </c>
      <c r="EO62" s="62">
        <f ca="1">AVERAGE(OFFSET($EN$3,0,0,'Données projet'!$E$15+1,1))-AVERAGE(OFFSET($H$3,0,0,'Données projet'!$E$15+1,1))</f>
        <v>202.5548390231225</v>
      </c>
      <c r="EP62" s="62">
        <f t="shared" si="46"/>
        <v>184.62184077734179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projet'!$B$15,Paramètres!$A$1:$I$88,3,0)*0.475*44/12</f>
        <v>0</v>
      </c>
      <c r="EW62" s="23">
        <f>EXP(-LN(2)/25)*EW61+(1-EXP(-LN(2)/25))/(LN(2)/25)*Calculateur!ER62*Calculateur!ET62*VLOOKUP('Données projet'!$B$15,Paramètres!$A$1:$I$88,3,0)*0.475*44/12</f>
        <v>0</v>
      </c>
      <c r="EX62" s="23">
        <f>EXP(-LN(2)/2)*EX61+(1-EXP(-LN(2)/2))/(LN(2)/2)*ER62*EU62*VLOOKUP('Données projet'!$B$15,Paramètres!$A$1:$I$88,3,0)*0.475*44/12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206.39999999999998</v>
      </c>
      <c r="FF62" s="18">
        <f>FE62*VLOOKUP('Données projet'!$B$16,Paramètres!$A$1:$I$88,3,0)*VLOOKUP('Données projet'!$B$16,Paramètres!$A$1:$I$88,5,0)</f>
        <v>199.63007999999999</v>
      </c>
      <c r="FG62" s="14">
        <f t="shared" si="47"/>
        <v>49.662861748339331</v>
      </c>
      <c r="FH62" s="22">
        <f t="shared" si="22"/>
        <v>434.18520687835763</v>
      </c>
      <c r="FI62" s="62">
        <f t="shared" si="23"/>
        <v>727.51854021169095</v>
      </c>
      <c r="FJ62" s="62">
        <f ca="1">AVERAGE(OFFSET($FI$3,0,0,'Données projet'!$E$16+1,1))-AVERAGE(OFFSET($H$3,0,0,'Données projet'!$E$16+1,1))</f>
        <v>456.96274622094955</v>
      </c>
      <c r="FK62" s="62">
        <f t="shared" si="48"/>
        <v>244.45149244446094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projet'!$B$16,Paramètres!$A$1:$I$88,3,0)*0.475*44/12</f>
        <v>0</v>
      </c>
      <c r="FR62" s="23">
        <f>EXP(-LN(2)/25)*FR61+(1-EXP(-LN(2)/25))/(LN(2)/25)*Calculateur!FM62*Calculateur!FO62*VLOOKUP('Données projet'!$B$16,Paramètres!$A$1:$I$88,3,0)*0.475*44/12</f>
        <v>0</v>
      </c>
      <c r="FS62" s="23">
        <f>EXP(-LN(2)/2)*FS61+(1-EXP(-LN(2)/2))/(LN(2)/2)*FM62*FP62*VLOOKUP('Données projet'!$B$16,Paramètres!$A$1:$I$88,3,0)*0.475*44/12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7.6</v>
      </c>
      <c r="FZ62" s="13">
        <f>IF('Données projet'!$A$244&gt;35,FZ61+FY62-GH61,IF(A62&lt;'Données projet'!$A$244,$FW$205^A62,IF(A62='Données projet'!$A$244,'Données projet'!$B$244,FZ61+FY62-GH61)))</f>
        <v>206.39999999999998</v>
      </c>
      <c r="GA62" s="18">
        <f>FZ62*VLOOKUP('Données projet'!$B$17,Paramètres!$A$1:$I$88,3,0)*VLOOKUP('Données projet'!$B$17,Paramètres!$A$1:$I$88,5,0)</f>
        <v>222.16895999999997</v>
      </c>
      <c r="GB62" s="14">
        <f t="shared" si="49"/>
        <v>54.586028956213639</v>
      </c>
      <c r="GC62" s="22">
        <f t="shared" si="25"/>
        <v>482.01493909873869</v>
      </c>
      <c r="GD62" s="62">
        <f t="shared" si="26"/>
        <v>775.34827243207201</v>
      </c>
      <c r="GE62" s="62">
        <f ca="1">AVERAGE(OFFSET($GD$3,0,0,'Données projet'!$E$17+1,1))-AVERAGE(OFFSET($H$3,0,0,'Données projet'!$E$17+1,1))</f>
        <v>503.69304261527651</v>
      </c>
      <c r="GF62" s="62">
        <f t="shared" si="50"/>
        <v>267.2998309535638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projet'!$B$17,Paramètres!$A$1:$I$88,3,0)*0.475*44/12</f>
        <v>0</v>
      </c>
      <c r="GM62" s="23">
        <f>EXP(-LN(2)/25)*GM61+(1-EXP(-LN(2)/25))/(LN(2)/25)*Calculateur!GH62*Calculateur!GJ62*VLOOKUP('Données projet'!$B$17,Paramètres!$A$1:$I$88,3,0)*0.475*44/12</f>
        <v>0</v>
      </c>
      <c r="GN62" s="23">
        <f>EXP(-LN(2)/2)*GN61+(1-EXP(-LN(2)/2))/(LN(2)/2)*GH62*GK62*VLOOKUP('Données projet'!$B$17,Paramètres!$A$1:$I$88,3,0)*0.475*44/12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9.4</v>
      </c>
      <c r="GU62" s="13">
        <f>IF('Données projet'!$A$270&gt;35,GU61+GT62-HC61,IF(A62&lt;'Données projet'!$A$270,$GR$205^A62,IF(A62='Données projet'!$A$270,'Données projet'!$B$270,GU61+GT62-HC61)))</f>
        <v>263.59999999999997</v>
      </c>
      <c r="GV62" s="18">
        <f>GU62*VLOOKUP('Données projet'!$B$18,Paramètres!$A$1:$I$88,3,0)*VLOOKUP('Données projet'!$B$18,Paramètres!$A$1:$I$88,5,0)</f>
        <v>275.51472000000001</v>
      </c>
      <c r="GW62" s="14">
        <f t="shared" si="51"/>
        <v>66.018251272114483</v>
      </c>
      <c r="GX62" s="22">
        <f t="shared" si="28"/>
        <v>594.83659163226605</v>
      </c>
      <c r="GY62" s="62">
        <f t="shared" si="29"/>
        <v>888.16992496559942</v>
      </c>
      <c r="GZ62" s="62">
        <f ca="1">AVERAGE(OFFSET($GY$3,0,0,'Données projet'!$E$18+1,1))-AVERAGE(OFFSET($H$3,0,0,'Données projet'!$E$18+1,1))</f>
        <v>582.89879210197682</v>
      </c>
      <c r="HA62" s="62">
        <f t="shared" si="52"/>
        <v>314.72094983133326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projet'!$B$18,Paramètres!$A$1:$I$88,3,0)*0.475*44/12</f>
        <v>0</v>
      </c>
      <c r="HH62" s="23">
        <f>EXP(-LN(2)/25)*HH61+(1-EXP(-LN(2)/25))/(LN(2)/25)*Calculateur!HC62*Calculateur!HE62*VLOOKUP('Données projet'!$B$18,Paramètres!$A$1:$I$88,3,0)*0.475*44/12</f>
        <v>0</v>
      </c>
      <c r="HI62" s="23">
        <f>EXP(-LN(2)/2)*HI61+(1-EXP(-LN(2)/2))/(LN(2)/2)*HC62*HF62*VLOOKUP('Données projet'!$B$18,Paramètres!$A$1:$I$88,3,0)*0.475*44/12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516</v>
      </c>
      <c r="L63" s="13">
        <f>VLOOKUP(A63,'Données projet'!$A$35:$I$55,9,0)</f>
        <v>22.7</v>
      </c>
      <c r="M63" s="13">
        <f t="array" ref="M63">INDEX(L:L,MIN(IF(ISNUMBER(L63:L259),ROW(L63:L259),"")))</f>
        <v>22.7</v>
      </c>
      <c r="N63" s="14">
        <f>IF('Données projet'!$A$36&gt;35,N62+M63-V62,IF(A63&lt;'Données projet'!$A$36,$K$205^A63,IF(A63='Données projet'!$A$36,'Données projet'!$B$36,N62+M63-V62)))</f>
        <v>515.99999999999966</v>
      </c>
      <c r="O63" s="14">
        <f>N63*VLOOKUP('Données projet'!$B$9,Paramètres!$A$1:$I$88,3,0)*VLOOKUP('Données projet'!$B$9,Paramètres!$A$1:$I$88,5,0)</f>
        <v>241.48799999999986</v>
      </c>
      <c r="P63" s="14">
        <f t="shared" si="33"/>
        <v>58.759565673424916</v>
      </c>
      <c r="Q63" s="22">
        <f t="shared" si="53"/>
        <v>522.93117688121481</v>
      </c>
      <c r="R63" s="62">
        <f t="shared" si="0"/>
        <v>816.26451021454818</v>
      </c>
      <c r="S63" s="62">
        <f ca="1">AVERAGE(OFFSET($R$3,0,0,'Données projet'!$E$9+1,1))-AVERAGE(OFFSET($H$3,0,0,'Données projet'!$E$9+1,1))</f>
        <v>399.92909819003523</v>
      </c>
      <c r="T63" s="62">
        <f t="shared" si="34"/>
        <v>163.7053537268381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112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projet'!$B$10,Paramètres!$A$1:$I$88,3,0)*VLOOKUP('Données projet'!$B$10,Paramètres!$A$1:$I$88,5,0)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827.94787109652862</v>
      </c>
      <c r="AN63" s="62">
        <f ca="1">AVERAGE(OFFSET($AM$3,0,0,'Données projet'!$E$10+1,1))-AVERAGE(OFFSET($H$3,0,0,'Données projet'!$E$10+1,1))</f>
        <v>510.56580450928806</v>
      </c>
      <c r="AO63" s="62">
        <f t="shared" si="36"/>
        <v>278.21741231699929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278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278</v>
      </c>
      <c r="BE63" s="14">
        <f>BD63*VLOOKUP('Données projet'!$B$11,Paramètres!$A$1:$I$88,3,0)*VLOOKUP('Données projet'!$B$11,Paramètres!$A$1:$I$88,5,0)</f>
        <v>264.54480000000001</v>
      </c>
      <c r="BF63" s="14">
        <f t="shared" si="37"/>
        <v>63.690166446698356</v>
      </c>
      <c r="BG63" s="22">
        <f t="shared" si="7"/>
        <v>571.67589989466626</v>
      </c>
      <c r="BH63" s="62">
        <f t="shared" si="8"/>
        <v>865.00923322799963</v>
      </c>
      <c r="BI63" s="62">
        <f ca="1">AVERAGE(OFFSET($BH$3,0,0,'Données projet'!$E$11+1,1))-AVERAGE(OFFSET($H$3,0,0,'Données projet'!$E$11+1,1))</f>
        <v>525.51330555662139</v>
      </c>
      <c r="BJ63" s="62">
        <f t="shared" si="38"/>
        <v>357.72390083433635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1.7053025658242404E-13</v>
      </c>
      <c r="BZ63" s="14">
        <f>BY63*VLOOKUP('Données projet'!$B$12,Paramètres!$A$1:$I$88,3,0)*VLOOKUP('Données projet'!$B$12,Paramètres!$A$1:$I$88,5,0)</f>
        <v>1.0197709343628959E-13</v>
      </c>
      <c r="CA63" s="14">
        <f t="shared" si="39"/>
        <v>1.5284983994279675E-12</v>
      </c>
      <c r="CB63" s="22">
        <f t="shared" si="10"/>
        <v>2.839744816738581E-12</v>
      </c>
      <c r="CC63" s="62">
        <f t="shared" si="11"/>
        <v>293.33333333333616</v>
      </c>
      <c r="CD63" s="62">
        <f ca="1">AVERAGE(OFFSET($CC$3,0,0,'Données projet'!$E$12+1,1))-AVERAGE(OFFSET($H$3,0,0,'Données projet'!$E$12+1,1))</f>
        <v>227.46616726010473</v>
      </c>
      <c r="CE63" s="62">
        <f t="shared" si="40"/>
        <v>314.188568589113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66.425457314273942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0.42423015221137178</v>
      </c>
      <c r="CN63" s="24">
        <f t="shared" si="12"/>
        <v>66.849687466485307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18.25</v>
      </c>
      <c r="CT63" s="13">
        <f>IF('Données projet'!$A$140&gt;35,CT62+CS63-DB62,IF(A63&lt;'Données projet'!$A$140,$CQ$205^A63,IF(A63='Données projet'!$A$140,'Données projet'!$B$140,CT62+CS63-DB62)))</f>
        <v>320.5</v>
      </c>
      <c r="CU63" s="18">
        <f>CT63*VLOOKUP('Données projet'!$B$13,Paramètres!$A$1:$I$88,3,0)*VLOOKUP('Données projet'!$B$13,Paramètres!$A$1:$I$88,5,0)</f>
        <v>191.65900000000002</v>
      </c>
      <c r="CV63" s="14">
        <f t="shared" si="41"/>
        <v>47.906548409076173</v>
      </c>
      <c r="CW63" s="22">
        <f t="shared" si="13"/>
        <v>417.2433301458077</v>
      </c>
      <c r="CX63" s="62">
        <f t="shared" si="14"/>
        <v>710.57666347914096</v>
      </c>
      <c r="CY63" s="62">
        <f ca="1">AVERAGE(OFFSET($CX$3,0,0,'Données projet'!$E$13+1,1))-AVERAGE(OFFSET($H$3,0,0,'Données projet'!$E$13+1,1))</f>
        <v>356.46794174556311</v>
      </c>
      <c r="CZ63" s="62">
        <f t="shared" si="42"/>
        <v>248.47107558211923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0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15.571428571428571</v>
      </c>
      <c r="DO63" s="13">
        <f>IF('Données projet'!$A$166&gt;35,DO62+DN63-DW62,IF(A63&lt;'Données projet'!$A$166,$DL$205^A63,IF(A63='Données projet'!$A$166,'Données projet'!$B$166,DO62+DN63-DW62)))</f>
        <v>491.28571428571422</v>
      </c>
      <c r="DP63" s="18">
        <f>DO63*VLOOKUP('Données projet'!$B$14,Paramètres!$A$1:$I$88,3,0)*VLOOKUP('Données projet'!$B$14,Paramètres!$A$1:$I$88,5,0)</f>
        <v>274.6287142857143</v>
      </c>
      <c r="DQ63" s="14">
        <f t="shared" si="43"/>
        <v>65.83062536190954</v>
      </c>
      <c r="DR63" s="22">
        <f t="shared" si="16"/>
        <v>592.96668321961147</v>
      </c>
      <c r="DS63" s="62">
        <f t="shared" si="17"/>
        <v>886.30001655294473</v>
      </c>
      <c r="DT63" s="62">
        <f ca="1">AVERAGE(OFFSET($DS$3,0,0,'Données projet'!$E$14+1,1))-AVERAGE(OFFSET($H$3,0,0,'Données projet'!$E$14+1,1))</f>
        <v>397.04445188588369</v>
      </c>
      <c r="DU63" s="62">
        <f t="shared" si="44"/>
        <v>350.01856672839466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2.7700359079698011</v>
      </c>
      <c r="EB63" s="23">
        <f>EXP(-LN(2)/25)*EB62+(1-EXP(-LN(2)/25))/(LN(2)/25)*Calculateur!DW63*Calculateur!DY63*VLOOKUP('Données projet'!$B$14,Paramètres!$A$1:$I$88,3,0)*0.475*44/12</f>
        <v>0</v>
      </c>
      <c r="EC63" s="23">
        <f>EXP(-LN(2)/2)*EC62+(1-EXP(-LN(2)/2))/(LN(2)/2)*DW63*DZ63*VLOOKUP('Données projet'!$B$14,Paramètres!$A$1:$I$88,3,0)*0.475*44/12</f>
        <v>4.9446707368538652E-4</v>
      </c>
      <c r="ED63" s="24">
        <f t="shared" si="18"/>
        <v>2.7705303750434864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140.20000000000002</v>
      </c>
      <c r="EH63" s="13">
        <f>VLOOKUP(A63,'Données projet'!$A$191:$I$211,9,0)</f>
        <v>3.0800000000000041</v>
      </c>
      <c r="EI63" s="13">
        <f t="array" ref="EI63">INDEX(EH:EH,MIN(IF(ISNUMBER(EH63:EH259),ROW(EH63:EH259),"")))</f>
        <v>3.0800000000000041</v>
      </c>
      <c r="EJ63" s="13">
        <f>IF('Données projet'!$A$192&gt;35,EJ62+EI63-ER62,IF(A63&lt;'Données projet'!$A$192,$EG$205^A63,IF(A63='Données projet'!$A$192,'Données projet'!$B$192,EJ62+EI63-ER62)))</f>
        <v>140.19999999999993</v>
      </c>
      <c r="EK63" s="18">
        <f>EJ63*VLOOKUP('Données projet'!$B$15,Paramètres!$A$1:$I$88,3,0)*VLOOKUP('Données projet'!$B$15,Paramètres!$A$1:$I$88,5,0)</f>
        <v>122.47871999999997</v>
      </c>
      <c r="EL63" s="14">
        <f t="shared" si="45"/>
        <v>32.252430308903975</v>
      </c>
      <c r="EM63" s="22">
        <f t="shared" si="19"/>
        <v>269.49008678800766</v>
      </c>
      <c r="EN63" s="62">
        <f t="shared" si="20"/>
        <v>562.82342012134097</v>
      </c>
      <c r="EO63" s="62">
        <f ca="1">AVERAGE(OFFSET($EN$3,0,0,'Données projet'!$E$15+1,1))-AVERAGE(OFFSET($H$3,0,0,'Données projet'!$E$15+1,1))</f>
        <v>202.5548390231225</v>
      </c>
      <c r="EP63" s="62">
        <f t="shared" si="46"/>
        <v>184.62184077734179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projet'!$B$15,Paramètres!$A$1:$I$88,3,0)*0.475*44/12</f>
        <v>0</v>
      </c>
      <c r="EW63" s="23">
        <f>EXP(-LN(2)/25)*EW62+(1-EXP(-LN(2)/25))/(LN(2)/25)*Calculateur!ER63*Calculateur!ET63*VLOOKUP('Données projet'!$B$15,Paramètres!$A$1:$I$88,3,0)*0.475*44/12</f>
        <v>0</v>
      </c>
      <c r="EX63" s="23">
        <f>EXP(-LN(2)/2)*EX62+(1-EXP(-LN(2)/2))/(LN(2)/2)*ER63*EU63*VLOOKUP('Données projet'!$B$15,Paramètres!$A$1:$I$88,3,0)*0.475*44/12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214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213.99999999999997</v>
      </c>
      <c r="FF63" s="18">
        <f>FE63*VLOOKUP('Données projet'!$B$16,Paramètres!$A$1:$I$88,3,0)*VLOOKUP('Données projet'!$B$16,Paramètres!$A$1:$I$88,5,0)</f>
        <v>206.98079999999996</v>
      </c>
      <c r="FG63" s="14">
        <f t="shared" si="47"/>
        <v>51.275259496675787</v>
      </c>
      <c r="FH63" s="22">
        <f t="shared" si="22"/>
        <v>449.7959702900435</v>
      </c>
      <c r="FI63" s="62">
        <f t="shared" si="23"/>
        <v>743.12930362337681</v>
      </c>
      <c r="FJ63" s="62">
        <f ca="1">AVERAGE(OFFSET($FI$3,0,0,'Données projet'!$E$16+1,1))-AVERAGE(OFFSET($H$3,0,0,'Données projet'!$E$16+1,1))</f>
        <v>456.96274622094955</v>
      </c>
      <c r="FK63" s="62">
        <f t="shared" si="48"/>
        <v>244.45149244446094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projet'!$B$16,Paramètres!$A$1:$I$88,3,0)*0.475*44/12</f>
        <v>0</v>
      </c>
      <c r="FR63" s="23">
        <f>EXP(-LN(2)/25)*FR62+(1-EXP(-LN(2)/25))/(LN(2)/25)*Calculateur!FM63*Calculateur!FO63*VLOOKUP('Données projet'!$B$16,Paramètres!$A$1:$I$88,3,0)*0.475*44/12</f>
        <v>0</v>
      </c>
      <c r="FS63" s="23">
        <f>EXP(-LN(2)/2)*FS62+(1-EXP(-LN(2)/2))/(LN(2)/2)*FM63*FP63*VLOOKUP('Données projet'!$B$16,Paramètres!$A$1:$I$88,3,0)*0.475*44/12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214</v>
      </c>
      <c r="FX63" s="13">
        <f>VLOOKUP(A63,'Données projet'!$A$243:$I$263,9,0)</f>
        <v>7.6</v>
      </c>
      <c r="FY63" s="13">
        <f t="array" ref="FY63">INDEX(FX:FX,MIN(IF(ISNUMBER(FX63:FX259),ROW(FX63:FX259),"")))</f>
        <v>7.6</v>
      </c>
      <c r="FZ63" s="13">
        <f>IF('Données projet'!$A$244&gt;35,FZ62+FY63-GH62,IF(A63&lt;'Données projet'!$A$244,$FW$205^A63,IF(A63='Données projet'!$A$244,'Données projet'!$B$244,FZ62+FY63-GH62)))</f>
        <v>213.99999999999997</v>
      </c>
      <c r="GA63" s="18">
        <f>FZ63*VLOOKUP('Données projet'!$B$17,Paramètres!$A$1:$I$88,3,0)*VLOOKUP('Données projet'!$B$17,Paramètres!$A$1:$I$88,5,0)</f>
        <v>230.34959999999995</v>
      </c>
      <c r="GB63" s="14">
        <f t="shared" si="49"/>
        <v>56.35826654142631</v>
      </c>
      <c r="GC63" s="22">
        <f t="shared" si="25"/>
        <v>499.34953422631742</v>
      </c>
      <c r="GD63" s="62">
        <f t="shared" si="26"/>
        <v>792.68286755965073</v>
      </c>
      <c r="GE63" s="62">
        <f ca="1">AVERAGE(OFFSET($GD$3,0,0,'Données projet'!$E$17+1,1))-AVERAGE(OFFSET($H$3,0,0,'Données projet'!$E$17+1,1))</f>
        <v>503.69304261527651</v>
      </c>
      <c r="GF63" s="62">
        <f t="shared" si="50"/>
        <v>267.2998309535638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projet'!$B$17,Paramètres!$A$1:$I$88,3,0)*0.475*44/12</f>
        <v>0</v>
      </c>
      <c r="GM63" s="23">
        <f>EXP(-LN(2)/25)*GM62+(1-EXP(-LN(2)/25))/(LN(2)/25)*Calculateur!GH63*Calculateur!GJ63*VLOOKUP('Données projet'!$B$17,Paramètres!$A$1:$I$88,3,0)*0.475*44/12</f>
        <v>0</v>
      </c>
      <c r="GN63" s="23">
        <f>EXP(-LN(2)/2)*GN62+(1-EXP(-LN(2)/2))/(LN(2)/2)*GH63*GK63*VLOOKUP('Données projet'!$B$17,Paramètres!$A$1:$I$88,3,0)*0.475*44/12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273</v>
      </c>
      <c r="GS63" s="13">
        <f>VLOOKUP(A63,'Données projet'!$A$269:$I$289,9,0)</f>
        <v>9.4</v>
      </c>
      <c r="GT63" s="13">
        <f t="array" ref="GT63">INDEX(GS:GS,MIN(IF(ISNUMBER(GS63:GS259),ROW(GS63:GS259),"")))</f>
        <v>9.4</v>
      </c>
      <c r="GU63" s="13">
        <f>IF('Données projet'!$A$270&gt;35,GU62+GT63-HC62,IF(A63&lt;'Données projet'!$A$270,$GR$205^A63,IF(A63='Données projet'!$A$270,'Données projet'!$B$270,GU62+GT63-HC62)))</f>
        <v>272.99999999999994</v>
      </c>
      <c r="GV63" s="18">
        <f>GU63*VLOOKUP('Données projet'!$B$18,Paramètres!$A$1:$I$88,3,0)*VLOOKUP('Données projet'!$B$18,Paramètres!$A$1:$I$88,5,0)</f>
        <v>285.33959999999996</v>
      </c>
      <c r="GW63" s="14">
        <f t="shared" si="51"/>
        <v>68.094176261531288</v>
      </c>
      <c r="GX63" s="22">
        <f t="shared" si="28"/>
        <v>615.56382698883351</v>
      </c>
      <c r="GY63" s="62">
        <f t="shared" si="29"/>
        <v>908.89716032216688</v>
      </c>
      <c r="GZ63" s="62">
        <f ca="1">AVERAGE(OFFSET($GY$3,0,0,'Données projet'!$E$18+1,1))-AVERAGE(OFFSET($H$3,0,0,'Données projet'!$E$18+1,1))</f>
        <v>582.89879210197682</v>
      </c>
      <c r="HA63" s="62">
        <f t="shared" si="52"/>
        <v>314.72094983133326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projet'!$B$18,Paramètres!$A$1:$I$88,3,0)*0.475*44/12</f>
        <v>0</v>
      </c>
      <c r="HH63" s="23">
        <f>EXP(-LN(2)/25)*HH62+(1-EXP(-LN(2)/25))/(LN(2)/25)*Calculateur!HC63*Calculateur!HE63*VLOOKUP('Données projet'!$B$18,Paramètres!$A$1:$I$88,3,0)*0.475*44/12</f>
        <v>0</v>
      </c>
      <c r="HI63" s="23">
        <f>EXP(-LN(2)/2)*HI62+(1-EXP(-LN(2)/2))/(LN(2)/2)*HC63*HF63*VLOOKUP('Données projet'!$B$18,Paramètres!$A$1:$I$88,3,0)*0.475*44/12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22.7</v>
      </c>
      <c r="N64" s="14">
        <f>IF('Données projet'!$A$36&gt;35,N63+M64-V63,IF(A64&lt;'Données projet'!$A$36,$K$205^A64,IF(A64='Données projet'!$A$36,'Données projet'!$B$36,N63+M64-V63)))</f>
        <v>426.6999999999997</v>
      </c>
      <c r="O64" s="14">
        <f>N64*VLOOKUP('Données projet'!$B$9,Paramètres!$A$1:$I$88,3,0)*VLOOKUP('Données projet'!$B$9,Paramètres!$A$1:$I$88,5,0)</f>
        <v>199.69559999999984</v>
      </c>
      <c r="P64" s="14">
        <f t="shared" si="33"/>
        <v>49.677263889452327</v>
      </c>
      <c r="Q64" s="22">
        <f t="shared" si="53"/>
        <v>434.32440460746255</v>
      </c>
      <c r="R64" s="62">
        <f t="shared" si="0"/>
        <v>727.65773794079587</v>
      </c>
      <c r="S64" s="62">
        <f ca="1">AVERAGE(OFFSET($R$3,0,0,'Données projet'!$E$9+1,1))-AVERAGE(OFFSET($H$3,0,0,'Données projet'!$E$9+1,1))</f>
        <v>399.92909819003523</v>
      </c>
      <c r="T64" s="62">
        <f t="shared" si="34"/>
        <v>163.7053537268381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projet'!$B$10,Paramètres!$A$1:$I$88,3,0)*VLOOKUP('Données projet'!$B$10,Paramètres!$A$1:$I$88,5,0)</f>
        <v>254.97263999999996</v>
      </c>
      <c r="AK64" s="14">
        <f t="shared" si="35"/>
        <v>61.649533232533919</v>
      </c>
      <c r="AL64" s="22">
        <f t="shared" si="4"/>
        <v>551.45028504666311</v>
      </c>
      <c r="AM64" s="62">
        <f t="shared" si="5"/>
        <v>844.78361837999637</v>
      </c>
      <c r="AN64" s="62">
        <f ca="1">AVERAGE(OFFSET($AM$3,0,0,'Données projet'!$E$10+1,1))-AVERAGE(OFFSET($H$3,0,0,'Données projet'!$E$10+1,1))</f>
        <v>510.56580450928806</v>
      </c>
      <c r="AO64" s="62">
        <f t="shared" si="36"/>
        <v>278.21741231699929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285</v>
      </c>
      <c r="BE64" s="14">
        <f>BD64*VLOOKUP('Données projet'!$B$11,Paramètres!$A$1:$I$88,3,0)*VLOOKUP('Données projet'!$B$11,Paramètres!$A$1:$I$88,5,0)</f>
        <v>271.20600000000002</v>
      </c>
      <c r="BF64" s="14">
        <f t="shared" si="37"/>
        <v>65.105146500462041</v>
      </c>
      <c r="BG64" s="22">
        <f t="shared" si="7"/>
        <v>585.7419134883047</v>
      </c>
      <c r="BH64" s="62">
        <f t="shared" si="8"/>
        <v>879.07524682163807</v>
      </c>
      <c r="BI64" s="62">
        <f ca="1">AVERAGE(OFFSET($BH$3,0,0,'Données projet'!$E$11+1,1))-AVERAGE(OFFSET($H$3,0,0,'Données projet'!$E$11+1,1))</f>
        <v>525.51330555662139</v>
      </c>
      <c r="BJ64" s="62">
        <f t="shared" si="38"/>
        <v>357.72390083433635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1.7053025658242404E-13</v>
      </c>
      <c r="BZ64" s="14">
        <f>BY64*VLOOKUP('Données projet'!$B$12,Paramètres!$A$1:$I$88,3,0)*VLOOKUP('Données projet'!$B$12,Paramètres!$A$1:$I$88,5,0)</f>
        <v>1.0197709343628959E-13</v>
      </c>
      <c r="CA64" s="14">
        <f t="shared" si="39"/>
        <v>1.5284983994279675E-12</v>
      </c>
      <c r="CB64" s="22">
        <f t="shared" si="10"/>
        <v>2.839744816738581E-12</v>
      </c>
      <c r="CC64" s="62">
        <f t="shared" si="11"/>
        <v>293.33333333333616</v>
      </c>
      <c r="CD64" s="62">
        <f ca="1">AVERAGE(OFFSET($CC$3,0,0,'Données projet'!$E$12+1,1))-AVERAGE(OFFSET($H$3,0,0,'Données projet'!$E$12+1,1))</f>
        <v>227.46616726010473</v>
      </c>
      <c r="CE64" s="62">
        <f t="shared" si="40"/>
        <v>314.188568589113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65.122894611869413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0.29997601741246221</v>
      </c>
      <c r="CN64" s="24">
        <f t="shared" si="12"/>
        <v>65.422870629281874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18.25</v>
      </c>
      <c r="CT64" s="13">
        <f>IF('Données projet'!$A$140&gt;35,CT63+CS64-DB63,IF(A64&lt;'Données projet'!$A$140,$CQ$205^A64,IF(A64='Données projet'!$A$140,'Données projet'!$B$140,CT63+CS64-DB63)))</f>
        <v>338.75</v>
      </c>
      <c r="CU64" s="18">
        <f>CT64*VLOOKUP('Données projet'!$B$13,Paramètres!$A$1:$I$88,3,0)*VLOOKUP('Données projet'!$B$13,Paramètres!$A$1:$I$88,5,0)</f>
        <v>202.57250000000002</v>
      </c>
      <c r="CV64" s="14">
        <f t="shared" si="41"/>
        <v>50.309104150357172</v>
      </c>
      <c r="CW64" s="22">
        <f t="shared" si="13"/>
        <v>440.43546056187211</v>
      </c>
      <c r="CX64" s="62">
        <f t="shared" si="14"/>
        <v>733.76879389520536</v>
      </c>
      <c r="CY64" s="62">
        <f ca="1">AVERAGE(OFFSET($CX$3,0,0,'Données projet'!$E$13+1,1))-AVERAGE(OFFSET($H$3,0,0,'Données projet'!$E$13+1,1))</f>
        <v>356.46794174556311</v>
      </c>
      <c r="CZ64" s="62">
        <f t="shared" si="42"/>
        <v>248.47107558211923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0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15.571428571428571</v>
      </c>
      <c r="DO64" s="13">
        <f>IF('Données projet'!$A$166&gt;35,DO63+DN64-DW63,IF(A64&lt;'Données projet'!$A$166,$DL$205^A64,IF(A64='Données projet'!$A$166,'Données projet'!$B$166,DO63+DN64-DW63)))</f>
        <v>506.85714285714278</v>
      </c>
      <c r="DP64" s="18">
        <f>DO64*VLOOKUP('Données projet'!$B$14,Paramètres!$A$1:$I$88,3,0)*VLOOKUP('Données projet'!$B$14,Paramètres!$A$1:$I$88,5,0)</f>
        <v>283.33314285714283</v>
      </c>
      <c r="DQ64" s="14">
        <f t="shared" si="43"/>
        <v>67.670911918680105</v>
      </c>
      <c r="DR64" s="22">
        <f t="shared" si="16"/>
        <v>611.33206206789168</v>
      </c>
      <c r="DS64" s="62">
        <f t="shared" si="17"/>
        <v>904.66539540122494</v>
      </c>
      <c r="DT64" s="62">
        <f ca="1">AVERAGE(OFFSET($DS$3,0,0,'Données projet'!$E$14+1,1))-AVERAGE(OFFSET($H$3,0,0,'Données projet'!$E$14+1,1))</f>
        <v>397.04445188588369</v>
      </c>
      <c r="DU64" s="62">
        <f t="shared" si="44"/>
        <v>350.01856672839466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2.7157171933695876</v>
      </c>
      <c r="EB64" s="23">
        <f>EXP(-LN(2)/25)*EB63+(1-EXP(-LN(2)/25))/(LN(2)/25)*Calculateur!DW64*Calculateur!DY64*VLOOKUP('Données projet'!$B$14,Paramètres!$A$1:$I$88,3,0)*0.475*44/12</f>
        <v>0</v>
      </c>
      <c r="EC64" s="23">
        <f>EXP(-LN(2)/2)*EC63+(1-EXP(-LN(2)/2))/(LN(2)/2)*DW64*DZ64*VLOOKUP('Données projet'!$B$14,Paramètres!$A$1:$I$88,3,0)*0.475*44/12</f>
        <v>3.4964102087640508E-4</v>
      </c>
      <c r="ED64" s="24">
        <f t="shared" si="18"/>
        <v>2.7160668343904639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2.5599999999999965</v>
      </c>
      <c r="EJ64" s="13">
        <f>IF('Données projet'!$A$192&gt;35,EJ63+EI64-ER63,IF(A64&lt;'Données projet'!$A$192,$EG$205^A64,IF(A64='Données projet'!$A$192,'Données projet'!$B$192,EJ63+EI64-ER63)))</f>
        <v>142.75999999999993</v>
      </c>
      <c r="EK64" s="18">
        <f>EJ64*VLOOKUP('Données projet'!$B$15,Paramètres!$A$1:$I$88,3,0)*VLOOKUP('Données projet'!$B$15,Paramètres!$A$1:$I$88,5,0)</f>
        <v>124.71513599999996</v>
      </c>
      <c r="EL64" s="14">
        <f t="shared" si="45"/>
        <v>32.772248458710749</v>
      </c>
      <c r="EM64" s="22">
        <f t="shared" si="19"/>
        <v>274.29052793225452</v>
      </c>
      <c r="EN64" s="62">
        <f t="shared" si="20"/>
        <v>567.62386126558783</v>
      </c>
      <c r="EO64" s="62">
        <f ca="1">AVERAGE(OFFSET($EN$3,0,0,'Données projet'!$E$15+1,1))-AVERAGE(OFFSET($H$3,0,0,'Données projet'!$E$15+1,1))</f>
        <v>202.5548390231225</v>
      </c>
      <c r="EP64" s="62">
        <f t="shared" si="46"/>
        <v>184.62184077734179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projet'!$B$15,Paramètres!$A$1:$I$88,3,0)*0.475*44/12</f>
        <v>0</v>
      </c>
      <c r="EW64" s="23">
        <f>EXP(-LN(2)/25)*EW63+(1-EXP(-LN(2)/25))/(LN(2)/25)*Calculateur!ER64*Calculateur!ET64*VLOOKUP('Données projet'!$B$15,Paramètres!$A$1:$I$88,3,0)*0.475*44/12</f>
        <v>0</v>
      </c>
      <c r="EX64" s="23">
        <f>EXP(-LN(2)/2)*EX63+(1-EXP(-LN(2)/2))/(LN(2)/2)*ER64*EU64*VLOOKUP('Données projet'!$B$15,Paramètres!$A$1:$I$88,3,0)*0.475*44/12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221.19999999999996</v>
      </c>
      <c r="FF64" s="18">
        <f>FE64*VLOOKUP('Données projet'!$B$16,Paramètres!$A$1:$I$88,3,0)*VLOOKUP('Données projet'!$B$16,Paramètres!$A$1:$I$88,5,0)</f>
        <v>213.94463999999996</v>
      </c>
      <c r="FG64" s="14">
        <f t="shared" si="47"/>
        <v>52.796652939972844</v>
      </c>
      <c r="FH64" s="22">
        <f t="shared" si="22"/>
        <v>464.5744185371193</v>
      </c>
      <c r="FI64" s="62">
        <f t="shared" si="23"/>
        <v>757.90775187045256</v>
      </c>
      <c r="FJ64" s="62">
        <f ca="1">AVERAGE(OFFSET($FI$3,0,0,'Données projet'!$E$16+1,1))-AVERAGE(OFFSET($H$3,0,0,'Données projet'!$E$16+1,1))</f>
        <v>456.96274622094955</v>
      </c>
      <c r="FK64" s="62">
        <f t="shared" si="48"/>
        <v>244.45149244446094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projet'!$B$16,Paramètres!$A$1:$I$88,3,0)*0.475*44/12</f>
        <v>0</v>
      </c>
      <c r="FR64" s="23">
        <f>EXP(-LN(2)/25)*FR63+(1-EXP(-LN(2)/25))/(LN(2)/25)*Calculateur!FM64*Calculateur!FO64*VLOOKUP('Données projet'!$B$16,Paramètres!$A$1:$I$88,3,0)*0.475*44/12</f>
        <v>0</v>
      </c>
      <c r="FS64" s="23">
        <f>EXP(-LN(2)/2)*FS63+(1-EXP(-LN(2)/2))/(LN(2)/2)*FM64*FP64*VLOOKUP('Données projet'!$B$16,Paramètres!$A$1:$I$88,3,0)*0.475*44/12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7.2</v>
      </c>
      <c r="FZ64" s="13">
        <f>IF('Données projet'!$A$244&gt;35,FZ63+FY64-GH63,IF(A64&lt;'Données projet'!$A$244,$FW$205^A64,IF(A64='Données projet'!$A$244,'Données projet'!$B$244,FZ63+FY64-GH63)))</f>
        <v>221.19999999999996</v>
      </c>
      <c r="GA64" s="18">
        <f>FZ64*VLOOKUP('Données projet'!$B$17,Paramètres!$A$1:$I$88,3,0)*VLOOKUP('Données projet'!$B$17,Paramètres!$A$1:$I$88,5,0)</f>
        <v>238.09967999999995</v>
      </c>
      <c r="GB64" s="14">
        <f t="shared" si="49"/>
        <v>58.030478404094161</v>
      </c>
      <c r="GC64" s="22">
        <f t="shared" si="25"/>
        <v>515.76002588713061</v>
      </c>
      <c r="GD64" s="62">
        <f t="shared" si="26"/>
        <v>809.09335922046398</v>
      </c>
      <c r="GE64" s="62">
        <f ca="1">AVERAGE(OFFSET($GD$3,0,0,'Données projet'!$E$17+1,1))-AVERAGE(OFFSET($H$3,0,0,'Données projet'!$E$17+1,1))</f>
        <v>503.69304261527651</v>
      </c>
      <c r="GF64" s="62">
        <f t="shared" si="50"/>
        <v>267.2998309535638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projet'!$B$17,Paramètres!$A$1:$I$88,3,0)*0.475*44/12</f>
        <v>0</v>
      </c>
      <c r="GM64" s="23">
        <f>EXP(-LN(2)/25)*GM63+(1-EXP(-LN(2)/25))/(LN(2)/25)*Calculateur!GH64*Calculateur!GJ64*VLOOKUP('Données projet'!$B$17,Paramètres!$A$1:$I$88,3,0)*0.475*44/12</f>
        <v>0</v>
      </c>
      <c r="GN64" s="23">
        <f>EXP(-LN(2)/2)*GN63+(1-EXP(-LN(2)/2))/(LN(2)/2)*GH64*GK64*VLOOKUP('Données projet'!$B$17,Paramètres!$A$1:$I$88,3,0)*0.475*44/12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8.8000000000000007</v>
      </c>
      <c r="GU64" s="13">
        <f>IF('Données projet'!$A$270&gt;35,GU63+GT64-HC63,IF(A64&lt;'Données projet'!$A$270,$GR$205^A64,IF(A64='Données projet'!$A$270,'Données projet'!$B$270,GU63+GT64-HC63)))</f>
        <v>281.79999999999995</v>
      </c>
      <c r="GV64" s="18">
        <f>GU64*VLOOKUP('Données projet'!$B$18,Paramètres!$A$1:$I$88,3,0)*VLOOKUP('Données projet'!$B$18,Paramètres!$A$1:$I$88,5,0)</f>
        <v>294.53735999999998</v>
      </c>
      <c r="GW64" s="14">
        <f t="shared" si="51"/>
        <v>70.030062399619922</v>
      </c>
      <c r="GX64" s="22">
        <f t="shared" si="28"/>
        <v>634.95492734600464</v>
      </c>
      <c r="GY64" s="62">
        <f t="shared" si="29"/>
        <v>928.28826067933801</v>
      </c>
      <c r="GZ64" s="62">
        <f ca="1">AVERAGE(OFFSET($GY$3,0,0,'Données projet'!$E$18+1,1))-AVERAGE(OFFSET($H$3,0,0,'Données projet'!$E$18+1,1))</f>
        <v>582.89879210197682</v>
      </c>
      <c r="HA64" s="62">
        <f t="shared" si="52"/>
        <v>314.72094983133326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projet'!$B$18,Paramètres!$A$1:$I$88,3,0)*0.475*44/12</f>
        <v>0</v>
      </c>
      <c r="HH64" s="23">
        <f>EXP(-LN(2)/25)*HH63+(1-EXP(-LN(2)/25))/(LN(2)/25)*Calculateur!HC64*Calculateur!HE64*VLOOKUP('Données projet'!$B$18,Paramètres!$A$1:$I$88,3,0)*0.475*44/12</f>
        <v>0</v>
      </c>
      <c r="HI64" s="23">
        <f>EXP(-LN(2)/2)*HI63+(1-EXP(-LN(2)/2))/(LN(2)/2)*HC64*HF64*VLOOKUP('Données projet'!$B$18,Paramètres!$A$1:$I$88,3,0)*0.475*44/12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22.7</v>
      </c>
      <c r="N65" s="14">
        <f>IF('Données projet'!$A$36&gt;35,N64+M65-V64,IF(A65&lt;'Données projet'!$A$36,$K$205^A65,IF(A65='Données projet'!$A$36,'Données projet'!$B$36,N64+M65-V64)))</f>
        <v>449.39999999999969</v>
      </c>
      <c r="O65" s="14">
        <f>N65*VLOOKUP('Données projet'!$B$9,Paramètres!$A$1:$I$88,3,0)*VLOOKUP('Données projet'!$B$9,Paramètres!$A$1:$I$88,5,0)</f>
        <v>210.31919999999985</v>
      </c>
      <c r="P65" s="14">
        <f t="shared" si="33"/>
        <v>52.005332762093687</v>
      </c>
      <c r="Q65" s="22">
        <f t="shared" si="53"/>
        <v>456.88189456064629</v>
      </c>
      <c r="R65" s="62">
        <f t="shared" si="0"/>
        <v>750.21522789397955</v>
      </c>
      <c r="S65" s="62">
        <f ca="1">AVERAGE(OFFSET($R$3,0,0,'Données projet'!$E$9+1,1))-AVERAGE(OFFSET($H$3,0,0,'Données projet'!$E$9+1,1))</f>
        <v>399.92909819003523</v>
      </c>
      <c r="T65" s="62">
        <f t="shared" si="34"/>
        <v>163.7053537268381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projet'!$B$10,Paramètres!$A$1:$I$88,3,0)*VLOOKUP('Données projet'!$B$10,Paramètres!$A$1:$I$88,5,0)</f>
        <v>262.93487999999996</v>
      </c>
      <c r="AK65" s="14">
        <f t="shared" si="35"/>
        <v>63.347566493432765</v>
      </c>
      <c r="AL65" s="22">
        <f t="shared" si="4"/>
        <v>568.27526097606199</v>
      </c>
      <c r="AM65" s="62">
        <f t="shared" si="5"/>
        <v>861.60859430939536</v>
      </c>
      <c r="AN65" s="62">
        <f ca="1">AVERAGE(OFFSET($AM$3,0,0,'Données projet'!$E$10+1,1))-AVERAGE(OFFSET($H$3,0,0,'Données projet'!$E$10+1,1))</f>
        <v>510.56580450928806</v>
      </c>
      <c r="AO65" s="62">
        <f t="shared" si="36"/>
        <v>278.21741231699929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292</v>
      </c>
      <c r="BE65" s="14">
        <f>BD65*VLOOKUP('Données projet'!$B$11,Paramètres!$A$1:$I$88,3,0)*VLOOKUP('Données projet'!$B$11,Paramètres!$A$1:$I$88,5,0)</f>
        <v>277.86720000000003</v>
      </c>
      <c r="BF65" s="14">
        <f t="shared" si="37"/>
        <v>66.516086548657384</v>
      </c>
      <c r="BG65" s="22">
        <f t="shared" si="7"/>
        <v>599.80089073891156</v>
      </c>
      <c r="BH65" s="62">
        <f t="shared" si="8"/>
        <v>893.13422407224493</v>
      </c>
      <c r="BI65" s="62">
        <f ca="1">AVERAGE(OFFSET($BH$3,0,0,'Données projet'!$E$11+1,1))-AVERAGE(OFFSET($H$3,0,0,'Données projet'!$E$11+1,1))</f>
        <v>525.51330555662139</v>
      </c>
      <c r="BJ65" s="62">
        <f t="shared" si="38"/>
        <v>357.72390083433635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1.7053025658242404E-13</v>
      </c>
      <c r="BZ65" s="14">
        <f>BY65*VLOOKUP('Données projet'!$B$12,Paramètres!$A$1:$I$88,3,0)*VLOOKUP('Données projet'!$B$12,Paramètres!$A$1:$I$88,5,0)</f>
        <v>1.0197709343628959E-13</v>
      </c>
      <c r="CA65" s="14">
        <f t="shared" si="39"/>
        <v>1.5284983994279675E-12</v>
      </c>
      <c r="CB65" s="22">
        <f t="shared" si="10"/>
        <v>2.839744816738581E-12</v>
      </c>
      <c r="CC65" s="62">
        <f t="shared" si="11"/>
        <v>293.33333333333616</v>
      </c>
      <c r="CD65" s="62">
        <f ca="1">AVERAGE(OFFSET($CC$3,0,0,'Données projet'!$E$12+1,1))-AVERAGE(OFFSET($H$3,0,0,'Données projet'!$E$12+1,1))</f>
        <v>227.46616726010473</v>
      </c>
      <c r="CE65" s="62">
        <f t="shared" si="40"/>
        <v>314.188568589113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63.84587436957424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0.21211507610568589</v>
      </c>
      <c r="CN65" s="24">
        <f t="shared" si="12"/>
        <v>64.057989445679922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18.25</v>
      </c>
      <c r="CT65" s="13">
        <f>IF('Données projet'!$A$140&gt;35,CT64+CS65-DB64,IF(A65&lt;'Données projet'!$A$140,$CQ$205^A65,IF(A65='Données projet'!$A$140,'Données projet'!$B$140,CT64+CS65-DB64)))</f>
        <v>357</v>
      </c>
      <c r="CU65" s="18">
        <f>CT65*VLOOKUP('Données projet'!$B$13,Paramètres!$A$1:$I$88,3,0)*VLOOKUP('Données projet'!$B$13,Paramètres!$A$1:$I$88,5,0)</f>
        <v>213.48600000000002</v>
      </c>
      <c r="CV65" s="14">
        <f t="shared" si="41"/>
        <v>52.696632942005166</v>
      </c>
      <c r="CW65" s="22">
        <f t="shared" si="13"/>
        <v>463.60141904065904</v>
      </c>
      <c r="CX65" s="62">
        <f t="shared" si="14"/>
        <v>756.9347523739923</v>
      </c>
      <c r="CY65" s="62">
        <f ca="1">AVERAGE(OFFSET($CX$3,0,0,'Données projet'!$E$13+1,1))-AVERAGE(OFFSET($H$3,0,0,'Données projet'!$E$13+1,1))</f>
        <v>356.46794174556311</v>
      </c>
      <c r="CZ65" s="62">
        <f t="shared" si="42"/>
        <v>248.47107558211923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0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15.571428571428571</v>
      </c>
      <c r="DO65" s="13">
        <f>IF('Données projet'!$A$166&gt;35,DO64+DN65-DW64,IF(A65&lt;'Données projet'!$A$166,$DL$205^A65,IF(A65='Données projet'!$A$166,'Données projet'!$B$166,DO64+DN65-DW64)))</f>
        <v>522.42857142857133</v>
      </c>
      <c r="DP65" s="18">
        <f>DO65*VLOOKUP('Données projet'!$B$14,Paramètres!$A$1:$I$88,3,0)*VLOOKUP('Données projet'!$B$14,Paramètres!$A$1:$I$88,5,0)</f>
        <v>292.03757142857137</v>
      </c>
      <c r="DQ65" s="14">
        <f t="shared" si="43"/>
        <v>69.504628296156056</v>
      </c>
      <c r="DR65" s="22">
        <f t="shared" si="16"/>
        <v>629.68599785390018</v>
      </c>
      <c r="DS65" s="62">
        <f t="shared" si="17"/>
        <v>923.01933118723355</v>
      </c>
      <c r="DT65" s="62">
        <f ca="1">AVERAGE(OFFSET($DS$3,0,0,'Données projet'!$E$14+1,1))-AVERAGE(OFFSET($H$3,0,0,'Données projet'!$E$14+1,1))</f>
        <v>397.04445188588369</v>
      </c>
      <c r="DU65" s="62">
        <f t="shared" si="44"/>
        <v>350.01856672839466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2.6624636356315396</v>
      </c>
      <c r="EB65" s="23">
        <f>EXP(-LN(2)/25)*EB64+(1-EXP(-LN(2)/25))/(LN(2)/25)*Calculateur!DW65*Calculateur!DY65*VLOOKUP('Données projet'!$B$14,Paramètres!$A$1:$I$88,3,0)*0.475*44/12</f>
        <v>0</v>
      </c>
      <c r="EC65" s="23">
        <f>EXP(-LN(2)/2)*EC64+(1-EXP(-LN(2)/2))/(LN(2)/2)*DW65*DZ65*VLOOKUP('Données projet'!$B$14,Paramètres!$A$1:$I$88,3,0)*0.475*44/12</f>
        <v>2.4723353684269326E-4</v>
      </c>
      <c r="ED65" s="24">
        <f t="shared" si="18"/>
        <v>2.6627108691683823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2.5599999999999965</v>
      </c>
      <c r="EJ65" s="13">
        <f>IF('Données projet'!$A$192&gt;35,EJ64+EI65-ER64,IF(A65&lt;'Données projet'!$A$192,$EG$205^A65,IF(A65='Données projet'!$A$192,'Données projet'!$B$192,EJ64+EI65-ER64)))</f>
        <v>145.31999999999994</v>
      </c>
      <c r="EK65" s="18">
        <f>EJ65*VLOOKUP('Données projet'!$B$15,Paramètres!$A$1:$I$88,3,0)*VLOOKUP('Données projet'!$B$15,Paramètres!$A$1:$I$88,5,0)</f>
        <v>126.95155199999995</v>
      </c>
      <c r="EL65" s="14">
        <f t="shared" si="45"/>
        <v>33.290982658445934</v>
      </c>
      <c r="EM65" s="22">
        <f t="shared" si="19"/>
        <v>279.08908119679324</v>
      </c>
      <c r="EN65" s="62">
        <f t="shared" si="20"/>
        <v>572.42241453012662</v>
      </c>
      <c r="EO65" s="62">
        <f ca="1">AVERAGE(OFFSET($EN$3,0,0,'Données projet'!$E$15+1,1))-AVERAGE(OFFSET($H$3,0,0,'Données projet'!$E$15+1,1))</f>
        <v>202.5548390231225</v>
      </c>
      <c r="EP65" s="62">
        <f t="shared" si="46"/>
        <v>184.62184077734179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projet'!$B$15,Paramètres!$A$1:$I$88,3,0)*0.475*44/12</f>
        <v>0</v>
      </c>
      <c r="EW65" s="23">
        <f>EXP(-LN(2)/25)*EW64+(1-EXP(-LN(2)/25))/(LN(2)/25)*Calculateur!ER65*Calculateur!ET65*VLOOKUP('Données projet'!$B$15,Paramètres!$A$1:$I$88,3,0)*0.475*44/12</f>
        <v>0</v>
      </c>
      <c r="EX65" s="23">
        <f>EXP(-LN(2)/2)*EX64+(1-EXP(-LN(2)/2))/(LN(2)/2)*ER65*EU65*VLOOKUP('Données projet'!$B$15,Paramètres!$A$1:$I$88,3,0)*0.475*44/12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228.39999999999995</v>
      </c>
      <c r="FF65" s="18">
        <f>FE65*VLOOKUP('Données projet'!$B$16,Paramètres!$A$1:$I$88,3,0)*VLOOKUP('Données projet'!$B$16,Paramètres!$A$1:$I$88,5,0)</f>
        <v>220.90847999999997</v>
      </c>
      <c r="FG65" s="14">
        <f t="shared" si="47"/>
        <v>54.312291977864817</v>
      </c>
      <c r="FH65" s="22">
        <f t="shared" si="22"/>
        <v>479.34284452811448</v>
      </c>
      <c r="FI65" s="62">
        <f t="shared" si="23"/>
        <v>772.67617786144774</v>
      </c>
      <c r="FJ65" s="62">
        <f ca="1">AVERAGE(OFFSET($FI$3,0,0,'Données projet'!$E$16+1,1))-AVERAGE(OFFSET($H$3,0,0,'Données projet'!$E$16+1,1))</f>
        <v>456.96274622094955</v>
      </c>
      <c r="FK65" s="62">
        <f t="shared" si="48"/>
        <v>244.45149244446094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projet'!$B$16,Paramètres!$A$1:$I$88,3,0)*0.475*44/12</f>
        <v>0</v>
      </c>
      <c r="FR65" s="23">
        <f>EXP(-LN(2)/25)*FR64+(1-EXP(-LN(2)/25))/(LN(2)/25)*Calculateur!FM65*Calculateur!FO65*VLOOKUP('Données projet'!$B$16,Paramètres!$A$1:$I$88,3,0)*0.475*44/12</f>
        <v>0</v>
      </c>
      <c r="FS65" s="23">
        <f>EXP(-LN(2)/2)*FS64+(1-EXP(-LN(2)/2))/(LN(2)/2)*FM65*FP65*VLOOKUP('Données projet'!$B$16,Paramètres!$A$1:$I$88,3,0)*0.475*44/12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7.2</v>
      </c>
      <c r="FZ65" s="13">
        <f>IF('Données projet'!$A$244&gt;35,FZ64+FY65-GH64,IF(A65&lt;'Données projet'!$A$244,$FW$205^A65,IF(A65='Données projet'!$A$244,'Données projet'!$B$244,FZ64+FY65-GH64)))</f>
        <v>228.39999999999995</v>
      </c>
      <c r="GA65" s="18">
        <f>FZ65*VLOOKUP('Données projet'!$B$17,Paramètres!$A$1:$I$88,3,0)*VLOOKUP('Données projet'!$B$17,Paramètres!$A$1:$I$88,5,0)</f>
        <v>245.84975999999992</v>
      </c>
      <c r="GB65" s="14">
        <f t="shared" si="49"/>
        <v>59.696365416984804</v>
      </c>
      <c r="GC65" s="22">
        <f t="shared" si="25"/>
        <v>532.15950176791512</v>
      </c>
      <c r="GD65" s="62">
        <f t="shared" si="26"/>
        <v>825.49283510124837</v>
      </c>
      <c r="GE65" s="62">
        <f ca="1">AVERAGE(OFFSET($GD$3,0,0,'Données projet'!$E$17+1,1))-AVERAGE(OFFSET($H$3,0,0,'Données projet'!$E$17+1,1))</f>
        <v>503.69304261527651</v>
      </c>
      <c r="GF65" s="62">
        <f t="shared" si="50"/>
        <v>267.2998309535638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projet'!$B$17,Paramètres!$A$1:$I$88,3,0)*0.475*44/12</f>
        <v>0</v>
      </c>
      <c r="GM65" s="23">
        <f>EXP(-LN(2)/25)*GM64+(1-EXP(-LN(2)/25))/(LN(2)/25)*Calculateur!GH65*Calculateur!GJ65*VLOOKUP('Données projet'!$B$17,Paramètres!$A$1:$I$88,3,0)*0.475*44/12</f>
        <v>0</v>
      </c>
      <c r="GN65" s="23">
        <f>EXP(-LN(2)/2)*GN64+(1-EXP(-LN(2)/2))/(LN(2)/2)*GH65*GK65*VLOOKUP('Données projet'!$B$17,Paramètres!$A$1:$I$88,3,0)*0.475*44/12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8.8000000000000007</v>
      </c>
      <c r="GU65" s="13">
        <f>IF('Données projet'!$A$270&gt;35,GU64+GT65-HC64,IF(A65&lt;'Données projet'!$A$270,$GR$205^A65,IF(A65='Données projet'!$A$270,'Données projet'!$B$270,GU64+GT65-HC64)))</f>
        <v>290.59999999999997</v>
      </c>
      <c r="GV65" s="18">
        <f>GU65*VLOOKUP('Données projet'!$B$18,Paramètres!$A$1:$I$88,3,0)*VLOOKUP('Données projet'!$B$18,Paramètres!$A$1:$I$88,5,0)</f>
        <v>303.73511999999999</v>
      </c>
      <c r="GW65" s="14">
        <f t="shared" si="51"/>
        <v>71.958923316844619</v>
      </c>
      <c r="GX65" s="22">
        <f t="shared" si="28"/>
        <v>654.33379211017098</v>
      </c>
      <c r="GY65" s="62">
        <f t="shared" si="29"/>
        <v>947.66712544350435</v>
      </c>
      <c r="GZ65" s="62">
        <f ca="1">AVERAGE(OFFSET($GY$3,0,0,'Données projet'!$E$18+1,1))-AVERAGE(OFFSET($H$3,0,0,'Données projet'!$E$18+1,1))</f>
        <v>582.89879210197682</v>
      </c>
      <c r="HA65" s="62">
        <f t="shared" si="52"/>
        <v>314.72094983133326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projet'!$B$18,Paramètres!$A$1:$I$88,3,0)*0.475*44/12</f>
        <v>0</v>
      </c>
      <c r="HH65" s="23">
        <f>EXP(-LN(2)/25)*HH64+(1-EXP(-LN(2)/25))/(LN(2)/25)*Calculateur!HC65*Calculateur!HE65*VLOOKUP('Données projet'!$B$18,Paramètres!$A$1:$I$88,3,0)*0.475*44/12</f>
        <v>0</v>
      </c>
      <c r="HI65" s="23">
        <f>EXP(-LN(2)/2)*HI64+(1-EXP(-LN(2)/2))/(LN(2)/2)*HC65*HF65*VLOOKUP('Données projet'!$B$18,Paramètres!$A$1:$I$88,3,0)*0.475*44/12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22.7</v>
      </c>
      <c r="N66" s="14">
        <f>IF('Données projet'!$A$36&gt;35,N65+M66-V65,IF(A66&lt;'Données projet'!$A$36,$K$205^A66,IF(A66='Données projet'!$A$36,'Données projet'!$B$36,N65+M66-V65)))</f>
        <v>472.09999999999968</v>
      </c>
      <c r="O66" s="14">
        <f>N66*VLOOKUP('Données projet'!$B$9,Paramètres!$A$1:$I$88,3,0)*VLOOKUP('Données projet'!$B$9,Paramètres!$A$1:$I$88,5,0)</f>
        <v>220.94279999999983</v>
      </c>
      <c r="P66" s="14">
        <f t="shared" si="33"/>
        <v>54.31974761568528</v>
      </c>
      <c r="Q66" s="22">
        <f t="shared" si="53"/>
        <v>479.41560376398479</v>
      </c>
      <c r="R66" s="62">
        <f t="shared" si="0"/>
        <v>772.74893709731805</v>
      </c>
      <c r="S66" s="62">
        <f ca="1">AVERAGE(OFFSET($R$3,0,0,'Données projet'!$E$9+1,1))-AVERAGE(OFFSET($H$3,0,0,'Données projet'!$E$9+1,1))</f>
        <v>399.92909819003523</v>
      </c>
      <c r="T66" s="62">
        <f t="shared" si="34"/>
        <v>163.7053537268381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projet'!$B$10,Paramètres!$A$1:$I$88,3,0)*VLOOKUP('Données projet'!$B$10,Paramètres!$A$1:$I$88,5,0)</f>
        <v>270.89711999999997</v>
      </c>
      <c r="AK66" s="14">
        <f t="shared" si="35"/>
        <v>65.039624021315475</v>
      </c>
      <c r="AL66" s="22">
        <f t="shared" si="4"/>
        <v>585.08982917045773</v>
      </c>
      <c r="AM66" s="62">
        <f t="shared" si="5"/>
        <v>878.42316250379099</v>
      </c>
      <c r="AN66" s="62">
        <f ca="1">AVERAGE(OFFSET($AM$3,0,0,'Données projet'!$E$10+1,1))-AVERAGE(OFFSET($H$3,0,0,'Données projet'!$E$10+1,1))</f>
        <v>510.56580450928806</v>
      </c>
      <c r="AO66" s="62">
        <f t="shared" si="36"/>
        <v>278.21741231699929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299</v>
      </c>
      <c r="BE66" s="14">
        <f>BD66*VLOOKUP('Données projet'!$B$11,Paramètres!$A$1:$I$88,3,0)*VLOOKUP('Données projet'!$B$11,Paramètres!$A$1:$I$88,5,0)</f>
        <v>284.52839999999998</v>
      </c>
      <c r="BF66" s="14">
        <f t="shared" si="37"/>
        <v>67.923094584210872</v>
      </c>
      <c r="BG66" s="22">
        <f t="shared" si="7"/>
        <v>613.85301973416733</v>
      </c>
      <c r="BH66" s="62">
        <f t="shared" si="8"/>
        <v>907.1863530675007</v>
      </c>
      <c r="BI66" s="62">
        <f ca="1">AVERAGE(OFFSET($BH$3,0,0,'Données projet'!$E$11+1,1))-AVERAGE(OFFSET($H$3,0,0,'Données projet'!$E$11+1,1))</f>
        <v>525.51330555662139</v>
      </c>
      <c r="BJ66" s="62">
        <f t="shared" si="38"/>
        <v>357.72390083433635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1.7053025658242404E-13</v>
      </c>
      <c r="BZ66" s="14">
        <f>BY66*VLOOKUP('Données projet'!$B$12,Paramètres!$A$1:$I$88,3,0)*VLOOKUP('Données projet'!$B$12,Paramètres!$A$1:$I$88,5,0)</f>
        <v>1.0197709343628959E-13</v>
      </c>
      <c r="CA66" s="14">
        <f t="shared" si="39"/>
        <v>1.5284983994279675E-12</v>
      </c>
      <c r="CB66" s="22">
        <f t="shared" si="10"/>
        <v>2.839744816738581E-12</v>
      </c>
      <c r="CC66" s="62">
        <f t="shared" si="11"/>
        <v>293.33333333333616</v>
      </c>
      <c r="CD66" s="62">
        <f ca="1">AVERAGE(OFFSET($CC$3,0,0,'Données projet'!$E$12+1,1))-AVERAGE(OFFSET($H$3,0,0,'Données projet'!$E$12+1,1))</f>
        <v>227.46616726010473</v>
      </c>
      <c r="CE66" s="62">
        <f t="shared" si="40"/>
        <v>314.188568589113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62.59389571532504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0.14998800870623111</v>
      </c>
      <c r="CN66" s="24">
        <f t="shared" si="12"/>
        <v>62.743883724031271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18.25</v>
      </c>
      <c r="CT66" s="13">
        <f>IF('Données projet'!$A$140&gt;35,CT65+CS66-DB65,IF(A66&lt;'Données projet'!$A$140,$CQ$205^A66,IF(A66='Données projet'!$A$140,'Données projet'!$B$140,CT65+CS66-DB65)))</f>
        <v>375.25</v>
      </c>
      <c r="CU66" s="18">
        <f>CT66*VLOOKUP('Données projet'!$B$13,Paramètres!$A$1:$I$88,3,0)*VLOOKUP('Données projet'!$B$13,Paramètres!$A$1:$I$88,5,0)</f>
        <v>224.39950000000002</v>
      </c>
      <c r="CV66" s="14">
        <f t="shared" si="41"/>
        <v>55.069990602501541</v>
      </c>
      <c r="CW66" s="22">
        <f t="shared" si="13"/>
        <v>486.74269613269013</v>
      </c>
      <c r="CX66" s="62">
        <f t="shared" si="14"/>
        <v>780.07602946602344</v>
      </c>
      <c r="CY66" s="62">
        <f ca="1">AVERAGE(OFFSET($CX$3,0,0,'Données projet'!$E$13+1,1))-AVERAGE(OFFSET($H$3,0,0,'Données projet'!$E$13+1,1))</f>
        <v>356.46794174556311</v>
      </c>
      <c r="CZ66" s="62">
        <f t="shared" si="42"/>
        <v>248.47107558211923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0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>
        <f>VLOOKUP(A66,'Données projet'!$A$165:$I$185,2,0)</f>
        <v>538</v>
      </c>
      <c r="DM66" s="13">
        <f>VLOOKUP(A66,'Données projet'!$A$165:$I$185,9,0)</f>
        <v>15.571428571428571</v>
      </c>
      <c r="DN66" s="13">
        <f t="array" ref="DN66">INDEX(DM:DM,MIN(IF(ISNUMBER(DM66:DM262),ROW(DM66:DM262),"")))</f>
        <v>15.571428571428571</v>
      </c>
      <c r="DO66" s="13">
        <f>IF('Données projet'!$A$166&gt;35,DO65+DN66-DW65,IF(A66&lt;'Données projet'!$A$166,$DL$205^A66,IF(A66='Données projet'!$A$166,'Données projet'!$B$166,DO65+DN66-DW65)))</f>
        <v>537.99999999999989</v>
      </c>
      <c r="DP66" s="18">
        <f>DO66*VLOOKUP('Données projet'!$B$14,Paramètres!$A$1:$I$88,3,0)*VLOOKUP('Données projet'!$B$14,Paramètres!$A$1:$I$88,5,0)</f>
        <v>300.74199999999996</v>
      </c>
      <c r="DQ66" s="14">
        <f t="shared" si="43"/>
        <v>71.331992805448834</v>
      </c>
      <c r="DR66" s="22">
        <f t="shared" si="16"/>
        <v>648.02887080282335</v>
      </c>
      <c r="DS66" s="62">
        <f t="shared" si="17"/>
        <v>941.36220413615661</v>
      </c>
      <c r="DT66" s="62">
        <f ca="1">AVERAGE(OFFSET($DS$3,0,0,'Données projet'!$E$14+1,1))-AVERAGE(OFFSET($H$3,0,0,'Données projet'!$E$14+1,1))</f>
        <v>397.04445188588369</v>
      </c>
      <c r="DU66" s="62">
        <f t="shared" si="44"/>
        <v>350.01856672839466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2.6102543476792719</v>
      </c>
      <c r="EB66" s="23">
        <f>EXP(-LN(2)/25)*EB65+(1-EXP(-LN(2)/25))/(LN(2)/25)*Calculateur!DW66*Calculateur!DY66*VLOOKUP('Données projet'!$B$14,Paramètres!$A$1:$I$88,3,0)*0.475*44/12</f>
        <v>0</v>
      </c>
      <c r="EC66" s="23">
        <f>EXP(-LN(2)/2)*EC65+(1-EXP(-LN(2)/2))/(LN(2)/2)*DW66*DZ66*VLOOKUP('Données projet'!$B$14,Paramètres!$A$1:$I$88,3,0)*0.475*44/12</f>
        <v>1.7482051043820254E-4</v>
      </c>
      <c r="ED66" s="24">
        <f t="shared" si="18"/>
        <v>2.61042916818971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2.5599999999999965</v>
      </c>
      <c r="EJ66" s="13">
        <f>IF('Données projet'!$A$192&gt;35,EJ65+EI66-ER65,IF(A66&lt;'Données projet'!$A$192,$EG$205^A66,IF(A66='Données projet'!$A$192,'Données projet'!$B$192,EJ65+EI66-ER65)))</f>
        <v>147.87999999999994</v>
      </c>
      <c r="EK66" s="18">
        <f>EJ66*VLOOKUP('Données projet'!$B$15,Paramètres!$A$1:$I$88,3,0)*VLOOKUP('Données projet'!$B$15,Paramètres!$A$1:$I$88,5,0)</f>
        <v>129.18796799999996</v>
      </c>
      <c r="EL66" s="14">
        <f t="shared" si="45"/>
        <v>33.8086542063526</v>
      </c>
      <c r="EM66" s="22">
        <f t="shared" si="19"/>
        <v>283.88578367606402</v>
      </c>
      <c r="EN66" s="62">
        <f t="shared" si="20"/>
        <v>577.21911700939734</v>
      </c>
      <c r="EO66" s="62">
        <f ca="1">AVERAGE(OFFSET($EN$3,0,0,'Données projet'!$E$15+1,1))-AVERAGE(OFFSET($H$3,0,0,'Données projet'!$E$15+1,1))</f>
        <v>202.5548390231225</v>
      </c>
      <c r="EP66" s="62">
        <f t="shared" si="46"/>
        <v>184.62184077734179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projet'!$B$15,Paramètres!$A$1:$I$88,3,0)*0.475*44/12</f>
        <v>0</v>
      </c>
      <c r="EW66" s="23">
        <f>EXP(-LN(2)/25)*EW65+(1-EXP(-LN(2)/25))/(LN(2)/25)*Calculateur!ER66*Calculateur!ET66*VLOOKUP('Données projet'!$B$15,Paramètres!$A$1:$I$88,3,0)*0.475*44/12</f>
        <v>0</v>
      </c>
      <c r="EX66" s="23">
        <f>EXP(-LN(2)/2)*EX65+(1-EXP(-LN(2)/2))/(LN(2)/2)*ER66*EU66*VLOOKUP('Données projet'!$B$15,Paramètres!$A$1:$I$88,3,0)*0.475*44/12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235.59999999999994</v>
      </c>
      <c r="FF66" s="18">
        <f>FE66*VLOOKUP('Données projet'!$B$16,Paramètres!$A$1:$I$88,3,0)*VLOOKUP('Données projet'!$B$16,Paramètres!$A$1:$I$88,5,0)</f>
        <v>227.87231999999997</v>
      </c>
      <c r="FG66" s="14">
        <f t="shared" si="47"/>
        <v>55.822378821981488</v>
      </c>
      <c r="FH66" s="22">
        <f t="shared" si="22"/>
        <v>494.10160044828439</v>
      </c>
      <c r="FI66" s="62">
        <f t="shared" si="23"/>
        <v>787.4349337816177</v>
      </c>
      <c r="FJ66" s="62">
        <f ca="1">AVERAGE(OFFSET($FI$3,0,0,'Données projet'!$E$16+1,1))-AVERAGE(OFFSET($H$3,0,0,'Données projet'!$E$16+1,1))</f>
        <v>456.96274622094955</v>
      </c>
      <c r="FK66" s="62">
        <f t="shared" si="48"/>
        <v>244.45149244446094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projet'!$B$16,Paramètres!$A$1:$I$88,3,0)*0.475*44/12</f>
        <v>0</v>
      </c>
      <c r="FR66" s="23">
        <f>EXP(-LN(2)/25)*FR65+(1-EXP(-LN(2)/25))/(LN(2)/25)*Calculateur!FM66*Calculateur!FO66*VLOOKUP('Données projet'!$B$16,Paramètres!$A$1:$I$88,3,0)*0.475*44/12</f>
        <v>0</v>
      </c>
      <c r="FS66" s="23">
        <f>EXP(-LN(2)/2)*FS65+(1-EXP(-LN(2)/2))/(LN(2)/2)*FM66*FP66*VLOOKUP('Données projet'!$B$16,Paramètres!$A$1:$I$88,3,0)*0.475*44/12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7.2</v>
      </c>
      <c r="FZ66" s="13">
        <f>IF('Données projet'!$A$244&gt;35,FZ65+FY66-GH65,IF(A66&lt;'Données projet'!$A$244,$FW$205^A66,IF(A66='Données projet'!$A$244,'Données projet'!$B$244,FZ65+FY66-GH65)))</f>
        <v>235.59999999999994</v>
      </c>
      <c r="GA66" s="18">
        <f>FZ66*VLOOKUP('Données projet'!$B$17,Paramètres!$A$1:$I$88,3,0)*VLOOKUP('Données projet'!$B$17,Paramètres!$A$1:$I$88,5,0)</f>
        <v>253.59983999999992</v>
      </c>
      <c r="GB66" s="14">
        <f t="shared" si="49"/>
        <v>61.356149837323883</v>
      </c>
      <c r="GC66" s="22">
        <f t="shared" si="25"/>
        <v>548.54834896667228</v>
      </c>
      <c r="GD66" s="62">
        <f t="shared" si="26"/>
        <v>841.88168230000565</v>
      </c>
      <c r="GE66" s="62">
        <f ca="1">AVERAGE(OFFSET($GD$3,0,0,'Données projet'!$E$17+1,1))-AVERAGE(OFFSET($H$3,0,0,'Données projet'!$E$17+1,1))</f>
        <v>503.69304261527651</v>
      </c>
      <c r="GF66" s="62">
        <f t="shared" si="50"/>
        <v>267.2998309535638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projet'!$B$17,Paramètres!$A$1:$I$88,3,0)*0.475*44/12</f>
        <v>0</v>
      </c>
      <c r="GM66" s="23">
        <f>EXP(-LN(2)/25)*GM65+(1-EXP(-LN(2)/25))/(LN(2)/25)*Calculateur!GH66*Calculateur!GJ66*VLOOKUP('Données projet'!$B$17,Paramètres!$A$1:$I$88,3,0)*0.475*44/12</f>
        <v>0</v>
      </c>
      <c r="GN66" s="23">
        <f>EXP(-LN(2)/2)*GN65+(1-EXP(-LN(2)/2))/(LN(2)/2)*GH66*GK66*VLOOKUP('Données projet'!$B$17,Paramètres!$A$1:$I$88,3,0)*0.475*44/12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8.8000000000000007</v>
      </c>
      <c r="GU66" s="13">
        <f>IF('Données projet'!$A$270&gt;35,GU65+GT66-HC65,IF(A66&lt;'Données projet'!$A$270,$GR$205^A66,IF(A66='Données projet'!$A$270,'Données projet'!$B$270,GU65+GT66-HC65)))</f>
        <v>299.39999999999998</v>
      </c>
      <c r="GV66" s="18">
        <f>GU66*VLOOKUP('Données projet'!$B$18,Paramètres!$A$1:$I$88,3,0)*VLOOKUP('Données projet'!$B$18,Paramètres!$A$1:$I$88,5,0)</f>
        <v>312.93288000000001</v>
      </c>
      <c r="GW66" s="14">
        <f t="shared" si="51"/>
        <v>73.88099617041226</v>
      </c>
      <c r="GX66" s="22">
        <f t="shared" si="28"/>
        <v>673.70083433013463</v>
      </c>
      <c r="GY66" s="62">
        <f t="shared" si="29"/>
        <v>967.034167663468</v>
      </c>
      <c r="GZ66" s="62">
        <f ca="1">AVERAGE(OFFSET($GY$3,0,0,'Données projet'!$E$18+1,1))-AVERAGE(OFFSET($H$3,0,0,'Données projet'!$E$18+1,1))</f>
        <v>582.89879210197682</v>
      </c>
      <c r="HA66" s="62">
        <f t="shared" si="52"/>
        <v>314.72094983133326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projet'!$B$18,Paramètres!$A$1:$I$88,3,0)*0.475*44/12</f>
        <v>0</v>
      </c>
      <c r="HH66" s="23">
        <f>EXP(-LN(2)/25)*HH65+(1-EXP(-LN(2)/25))/(LN(2)/25)*Calculateur!HC66*Calculateur!HE66*VLOOKUP('Données projet'!$B$18,Paramètres!$A$1:$I$88,3,0)*0.475*44/12</f>
        <v>0</v>
      </c>
      <c r="HI66" s="23">
        <f>EXP(-LN(2)/2)*HI65+(1-EXP(-LN(2)/2))/(LN(2)/2)*HC66*HF66*VLOOKUP('Données projet'!$B$18,Paramètres!$A$1:$I$88,3,0)*0.475*44/12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22.7</v>
      </c>
      <c r="N67" s="14">
        <f>IF('Données projet'!$A$36&gt;35,N66+M67-V66,IF(A67&lt;'Données projet'!$A$36,$K$205^A67,IF(A67='Données projet'!$A$36,'Données projet'!$B$36,N66+M67-V66)))</f>
        <v>494.79999999999967</v>
      </c>
      <c r="O67" s="14">
        <f>N67*VLOOKUP('Données projet'!$B$9,Paramètres!$A$1:$I$88,3,0)*VLOOKUP('Données projet'!$B$9,Paramètres!$A$1:$I$88,5,0)</f>
        <v>231.56639999999985</v>
      </c>
      <c r="P67" s="14">
        <f t="shared" si="33"/>
        <v>56.621239926036594</v>
      </c>
      <c r="Q67" s="22">
        <f t="shared" ref="Q67:Q98" si="54">(O67+P67)*0.475*44/12</f>
        <v>501.92680620451353</v>
      </c>
      <c r="R67" s="62">
        <f t="shared" ref="R67:R130" si="55">Q67+(I67+J67)*44/12</f>
        <v>795.26013953784684</v>
      </c>
      <c r="S67" s="62">
        <f ca="1">AVERAGE(OFFSET($R$3,0,0,'Données projet'!$E$9+1,1))-AVERAGE(OFFSET($H$3,0,0,'Données projet'!$E$9+1,1))</f>
        <v>399.92909819003523</v>
      </c>
      <c r="T67" s="62">
        <f t="shared" si="34"/>
        <v>163.7053537268381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projet'!$B$10,Paramètres!$A$1:$I$88,3,0)*VLOOKUP('Données projet'!$B$10,Paramètres!$A$1:$I$88,5,0)</f>
        <v>278.85935999999998</v>
      </c>
      <c r="AK67" s="14">
        <f t="shared" si="35"/>
        <v>66.725901622172444</v>
      </c>
      <c r="AL67" s="22">
        <f t="shared" si="4"/>
        <v>601.89433065861692</v>
      </c>
      <c r="AM67" s="62">
        <f t="shared" si="5"/>
        <v>895.22766399195029</v>
      </c>
      <c r="AN67" s="62">
        <f ca="1">AVERAGE(OFFSET($AM$3,0,0,'Données projet'!$E$10+1,1))-AVERAGE(OFFSET($H$3,0,0,'Données projet'!$E$10+1,1))</f>
        <v>510.56580450928806</v>
      </c>
      <c r="AO67" s="62">
        <f t="shared" si="36"/>
        <v>278.21741231699929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306</v>
      </c>
      <c r="BE67" s="14">
        <f>BD67*VLOOKUP('Données projet'!$B$11,Paramètres!$A$1:$I$88,3,0)*VLOOKUP('Données projet'!$B$11,Paramètres!$A$1:$I$88,5,0)</f>
        <v>291.18959999999998</v>
      </c>
      <c r="BF67" s="14">
        <f t="shared" si="37"/>
        <v>69.32627325504869</v>
      </c>
      <c r="BG67" s="22">
        <f t="shared" si="7"/>
        <v>627.8984792525431</v>
      </c>
      <c r="BH67" s="62">
        <f t="shared" si="8"/>
        <v>921.23181258587647</v>
      </c>
      <c r="BI67" s="62">
        <f ca="1">AVERAGE(OFFSET($BH$3,0,0,'Données projet'!$E$11+1,1))-AVERAGE(OFFSET($H$3,0,0,'Données projet'!$E$11+1,1))</f>
        <v>525.51330555662139</v>
      </c>
      <c r="BJ67" s="62">
        <f t="shared" si="38"/>
        <v>357.72390083433635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1.7053025658242404E-13</v>
      </c>
      <c r="BZ67" s="14">
        <f>BY67*VLOOKUP('Données projet'!$B$12,Paramètres!$A$1:$I$88,3,0)*VLOOKUP('Données projet'!$B$12,Paramètres!$A$1:$I$88,5,0)</f>
        <v>1.0197709343628959E-13</v>
      </c>
      <c r="CA67" s="14">
        <f t="shared" si="39"/>
        <v>1.5284983994279675E-12</v>
      </c>
      <c r="CB67" s="22">
        <f t="shared" si="10"/>
        <v>2.839744816738581E-12</v>
      </c>
      <c r="CC67" s="62">
        <f t="shared" si="11"/>
        <v>293.33333333333616</v>
      </c>
      <c r="CD67" s="62">
        <f ca="1">AVERAGE(OFFSET($CC$3,0,0,'Données projet'!$E$12+1,1))-AVERAGE(OFFSET($H$3,0,0,'Données projet'!$E$12+1,1))</f>
        <v>227.46616726010473</v>
      </c>
      <c r="CE67" s="62">
        <f t="shared" si="40"/>
        <v>314.188568589113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61.366467598854086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0.10605753805284295</v>
      </c>
      <c r="CN67" s="24">
        <f t="shared" si="12"/>
        <v>61.472525136906931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18.25</v>
      </c>
      <c r="CT67" s="13">
        <f>IF('Données projet'!$A$140&gt;35,CT66+CS67-DB66,IF(A67&lt;'Données projet'!$A$140,$CQ$205^A67,IF(A67='Données projet'!$A$140,'Données projet'!$B$140,CT66+CS67-DB66)))</f>
        <v>393.5</v>
      </c>
      <c r="CU67" s="18">
        <f>CT67*VLOOKUP('Données projet'!$B$13,Paramètres!$A$1:$I$88,3,0)*VLOOKUP('Données projet'!$B$13,Paramètres!$A$1:$I$88,5,0)</f>
        <v>235.31300000000005</v>
      </c>
      <c r="CV67" s="14">
        <f t="shared" si="41"/>
        <v>57.429945003037197</v>
      </c>
      <c r="CW67" s="22">
        <f t="shared" si="13"/>
        <v>509.8606292136231</v>
      </c>
      <c r="CX67" s="62">
        <f t="shared" si="14"/>
        <v>803.19396254695641</v>
      </c>
      <c r="CY67" s="62">
        <f ca="1">AVERAGE(OFFSET($CX$3,0,0,'Données projet'!$E$13+1,1))-AVERAGE(OFFSET($H$3,0,0,'Données projet'!$E$13+1,1))</f>
        <v>356.46794174556311</v>
      </c>
      <c r="CZ67" s="62">
        <f t="shared" si="42"/>
        <v>248.47107558211923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0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13.857142857142858</v>
      </c>
      <c r="DO67" s="13">
        <f>IF('Données projet'!$A$166&gt;35,DO66+DN67-DW66,IF(A67&lt;'Données projet'!$A$166,$DL$205^A67,IF(A67='Données projet'!$A$166,'Données projet'!$B$166,DO66+DN67-DW66)))</f>
        <v>551.85714285714278</v>
      </c>
      <c r="DP67" s="18">
        <f>DO67*VLOOKUP('Données projet'!$B$14,Paramètres!$A$1:$I$88,3,0)*VLOOKUP('Données projet'!$B$14,Paramètres!$A$1:$I$88,5,0)</f>
        <v>308.4881428571428</v>
      </c>
      <c r="DQ67" s="14">
        <f t="shared" si="43"/>
        <v>72.953004445543158</v>
      </c>
      <c r="DR67" s="22">
        <f t="shared" si="16"/>
        <v>664.34333155217803</v>
      </c>
      <c r="DS67" s="62">
        <f t="shared" si="17"/>
        <v>957.6766648855114</v>
      </c>
      <c r="DT67" s="62">
        <f ca="1">AVERAGE(OFFSET($DS$3,0,0,'Données projet'!$E$14+1,1))-AVERAGE(OFFSET($H$3,0,0,'Données projet'!$E$14+1,1))</f>
        <v>397.04445188588369</v>
      </c>
      <c r="DU67" s="62">
        <f t="shared" si="44"/>
        <v>350.01856672839466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2.5590688520192266</v>
      </c>
      <c r="EB67" s="23">
        <f>EXP(-LN(2)/25)*EB66+(1-EXP(-LN(2)/25))/(LN(2)/25)*Calculateur!DW67*Calculateur!DY67*VLOOKUP('Données projet'!$B$14,Paramètres!$A$1:$I$88,3,0)*0.475*44/12</f>
        <v>0</v>
      </c>
      <c r="EC67" s="23">
        <f>EXP(-LN(2)/2)*EC66+(1-EXP(-LN(2)/2))/(LN(2)/2)*DW67*DZ67*VLOOKUP('Données projet'!$B$14,Paramètres!$A$1:$I$88,3,0)*0.475*44/12</f>
        <v>1.2361676842134663E-4</v>
      </c>
      <c r="ED67" s="24">
        <f t="shared" si="18"/>
        <v>2.5591924687876482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2.5599999999999965</v>
      </c>
      <c r="EJ67" s="13">
        <f>IF('Données projet'!$A$192&gt;35,EJ66+EI67-ER66,IF(A67&lt;'Données projet'!$A$192,$EG$205^A67,IF(A67='Données projet'!$A$192,'Données projet'!$B$192,EJ66+EI67-ER66)))</f>
        <v>150.43999999999994</v>
      </c>
      <c r="EK67" s="18">
        <f>EJ67*VLOOKUP('Données projet'!$B$15,Paramètres!$A$1:$I$88,3,0)*VLOOKUP('Données projet'!$B$15,Paramètres!$A$1:$I$88,5,0)</f>
        <v>131.42438399999998</v>
      </c>
      <c r="EL67" s="14">
        <f t="shared" si="45"/>
        <v>34.32528362102407</v>
      </c>
      <c r="EM67" s="22">
        <f t="shared" si="19"/>
        <v>288.6806711066169</v>
      </c>
      <c r="EN67" s="62">
        <f t="shared" si="20"/>
        <v>582.01400443995021</v>
      </c>
      <c r="EO67" s="62">
        <f ca="1">AVERAGE(OFFSET($EN$3,0,0,'Données projet'!$E$15+1,1))-AVERAGE(OFFSET($H$3,0,0,'Données projet'!$E$15+1,1))</f>
        <v>202.5548390231225</v>
      </c>
      <c r="EP67" s="62">
        <f t="shared" si="46"/>
        <v>184.62184077734179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projet'!$B$15,Paramètres!$A$1:$I$88,3,0)*0.475*44/12</f>
        <v>0</v>
      </c>
      <c r="EW67" s="23">
        <f>EXP(-LN(2)/25)*EW66+(1-EXP(-LN(2)/25))/(LN(2)/25)*Calculateur!ER67*Calculateur!ET67*VLOOKUP('Données projet'!$B$15,Paramètres!$A$1:$I$88,3,0)*0.475*44/12</f>
        <v>0</v>
      </c>
      <c r="EX67" s="23">
        <f>EXP(-LN(2)/2)*EX66+(1-EXP(-LN(2)/2))/(LN(2)/2)*ER67*EU67*VLOOKUP('Données projet'!$B$15,Paramètres!$A$1:$I$88,3,0)*0.475*44/12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242.79999999999993</v>
      </c>
      <c r="FF67" s="18">
        <f>FE67*VLOOKUP('Données projet'!$B$16,Paramètres!$A$1:$I$88,3,0)*VLOOKUP('Données projet'!$B$16,Paramètres!$A$1:$I$88,5,0)</f>
        <v>234.83615999999992</v>
      </c>
      <c r="FG67" s="14">
        <f t="shared" si="47"/>
        <v>57.327102622427432</v>
      </c>
      <c r="FH67" s="22">
        <f t="shared" si="22"/>
        <v>508.85101573406092</v>
      </c>
      <c r="FI67" s="62">
        <f t="shared" si="23"/>
        <v>802.18434906739424</v>
      </c>
      <c r="FJ67" s="62">
        <f ca="1">AVERAGE(OFFSET($FI$3,0,0,'Données projet'!$E$16+1,1))-AVERAGE(OFFSET($H$3,0,0,'Données projet'!$E$16+1,1))</f>
        <v>456.96274622094955</v>
      </c>
      <c r="FK67" s="62">
        <f t="shared" si="48"/>
        <v>244.45149244446094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projet'!$B$16,Paramètres!$A$1:$I$88,3,0)*0.475*44/12</f>
        <v>0</v>
      </c>
      <c r="FR67" s="23">
        <f>EXP(-LN(2)/25)*FR66+(1-EXP(-LN(2)/25))/(LN(2)/25)*Calculateur!FM67*Calculateur!FO67*VLOOKUP('Données projet'!$B$16,Paramètres!$A$1:$I$88,3,0)*0.475*44/12</f>
        <v>0</v>
      </c>
      <c r="FS67" s="23">
        <f>EXP(-LN(2)/2)*FS66+(1-EXP(-LN(2)/2))/(LN(2)/2)*FM67*FP67*VLOOKUP('Données projet'!$B$16,Paramètres!$A$1:$I$88,3,0)*0.475*44/12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7.2</v>
      </c>
      <c r="FZ67" s="13">
        <f>IF('Données projet'!$A$244&gt;35,FZ66+FY67-GH66,IF(A67&lt;'Données projet'!$A$244,$FW$205^A67,IF(A67='Données projet'!$A$244,'Données projet'!$B$244,FZ66+FY67-GH66)))</f>
        <v>242.79999999999993</v>
      </c>
      <c r="GA67" s="18">
        <f>FZ67*VLOOKUP('Données projet'!$B$17,Paramètres!$A$1:$I$88,3,0)*VLOOKUP('Données projet'!$B$17,Paramètres!$A$1:$I$88,5,0)</f>
        <v>261.34991999999988</v>
      </c>
      <c r="GB67" s="14">
        <f t="shared" si="49"/>
        <v>63.010039566000117</v>
      </c>
      <c r="GC67" s="22">
        <f t="shared" si="25"/>
        <v>564.92692957744998</v>
      </c>
      <c r="GD67" s="62">
        <f t="shared" si="26"/>
        <v>858.26026291078324</v>
      </c>
      <c r="GE67" s="62">
        <f ca="1">AVERAGE(OFFSET($GD$3,0,0,'Données projet'!$E$17+1,1))-AVERAGE(OFFSET($H$3,0,0,'Données projet'!$E$17+1,1))</f>
        <v>503.69304261527651</v>
      </c>
      <c r="GF67" s="62">
        <f t="shared" si="50"/>
        <v>267.2998309535638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projet'!$B$17,Paramètres!$A$1:$I$88,3,0)*0.475*44/12</f>
        <v>0</v>
      </c>
      <c r="GM67" s="23">
        <f>EXP(-LN(2)/25)*GM66+(1-EXP(-LN(2)/25))/(LN(2)/25)*Calculateur!GH67*Calculateur!GJ67*VLOOKUP('Données projet'!$B$17,Paramètres!$A$1:$I$88,3,0)*0.475*44/12</f>
        <v>0</v>
      </c>
      <c r="GN67" s="23">
        <f>EXP(-LN(2)/2)*GN66+(1-EXP(-LN(2)/2))/(LN(2)/2)*GH67*GK67*VLOOKUP('Données projet'!$B$17,Paramètres!$A$1:$I$88,3,0)*0.475*44/12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8.8000000000000007</v>
      </c>
      <c r="GU67" s="13">
        <f>IF('Données projet'!$A$270&gt;35,GU66+GT67-HC66,IF(A67&lt;'Données projet'!$A$270,$GR$205^A67,IF(A67='Données projet'!$A$270,'Données projet'!$B$270,GU66+GT67-HC66)))</f>
        <v>308.2</v>
      </c>
      <c r="GV67" s="18">
        <f>GU67*VLOOKUP('Données projet'!$B$18,Paramètres!$A$1:$I$88,3,0)*VLOOKUP('Données projet'!$B$18,Paramètres!$A$1:$I$88,5,0)</f>
        <v>322.13064000000003</v>
      </c>
      <c r="GW67" s="14">
        <f t="shared" si="51"/>
        <v>75.7965033838355</v>
      </c>
      <c r="GX67" s="22">
        <f t="shared" si="28"/>
        <v>693.05644139351352</v>
      </c>
      <c r="GY67" s="62">
        <f t="shared" si="29"/>
        <v>986.38977472684678</v>
      </c>
      <c r="GZ67" s="62">
        <f ca="1">AVERAGE(OFFSET($GY$3,0,0,'Données projet'!$E$18+1,1))-AVERAGE(OFFSET($H$3,0,0,'Données projet'!$E$18+1,1))</f>
        <v>582.89879210197682</v>
      </c>
      <c r="HA67" s="62">
        <f t="shared" si="52"/>
        <v>314.72094983133326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projet'!$B$18,Paramètres!$A$1:$I$88,3,0)*0.475*44/12</f>
        <v>0</v>
      </c>
      <c r="HH67" s="23">
        <f>EXP(-LN(2)/25)*HH66+(1-EXP(-LN(2)/25))/(LN(2)/25)*Calculateur!HC67*Calculateur!HE67*VLOOKUP('Données projet'!$B$18,Paramètres!$A$1:$I$88,3,0)*0.475*44/12</f>
        <v>0</v>
      </c>
      <c r="HI67" s="23">
        <f>EXP(-LN(2)/2)*HI66+(1-EXP(-LN(2)/2))/(LN(2)/2)*HC67*HF67*VLOOKUP('Données projet'!$B$18,Paramètres!$A$1:$I$88,3,0)*0.475*44/12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22.7</v>
      </c>
      <c r="N68" s="14">
        <f>IF('Données projet'!$A$36&gt;35,N67+M68-V67,IF(A68&lt;'Données projet'!$A$36,$K$205^A68,IF(A68='Données projet'!$A$36,'Données projet'!$B$36,N67+M68-V67)))</f>
        <v>517.49999999999966</v>
      </c>
      <c r="O68" s="14">
        <f>N68*VLOOKUP('Données projet'!$B$9,Paramètres!$A$1:$I$88,3,0)*VLOOKUP('Données projet'!$B$9,Paramètres!$A$1:$I$88,5,0)</f>
        <v>242.18999999999983</v>
      </c>
      <c r="P68" s="14">
        <f t="shared" si="33"/>
        <v>58.910470259429303</v>
      </c>
      <c r="Q68" s="22">
        <f t="shared" si="54"/>
        <v>524.41665236850577</v>
      </c>
      <c r="R68" s="62">
        <f t="shared" si="55"/>
        <v>817.74998570183902</v>
      </c>
      <c r="S68" s="62">
        <f ca="1">AVERAGE(OFFSET($R$3,0,0,'Données projet'!$E$9+1,1))-AVERAGE(OFFSET($H$3,0,0,'Données projet'!$E$9+1,1))</f>
        <v>399.92909819003523</v>
      </c>
      <c r="T68" s="62">
        <f t="shared" si="34"/>
        <v>163.7053537268381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projet'!$B$10,Paramètres!$A$1:$I$88,3,0)*VLOOKUP('Données projet'!$B$10,Paramètres!$A$1:$I$88,5,0)</f>
        <v>286.82159999999999</v>
      </c>
      <c r="AK68" s="14">
        <f t="shared" si="35"/>
        <v>68.406583284351484</v>
      </c>
      <c r="AL68" s="22">
        <f t="shared" ref="AL68:AL131" si="58">(AJ68+AK68)*0.475*44/12</f>
        <v>618.68908588691215</v>
      </c>
      <c r="AM68" s="62">
        <f t="shared" ref="AM68:AM131" si="59">AL68+(AD68+AE68)*44/12</f>
        <v>912.02241922024541</v>
      </c>
      <c r="AN68" s="62">
        <f ca="1">AVERAGE(OFFSET($AM$3,0,0,'Données projet'!$E$10+1,1))-AVERAGE(OFFSET($H$3,0,0,'Données projet'!$E$10+1,1))</f>
        <v>510.56580450928806</v>
      </c>
      <c r="AO68" s="62">
        <f t="shared" si="36"/>
        <v>278.21741231699929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313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313</v>
      </c>
      <c r="BE68" s="14">
        <f>BD68*VLOOKUP('Données projet'!$B$11,Paramètres!$A$1:$I$88,3,0)*VLOOKUP('Données projet'!$B$11,Paramètres!$A$1:$I$88,5,0)</f>
        <v>297.85079999999999</v>
      </c>
      <c r="BF68" s="14">
        <f t="shared" si="37"/>
        <v>70.725720244769349</v>
      </c>
      <c r="BG68" s="22">
        <f t="shared" ref="BG68:BG131" si="61">(BE68+BF68)*0.475*44/12</f>
        <v>641.93743942630658</v>
      </c>
      <c r="BH68" s="62">
        <f t="shared" ref="BH68:BH131" si="62">BG68+(AY68+AZ68)*44/12</f>
        <v>935.27077275963984</v>
      </c>
      <c r="BI68" s="62">
        <f ca="1">AVERAGE(OFFSET($BH$3,0,0,'Données projet'!$E$11+1,1))-AVERAGE(OFFSET($H$3,0,0,'Données projet'!$E$11+1,1))</f>
        <v>525.51330555662139</v>
      </c>
      <c r="BJ68" s="62">
        <f t="shared" si="38"/>
        <v>357.72390083433635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44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1.7053025658242404E-13</v>
      </c>
      <c r="BZ68" s="14">
        <f>BY68*VLOOKUP('Données projet'!$B$12,Paramètres!$A$1:$I$88,3,0)*VLOOKUP('Données projet'!$B$12,Paramètres!$A$1:$I$88,5,0)</f>
        <v>1.0197709343628959E-13</v>
      </c>
      <c r="CA68" s="14">
        <f t="shared" si="39"/>
        <v>1.5284983994279675E-12</v>
      </c>
      <c r="CB68" s="22">
        <f t="shared" ref="CB68:CB131" si="64">(BZ68+CA68)*0.475*44/12</f>
        <v>2.839744816738581E-12</v>
      </c>
      <c r="CC68" s="62">
        <f t="shared" ref="CC68:CC131" si="65">CB68+(BT68+BU68)*44/12</f>
        <v>293.33333333333616</v>
      </c>
      <c r="CD68" s="62">
        <f ca="1">AVERAGE(OFFSET($CC$3,0,0,'Données projet'!$E$12+1,1))-AVERAGE(OFFSET($H$3,0,0,'Données projet'!$E$12+1,1))</f>
        <v>227.46616726010473</v>
      </c>
      <c r="CE68" s="62">
        <f t="shared" si="40"/>
        <v>314.188568589113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60.163108599089902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7.4994004353115554E-2</v>
      </c>
      <c r="CN68" s="24">
        <f t="shared" ref="CN68:CN131" si="66">SUM(CK68:CM68)</f>
        <v>60.238102603443018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18.25</v>
      </c>
      <c r="CT68" s="13">
        <f>IF('Données projet'!$A$140&gt;35,CT67+CS68-DB67,IF(A68&lt;'Données projet'!$A$140,$CQ$205^A68,IF(A68='Données projet'!$A$140,'Données projet'!$B$140,CT67+CS68-DB67)))</f>
        <v>411.75</v>
      </c>
      <c r="CU68" s="18">
        <f>CT68*VLOOKUP('Données projet'!$B$13,Paramètres!$A$1:$I$88,3,0)*VLOOKUP('Données projet'!$B$13,Paramètres!$A$1:$I$88,5,0)</f>
        <v>246.22650000000002</v>
      </c>
      <c r="CV68" s="14">
        <f t="shared" si="41"/>
        <v>59.777188763695399</v>
      </c>
      <c r="CW68" s="22">
        <f t="shared" ref="CW68:CW131" si="67">(CU68+CV68)*0.475*44/12</f>
        <v>532.95642459676958</v>
      </c>
      <c r="CX68" s="62">
        <f t="shared" ref="CX68:CX131" si="68">CW68+(CO68+CP68)*44/12</f>
        <v>826.28975793010295</v>
      </c>
      <c r="CY68" s="62">
        <f ca="1">AVERAGE(OFFSET($CX$3,0,0,'Données projet'!$E$13+1,1))-AVERAGE(OFFSET($H$3,0,0,'Données projet'!$E$13+1,1))</f>
        <v>356.46794174556311</v>
      </c>
      <c r="CZ68" s="62">
        <f t="shared" si="42"/>
        <v>248.47107558211923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0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13.857142857142858</v>
      </c>
      <c r="DO68" s="13">
        <f>IF('Données projet'!$A$166&gt;35,DO67+DN68-DW67,IF(A68&lt;'Données projet'!$A$166,$DL$205^A68,IF(A68='Données projet'!$A$166,'Données projet'!$B$166,DO67+DN68-DW67)))</f>
        <v>565.71428571428567</v>
      </c>
      <c r="DP68" s="18">
        <f>DO68*VLOOKUP('Données projet'!$B$14,Paramètres!$A$1:$I$88,3,0)*VLOOKUP('Données projet'!$B$14,Paramètres!$A$1:$I$88,5,0)</f>
        <v>316.2342857142857</v>
      </c>
      <c r="DQ68" s="14">
        <f t="shared" si="43"/>
        <v>74.569284574694578</v>
      </c>
      <c r="DR68" s="22">
        <f t="shared" ref="DR68:DR131" si="70">(DP68+DQ68)*0.475*44/12</f>
        <v>680.64955158664054</v>
      </c>
      <c r="DS68" s="62">
        <f t="shared" ref="DS68:DS131" si="71">DR68+(DJ68+DK68)*44/12</f>
        <v>973.98288491997391</v>
      </c>
      <c r="DT68" s="62">
        <f ca="1">AVERAGE(OFFSET($DS$3,0,0,'Données projet'!$E$14+1,1))-AVERAGE(OFFSET($H$3,0,0,'Données projet'!$E$14+1,1))</f>
        <v>397.04445188588369</v>
      </c>
      <c r="DU68" s="62">
        <f t="shared" si="44"/>
        <v>350.01856672839466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2.5088870727090056</v>
      </c>
      <c r="EB68" s="23">
        <f>EXP(-LN(2)/25)*EB67+(1-EXP(-LN(2)/25))/(LN(2)/25)*Calculateur!DW68*Calculateur!DY68*VLOOKUP('Données projet'!$B$14,Paramètres!$A$1:$I$88,3,0)*0.475*44/12</f>
        <v>0</v>
      </c>
      <c r="EC68" s="23">
        <f>EXP(-LN(2)/2)*EC67+(1-EXP(-LN(2)/2))/(LN(2)/2)*DW68*DZ68*VLOOKUP('Données projet'!$B$14,Paramètres!$A$1:$I$88,3,0)*0.475*44/12</f>
        <v>8.741025521910127E-5</v>
      </c>
      <c r="ED68" s="24">
        <f t="shared" ref="ED68:ED131" si="72">SUM(EA68:EC68)</f>
        <v>2.5089744829642249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153</v>
      </c>
      <c r="EH68" s="13">
        <f>VLOOKUP(A68,'Données projet'!$A$191:$I$211,9,0)</f>
        <v>2.5599999999999965</v>
      </c>
      <c r="EI68" s="13">
        <f t="array" ref="EI68">INDEX(EH:EH,MIN(IF(ISNUMBER(EH68:EH264),ROW(EH68:EH264),"")))</f>
        <v>2.5599999999999965</v>
      </c>
      <c r="EJ68" s="13">
        <f>IF('Données projet'!$A$192&gt;35,EJ67+EI68-ER67,IF(A68&lt;'Données projet'!$A$192,$EG$205^A68,IF(A68='Données projet'!$A$192,'Données projet'!$B$192,EJ67+EI68-ER67)))</f>
        <v>152.99999999999994</v>
      </c>
      <c r="EK68" s="18">
        <f>EJ68*VLOOKUP('Données projet'!$B$15,Paramètres!$A$1:$I$88,3,0)*VLOOKUP('Données projet'!$B$15,Paramètres!$A$1:$I$88,5,0)</f>
        <v>133.66079999999997</v>
      </c>
      <c r="EL68" s="14">
        <f t="shared" si="45"/>
        <v>34.840890682716719</v>
      </c>
      <c r="EM68" s="22">
        <f t="shared" ref="EM68:EM131" si="73">(EK68+EL68)*0.475*44/12</f>
        <v>293.47377793906486</v>
      </c>
      <c r="EN68" s="62">
        <f t="shared" ref="EN68:EN131" si="74">EM68+(EE68+EF68)*44/12</f>
        <v>586.80711127239817</v>
      </c>
      <c r="EO68" s="62">
        <f ca="1">AVERAGE(OFFSET($EN$3,0,0,'Données projet'!$E$15+1,1))-AVERAGE(OFFSET($H$3,0,0,'Données projet'!$E$15+1,1))</f>
        <v>202.5548390231225</v>
      </c>
      <c r="EP68" s="62">
        <f t="shared" si="46"/>
        <v>184.62184077734179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12.7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projet'!$B$15,Paramètres!$A$1:$I$88,3,0)*0.475*44/12</f>
        <v>0</v>
      </c>
      <c r="EW68" s="23">
        <f>EXP(-LN(2)/25)*EW67+(1-EXP(-LN(2)/25))/(LN(2)/25)*Calculateur!ER68*Calculateur!ET68*VLOOKUP('Données projet'!$B$15,Paramètres!$A$1:$I$88,3,0)*0.475*44/12</f>
        <v>0</v>
      </c>
      <c r="EX68" s="23">
        <f>EXP(-LN(2)/2)*EX67+(1-EXP(-LN(2)/2))/(LN(2)/2)*ER68*EU68*VLOOKUP('Données projet'!$B$15,Paramètres!$A$1:$I$88,3,0)*0.475*44/12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250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249.99999999999991</v>
      </c>
      <c r="FF68" s="18">
        <f>FE68*VLOOKUP('Données projet'!$B$16,Paramètres!$A$1:$I$88,3,0)*VLOOKUP('Données projet'!$B$16,Paramètres!$A$1:$I$88,5,0)</f>
        <v>241.79999999999993</v>
      </c>
      <c r="FG68" s="14">
        <f t="shared" si="47"/>
        <v>58.826640673484839</v>
      </c>
      <c r="FH68" s="22">
        <f t="shared" ref="FH68:FH131" si="76">(FF68+FG68)*0.475*44/12</f>
        <v>523.59139917298592</v>
      </c>
      <c r="FI68" s="62">
        <f t="shared" ref="FI68:FI131" si="77">FH68+(EZ68+FA68)*44/12</f>
        <v>816.92473250631929</v>
      </c>
      <c r="FJ68" s="62">
        <f ca="1">AVERAGE(OFFSET($FI$3,0,0,'Données projet'!$E$16+1,1))-AVERAGE(OFFSET($H$3,0,0,'Données projet'!$E$16+1,1))</f>
        <v>456.96274622094955</v>
      </c>
      <c r="FK68" s="62">
        <f t="shared" si="48"/>
        <v>244.45149244446094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42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projet'!$B$16,Paramètres!$A$1:$I$88,3,0)*0.475*44/12</f>
        <v>0</v>
      </c>
      <c r="FR68" s="23">
        <f>EXP(-LN(2)/25)*FR67+(1-EXP(-LN(2)/25))/(LN(2)/25)*Calculateur!FM68*Calculateur!FO68*VLOOKUP('Données projet'!$B$16,Paramètres!$A$1:$I$88,3,0)*0.475*44/12</f>
        <v>0</v>
      </c>
      <c r="FS68" s="23">
        <f>EXP(-LN(2)/2)*FS67+(1-EXP(-LN(2)/2))/(LN(2)/2)*FM68*FP68*VLOOKUP('Données projet'!$B$16,Paramètres!$A$1:$I$88,3,0)*0.475*44/12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250</v>
      </c>
      <c r="FX68" s="13">
        <f>VLOOKUP(A68,'Données projet'!$A$243:$I$263,9,0)</f>
        <v>7.2</v>
      </c>
      <c r="FY68" s="13">
        <f t="array" ref="FY68">INDEX(FX:FX,MIN(IF(ISNUMBER(FX68:FX264),ROW(FX68:FX264),"")))</f>
        <v>7.2</v>
      </c>
      <c r="FZ68" s="13">
        <f>IF('Données projet'!$A$244&gt;35,FZ67+FY68-GH67,IF(A68&lt;'Données projet'!$A$244,$FW$205^A68,IF(A68='Données projet'!$A$244,'Données projet'!$B$244,FZ67+FY68-GH67)))</f>
        <v>249.99999999999991</v>
      </c>
      <c r="GA68" s="18">
        <f>FZ68*VLOOKUP('Données projet'!$B$17,Paramètres!$A$1:$I$88,3,0)*VLOOKUP('Données projet'!$B$17,Paramètres!$A$1:$I$88,5,0)</f>
        <v>269.09999999999985</v>
      </c>
      <c r="GB68" s="14">
        <f t="shared" si="49"/>
        <v>64.658229472790936</v>
      </c>
      <c r="GC68" s="22">
        <f t="shared" ref="GC68:GC131" si="79">(GA68+GB68)*0.475*44/12</f>
        <v>581.29558299844393</v>
      </c>
      <c r="GD68" s="62">
        <f t="shared" ref="GD68:GD131" si="80">GC68+(FU68+FV68)*44/12</f>
        <v>874.62891633177719</v>
      </c>
      <c r="GE68" s="62">
        <f ca="1">AVERAGE(OFFSET($GD$3,0,0,'Données projet'!$E$17+1,1))-AVERAGE(OFFSET($H$3,0,0,'Données projet'!$E$17+1,1))</f>
        <v>503.69304261527651</v>
      </c>
      <c r="GF68" s="62">
        <f t="shared" si="50"/>
        <v>267.2998309535638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42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projet'!$B$17,Paramètres!$A$1:$I$88,3,0)*0.475*44/12</f>
        <v>0</v>
      </c>
      <c r="GM68" s="23">
        <f>EXP(-LN(2)/25)*GM67+(1-EXP(-LN(2)/25))/(LN(2)/25)*Calculateur!GH68*Calculateur!GJ68*VLOOKUP('Données projet'!$B$17,Paramètres!$A$1:$I$88,3,0)*0.475*44/12</f>
        <v>0</v>
      </c>
      <c r="GN68" s="23">
        <f>EXP(-LN(2)/2)*GN67+(1-EXP(-LN(2)/2))/(LN(2)/2)*GH68*GK68*VLOOKUP('Données projet'!$B$17,Paramètres!$A$1:$I$88,3,0)*0.475*44/12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317</v>
      </c>
      <c r="GS68" s="13">
        <f>VLOOKUP(A68,'Données projet'!$A$269:$I$289,9,0)</f>
        <v>8.8000000000000007</v>
      </c>
      <c r="GT68" s="13">
        <f t="array" ref="GT68">INDEX(GS:GS,MIN(IF(ISNUMBER(GS68:GS264),ROW(GS68:GS264),"")))</f>
        <v>8.8000000000000007</v>
      </c>
      <c r="GU68" s="13">
        <f>IF('Données projet'!$A$270&gt;35,GU67+GT68-HC67,IF(A68&lt;'Données projet'!$A$270,$GR$205^A68,IF(A68='Données projet'!$A$270,'Données projet'!$B$270,GU67+GT68-HC67)))</f>
        <v>317</v>
      </c>
      <c r="GV68" s="18">
        <f>GU68*VLOOKUP('Données projet'!$B$18,Paramètres!$A$1:$I$88,3,0)*VLOOKUP('Données projet'!$B$18,Paramètres!$A$1:$I$88,5,0)</f>
        <v>331.32840000000004</v>
      </c>
      <c r="GW68" s="14">
        <f t="shared" si="51"/>
        <v>77.705653956514652</v>
      </c>
      <c r="GX68" s="22">
        <f t="shared" ref="GX68:GX131" si="82">(GV68+GW68)*0.475*44/12</f>
        <v>712.40097730759646</v>
      </c>
      <c r="GY68" s="62">
        <f t="shared" ref="GY68:GY131" si="83">GX68+(GP68+GQ68)*44/12</f>
        <v>1005.7343106409298</v>
      </c>
      <c r="GZ68" s="62">
        <f ca="1">AVERAGE(OFFSET($GY$3,0,0,'Données projet'!$E$18+1,1))-AVERAGE(OFFSET($H$3,0,0,'Données projet'!$E$18+1,1))</f>
        <v>582.89879210197682</v>
      </c>
      <c r="HA68" s="62">
        <f t="shared" si="52"/>
        <v>314.72094983133326</v>
      </c>
      <c r="HB68" s="16">
        <f>IF(ISNA(VLOOKUP(A68,'Données projet'!$A$269:$I$289,3,0)),0,VLOOKUP(A68,'Données projet'!$A$269:$I$289,3,0))</f>
        <v>5</v>
      </c>
      <c r="HC68" s="16">
        <f>IF(ISNA(VLOOKUP(A68,'Données projet'!$A$269:$I$289,4,0)),0,VLOOKUP(A68,'Données projet'!$A$269:$I$289,4,0))</f>
        <v>56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projet'!$B$18,Paramètres!$A$1:$I$88,3,0)*0.475*44/12</f>
        <v>0</v>
      </c>
      <c r="HH68" s="23">
        <f>EXP(-LN(2)/25)*HH67+(1-EXP(-LN(2)/25))/(LN(2)/25)*Calculateur!HC68*Calculateur!HE68*VLOOKUP('Données projet'!$B$18,Paramètres!$A$1:$I$88,3,0)*0.475*44/12</f>
        <v>0</v>
      </c>
      <c r="HI68" s="23">
        <f>EXP(-LN(2)/2)*HI67+(1-EXP(-LN(2)/2))/(LN(2)/2)*HC68*HF68*VLOOKUP('Données projet'!$B$18,Paramètres!$A$1:$I$88,3,0)*0.475*44/12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22.7</v>
      </c>
      <c r="N69" s="14">
        <f>IF('Données projet'!$A$36&gt;35,N68+M69-V68,IF(A69&lt;'Données projet'!$A$36,$K$205^A69,IF(A69='Données projet'!$A$36,'Données projet'!$B$36,N68+M69-V68)))</f>
        <v>540.1999999999997</v>
      </c>
      <c r="O69" s="14">
        <f>N69*VLOOKUP('Données projet'!$B$9,Paramètres!$A$1:$I$88,3,0)*VLOOKUP('Données projet'!$B$9,Paramètres!$A$1:$I$88,5,0)</f>
        <v>252.81359999999987</v>
      </c>
      <c r="P69" s="14">
        <f t="shared" ref="P69:P132" si="87">EXP(-1.0587+0.8836*LN(O69)+0.284)</f>
        <v>61.188037954168315</v>
      </c>
      <c r="Q69" s="22">
        <f t="shared" si="54"/>
        <v>546.88618610350966</v>
      </c>
      <c r="R69" s="62">
        <f t="shared" si="55"/>
        <v>840.21951943684303</v>
      </c>
      <c r="S69" s="62">
        <f ca="1">AVERAGE(OFFSET($R$3,0,0,'Données projet'!$E$9+1,1))-AVERAGE(OFFSET($H$3,0,0,'Données projet'!$E$9+1,1))</f>
        <v>399.92909819003523</v>
      </c>
      <c r="T69" s="62">
        <f t="shared" ref="T69:T132" si="88">$T$3</f>
        <v>163.7053537268381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projet'!$B$10,Paramètres!$A$1:$I$88,3,0)*VLOOKUP('Données projet'!$B$10,Paramètres!$A$1:$I$88,5,0)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820.67446302574353</v>
      </c>
      <c r="AN69" s="62">
        <f ca="1">AVERAGE(OFFSET($AM$3,0,0,'Données projet'!$E$10+1,1))-AVERAGE(OFFSET($H$3,0,0,'Données projet'!$E$10+1,1))</f>
        <v>510.56580450928806</v>
      </c>
      <c r="AO69" s="62">
        <f t="shared" ref="AO69:AO132" si="90">$AO$3</f>
        <v>278.21741231699929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275.8</v>
      </c>
      <c r="BE69" s="14">
        <f>BD69*VLOOKUP('Données projet'!$B$11,Paramètres!$A$1:$I$88,3,0)*VLOOKUP('Données projet'!$B$11,Paramètres!$A$1:$I$88,5,0)</f>
        <v>262.45128</v>
      </c>
      <c r="BF69" s="14">
        <f t="shared" ref="BF69:BF132" si="91">EXP(-1.0587+0.8836*LN(BE69)+0.284)</f>
        <v>63.244606086255871</v>
      </c>
      <c r="BG69" s="22">
        <f t="shared" si="61"/>
        <v>567.2536682668956</v>
      </c>
      <c r="BH69" s="62">
        <f t="shared" si="62"/>
        <v>860.58700160022886</v>
      </c>
      <c r="BI69" s="62">
        <f ca="1">AVERAGE(OFFSET($BH$3,0,0,'Données projet'!$E$11+1,1))-AVERAGE(OFFSET($H$3,0,0,'Données projet'!$E$11+1,1))</f>
        <v>525.51330555662139</v>
      </c>
      <c r="BJ69" s="62">
        <f t="shared" ref="BJ69:BJ132" si="92">$BJ$3</f>
        <v>357.72390083433635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1.7053025658242404E-13</v>
      </c>
      <c r="BZ69" s="14">
        <f>BY69*VLOOKUP('Données projet'!$B$12,Paramètres!$A$1:$I$88,3,0)*VLOOKUP('Données projet'!$B$12,Paramètres!$A$1:$I$88,5,0)</f>
        <v>1.0197709343628959E-13</v>
      </c>
      <c r="CA69" s="14">
        <f t="shared" ref="CA69:CA132" si="93">EXP(-1.0587+0.8836*LN(BZ69)+0.284)</f>
        <v>1.5284983994279675E-12</v>
      </c>
      <c r="CB69" s="22">
        <f t="shared" si="64"/>
        <v>2.839744816738581E-12</v>
      </c>
      <c r="CC69" s="62">
        <f t="shared" si="65"/>
        <v>293.33333333333616</v>
      </c>
      <c r="CD69" s="62">
        <f ca="1">AVERAGE(OFFSET($CC$3,0,0,'Données projet'!$E$12+1,1))-AVERAGE(OFFSET($H$3,0,0,'Données projet'!$E$12+1,1))</f>
        <v>227.46616726010473</v>
      </c>
      <c r="CE69" s="62">
        <f t="shared" ref="CE69:CE132" si="94">$CE$3</f>
        <v>314.188568589113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58.983346735334578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5.3028769026421473E-2</v>
      </c>
      <c r="CN69" s="24">
        <f t="shared" si="66"/>
        <v>59.036375504360997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430</v>
      </c>
      <c r="CR69" s="13">
        <f>VLOOKUP(A69,'Données projet'!$A$139:$I$159,9,0)</f>
        <v>18.25</v>
      </c>
      <c r="CS69" s="13">
        <f t="array" ref="CS69">INDEX(CR:CR,MIN(IF(ISNUMBER(CR69:CR265),ROW(CR69:CR265),"")))</f>
        <v>18.25</v>
      </c>
      <c r="CT69" s="13">
        <f>IF('Données projet'!$A$140&gt;35,CT68+CS69-DB68,IF(A69&lt;'Données projet'!$A$140,$CQ$205^A69,IF(A69='Données projet'!$A$140,'Données projet'!$B$140,CT68+CS69-DB68)))</f>
        <v>430</v>
      </c>
      <c r="CU69" s="18">
        <f>CT69*VLOOKUP('Données projet'!$B$13,Paramètres!$A$1:$I$88,3,0)*VLOOKUP('Données projet'!$B$13,Paramètres!$A$1:$I$88,5,0)</f>
        <v>257.14000000000004</v>
      </c>
      <c r="CV69" s="14">
        <f t="shared" ref="CV69:CV132" si="95">EXP(-1.0587+0.8836*LN(CU69)+0.284)</f>
        <v>62.112349635142238</v>
      </c>
      <c r="CW69" s="22">
        <f t="shared" si="67"/>
        <v>556.03117561453939</v>
      </c>
      <c r="CX69" s="62">
        <f t="shared" si="68"/>
        <v>849.36450894787276</v>
      </c>
      <c r="CY69" s="62">
        <f ca="1">AVERAGE(OFFSET($CX$3,0,0,'Données projet'!$E$13+1,1))-AVERAGE(OFFSET($H$3,0,0,'Données projet'!$E$13+1,1))</f>
        <v>356.46794174556311</v>
      </c>
      <c r="CZ69" s="62">
        <f t="shared" ref="CZ69:CZ132" si="96">$CZ$3</f>
        <v>248.47107558211923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0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13.857142857142858</v>
      </c>
      <c r="DO69" s="13">
        <f>IF('Données projet'!$A$166&gt;35,DO68+DN69-DW68,IF(A69&lt;'Données projet'!$A$166,$DL$205^A69,IF(A69='Données projet'!$A$166,'Données projet'!$B$166,DO68+DN69-DW68)))</f>
        <v>579.57142857142856</v>
      </c>
      <c r="DP69" s="18">
        <f>DO69*VLOOKUP('Données projet'!$B$14,Paramètres!$A$1:$I$88,3,0)*VLOOKUP('Données projet'!$B$14,Paramètres!$A$1:$I$88,5,0)</f>
        <v>323.9804285714286</v>
      </c>
      <c r="DQ69" s="14">
        <f t="shared" ref="DQ69:DQ132" si="97">EXP(-1.0587+0.8836*LN(DP69)+0.284)</f>
        <v>76.180962423421263</v>
      </c>
      <c r="DR69" s="22">
        <f t="shared" si="70"/>
        <v>696.94775598269678</v>
      </c>
      <c r="DS69" s="62">
        <f t="shared" si="71"/>
        <v>990.28108931603015</v>
      </c>
      <c r="DT69" s="62">
        <f ca="1">AVERAGE(OFFSET($DS$3,0,0,'Données projet'!$E$14+1,1))-AVERAGE(OFFSET($H$3,0,0,'Données projet'!$E$14+1,1))</f>
        <v>397.04445188588369</v>
      </c>
      <c r="DU69" s="62">
        <f t="shared" ref="DU69:DU132" si="98">$DU$3</f>
        <v>350.01856672839466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2.4596893274831948</v>
      </c>
      <c r="EB69" s="23">
        <f>EXP(-LN(2)/25)*EB68+(1-EXP(-LN(2)/25))/(LN(2)/25)*Calculateur!DW69*Calculateur!DY69*VLOOKUP('Données projet'!$B$14,Paramètres!$A$1:$I$88,3,0)*0.475*44/12</f>
        <v>0</v>
      </c>
      <c r="EC69" s="23">
        <f>EXP(-LN(2)/2)*EC68+(1-EXP(-LN(2)/2))/(LN(2)/2)*DW69*DZ69*VLOOKUP('Données projet'!$B$14,Paramètres!$A$1:$I$88,3,0)*0.475*44/12</f>
        <v>6.1808384210673315E-5</v>
      </c>
      <c r="ED69" s="24">
        <f t="shared" si="72"/>
        <v>2.4597511358674056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2.0799999999999956</v>
      </c>
      <c r="EJ69" s="13">
        <f>IF('Données projet'!$A$192&gt;35,EJ68+EI69-ER68,IF(A69&lt;'Données projet'!$A$192,$EG$205^A69,IF(A69='Données projet'!$A$192,'Données projet'!$B$192,EJ68+EI69-ER68)))</f>
        <v>142.37999999999994</v>
      </c>
      <c r="EK69" s="18">
        <f>EJ69*VLOOKUP('Données projet'!$B$15,Paramètres!$A$1:$I$88,3,0)*VLOOKUP('Données projet'!$B$15,Paramètres!$A$1:$I$88,5,0)</f>
        <v>124.38316799999996</v>
      </c>
      <c r="EL69" s="14">
        <f t="shared" ref="EL69:EL132" si="99">EXP(-1.0587+0.8836*LN(EK69)+0.284)</f>
        <v>32.695156985594174</v>
      </c>
      <c r="EM69" s="22">
        <f t="shared" si="73"/>
        <v>273.57808268324311</v>
      </c>
      <c r="EN69" s="62">
        <f t="shared" si="74"/>
        <v>566.91141601657637</v>
      </c>
      <c r="EO69" s="62">
        <f ca="1">AVERAGE(OFFSET($EN$3,0,0,'Données projet'!$E$15+1,1))-AVERAGE(OFFSET($H$3,0,0,'Données projet'!$E$15+1,1))</f>
        <v>202.5548390231225</v>
      </c>
      <c r="EP69" s="62">
        <f t="shared" ref="EP69:EP132" si="100">$EP$3</f>
        <v>184.62184077734179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projet'!$B$15,Paramètres!$A$1:$I$88,3,0)*0.475*44/12</f>
        <v>0</v>
      </c>
      <c r="EW69" s="23">
        <f>EXP(-LN(2)/25)*EW68+(1-EXP(-LN(2)/25))/(LN(2)/25)*Calculateur!ER69*Calculateur!ET69*VLOOKUP('Données projet'!$B$15,Paramètres!$A$1:$I$88,3,0)*0.475*44/12</f>
        <v>0</v>
      </c>
      <c r="EX69" s="23">
        <f>EXP(-LN(2)/2)*EX68+(1-EXP(-LN(2)/2))/(LN(2)/2)*ER69*EU69*VLOOKUP('Données projet'!$B$15,Paramètres!$A$1:$I$88,3,0)*0.475*44/12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214.7999999999999</v>
      </c>
      <c r="FF69" s="18">
        <f>FE69*VLOOKUP('Données projet'!$B$16,Paramètres!$A$1:$I$88,3,0)*VLOOKUP('Données projet'!$B$16,Paramètres!$A$1:$I$88,5,0)</f>
        <v>207.75455999999991</v>
      </c>
      <c r="FG69" s="14">
        <f t="shared" ref="FG69:FG132" si="101">EXP(-1.0587+0.8836*LN(FF69)+0.284)</f>
        <v>51.444593984782131</v>
      </c>
      <c r="FH69" s="22">
        <f t="shared" si="76"/>
        <v>451.43852652349534</v>
      </c>
      <c r="FI69" s="62">
        <f t="shared" si="77"/>
        <v>744.77185985682866</v>
      </c>
      <c r="FJ69" s="62">
        <f ca="1">AVERAGE(OFFSET($FI$3,0,0,'Données projet'!$E$16+1,1))-AVERAGE(OFFSET($H$3,0,0,'Données projet'!$E$16+1,1))</f>
        <v>456.96274622094955</v>
      </c>
      <c r="FK69" s="62">
        <f t="shared" ref="FK69:FK132" si="102">$FK$3</f>
        <v>244.45149244446094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projet'!$B$16,Paramètres!$A$1:$I$88,3,0)*0.475*44/12</f>
        <v>0</v>
      </c>
      <c r="FR69" s="23">
        <f>EXP(-LN(2)/25)*FR68+(1-EXP(-LN(2)/25))/(LN(2)/25)*Calculateur!FM69*Calculateur!FO69*VLOOKUP('Données projet'!$B$16,Paramètres!$A$1:$I$88,3,0)*0.475*44/12</f>
        <v>0</v>
      </c>
      <c r="FS69" s="23">
        <f>EXP(-LN(2)/2)*FS68+(1-EXP(-LN(2)/2))/(LN(2)/2)*FM69*FP69*VLOOKUP('Données projet'!$B$16,Paramètres!$A$1:$I$88,3,0)*0.475*44/12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6.8</v>
      </c>
      <c r="FZ69" s="13">
        <f>IF('Données projet'!$A$244&gt;35,FZ68+FY69-GH68,IF(A69&lt;'Données projet'!$A$244,$FW$205^A69,IF(A69='Données projet'!$A$244,'Données projet'!$B$244,FZ68+FY69-GH68)))</f>
        <v>214.7999999999999</v>
      </c>
      <c r="GA69" s="18">
        <f>FZ69*VLOOKUP('Données projet'!$B$17,Paramètres!$A$1:$I$88,3,0)*VLOOKUP('Données projet'!$B$17,Paramètres!$A$1:$I$88,5,0)</f>
        <v>231.21071999999987</v>
      </c>
      <c r="GB69" s="14">
        <f t="shared" ref="GB69:GB132" si="103">EXP(-1.0587+0.8836*LN(GA69)+0.284)</f>
        <v>56.544387456445222</v>
      </c>
      <c r="GC69" s="22">
        <f t="shared" si="79"/>
        <v>501.17347881997517</v>
      </c>
      <c r="GD69" s="62">
        <f t="shared" si="80"/>
        <v>794.50681215330849</v>
      </c>
      <c r="GE69" s="62">
        <f ca="1">AVERAGE(OFFSET($GD$3,0,0,'Données projet'!$E$17+1,1))-AVERAGE(OFFSET($H$3,0,0,'Données projet'!$E$17+1,1))</f>
        <v>503.69304261527651</v>
      </c>
      <c r="GF69" s="62">
        <f t="shared" ref="GF69:GF132" si="104">$GF$3</f>
        <v>267.2998309535638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projet'!$B$17,Paramètres!$A$1:$I$88,3,0)*0.475*44/12</f>
        <v>0</v>
      </c>
      <c r="GM69" s="23">
        <f>EXP(-LN(2)/25)*GM68+(1-EXP(-LN(2)/25))/(LN(2)/25)*Calculateur!GH69*Calculateur!GJ69*VLOOKUP('Données projet'!$B$17,Paramètres!$A$1:$I$88,3,0)*0.475*44/12</f>
        <v>0</v>
      </c>
      <c r="GN69" s="23">
        <f>EXP(-LN(2)/2)*GN68+(1-EXP(-LN(2)/2))/(LN(2)/2)*GH69*GK69*VLOOKUP('Données projet'!$B$17,Paramètres!$A$1:$I$88,3,0)*0.475*44/12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8.1999999999999993</v>
      </c>
      <c r="GU69" s="13">
        <f>IF('Données projet'!$A$270&gt;35,GU68+GT69-HC68,IF(A69&lt;'Données projet'!$A$270,$GR$205^A69,IF(A69='Données projet'!$A$270,'Données projet'!$B$270,GU68+GT69-HC68)))</f>
        <v>269.2</v>
      </c>
      <c r="GV69" s="18">
        <f>GU69*VLOOKUP('Données projet'!$B$18,Paramètres!$A$1:$I$88,3,0)*VLOOKUP('Données projet'!$B$18,Paramètres!$A$1:$I$88,5,0)</f>
        <v>281.36784</v>
      </c>
      <c r="GW69" s="14">
        <f t="shared" ref="GW69:GW132" si="105">EXP(-1.0587+0.8836*LN(GV69)+0.284)</f>
        <v>67.255990757578601</v>
      </c>
      <c r="GX69" s="22">
        <f t="shared" si="82"/>
        <v>607.18650523611609</v>
      </c>
      <c r="GY69" s="62">
        <f t="shared" si="83"/>
        <v>900.51983856944935</v>
      </c>
      <c r="GZ69" s="62">
        <f ca="1">AVERAGE(OFFSET($GY$3,0,0,'Données projet'!$E$18+1,1))-AVERAGE(OFFSET($H$3,0,0,'Données projet'!$E$18+1,1))</f>
        <v>582.89879210197682</v>
      </c>
      <c r="HA69" s="62">
        <f t="shared" ref="HA69:HA132" si="106">$HA$3</f>
        <v>314.72094983133326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projet'!$B$18,Paramètres!$A$1:$I$88,3,0)*0.475*44/12</f>
        <v>0</v>
      </c>
      <c r="HH69" s="23">
        <f>EXP(-LN(2)/25)*HH68+(1-EXP(-LN(2)/25))/(LN(2)/25)*Calculateur!HC69*Calculateur!HE69*VLOOKUP('Données projet'!$B$18,Paramètres!$A$1:$I$88,3,0)*0.475*44/12</f>
        <v>0</v>
      </c>
      <c r="HI69" s="23">
        <f>EXP(-LN(2)/2)*HI68+(1-EXP(-LN(2)/2))/(LN(2)/2)*HC69*HF69*VLOOKUP('Données projet'!$B$18,Paramètres!$A$1:$I$88,3,0)*0.475*44/12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22.7</v>
      </c>
      <c r="N70" s="14">
        <f>IF('Données projet'!$A$36&gt;35,N69+M70-V69,IF(A70&lt;'Données projet'!$A$36,$K$205^A70,IF(A70='Données projet'!$A$36,'Données projet'!$B$36,N69+M70-V69)))</f>
        <v>562.89999999999975</v>
      </c>
      <c r="O70" s="14">
        <f>N70*VLOOKUP('Données projet'!$B$9,Paramètres!$A$1:$I$88,3,0)*VLOOKUP('Données projet'!$B$9,Paramètres!$A$1:$I$88,5,0)</f>
        <v>263.43719999999985</v>
      </c>
      <c r="P70" s="14">
        <f t="shared" si="87"/>
        <v>63.454489128933133</v>
      </c>
      <c r="Q70" s="22">
        <f t="shared" si="54"/>
        <v>569.33635856622493</v>
      </c>
      <c r="R70" s="62">
        <f t="shared" si="55"/>
        <v>862.6696918995583</v>
      </c>
      <c r="S70" s="62">
        <f ca="1">AVERAGE(OFFSET($R$3,0,0,'Données projet'!$E$9+1,1))-AVERAGE(OFFSET($H$3,0,0,'Données projet'!$E$9+1,1))</f>
        <v>399.92909819003523</v>
      </c>
      <c r="T70" s="62">
        <f t="shared" si="88"/>
        <v>163.7053537268381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projet'!$B$10,Paramètres!$A$1:$I$88,3,0)*VLOOKUP('Données projet'!$B$10,Paramètres!$A$1:$I$88,5,0)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836.36711482633996</v>
      </c>
      <c r="AN70" s="62">
        <f ca="1">AVERAGE(OFFSET($AM$3,0,0,'Données projet'!$E$10+1,1))-AVERAGE(OFFSET($H$3,0,0,'Données projet'!$E$10+1,1))</f>
        <v>510.56580450928806</v>
      </c>
      <c r="AO70" s="62">
        <f t="shared" si="90"/>
        <v>278.21741231699929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282.60000000000002</v>
      </c>
      <c r="BE70" s="14">
        <f>BD70*VLOOKUP('Données projet'!$B$11,Paramètres!$A$1:$I$88,3,0)*VLOOKUP('Données projet'!$B$11,Paramètres!$A$1:$I$88,5,0)</f>
        <v>268.92216000000002</v>
      </c>
      <c r="BF70" s="14">
        <f t="shared" si="91"/>
        <v>64.620471212567352</v>
      </c>
      <c r="BG70" s="22">
        <f t="shared" si="61"/>
        <v>580.92008269522148</v>
      </c>
      <c r="BH70" s="62">
        <f t="shared" si="62"/>
        <v>874.25341602855474</v>
      </c>
      <c r="BI70" s="62">
        <f ca="1">AVERAGE(OFFSET($BH$3,0,0,'Données projet'!$E$11+1,1))-AVERAGE(OFFSET($H$3,0,0,'Données projet'!$E$11+1,1))</f>
        <v>525.51330555662139</v>
      </c>
      <c r="BJ70" s="62">
        <f t="shared" si="92"/>
        <v>357.72390083433635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1.7053025658242404E-13</v>
      </c>
      <c r="BZ70" s="14">
        <f>BY70*VLOOKUP('Données projet'!$B$12,Paramètres!$A$1:$I$88,3,0)*VLOOKUP('Données projet'!$B$12,Paramètres!$A$1:$I$88,5,0)</f>
        <v>1.0197709343628959E-13</v>
      </c>
      <c r="CA70" s="14">
        <f t="shared" si="93"/>
        <v>1.5284983994279675E-12</v>
      </c>
      <c r="CB70" s="22">
        <f t="shared" si="64"/>
        <v>2.839744816738581E-12</v>
      </c>
      <c r="CC70" s="62">
        <f t="shared" si="65"/>
        <v>293.33333333333616</v>
      </c>
      <c r="CD70" s="62">
        <f ca="1">AVERAGE(OFFSET($CC$3,0,0,'Données projet'!$E$12+1,1))-AVERAGE(OFFSET($H$3,0,0,'Données projet'!$E$12+1,1))</f>
        <v>227.46616726010473</v>
      </c>
      <c r="CE70" s="62">
        <f t="shared" si="94"/>
        <v>314.188568589113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57.826719282143813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3.7497002176557777E-2</v>
      </c>
      <c r="CN70" s="24">
        <f t="shared" si="66"/>
        <v>57.864216284320371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16.375</v>
      </c>
      <c r="CT70" s="13">
        <f>IF('Données projet'!$A$140&gt;35,CT69+CS70-DB69,IF(A70&lt;'Données projet'!$A$140,$CQ$205^A70,IF(A70='Données projet'!$A$140,'Données projet'!$B$140,CT69+CS70-DB69)))</f>
        <v>446.375</v>
      </c>
      <c r="CU70" s="18">
        <f>CT70*VLOOKUP('Données projet'!$B$13,Paramètres!$A$1:$I$88,3,0)*VLOOKUP('Données projet'!$B$13,Paramètres!$A$1:$I$88,5,0)</f>
        <v>266.93225000000001</v>
      </c>
      <c r="CV70" s="14">
        <f t="shared" si="95"/>
        <v>64.197782958845806</v>
      </c>
      <c r="CW70" s="22">
        <f t="shared" si="67"/>
        <v>576.71814073665644</v>
      </c>
      <c r="CX70" s="62">
        <f t="shared" si="68"/>
        <v>870.05147406998981</v>
      </c>
      <c r="CY70" s="62">
        <f ca="1">AVERAGE(OFFSET($CX$3,0,0,'Données projet'!$E$13+1,1))-AVERAGE(OFFSET($H$3,0,0,'Données projet'!$E$13+1,1))</f>
        <v>356.46794174556311</v>
      </c>
      <c r="CZ70" s="62">
        <f t="shared" si="96"/>
        <v>248.47107558211923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0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13.857142857142858</v>
      </c>
      <c r="DO70" s="13">
        <f>IF('Données projet'!$A$166&gt;35,DO69+DN70-DW69,IF(A70&lt;'Données projet'!$A$166,$DL$205^A70,IF(A70='Données projet'!$A$166,'Données projet'!$B$166,DO69+DN70-DW69)))</f>
        <v>593.42857142857144</v>
      </c>
      <c r="DP70" s="18">
        <f>DO70*VLOOKUP('Données projet'!$B$14,Paramètres!$A$1:$I$88,3,0)*VLOOKUP('Données projet'!$B$14,Paramètres!$A$1:$I$88,5,0)</f>
        <v>331.72657142857145</v>
      </c>
      <c r="DQ70" s="14">
        <f t="shared" si="97"/>
        <v>77.788160690183958</v>
      </c>
      <c r="DR70" s="22">
        <f t="shared" si="70"/>
        <v>713.23815844016565</v>
      </c>
      <c r="DS70" s="62">
        <f t="shared" si="71"/>
        <v>1006.571491773499</v>
      </c>
      <c r="DT70" s="62">
        <f ca="1">AVERAGE(OFFSET($DS$3,0,0,'Données projet'!$E$14+1,1))-AVERAGE(OFFSET($H$3,0,0,'Données projet'!$E$14+1,1))</f>
        <v>397.04445188588369</v>
      </c>
      <c r="DU70" s="62">
        <f t="shared" si="98"/>
        <v>350.01856672839466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2.4114563200336003</v>
      </c>
      <c r="EB70" s="23">
        <f>EXP(-LN(2)/25)*EB69+(1-EXP(-LN(2)/25))/(LN(2)/25)*Calculateur!DW70*Calculateur!DY70*VLOOKUP('Données projet'!$B$14,Paramètres!$A$1:$I$88,3,0)*0.475*44/12</f>
        <v>0</v>
      </c>
      <c r="EC70" s="23">
        <f>EXP(-LN(2)/2)*EC69+(1-EXP(-LN(2)/2))/(LN(2)/2)*DW70*DZ70*VLOOKUP('Données projet'!$B$14,Paramètres!$A$1:$I$88,3,0)*0.475*44/12</f>
        <v>4.3705127609550635E-5</v>
      </c>
      <c r="ED70" s="24">
        <f t="shared" si="72"/>
        <v>2.4115000251612098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2.0799999999999956</v>
      </c>
      <c r="EJ70" s="13">
        <f>IF('Données projet'!$A$192&gt;35,EJ69+EI70-ER69,IF(A70&lt;'Données projet'!$A$192,$EG$205^A70,IF(A70='Données projet'!$A$192,'Données projet'!$B$192,EJ69+EI70-ER69)))</f>
        <v>144.45999999999992</v>
      </c>
      <c r="EK70" s="18">
        <f>EJ70*VLOOKUP('Données projet'!$B$15,Paramètres!$A$1:$I$88,3,0)*VLOOKUP('Données projet'!$B$15,Paramètres!$A$1:$I$88,5,0)</f>
        <v>126.20025599999995</v>
      </c>
      <c r="EL70" s="14">
        <f t="shared" si="99"/>
        <v>33.116839959643031</v>
      </c>
      <c r="EM70" s="22">
        <f t="shared" si="73"/>
        <v>277.47727546304486</v>
      </c>
      <c r="EN70" s="62">
        <f t="shared" si="74"/>
        <v>570.81060879637812</v>
      </c>
      <c r="EO70" s="62">
        <f ca="1">AVERAGE(OFFSET($EN$3,0,0,'Données projet'!$E$15+1,1))-AVERAGE(OFFSET($H$3,0,0,'Données projet'!$E$15+1,1))</f>
        <v>202.5548390231225</v>
      </c>
      <c r="EP70" s="62">
        <f t="shared" si="100"/>
        <v>184.62184077734179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projet'!$B$15,Paramètres!$A$1:$I$88,3,0)*0.475*44/12</f>
        <v>0</v>
      </c>
      <c r="EW70" s="23">
        <f>EXP(-LN(2)/25)*EW69+(1-EXP(-LN(2)/25))/(LN(2)/25)*Calculateur!ER70*Calculateur!ET70*VLOOKUP('Données projet'!$B$15,Paramètres!$A$1:$I$88,3,0)*0.475*44/12</f>
        <v>0</v>
      </c>
      <c r="EX70" s="23">
        <f>EXP(-LN(2)/2)*EX69+(1-EXP(-LN(2)/2))/(LN(2)/2)*ER70*EU70*VLOOKUP('Données projet'!$B$15,Paramètres!$A$1:$I$88,3,0)*0.475*44/12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221.59999999999991</v>
      </c>
      <c r="FF70" s="18">
        <f>FE70*VLOOKUP('Données projet'!$B$16,Paramètres!$A$1:$I$88,3,0)*VLOOKUP('Données projet'!$B$16,Paramètres!$A$1:$I$88,5,0)</f>
        <v>214.3315199999999</v>
      </c>
      <c r="FG70" s="14">
        <f t="shared" si="101"/>
        <v>52.881004144461244</v>
      </c>
      <c r="FH70" s="22">
        <f t="shared" si="76"/>
        <v>465.39514621826976</v>
      </c>
      <c r="FI70" s="62">
        <f t="shared" si="77"/>
        <v>758.72847955160307</v>
      </c>
      <c r="FJ70" s="62">
        <f ca="1">AVERAGE(OFFSET($FI$3,0,0,'Données projet'!$E$16+1,1))-AVERAGE(OFFSET($H$3,0,0,'Données projet'!$E$16+1,1))</f>
        <v>456.96274622094955</v>
      </c>
      <c r="FK70" s="62">
        <f t="shared" si="102"/>
        <v>244.45149244446094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projet'!$B$16,Paramètres!$A$1:$I$88,3,0)*0.475*44/12</f>
        <v>0</v>
      </c>
      <c r="FR70" s="23">
        <f>EXP(-LN(2)/25)*FR69+(1-EXP(-LN(2)/25))/(LN(2)/25)*Calculateur!FM70*Calculateur!FO70*VLOOKUP('Données projet'!$B$16,Paramètres!$A$1:$I$88,3,0)*0.475*44/12</f>
        <v>0</v>
      </c>
      <c r="FS70" s="23">
        <f>EXP(-LN(2)/2)*FS69+(1-EXP(-LN(2)/2))/(LN(2)/2)*FM70*FP70*VLOOKUP('Données projet'!$B$16,Paramètres!$A$1:$I$88,3,0)*0.475*44/12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6.8</v>
      </c>
      <c r="FZ70" s="13">
        <f>IF('Données projet'!$A$244&gt;35,FZ69+FY70-GH69,IF(A70&lt;'Données projet'!$A$244,$FW$205^A70,IF(A70='Données projet'!$A$244,'Données projet'!$B$244,FZ69+FY70-GH69)))</f>
        <v>221.59999999999991</v>
      </c>
      <c r="GA70" s="18">
        <f>FZ70*VLOOKUP('Données projet'!$B$17,Paramètres!$A$1:$I$88,3,0)*VLOOKUP('Données projet'!$B$17,Paramètres!$A$1:$I$88,5,0)</f>
        <v>238.53023999999991</v>
      </c>
      <c r="GB70" s="14">
        <f t="shared" si="103"/>
        <v>58.123191492478547</v>
      </c>
      <c r="GC70" s="22">
        <f t="shared" si="79"/>
        <v>516.67139318273325</v>
      </c>
      <c r="GD70" s="62">
        <f t="shared" si="80"/>
        <v>810.00472651606651</v>
      </c>
      <c r="GE70" s="62">
        <f ca="1">AVERAGE(OFFSET($GD$3,0,0,'Données projet'!$E$17+1,1))-AVERAGE(OFFSET($H$3,0,0,'Données projet'!$E$17+1,1))</f>
        <v>503.69304261527651</v>
      </c>
      <c r="GF70" s="62">
        <f t="shared" si="104"/>
        <v>267.2998309535638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projet'!$B$17,Paramètres!$A$1:$I$88,3,0)*0.475*44/12</f>
        <v>0</v>
      </c>
      <c r="GM70" s="23">
        <f>EXP(-LN(2)/25)*GM69+(1-EXP(-LN(2)/25))/(LN(2)/25)*Calculateur!GH70*Calculateur!GJ70*VLOOKUP('Données projet'!$B$17,Paramètres!$A$1:$I$88,3,0)*0.475*44/12</f>
        <v>0</v>
      </c>
      <c r="GN70" s="23">
        <f>EXP(-LN(2)/2)*GN69+(1-EXP(-LN(2)/2))/(LN(2)/2)*GH70*GK70*VLOOKUP('Données projet'!$B$17,Paramètres!$A$1:$I$88,3,0)*0.475*44/12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8.1999999999999993</v>
      </c>
      <c r="GU70" s="13">
        <f>IF('Données projet'!$A$270&gt;35,GU69+GT70-HC69,IF(A70&lt;'Données projet'!$A$270,$GR$205^A70,IF(A70='Données projet'!$A$270,'Données projet'!$B$270,GU69+GT70-HC69)))</f>
        <v>277.39999999999998</v>
      </c>
      <c r="GV70" s="18">
        <f>GU70*VLOOKUP('Données projet'!$B$18,Paramètres!$A$1:$I$88,3,0)*VLOOKUP('Données projet'!$B$18,Paramètres!$A$1:$I$88,5,0)</f>
        <v>289.93848000000003</v>
      </c>
      <c r="GW70" s="14">
        <f t="shared" si="105"/>
        <v>69.063012920303009</v>
      </c>
      <c r="GX70" s="22">
        <f t="shared" si="82"/>
        <v>625.26093350286112</v>
      </c>
      <c r="GY70" s="62">
        <f t="shared" si="83"/>
        <v>918.59426683619449</v>
      </c>
      <c r="GZ70" s="62">
        <f ca="1">AVERAGE(OFFSET($GY$3,0,0,'Données projet'!$E$18+1,1))-AVERAGE(OFFSET($H$3,0,0,'Données projet'!$E$18+1,1))</f>
        <v>582.89879210197682</v>
      </c>
      <c r="HA70" s="62">
        <f t="shared" si="106"/>
        <v>314.72094983133326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projet'!$B$18,Paramètres!$A$1:$I$88,3,0)*0.475*44/12</f>
        <v>0</v>
      </c>
      <c r="HH70" s="23">
        <f>EXP(-LN(2)/25)*HH69+(1-EXP(-LN(2)/25))/(LN(2)/25)*Calculateur!HC70*Calculateur!HE70*VLOOKUP('Données projet'!$B$18,Paramètres!$A$1:$I$88,3,0)*0.475*44/12</f>
        <v>0</v>
      </c>
      <c r="HI70" s="23">
        <f>EXP(-LN(2)/2)*HI69+(1-EXP(-LN(2)/2))/(LN(2)/2)*HC70*HF70*VLOOKUP('Données projet'!$B$18,Paramètres!$A$1:$I$88,3,0)*0.475*44/12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22.7</v>
      </c>
      <c r="N71" s="14">
        <f>IF('Données projet'!$A$36&gt;35,N70+M71-V70,IF(A71&lt;'Données projet'!$A$36,$K$205^A71,IF(A71='Données projet'!$A$36,'Données projet'!$B$36,N70+M71-V70)))</f>
        <v>585.5999999999998</v>
      </c>
      <c r="O71" s="14">
        <f>N71*VLOOKUP('Données projet'!$B$9,Paramètres!$A$1:$I$88,3,0)*VLOOKUP('Données projet'!$B$9,Paramètres!$A$1:$I$88,5,0)</f>
        <v>274.06079999999992</v>
      </c>
      <c r="P71" s="14">
        <f t="shared" si="87"/>
        <v>65.710323362952934</v>
      </c>
      <c r="Q71" s="22">
        <f t="shared" si="54"/>
        <v>591.76803985714275</v>
      </c>
      <c r="R71" s="62">
        <f t="shared" si="55"/>
        <v>885.10137319047612</v>
      </c>
      <c r="S71" s="62">
        <f ca="1">AVERAGE(OFFSET($R$3,0,0,'Données projet'!$E$9+1,1))-AVERAGE(OFFSET($H$3,0,0,'Données projet'!$E$9+1,1))</f>
        <v>399.92909819003523</v>
      </c>
      <c r="T71" s="62">
        <f t="shared" si="88"/>
        <v>163.7053537268381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projet'!$B$10,Paramètres!$A$1:$I$88,3,0)*VLOOKUP('Données projet'!$B$10,Paramètres!$A$1:$I$88,5,0)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852.05024844371815</v>
      </c>
      <c r="AN71" s="62">
        <f ca="1">AVERAGE(OFFSET($AM$3,0,0,'Données projet'!$E$10+1,1))-AVERAGE(OFFSET($H$3,0,0,'Données projet'!$E$10+1,1))</f>
        <v>510.56580450928806</v>
      </c>
      <c r="AO71" s="62">
        <f t="shared" si="90"/>
        <v>278.21741231699929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289.40000000000003</v>
      </c>
      <c r="BE71" s="14">
        <f>BD71*VLOOKUP('Données projet'!$B$11,Paramètres!$A$1:$I$88,3,0)*VLOOKUP('Données projet'!$B$11,Paramètres!$A$1:$I$88,5,0)</f>
        <v>275.39304000000004</v>
      </c>
      <c r="BF71" s="14">
        <f t="shared" si="91"/>
        <v>65.992487747186416</v>
      </c>
      <c r="BG71" s="22">
        <f t="shared" si="61"/>
        <v>594.57979415968305</v>
      </c>
      <c r="BH71" s="62">
        <f t="shared" si="62"/>
        <v>887.91312749301642</v>
      </c>
      <c r="BI71" s="62">
        <f ca="1">AVERAGE(OFFSET($BH$3,0,0,'Données projet'!$E$11+1,1))-AVERAGE(OFFSET($H$3,0,0,'Données projet'!$E$11+1,1))</f>
        <v>525.51330555662139</v>
      </c>
      <c r="BJ71" s="62">
        <f t="shared" si="92"/>
        <v>357.72390083433635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1.7053025658242404E-13</v>
      </c>
      <c r="BZ71" s="14">
        <f>BY71*VLOOKUP('Données projet'!$B$12,Paramètres!$A$1:$I$88,3,0)*VLOOKUP('Données projet'!$B$12,Paramètres!$A$1:$I$88,5,0)</f>
        <v>1.0197709343628959E-13</v>
      </c>
      <c r="CA71" s="14">
        <f t="shared" si="93"/>
        <v>1.5284983994279675E-12</v>
      </c>
      <c r="CB71" s="22">
        <f t="shared" si="64"/>
        <v>2.839744816738581E-12</v>
      </c>
      <c r="CC71" s="62">
        <f t="shared" si="65"/>
        <v>293.33333333333616</v>
      </c>
      <c r="CD71" s="62">
        <f ca="1">AVERAGE(OFFSET($CC$3,0,0,'Données projet'!$E$12+1,1))-AVERAGE(OFFSET($H$3,0,0,'Données projet'!$E$12+1,1))</f>
        <v>227.46616726010473</v>
      </c>
      <c r="CE71" s="62">
        <f t="shared" si="94"/>
        <v>314.188568589113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56.692772587837034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2.6514384513210736E-2</v>
      </c>
      <c r="CN71" s="24">
        <f t="shared" si="66"/>
        <v>56.719286972350247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16.375</v>
      </c>
      <c r="CT71" s="13">
        <f>IF('Données projet'!$A$140&gt;35,CT70+CS71-DB70,IF(A71&lt;'Données projet'!$A$140,$CQ$205^A71,IF(A71='Données projet'!$A$140,'Données projet'!$B$140,CT70+CS71-DB70)))</f>
        <v>462.75</v>
      </c>
      <c r="CU71" s="18">
        <f>CT71*VLOOKUP('Données projet'!$B$13,Paramètres!$A$1:$I$88,3,0)*VLOOKUP('Données projet'!$B$13,Paramètres!$A$1:$I$88,5,0)</f>
        <v>276.72450000000003</v>
      </c>
      <c r="CV71" s="14">
        <f t="shared" si="95"/>
        <v>66.274328227510438</v>
      </c>
      <c r="CW71" s="22">
        <f t="shared" si="67"/>
        <v>597.38962582958061</v>
      </c>
      <c r="CX71" s="62">
        <f t="shared" si="68"/>
        <v>890.72295916291387</v>
      </c>
      <c r="CY71" s="62">
        <f ca="1">AVERAGE(OFFSET($CX$3,0,0,'Données projet'!$E$13+1,1))-AVERAGE(OFFSET($H$3,0,0,'Données projet'!$E$13+1,1))</f>
        <v>356.46794174556311</v>
      </c>
      <c r="CZ71" s="62">
        <f t="shared" si="96"/>
        <v>248.47107558211923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0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13.857142857142858</v>
      </c>
      <c r="DO71" s="13">
        <f>IF('Données projet'!$A$166&gt;35,DO70+DN71-DW70,IF(A71&lt;'Données projet'!$A$166,$DL$205^A71,IF(A71='Données projet'!$A$166,'Données projet'!$B$166,DO70+DN71-DW70)))</f>
        <v>607.28571428571433</v>
      </c>
      <c r="DP71" s="18">
        <f>DO71*VLOOKUP('Données projet'!$B$14,Paramètres!$A$1:$I$88,3,0)*VLOOKUP('Données projet'!$B$14,Paramètres!$A$1:$I$88,5,0)</f>
        <v>339.47271428571435</v>
      </c>
      <c r="DQ71" s="14">
        <f t="shared" si="97"/>
        <v>79.390996016258796</v>
      </c>
      <c r="DR71" s="22">
        <f t="shared" si="70"/>
        <v>729.52096210926993</v>
      </c>
      <c r="DS71" s="62">
        <f t="shared" si="71"/>
        <v>1022.8542954426032</v>
      </c>
      <c r="DT71" s="62">
        <f ca="1">AVERAGE(OFFSET($DS$3,0,0,'Données projet'!$E$14+1,1))-AVERAGE(OFFSET($H$3,0,0,'Données projet'!$E$14+1,1))</f>
        <v>397.04445188588369</v>
      </c>
      <c r="DU71" s="62">
        <f t="shared" si="98"/>
        <v>350.01856672839466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2.3641691324408631</v>
      </c>
      <c r="EB71" s="23">
        <f>EXP(-LN(2)/25)*EB70+(1-EXP(-LN(2)/25))/(LN(2)/25)*Calculateur!DW71*Calculateur!DY71*VLOOKUP('Données projet'!$B$14,Paramètres!$A$1:$I$88,3,0)*0.475*44/12</f>
        <v>0</v>
      </c>
      <c r="EC71" s="23">
        <f>EXP(-LN(2)/2)*EC70+(1-EXP(-LN(2)/2))/(LN(2)/2)*DW71*DZ71*VLOOKUP('Données projet'!$B$14,Paramètres!$A$1:$I$88,3,0)*0.475*44/12</f>
        <v>3.0904192105336658E-5</v>
      </c>
      <c r="ED71" s="24">
        <f t="shared" si="72"/>
        <v>2.3642000366329685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2.0799999999999956</v>
      </c>
      <c r="EJ71" s="13">
        <f>IF('Données projet'!$A$192&gt;35,EJ70+EI71-ER70,IF(A71&lt;'Données projet'!$A$192,$EG$205^A71,IF(A71='Données projet'!$A$192,'Données projet'!$B$192,EJ70+EI71-ER70)))</f>
        <v>146.53999999999991</v>
      </c>
      <c r="EK71" s="18">
        <f>EJ71*VLOOKUP('Données projet'!$B$15,Paramètres!$A$1:$I$88,3,0)*VLOOKUP('Données projet'!$B$15,Paramètres!$A$1:$I$88,5,0)</f>
        <v>128.01734399999992</v>
      </c>
      <c r="EL71" s="14">
        <f t="shared" si="99"/>
        <v>33.53781676777156</v>
      </c>
      <c r="EM71" s="22">
        <f t="shared" si="73"/>
        <v>281.37523833720201</v>
      </c>
      <c r="EN71" s="62">
        <f t="shared" si="74"/>
        <v>574.70857167053532</v>
      </c>
      <c r="EO71" s="62">
        <f ca="1">AVERAGE(OFFSET($EN$3,0,0,'Données projet'!$E$15+1,1))-AVERAGE(OFFSET($H$3,0,0,'Données projet'!$E$15+1,1))</f>
        <v>202.5548390231225</v>
      </c>
      <c r="EP71" s="62">
        <f t="shared" si="100"/>
        <v>184.62184077734179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projet'!$B$15,Paramètres!$A$1:$I$88,3,0)*0.475*44/12</f>
        <v>0</v>
      </c>
      <c r="EW71" s="23">
        <f>EXP(-LN(2)/25)*EW70+(1-EXP(-LN(2)/25))/(LN(2)/25)*Calculateur!ER71*Calculateur!ET71*VLOOKUP('Données projet'!$B$15,Paramètres!$A$1:$I$88,3,0)*0.475*44/12</f>
        <v>0</v>
      </c>
      <c r="EX71" s="23">
        <f>EXP(-LN(2)/2)*EX70+(1-EXP(-LN(2)/2))/(LN(2)/2)*ER71*EU71*VLOOKUP('Données projet'!$B$15,Paramètres!$A$1:$I$88,3,0)*0.475*44/12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228.39999999999992</v>
      </c>
      <c r="FF71" s="18">
        <f>FE71*VLOOKUP('Données projet'!$B$16,Paramètres!$A$1:$I$88,3,0)*VLOOKUP('Données projet'!$B$16,Paramètres!$A$1:$I$88,5,0)</f>
        <v>220.90847999999991</v>
      </c>
      <c r="FG71" s="14">
        <f t="shared" si="101"/>
        <v>54.312291977864817</v>
      </c>
      <c r="FH71" s="22">
        <f t="shared" si="76"/>
        <v>479.34284452811431</v>
      </c>
      <c r="FI71" s="62">
        <f t="shared" si="77"/>
        <v>772.67617786144763</v>
      </c>
      <c r="FJ71" s="62">
        <f ca="1">AVERAGE(OFFSET($FI$3,0,0,'Données projet'!$E$16+1,1))-AVERAGE(OFFSET($H$3,0,0,'Données projet'!$E$16+1,1))</f>
        <v>456.96274622094955</v>
      </c>
      <c r="FK71" s="62">
        <f t="shared" si="102"/>
        <v>244.45149244446094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projet'!$B$16,Paramètres!$A$1:$I$88,3,0)*0.475*44/12</f>
        <v>0</v>
      </c>
      <c r="FR71" s="23">
        <f>EXP(-LN(2)/25)*FR70+(1-EXP(-LN(2)/25))/(LN(2)/25)*Calculateur!FM71*Calculateur!FO71*VLOOKUP('Données projet'!$B$16,Paramètres!$A$1:$I$88,3,0)*0.475*44/12</f>
        <v>0</v>
      </c>
      <c r="FS71" s="23">
        <f>EXP(-LN(2)/2)*FS70+(1-EXP(-LN(2)/2))/(LN(2)/2)*FM71*FP71*VLOOKUP('Données projet'!$B$16,Paramètres!$A$1:$I$88,3,0)*0.475*44/12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6.8</v>
      </c>
      <c r="FZ71" s="13">
        <f>IF('Données projet'!$A$244&gt;35,FZ70+FY71-GH70,IF(A71&lt;'Données projet'!$A$244,$FW$205^A71,IF(A71='Données projet'!$A$244,'Données projet'!$B$244,FZ70+FY71-GH70)))</f>
        <v>228.39999999999992</v>
      </c>
      <c r="GA71" s="18">
        <f>FZ71*VLOOKUP('Données projet'!$B$17,Paramètres!$A$1:$I$88,3,0)*VLOOKUP('Données projet'!$B$17,Paramètres!$A$1:$I$88,5,0)</f>
        <v>245.84975999999992</v>
      </c>
      <c r="GB71" s="14">
        <f t="shared" si="103"/>
        <v>59.696365416984804</v>
      </c>
      <c r="GC71" s="22">
        <f t="shared" si="79"/>
        <v>532.15950176791512</v>
      </c>
      <c r="GD71" s="62">
        <f t="shared" si="80"/>
        <v>825.49283510124837</v>
      </c>
      <c r="GE71" s="62">
        <f ca="1">AVERAGE(OFFSET($GD$3,0,0,'Données projet'!$E$17+1,1))-AVERAGE(OFFSET($H$3,0,0,'Données projet'!$E$17+1,1))</f>
        <v>503.69304261527651</v>
      </c>
      <c r="GF71" s="62">
        <f t="shared" si="104"/>
        <v>267.2998309535638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projet'!$B$17,Paramètres!$A$1:$I$88,3,0)*0.475*44/12</f>
        <v>0</v>
      </c>
      <c r="GM71" s="23">
        <f>EXP(-LN(2)/25)*GM70+(1-EXP(-LN(2)/25))/(LN(2)/25)*Calculateur!GH71*Calculateur!GJ71*VLOOKUP('Données projet'!$B$17,Paramètres!$A$1:$I$88,3,0)*0.475*44/12</f>
        <v>0</v>
      </c>
      <c r="GN71" s="23">
        <f>EXP(-LN(2)/2)*GN70+(1-EXP(-LN(2)/2))/(LN(2)/2)*GH71*GK71*VLOOKUP('Données projet'!$B$17,Paramètres!$A$1:$I$88,3,0)*0.475*44/12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8.1999999999999993</v>
      </c>
      <c r="GU71" s="13">
        <f>IF('Données projet'!$A$270&gt;35,GU70+GT71-HC70,IF(A71&lt;'Données projet'!$A$270,$GR$205^A71,IF(A71='Données projet'!$A$270,'Données projet'!$B$270,GU70+GT71-HC70)))</f>
        <v>285.59999999999997</v>
      </c>
      <c r="GV71" s="18">
        <f>GU71*VLOOKUP('Données projet'!$B$18,Paramètres!$A$1:$I$88,3,0)*VLOOKUP('Données projet'!$B$18,Paramètres!$A$1:$I$88,5,0)</f>
        <v>298.50912</v>
      </c>
      <c r="GW71" s="14">
        <f t="shared" si="105"/>
        <v>70.863827196915565</v>
      </c>
      <c r="GX71" s="22">
        <f t="shared" si="82"/>
        <v>643.32454970129459</v>
      </c>
      <c r="GY71" s="62">
        <f t="shared" si="83"/>
        <v>936.65788303462796</v>
      </c>
      <c r="GZ71" s="62">
        <f ca="1">AVERAGE(OFFSET($GY$3,0,0,'Données projet'!$E$18+1,1))-AVERAGE(OFFSET($H$3,0,0,'Données projet'!$E$18+1,1))</f>
        <v>582.89879210197682</v>
      </c>
      <c r="HA71" s="62">
        <f t="shared" si="106"/>
        <v>314.72094983133326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projet'!$B$18,Paramètres!$A$1:$I$88,3,0)*0.475*44/12</f>
        <v>0</v>
      </c>
      <c r="HH71" s="23">
        <f>EXP(-LN(2)/25)*HH70+(1-EXP(-LN(2)/25))/(LN(2)/25)*Calculateur!HC71*Calculateur!HE71*VLOOKUP('Données projet'!$B$18,Paramètres!$A$1:$I$88,3,0)*0.475*44/12</f>
        <v>0</v>
      </c>
      <c r="HI71" s="23">
        <f>EXP(-LN(2)/2)*HI70+(1-EXP(-LN(2)/2))/(LN(2)/2)*HC71*HF71*VLOOKUP('Données projet'!$B$18,Paramètres!$A$1:$I$88,3,0)*0.475*44/12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22.7</v>
      </c>
      <c r="N72" s="14">
        <f>IF('Données projet'!$A$36&gt;35,N71+M72-V71,IF(A72&lt;'Données projet'!$A$36,$K$205^A72,IF(A72='Données projet'!$A$36,'Données projet'!$B$36,N71+M72-V71)))</f>
        <v>608.29999999999984</v>
      </c>
      <c r="O72" s="14">
        <f>N72*VLOOKUP('Données projet'!$B$9,Paramètres!$A$1:$I$88,3,0)*VLOOKUP('Données projet'!$B$9,Paramètres!$A$1:$I$88,5,0)</f>
        <v>284.68439999999993</v>
      </c>
      <c r="P72" s="14">
        <f t="shared" si="87"/>
        <v>67.955999311251276</v>
      </c>
      <c r="Q72" s="22">
        <f t="shared" si="54"/>
        <v>614.18202880042918</v>
      </c>
      <c r="R72" s="62">
        <f t="shared" si="55"/>
        <v>907.51536213376244</v>
      </c>
      <c r="S72" s="62">
        <f ca="1">AVERAGE(OFFSET($R$3,0,0,'Données projet'!$E$9+1,1))-AVERAGE(OFFSET($H$3,0,0,'Données projet'!$E$9+1,1))</f>
        <v>399.92909819003523</v>
      </c>
      <c r="T72" s="62">
        <f t="shared" si="88"/>
        <v>163.7053537268381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projet'!$B$10,Paramètres!$A$1:$I$88,3,0)*VLOOKUP('Données projet'!$B$10,Paramètres!$A$1:$I$88,5,0)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867.72416854456674</v>
      </c>
      <c r="AN72" s="62">
        <f ca="1">AVERAGE(OFFSET($AM$3,0,0,'Données projet'!$E$10+1,1))-AVERAGE(OFFSET($H$3,0,0,'Données projet'!$E$10+1,1))</f>
        <v>510.56580450928806</v>
      </c>
      <c r="AO72" s="62">
        <f t="shared" si="90"/>
        <v>278.21741231699929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296.20000000000005</v>
      </c>
      <c r="BE72" s="14">
        <f>BD72*VLOOKUP('Données projet'!$B$11,Paramètres!$A$1:$I$88,3,0)*VLOOKUP('Données projet'!$B$11,Paramètres!$A$1:$I$88,5,0)</f>
        <v>281.86392000000001</v>
      </c>
      <c r="BF72" s="14">
        <f t="shared" si="91"/>
        <v>67.360756526918038</v>
      </c>
      <c r="BG72" s="22">
        <f t="shared" si="61"/>
        <v>608.23297828438228</v>
      </c>
      <c r="BH72" s="62">
        <f t="shared" si="62"/>
        <v>901.56631161771566</v>
      </c>
      <c r="BI72" s="62">
        <f ca="1">AVERAGE(OFFSET($BH$3,0,0,'Données projet'!$E$11+1,1))-AVERAGE(OFFSET($H$3,0,0,'Données projet'!$E$11+1,1))</f>
        <v>525.51330555662139</v>
      </c>
      <c r="BJ72" s="62">
        <f t="shared" si="92"/>
        <v>357.72390083433635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1.7053025658242404E-13</v>
      </c>
      <c r="BZ72" s="14">
        <f>BY72*VLOOKUP('Données projet'!$B$12,Paramètres!$A$1:$I$88,3,0)*VLOOKUP('Données projet'!$B$12,Paramètres!$A$1:$I$88,5,0)</f>
        <v>1.0197709343628959E-13</v>
      </c>
      <c r="CA72" s="14">
        <f t="shared" si="93"/>
        <v>1.5284983994279675E-12</v>
      </c>
      <c r="CB72" s="22">
        <f t="shared" si="64"/>
        <v>2.839744816738581E-12</v>
      </c>
      <c r="CC72" s="62">
        <f t="shared" si="65"/>
        <v>293.33333333333616</v>
      </c>
      <c r="CD72" s="62">
        <f ca="1">AVERAGE(OFFSET($CC$3,0,0,'Données projet'!$E$12+1,1))-AVERAGE(OFFSET($H$3,0,0,'Données projet'!$E$12+1,1))</f>
        <v>227.46616726010473</v>
      </c>
      <c r="CE72" s="62">
        <f t="shared" si="94"/>
        <v>314.188568589113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55.581061896566418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1.8748501088278888E-2</v>
      </c>
      <c r="CN72" s="24">
        <f t="shared" si="66"/>
        <v>55.5998103976547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16.375</v>
      </c>
      <c r="CT72" s="13">
        <f>IF('Données projet'!$A$140&gt;35,CT71+CS72-DB71,IF(A72&lt;'Données projet'!$A$140,$CQ$205^A72,IF(A72='Données projet'!$A$140,'Données projet'!$B$140,CT71+CS72-DB71)))</f>
        <v>479.125</v>
      </c>
      <c r="CU72" s="18">
        <f>CT72*VLOOKUP('Données projet'!$B$13,Paramètres!$A$1:$I$88,3,0)*VLOOKUP('Données projet'!$B$13,Paramètres!$A$1:$I$88,5,0)</f>
        <v>286.51675</v>
      </c>
      <c r="CV72" s="14">
        <f t="shared" si="95"/>
        <v>68.342335992492124</v>
      </c>
      <c r="CW72" s="22">
        <f t="shared" si="67"/>
        <v>618.04624143692376</v>
      </c>
      <c r="CX72" s="62">
        <f t="shared" si="68"/>
        <v>911.37957477025702</v>
      </c>
      <c r="CY72" s="62">
        <f ca="1">AVERAGE(OFFSET($CX$3,0,0,'Données projet'!$E$13+1,1))-AVERAGE(OFFSET($H$3,0,0,'Données projet'!$E$13+1,1))</f>
        <v>356.46794174556311</v>
      </c>
      <c r="CZ72" s="62">
        <f t="shared" si="96"/>
        <v>248.47107558211923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0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13.857142857142858</v>
      </c>
      <c r="DO72" s="13">
        <f>IF('Données projet'!$A$166&gt;35,DO71+DN72-DW71,IF(A72&lt;'Données projet'!$A$166,$DL$205^A72,IF(A72='Données projet'!$A$166,'Données projet'!$B$166,DO71+DN72-DW71)))</f>
        <v>621.14285714285722</v>
      </c>
      <c r="DP72" s="18">
        <f>DO72*VLOOKUP('Données projet'!$B$14,Paramètres!$A$1:$I$88,3,0)*VLOOKUP('Données projet'!$B$14,Paramètres!$A$1:$I$88,5,0)</f>
        <v>347.21885714285719</v>
      </c>
      <c r="DQ72" s="14">
        <f t="shared" si="97"/>
        <v>80.989579416044862</v>
      </c>
      <c r="DR72" s="22">
        <f t="shared" si="70"/>
        <v>745.79636034008774</v>
      </c>
      <c r="DS72" s="62">
        <f t="shared" si="71"/>
        <v>1039.1296936734211</v>
      </c>
      <c r="DT72" s="62">
        <f ca="1">AVERAGE(OFFSET($DS$3,0,0,'Données projet'!$E$14+1,1))-AVERAGE(OFFSET($H$3,0,0,'Données projet'!$E$14+1,1))</f>
        <v>397.04445188588369</v>
      </c>
      <c r="DU72" s="62">
        <f t="shared" si="98"/>
        <v>350.01856672839466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2.3178092177544829</v>
      </c>
      <c r="EB72" s="23">
        <f>EXP(-LN(2)/25)*EB71+(1-EXP(-LN(2)/25))/(LN(2)/25)*Calculateur!DW72*Calculateur!DY72*VLOOKUP('Données projet'!$B$14,Paramètres!$A$1:$I$88,3,0)*0.475*44/12</f>
        <v>0</v>
      </c>
      <c r="EC72" s="23">
        <f>EXP(-LN(2)/2)*EC71+(1-EXP(-LN(2)/2))/(LN(2)/2)*DW72*DZ72*VLOOKUP('Données projet'!$B$14,Paramètres!$A$1:$I$88,3,0)*0.475*44/12</f>
        <v>2.1852563804775317E-5</v>
      </c>
      <c r="ED72" s="24">
        <f t="shared" si="72"/>
        <v>2.3178310703182876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2.0799999999999956</v>
      </c>
      <c r="EJ72" s="13">
        <f>IF('Données projet'!$A$192&gt;35,EJ71+EI72-ER71,IF(A72&lt;'Données projet'!$A$192,$EG$205^A72,IF(A72='Données projet'!$A$192,'Données projet'!$B$192,EJ71+EI72-ER71)))</f>
        <v>148.61999999999989</v>
      </c>
      <c r="EK72" s="18">
        <f>EJ72*VLOOKUP('Données projet'!$B$15,Paramètres!$A$1:$I$88,3,0)*VLOOKUP('Données projet'!$B$15,Paramètres!$A$1:$I$88,5,0)</f>
        <v>129.83443199999994</v>
      </c>
      <c r="EL72" s="14">
        <f t="shared" si="99"/>
        <v>33.958098591590442</v>
      </c>
      <c r="EM72" s="22">
        <f t="shared" si="73"/>
        <v>285.27199078035324</v>
      </c>
      <c r="EN72" s="62">
        <f t="shared" si="74"/>
        <v>578.60532411368649</v>
      </c>
      <c r="EO72" s="62">
        <f ca="1">AVERAGE(OFFSET($EN$3,0,0,'Données projet'!$E$15+1,1))-AVERAGE(OFFSET($H$3,0,0,'Données projet'!$E$15+1,1))</f>
        <v>202.5548390231225</v>
      </c>
      <c r="EP72" s="62">
        <f t="shared" si="100"/>
        <v>184.62184077734179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projet'!$B$15,Paramètres!$A$1:$I$88,3,0)*0.475*44/12</f>
        <v>0</v>
      </c>
      <c r="EW72" s="23">
        <f>EXP(-LN(2)/25)*EW71+(1-EXP(-LN(2)/25))/(LN(2)/25)*Calculateur!ER72*Calculateur!ET72*VLOOKUP('Données projet'!$B$15,Paramètres!$A$1:$I$88,3,0)*0.475*44/12</f>
        <v>0</v>
      </c>
      <c r="EX72" s="23">
        <f>EXP(-LN(2)/2)*EX71+(1-EXP(-LN(2)/2))/(LN(2)/2)*ER72*EU72*VLOOKUP('Données projet'!$B$15,Paramètres!$A$1:$I$88,3,0)*0.475*44/12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235.19999999999993</v>
      </c>
      <c r="FF72" s="18">
        <f>FE72*VLOOKUP('Données projet'!$B$16,Paramètres!$A$1:$I$88,3,0)*VLOOKUP('Données projet'!$B$16,Paramètres!$A$1:$I$88,5,0)</f>
        <v>227.48543999999993</v>
      </c>
      <c r="FG72" s="14">
        <f t="shared" si="101"/>
        <v>55.738627496252377</v>
      </c>
      <c r="FH72" s="22">
        <f t="shared" si="76"/>
        <v>493.28191755597277</v>
      </c>
      <c r="FI72" s="62">
        <f t="shared" si="77"/>
        <v>786.61525088930603</v>
      </c>
      <c r="FJ72" s="62">
        <f ca="1">AVERAGE(OFFSET($FI$3,0,0,'Données projet'!$E$16+1,1))-AVERAGE(OFFSET($H$3,0,0,'Données projet'!$E$16+1,1))</f>
        <v>456.96274622094955</v>
      </c>
      <c r="FK72" s="62">
        <f t="shared" si="102"/>
        <v>244.45149244446094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projet'!$B$16,Paramètres!$A$1:$I$88,3,0)*0.475*44/12</f>
        <v>0</v>
      </c>
      <c r="FR72" s="23">
        <f>EXP(-LN(2)/25)*FR71+(1-EXP(-LN(2)/25))/(LN(2)/25)*Calculateur!FM72*Calculateur!FO72*VLOOKUP('Données projet'!$B$16,Paramètres!$A$1:$I$88,3,0)*0.475*44/12</f>
        <v>0</v>
      </c>
      <c r="FS72" s="23">
        <f>EXP(-LN(2)/2)*FS71+(1-EXP(-LN(2)/2))/(LN(2)/2)*FM72*FP72*VLOOKUP('Données projet'!$B$16,Paramètres!$A$1:$I$88,3,0)*0.475*44/12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6.8</v>
      </c>
      <c r="FZ72" s="13">
        <f>IF('Données projet'!$A$244&gt;35,FZ71+FY72-GH71,IF(A72&lt;'Données projet'!$A$244,$FW$205^A72,IF(A72='Données projet'!$A$244,'Données projet'!$B$244,FZ71+FY72-GH71)))</f>
        <v>235.19999999999993</v>
      </c>
      <c r="GA72" s="18">
        <f>FZ72*VLOOKUP('Données projet'!$B$17,Paramètres!$A$1:$I$88,3,0)*VLOOKUP('Données projet'!$B$17,Paramètres!$A$1:$I$88,5,0)</f>
        <v>253.16927999999993</v>
      </c>
      <c r="GB72" s="14">
        <f t="shared" si="103"/>
        <v>61.264096094739799</v>
      </c>
      <c r="GC72" s="22">
        <f t="shared" si="79"/>
        <v>547.63813003167172</v>
      </c>
      <c r="GD72" s="62">
        <f t="shared" si="80"/>
        <v>840.97146336500509</v>
      </c>
      <c r="GE72" s="62">
        <f ca="1">AVERAGE(OFFSET($GD$3,0,0,'Données projet'!$E$17+1,1))-AVERAGE(OFFSET($H$3,0,0,'Données projet'!$E$17+1,1))</f>
        <v>503.69304261527651</v>
      </c>
      <c r="GF72" s="62">
        <f t="shared" si="104"/>
        <v>267.2998309535638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projet'!$B$17,Paramètres!$A$1:$I$88,3,0)*0.475*44/12</f>
        <v>0</v>
      </c>
      <c r="GM72" s="23">
        <f>EXP(-LN(2)/25)*GM71+(1-EXP(-LN(2)/25))/(LN(2)/25)*Calculateur!GH72*Calculateur!GJ72*VLOOKUP('Données projet'!$B$17,Paramètres!$A$1:$I$88,3,0)*0.475*44/12</f>
        <v>0</v>
      </c>
      <c r="GN72" s="23">
        <f>EXP(-LN(2)/2)*GN71+(1-EXP(-LN(2)/2))/(LN(2)/2)*GH72*GK72*VLOOKUP('Données projet'!$B$17,Paramètres!$A$1:$I$88,3,0)*0.475*44/12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8.1999999999999993</v>
      </c>
      <c r="GU72" s="13">
        <f>IF('Données projet'!$A$270&gt;35,GU71+GT72-HC71,IF(A72&lt;'Données projet'!$A$270,$GR$205^A72,IF(A72='Données projet'!$A$270,'Données projet'!$B$270,GU71+GT72-HC71)))</f>
        <v>293.79999999999995</v>
      </c>
      <c r="GV72" s="18">
        <f>GU72*VLOOKUP('Données projet'!$B$18,Paramètres!$A$1:$I$88,3,0)*VLOOKUP('Données projet'!$B$18,Paramètres!$A$1:$I$88,5,0)</f>
        <v>307.07975999999996</v>
      </c>
      <c r="GW72" s="14">
        <f t="shared" si="105"/>
        <v>72.658632295095899</v>
      </c>
      <c r="GX72" s="22">
        <f t="shared" si="82"/>
        <v>661.37769991395862</v>
      </c>
      <c r="GY72" s="62">
        <f t="shared" si="83"/>
        <v>954.71103324729188</v>
      </c>
      <c r="GZ72" s="62">
        <f ca="1">AVERAGE(OFFSET($GY$3,0,0,'Données projet'!$E$18+1,1))-AVERAGE(OFFSET($H$3,0,0,'Données projet'!$E$18+1,1))</f>
        <v>582.89879210197682</v>
      </c>
      <c r="HA72" s="62">
        <f t="shared" si="106"/>
        <v>314.72094983133326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projet'!$B$18,Paramètres!$A$1:$I$88,3,0)*0.475*44/12</f>
        <v>0</v>
      </c>
      <c r="HH72" s="23">
        <f>EXP(-LN(2)/25)*HH71+(1-EXP(-LN(2)/25))/(LN(2)/25)*Calculateur!HC72*Calculateur!HE72*VLOOKUP('Données projet'!$B$18,Paramètres!$A$1:$I$88,3,0)*0.475*44/12</f>
        <v>0</v>
      </c>
      <c r="HI72" s="23">
        <f>EXP(-LN(2)/2)*HI71+(1-EXP(-LN(2)/2))/(LN(2)/2)*HC72*HF72*VLOOKUP('Données projet'!$B$18,Paramètres!$A$1:$I$88,3,0)*0.475*44/12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631</v>
      </c>
      <c r="L73" s="13">
        <f>VLOOKUP(A73,'Données projet'!$A$35:$I$55,9,0)</f>
        <v>22.7</v>
      </c>
      <c r="M73" s="13">
        <f t="array" ref="M73">INDEX(L:L,MIN(IF(ISNUMBER(L73:L269),ROW(L73:L269),"")))</f>
        <v>22.7</v>
      </c>
      <c r="N73" s="14">
        <f>IF('Données projet'!$A$36&gt;35,N72+M73-V72,IF(A73&lt;'Données projet'!$A$36,$K$205^A73,IF(A73='Données projet'!$A$36,'Données projet'!$B$36,N72+M73-V72)))</f>
        <v>630.99999999999989</v>
      </c>
      <c r="O73" s="14">
        <f>N73*VLOOKUP('Données projet'!$B$9,Paramètres!$A$1:$I$88,3,0)*VLOOKUP('Données projet'!$B$9,Paramètres!$A$1:$I$88,5,0)</f>
        <v>295.30799999999994</v>
      </c>
      <c r="P73" s="14">
        <f t="shared" si="87"/>
        <v>70.191939458146834</v>
      </c>
      <c r="Q73" s="22">
        <f t="shared" si="54"/>
        <v>636.57906122293889</v>
      </c>
      <c r="R73" s="62">
        <f t="shared" si="55"/>
        <v>929.91239455627215</v>
      </c>
      <c r="S73" s="62">
        <f ca="1">AVERAGE(OFFSET($R$3,0,0,'Données projet'!$E$9+1,1))-AVERAGE(OFFSET($H$3,0,0,'Données projet'!$E$9+1,1))</f>
        <v>399.92909819003523</v>
      </c>
      <c r="T73" s="62">
        <f t="shared" si="88"/>
        <v>163.7053537268381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109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projet'!$B$10,Paramètres!$A$1:$I$88,3,0)*VLOOKUP('Données projet'!$B$10,Paramètres!$A$1:$I$88,5,0)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883.38916182135404</v>
      </c>
      <c r="AN73" s="62">
        <f ca="1">AVERAGE(OFFSET($AM$3,0,0,'Données projet'!$E$10+1,1))-AVERAGE(OFFSET($H$3,0,0,'Données projet'!$E$10+1,1))</f>
        <v>510.56580450928806</v>
      </c>
      <c r="AO73" s="62">
        <f t="shared" si="90"/>
        <v>278.21741231699929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303.00000000000006</v>
      </c>
      <c r="BE73" s="14">
        <f>BD73*VLOOKUP('Données projet'!$B$11,Paramètres!$A$1:$I$88,3,0)*VLOOKUP('Données projet'!$B$11,Paramètres!$A$1:$I$88,5,0)</f>
        <v>288.33480000000009</v>
      </c>
      <c r="BF73" s="14">
        <f t="shared" si="91"/>
        <v>68.725373494438969</v>
      </c>
      <c r="BG73" s="22">
        <f t="shared" si="61"/>
        <v>621.8798021694812</v>
      </c>
      <c r="BH73" s="62">
        <f t="shared" si="62"/>
        <v>915.21313550281457</v>
      </c>
      <c r="BI73" s="62">
        <f ca="1">AVERAGE(OFFSET($BH$3,0,0,'Données projet'!$E$11+1,1))-AVERAGE(OFFSET($H$3,0,0,'Données projet'!$E$11+1,1))</f>
        <v>525.51330555662139</v>
      </c>
      <c r="BJ73" s="62">
        <f t="shared" si="92"/>
        <v>357.72390083433635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1.7053025658242404E-13</v>
      </c>
      <c r="BZ73" s="14">
        <f>BY73*VLOOKUP('Données projet'!$B$12,Paramètres!$A$1:$I$88,3,0)*VLOOKUP('Données projet'!$B$12,Paramètres!$A$1:$I$88,5,0)</f>
        <v>1.0197709343628959E-13</v>
      </c>
      <c r="CA73" s="14">
        <f t="shared" si="93"/>
        <v>1.5284983994279675E-12</v>
      </c>
      <c r="CB73" s="22">
        <f t="shared" si="64"/>
        <v>2.839744816738581E-12</v>
      </c>
      <c r="CC73" s="62">
        <f t="shared" si="65"/>
        <v>293.33333333333616</v>
      </c>
      <c r="CD73" s="62">
        <f ca="1">AVERAGE(OFFSET($CC$3,0,0,'Données projet'!$E$12+1,1))-AVERAGE(OFFSET($H$3,0,0,'Données projet'!$E$12+1,1))</f>
        <v>227.46616726010473</v>
      </c>
      <c r="CE73" s="62">
        <f t="shared" si="94"/>
        <v>314.188568589113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54.491151173875053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1.3257192256605368E-2</v>
      </c>
      <c r="CN73" s="24">
        <f t="shared" si="66"/>
        <v>54.504408366131656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16.375</v>
      </c>
      <c r="CT73" s="13">
        <f>IF('Données projet'!$A$140&gt;35,CT72+CS73-DB72,IF(A73&lt;'Données projet'!$A$140,$CQ$205^A73,IF(A73='Données projet'!$A$140,'Données projet'!$B$140,CT72+CS73-DB72)))</f>
        <v>495.5</v>
      </c>
      <c r="CU73" s="18">
        <f>CT73*VLOOKUP('Données projet'!$B$13,Paramètres!$A$1:$I$88,3,0)*VLOOKUP('Données projet'!$B$13,Paramètres!$A$1:$I$88,5,0)</f>
        <v>296.30900000000003</v>
      </c>
      <c r="CV73" s="14">
        <f t="shared" si="95"/>
        <v>70.402131484446556</v>
      </c>
      <c r="CW73" s="22">
        <f t="shared" si="67"/>
        <v>638.68855400207781</v>
      </c>
      <c r="CX73" s="62">
        <f t="shared" si="68"/>
        <v>932.02188733541107</v>
      </c>
      <c r="CY73" s="62">
        <f ca="1">AVERAGE(OFFSET($CX$3,0,0,'Données projet'!$E$13+1,1))-AVERAGE(OFFSET($H$3,0,0,'Données projet'!$E$13+1,1))</f>
        <v>356.46794174556311</v>
      </c>
      <c r="CZ73" s="62">
        <f t="shared" si="96"/>
        <v>248.47107558211923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0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635</v>
      </c>
      <c r="DM73" s="13">
        <f>VLOOKUP(A73,'Données projet'!$A$165:$I$185,9,0)</f>
        <v>13.857142857142858</v>
      </c>
      <c r="DN73" s="13">
        <f t="array" ref="DN73">INDEX(DM:DM,MIN(IF(ISNUMBER(DM73:DM269),ROW(DM73:DM269),"")))</f>
        <v>13.857142857142858</v>
      </c>
      <c r="DO73" s="13">
        <f>IF('Données projet'!$A$166&gt;35,DO72+DN73-DW72,IF(A73&lt;'Données projet'!$A$166,$DL$205^A73,IF(A73='Données projet'!$A$166,'Données projet'!$B$166,DO72+DN73-DW72)))</f>
        <v>635.00000000000011</v>
      </c>
      <c r="DP73" s="18">
        <f>DO73*VLOOKUP('Données projet'!$B$14,Paramètres!$A$1:$I$88,3,0)*VLOOKUP('Données projet'!$B$14,Paramètres!$A$1:$I$88,5,0)</f>
        <v>354.96500000000009</v>
      </c>
      <c r="DQ73" s="14">
        <f t="shared" si="97"/>
        <v>82.584016667891049</v>
      </c>
      <c r="DR73" s="22">
        <f t="shared" si="70"/>
        <v>762.06453736324374</v>
      </c>
      <c r="DS73" s="62">
        <f t="shared" si="71"/>
        <v>1055.397870696577</v>
      </c>
      <c r="DT73" s="62">
        <f ca="1">AVERAGE(OFFSET($DS$3,0,0,'Données projet'!$E$14+1,1))-AVERAGE(OFFSET($H$3,0,0,'Données projet'!$E$14+1,1))</f>
        <v>397.04445188588369</v>
      </c>
      <c r="DU73" s="62">
        <f t="shared" si="98"/>
        <v>350.01856672839466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635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2.2723583927183468</v>
      </c>
      <c r="EB73" s="23">
        <f>EXP(-LN(2)/25)*EB72+(1-EXP(-LN(2)/25))/(LN(2)/25)*Calculateur!DW73*Calculateur!DY73*VLOOKUP('Données projet'!$B$14,Paramètres!$A$1:$I$88,3,0)*0.475*44/12</f>
        <v>0</v>
      </c>
      <c r="EC73" s="23">
        <f>EXP(-LN(2)/2)*EC72+(1-EXP(-LN(2)/2))/(LN(2)/2)*DW73*DZ73*VLOOKUP('Données projet'!$B$14,Paramètres!$A$1:$I$88,3,0)*0.475*44/12</f>
        <v>1.5452096052668329E-5</v>
      </c>
      <c r="ED73" s="24">
        <f t="shared" si="72"/>
        <v>2.2723738448143993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150.69999999999999</v>
      </c>
      <c r="EH73" s="13">
        <f>VLOOKUP(A73,'Données projet'!$A$191:$I$211,9,0)</f>
        <v>2.0799999999999956</v>
      </c>
      <c r="EI73" s="13">
        <f t="array" ref="EI73">INDEX(EH:EH,MIN(IF(ISNUMBER(EH73:EH269),ROW(EH73:EH269),"")))</f>
        <v>2.0799999999999956</v>
      </c>
      <c r="EJ73" s="13">
        <f>IF('Données projet'!$A$192&gt;35,EJ72+EI73-ER72,IF(A73&lt;'Données projet'!$A$192,$EG$205^A73,IF(A73='Données projet'!$A$192,'Données projet'!$B$192,EJ72+EI73-ER72)))</f>
        <v>150.69999999999987</v>
      </c>
      <c r="EK73" s="18">
        <f>EJ73*VLOOKUP('Données projet'!$B$15,Paramètres!$A$1:$I$88,3,0)*VLOOKUP('Données projet'!$B$15,Paramètres!$A$1:$I$88,5,0)</f>
        <v>131.65151999999992</v>
      </c>
      <c r="EL73" s="14">
        <f t="shared" si="99"/>
        <v>34.377696281749344</v>
      </c>
      <c r="EM73" s="22">
        <f t="shared" si="73"/>
        <v>289.16755169071325</v>
      </c>
      <c r="EN73" s="62">
        <f t="shared" si="74"/>
        <v>582.50088502404651</v>
      </c>
      <c r="EO73" s="62">
        <f ca="1">AVERAGE(OFFSET($EN$3,0,0,'Données projet'!$E$15+1,1))-AVERAGE(OFFSET($H$3,0,0,'Données projet'!$E$15+1,1))</f>
        <v>202.5548390231225</v>
      </c>
      <c r="EP73" s="62">
        <f t="shared" si="100"/>
        <v>184.62184077734179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projet'!$B$15,Paramètres!$A$1:$I$88,3,0)*0.475*44/12</f>
        <v>0</v>
      </c>
      <c r="EW73" s="23">
        <f>EXP(-LN(2)/25)*EW72+(1-EXP(-LN(2)/25))/(LN(2)/25)*Calculateur!ER73*Calculateur!ET73*VLOOKUP('Données projet'!$B$15,Paramètres!$A$1:$I$88,3,0)*0.475*44/12</f>
        <v>0</v>
      </c>
      <c r="EX73" s="23">
        <f>EXP(-LN(2)/2)*EX72+(1-EXP(-LN(2)/2))/(LN(2)/2)*ER73*EU73*VLOOKUP('Données projet'!$B$15,Paramètres!$A$1:$I$88,3,0)*0.475*44/12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242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241.99999999999994</v>
      </c>
      <c r="FF73" s="18">
        <f>FE73*VLOOKUP('Données projet'!$B$16,Paramètres!$A$1:$I$88,3,0)*VLOOKUP('Données projet'!$B$16,Paramètres!$A$1:$I$88,5,0)</f>
        <v>234.06239999999994</v>
      </c>
      <c r="FG73" s="14">
        <f t="shared" si="101"/>
        <v>57.16017032126387</v>
      </c>
      <c r="FH73" s="22">
        <f t="shared" si="76"/>
        <v>507.21264330953437</v>
      </c>
      <c r="FI73" s="62">
        <f t="shared" si="77"/>
        <v>800.54597664286769</v>
      </c>
      <c r="FJ73" s="62">
        <f ca="1">AVERAGE(OFFSET($FI$3,0,0,'Données projet'!$E$16+1,1))-AVERAGE(OFFSET($H$3,0,0,'Données projet'!$E$16+1,1))</f>
        <v>456.96274622094955</v>
      </c>
      <c r="FK73" s="62">
        <f t="shared" si="102"/>
        <v>244.45149244446094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projet'!$B$16,Paramètres!$A$1:$I$88,3,0)*0.475*44/12</f>
        <v>0</v>
      </c>
      <c r="FR73" s="23">
        <f>EXP(-LN(2)/25)*FR72+(1-EXP(-LN(2)/25))/(LN(2)/25)*Calculateur!FM73*Calculateur!FO73*VLOOKUP('Données projet'!$B$16,Paramètres!$A$1:$I$88,3,0)*0.475*44/12</f>
        <v>0</v>
      </c>
      <c r="FS73" s="23">
        <f>EXP(-LN(2)/2)*FS72+(1-EXP(-LN(2)/2))/(LN(2)/2)*FM73*FP73*VLOOKUP('Données projet'!$B$16,Paramètres!$A$1:$I$88,3,0)*0.475*44/12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242</v>
      </c>
      <c r="FX73" s="13">
        <f>VLOOKUP(A73,'Données projet'!$A$243:$I$263,9,0)</f>
        <v>6.8</v>
      </c>
      <c r="FY73" s="13">
        <f t="array" ref="FY73">INDEX(FX:FX,MIN(IF(ISNUMBER(FX73:FX269),ROW(FX73:FX269),"")))</f>
        <v>6.8</v>
      </c>
      <c r="FZ73" s="13">
        <f>IF('Données projet'!$A$244&gt;35,FZ72+FY73-GH72,IF(A73&lt;'Données projet'!$A$244,$FW$205^A73,IF(A73='Données projet'!$A$244,'Données projet'!$B$244,FZ72+FY73-GH72)))</f>
        <v>241.99999999999994</v>
      </c>
      <c r="GA73" s="18">
        <f>FZ73*VLOOKUP('Données projet'!$B$17,Paramètres!$A$1:$I$88,3,0)*VLOOKUP('Données projet'!$B$17,Paramètres!$A$1:$I$88,5,0)</f>
        <v>260.48879999999997</v>
      </c>
      <c r="GB73" s="14">
        <f t="shared" si="103"/>
        <v>62.826558970958821</v>
      </c>
      <c r="GC73" s="22">
        <f t="shared" si="79"/>
        <v>563.10758354108657</v>
      </c>
      <c r="GD73" s="62">
        <f t="shared" si="80"/>
        <v>856.44091687441983</v>
      </c>
      <c r="GE73" s="62">
        <f ca="1">AVERAGE(OFFSET($GD$3,0,0,'Données projet'!$E$17+1,1))-AVERAGE(OFFSET($H$3,0,0,'Données projet'!$E$17+1,1))</f>
        <v>503.69304261527651</v>
      </c>
      <c r="GF73" s="62">
        <f t="shared" si="104"/>
        <v>267.2998309535638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projet'!$B$17,Paramètres!$A$1:$I$88,3,0)*0.475*44/12</f>
        <v>0</v>
      </c>
      <c r="GM73" s="23">
        <f>EXP(-LN(2)/25)*GM72+(1-EXP(-LN(2)/25))/(LN(2)/25)*Calculateur!GH73*Calculateur!GJ73*VLOOKUP('Données projet'!$B$17,Paramètres!$A$1:$I$88,3,0)*0.475*44/12</f>
        <v>0</v>
      </c>
      <c r="GN73" s="23">
        <f>EXP(-LN(2)/2)*GN72+(1-EXP(-LN(2)/2))/(LN(2)/2)*GH73*GK73*VLOOKUP('Données projet'!$B$17,Paramètres!$A$1:$I$88,3,0)*0.475*44/12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302</v>
      </c>
      <c r="GS73" s="13">
        <f>VLOOKUP(A73,'Données projet'!$A$269:$I$289,9,0)</f>
        <v>8.1999999999999993</v>
      </c>
      <c r="GT73" s="13">
        <f t="array" ref="GT73">INDEX(GS:GS,MIN(IF(ISNUMBER(GS73:GS269),ROW(GS73:GS269),"")))</f>
        <v>8.1999999999999993</v>
      </c>
      <c r="GU73" s="13">
        <f>IF('Données projet'!$A$270&gt;35,GU72+GT73-HC72,IF(A73&lt;'Données projet'!$A$270,$GR$205^A73,IF(A73='Données projet'!$A$270,'Données projet'!$B$270,GU72+GT73-HC72)))</f>
        <v>301.99999999999994</v>
      </c>
      <c r="GV73" s="18">
        <f>GU73*VLOOKUP('Données projet'!$B$18,Paramètres!$A$1:$I$88,3,0)*VLOOKUP('Données projet'!$B$18,Paramètres!$A$1:$I$88,5,0)</f>
        <v>315.65039999999999</v>
      </c>
      <c r="GW73" s="14">
        <f t="shared" si="105"/>
        <v>74.447615199497747</v>
      </c>
      <c r="GX73" s="22">
        <f t="shared" si="82"/>
        <v>679.42070980579183</v>
      </c>
      <c r="GY73" s="62">
        <f t="shared" si="83"/>
        <v>972.75404313912509</v>
      </c>
      <c r="GZ73" s="62">
        <f ca="1">AVERAGE(OFFSET($GY$3,0,0,'Données projet'!$E$18+1,1))-AVERAGE(OFFSET($H$3,0,0,'Données projet'!$E$18+1,1))</f>
        <v>582.89879210197682</v>
      </c>
      <c r="HA73" s="62">
        <f t="shared" si="106"/>
        <v>314.72094983133326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projet'!$B$18,Paramètres!$A$1:$I$88,3,0)*0.475*44/12</f>
        <v>0</v>
      </c>
      <c r="HH73" s="23">
        <f>EXP(-LN(2)/25)*HH72+(1-EXP(-LN(2)/25))/(LN(2)/25)*Calculateur!HC73*Calculateur!HE73*VLOOKUP('Données projet'!$B$18,Paramètres!$A$1:$I$88,3,0)*0.475*44/12</f>
        <v>0</v>
      </c>
      <c r="HI73" s="23">
        <f>EXP(-LN(2)/2)*HI72+(1-EXP(-LN(2)/2))/(LN(2)/2)*HC73*HF73*VLOOKUP('Données projet'!$B$18,Paramètres!$A$1:$I$88,3,0)*0.475*44/12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21.2</v>
      </c>
      <c r="N74" s="14">
        <f>IF('Données projet'!$A$36&gt;35,N73+M74-V73,IF(A74&lt;'Données projet'!$A$36,$K$205^A74,IF(A74='Données projet'!$A$36,'Données projet'!$B$36,N73+M74-V73)))</f>
        <v>543.19999999999993</v>
      </c>
      <c r="O74" s="14">
        <f>N74*VLOOKUP('Données projet'!$B$9,Paramètres!$A$1:$I$88,3,0)*VLOOKUP('Données projet'!$B$9,Paramètres!$A$1:$I$88,5,0)</f>
        <v>254.21759999999998</v>
      </c>
      <c r="P74" s="14">
        <f t="shared" si="87"/>
        <v>61.488195182366475</v>
      </c>
      <c r="Q74" s="22">
        <f t="shared" si="54"/>
        <v>549.85425994262152</v>
      </c>
      <c r="R74" s="62">
        <f t="shared" si="55"/>
        <v>843.1875932759549</v>
      </c>
      <c r="S74" s="62">
        <f ca="1">AVERAGE(OFFSET($R$3,0,0,'Données projet'!$E$9+1,1))-AVERAGE(OFFSET($H$3,0,0,'Données projet'!$E$9+1,1))</f>
        <v>399.92909819003523</v>
      </c>
      <c r="T74" s="62">
        <f t="shared" si="88"/>
        <v>163.7053537268381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projet'!$B$10,Paramètres!$A$1:$I$88,3,0)*VLOOKUP('Données projet'!$B$10,Paramètres!$A$1:$I$88,5,0)</f>
        <v>280.12607999999994</v>
      </c>
      <c r="AK74" s="14">
        <f t="shared" si="89"/>
        <v>66.993652511337999</v>
      </c>
      <c r="AL74" s="22">
        <f t="shared" si="58"/>
        <v>604.56686745724687</v>
      </c>
      <c r="AM74" s="62">
        <f t="shared" si="59"/>
        <v>897.90020079058013</v>
      </c>
      <c r="AN74" s="62">
        <f ca="1">AVERAGE(OFFSET($AM$3,0,0,'Données projet'!$E$10+1,1))-AVERAGE(OFFSET($H$3,0,0,'Données projet'!$E$10+1,1))</f>
        <v>510.56580450928806</v>
      </c>
      <c r="AO74" s="62">
        <f t="shared" si="90"/>
        <v>278.21741231699929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309.20000000000005</v>
      </c>
      <c r="BE74" s="14">
        <f>BD74*VLOOKUP('Données projet'!$B$11,Paramètres!$A$1:$I$88,3,0)*VLOOKUP('Données projet'!$B$11,Paramètres!$A$1:$I$88,5,0)</f>
        <v>294.23472000000004</v>
      </c>
      <c r="BF74" s="14">
        <f t="shared" si="91"/>
        <v>69.966477770945758</v>
      </c>
      <c r="BG74" s="22">
        <f t="shared" si="61"/>
        <v>634.31708611773058</v>
      </c>
      <c r="BH74" s="62">
        <f t="shared" si="62"/>
        <v>927.65041945106395</v>
      </c>
      <c r="BI74" s="62">
        <f ca="1">AVERAGE(OFFSET($BH$3,0,0,'Données projet'!$E$11+1,1))-AVERAGE(OFFSET($H$3,0,0,'Données projet'!$E$11+1,1))</f>
        <v>525.51330555662139</v>
      </c>
      <c r="BJ74" s="62">
        <f t="shared" si="92"/>
        <v>357.72390083433635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1.7053025658242404E-13</v>
      </c>
      <c r="BZ74" s="14">
        <f>BY74*VLOOKUP('Données projet'!$B$12,Paramètres!$A$1:$I$88,3,0)*VLOOKUP('Données projet'!$B$12,Paramètres!$A$1:$I$88,5,0)</f>
        <v>1.0197709343628959E-13</v>
      </c>
      <c r="CA74" s="14">
        <f t="shared" si="93"/>
        <v>1.5284983994279675E-12</v>
      </c>
      <c r="CB74" s="22">
        <f t="shared" si="64"/>
        <v>2.839744816738581E-12</v>
      </c>
      <c r="CC74" s="62">
        <f t="shared" si="65"/>
        <v>293.33333333333616</v>
      </c>
      <c r="CD74" s="62">
        <f ca="1">AVERAGE(OFFSET($CC$3,0,0,'Données projet'!$E$12+1,1))-AVERAGE(OFFSET($H$3,0,0,'Données projet'!$E$12+1,1))</f>
        <v>227.46616726010473</v>
      </c>
      <c r="CE74" s="62">
        <f t="shared" si="94"/>
        <v>314.188568589113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53.422612935675765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9.3742505441394442E-3</v>
      </c>
      <c r="CN74" s="24">
        <f t="shared" si="66"/>
        <v>53.431987186219907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16.375</v>
      </c>
      <c r="CT74" s="13">
        <f>IF('Données projet'!$A$140&gt;35,CT73+CS74-DB73,IF(A74&lt;'Données projet'!$A$140,$CQ$205^A74,IF(A74='Données projet'!$A$140,'Données projet'!$B$140,CT73+CS74-DB73)))</f>
        <v>511.875</v>
      </c>
      <c r="CU74" s="18">
        <f>CT74*VLOOKUP('Données projet'!$B$13,Paramètres!$A$1:$I$88,3,0)*VLOOKUP('Données projet'!$B$13,Paramètres!$A$1:$I$88,5,0)</f>
        <v>306.10124999999999</v>
      </c>
      <c r="CV74" s="14">
        <f t="shared" si="95"/>
        <v>72.454017218011245</v>
      </c>
      <c r="CW74" s="22">
        <f t="shared" si="67"/>
        <v>659.31709040470287</v>
      </c>
      <c r="CX74" s="62">
        <f t="shared" si="68"/>
        <v>952.65042373803612</v>
      </c>
      <c r="CY74" s="62">
        <f ca="1">AVERAGE(OFFSET($CX$3,0,0,'Données projet'!$E$13+1,1))-AVERAGE(OFFSET($H$3,0,0,'Données projet'!$E$13+1,1))</f>
        <v>356.46794174556311</v>
      </c>
      <c r="CZ74" s="62">
        <f t="shared" si="96"/>
        <v>248.47107558211923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0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projet'!$B$14,Paramètres!$A$1:$I$88,3,0)*VLOOKUP('Données projet'!$B$14,Paramètres!$A$1:$I$88,5,0)</f>
        <v>6.3550942286383367E-14</v>
      </c>
      <c r="DQ74" s="14">
        <f t="shared" si="97"/>
        <v>1.0064464192543978E-12</v>
      </c>
      <c r="DR74" s="22">
        <f t="shared" si="70"/>
        <v>1.8635787380168604E-12</v>
      </c>
      <c r="DS74" s="62">
        <f t="shared" si="71"/>
        <v>293.33333333333519</v>
      </c>
      <c r="DT74" s="62">
        <f ca="1">AVERAGE(OFFSET($DS$3,0,0,'Données projet'!$E$14+1,1))-AVERAGE(OFFSET($H$3,0,0,'Données projet'!$E$14+1,1))</f>
        <v>397.04445188588369</v>
      </c>
      <c r="DU74" s="62">
        <f t="shared" si="98"/>
        <v>350.01856672839466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2.2277988306389034</v>
      </c>
      <c r="EB74" s="23">
        <f>EXP(-LN(2)/25)*EB73+(1-EXP(-LN(2)/25))/(LN(2)/25)*Calculateur!DW74*Calculateur!DY74*VLOOKUP('Données projet'!$B$14,Paramètres!$A$1:$I$88,3,0)*0.475*44/12</f>
        <v>0</v>
      </c>
      <c r="EC74" s="23">
        <f>EXP(-LN(2)/2)*EC73+(1-EXP(-LN(2)/2))/(LN(2)/2)*DW74*DZ74*VLOOKUP('Données projet'!$B$14,Paramètres!$A$1:$I$88,3,0)*0.475*44/12</f>
        <v>1.0926281902387659E-5</v>
      </c>
      <c r="ED74" s="24">
        <f t="shared" si="72"/>
        <v>2.2278097569208057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1.8800000000000012</v>
      </c>
      <c r="EJ74" s="13">
        <f>IF('Données projet'!$A$192&gt;35,EJ73+EI74-ER73,IF(A74&lt;'Données projet'!$A$192,$EG$205^A74,IF(A74='Données projet'!$A$192,'Données projet'!$B$192,EJ73+EI74-ER73)))</f>
        <v>152.57999999999987</v>
      </c>
      <c r="EK74" s="18">
        <f>EJ74*VLOOKUP('Données projet'!$B$15,Paramètres!$A$1:$I$88,3,0)*VLOOKUP('Données projet'!$B$15,Paramètres!$A$1:$I$88,5,0)</f>
        <v>133.2938879999999</v>
      </c>
      <c r="EL74" s="14">
        <f t="shared" si="99"/>
        <v>34.756368195960818</v>
      </c>
      <c r="EM74" s="22">
        <f t="shared" si="73"/>
        <v>292.6875295412982</v>
      </c>
      <c r="EN74" s="62">
        <f t="shared" si="74"/>
        <v>586.02086287463158</v>
      </c>
      <c r="EO74" s="62">
        <f ca="1">AVERAGE(OFFSET($EN$3,0,0,'Données projet'!$E$15+1,1))-AVERAGE(OFFSET($H$3,0,0,'Données projet'!$E$15+1,1))</f>
        <v>202.5548390231225</v>
      </c>
      <c r="EP74" s="62">
        <f t="shared" si="100"/>
        <v>184.62184077734179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projet'!$B$15,Paramètres!$A$1:$I$88,3,0)*0.475*44/12</f>
        <v>0</v>
      </c>
      <c r="EW74" s="23">
        <f>EXP(-LN(2)/25)*EW73+(1-EXP(-LN(2)/25))/(LN(2)/25)*Calculateur!ER74*Calculateur!ET74*VLOOKUP('Données projet'!$B$15,Paramètres!$A$1:$I$88,3,0)*0.475*44/12</f>
        <v>0</v>
      </c>
      <c r="EX74" s="23">
        <f>EXP(-LN(2)/2)*EX73+(1-EXP(-LN(2)/2))/(LN(2)/2)*ER74*EU74*VLOOKUP('Données projet'!$B$15,Paramètres!$A$1:$I$88,3,0)*0.475*44/12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248.19999999999993</v>
      </c>
      <c r="FF74" s="18">
        <f>FE74*VLOOKUP('Données projet'!$B$16,Paramètres!$A$1:$I$88,3,0)*VLOOKUP('Données projet'!$B$16,Paramètres!$A$1:$I$88,5,0)</f>
        <v>240.05903999999995</v>
      </c>
      <c r="FG74" s="14">
        <f t="shared" si="101"/>
        <v>58.452233043970431</v>
      </c>
      <c r="FH74" s="22">
        <f t="shared" si="76"/>
        <v>519.90713388491497</v>
      </c>
      <c r="FI74" s="62">
        <f t="shared" si="77"/>
        <v>813.24046721824834</v>
      </c>
      <c r="FJ74" s="62">
        <f ca="1">AVERAGE(OFFSET($FI$3,0,0,'Données projet'!$E$16+1,1))-AVERAGE(OFFSET($H$3,0,0,'Données projet'!$E$16+1,1))</f>
        <v>456.96274622094955</v>
      </c>
      <c r="FK74" s="62">
        <f t="shared" si="102"/>
        <v>244.45149244446094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projet'!$B$16,Paramètres!$A$1:$I$88,3,0)*0.475*44/12</f>
        <v>0</v>
      </c>
      <c r="FR74" s="23">
        <f>EXP(-LN(2)/25)*FR73+(1-EXP(-LN(2)/25))/(LN(2)/25)*Calculateur!FM74*Calculateur!FO74*VLOOKUP('Données projet'!$B$16,Paramètres!$A$1:$I$88,3,0)*0.475*44/12</f>
        <v>0</v>
      </c>
      <c r="FS74" s="23">
        <f>EXP(-LN(2)/2)*FS73+(1-EXP(-LN(2)/2))/(LN(2)/2)*FM74*FP74*VLOOKUP('Données projet'!$B$16,Paramètres!$A$1:$I$88,3,0)*0.475*44/12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6.2</v>
      </c>
      <c r="FZ74" s="13">
        <f>IF('Données projet'!$A$244&gt;35,FZ73+FY74-GH73,IF(A74&lt;'Données projet'!$A$244,$FW$205^A74,IF(A74='Données projet'!$A$244,'Données projet'!$B$244,FZ73+FY74-GH73)))</f>
        <v>248.19999999999993</v>
      </c>
      <c r="GA74" s="18">
        <f>FZ74*VLOOKUP('Données projet'!$B$17,Paramètres!$A$1:$I$88,3,0)*VLOOKUP('Données projet'!$B$17,Paramètres!$A$1:$I$88,5,0)</f>
        <v>267.16247999999996</v>
      </c>
      <c r="GB74" s="14">
        <f t="shared" si="103"/>
        <v>64.246706153622185</v>
      </c>
      <c r="GC74" s="22">
        <f t="shared" si="79"/>
        <v>577.20433255089188</v>
      </c>
      <c r="GD74" s="62">
        <f t="shared" si="80"/>
        <v>870.53766588422513</v>
      </c>
      <c r="GE74" s="62">
        <f ca="1">AVERAGE(OFFSET($GD$3,0,0,'Données projet'!$E$17+1,1))-AVERAGE(OFFSET($H$3,0,0,'Données projet'!$E$17+1,1))</f>
        <v>503.69304261527651</v>
      </c>
      <c r="GF74" s="62">
        <f t="shared" si="104"/>
        <v>267.2998309535638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projet'!$B$17,Paramètres!$A$1:$I$88,3,0)*0.475*44/12</f>
        <v>0</v>
      </c>
      <c r="GM74" s="23">
        <f>EXP(-LN(2)/25)*GM73+(1-EXP(-LN(2)/25))/(LN(2)/25)*Calculateur!GH74*Calculateur!GJ74*VLOOKUP('Données projet'!$B$17,Paramètres!$A$1:$I$88,3,0)*0.475*44/12</f>
        <v>0</v>
      </c>
      <c r="GN74" s="23">
        <f>EXP(-LN(2)/2)*GN73+(1-EXP(-LN(2)/2))/(LN(2)/2)*GH74*GK74*VLOOKUP('Données projet'!$B$17,Paramètres!$A$1:$I$88,3,0)*0.475*44/12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7.6</v>
      </c>
      <c r="GU74" s="13">
        <f>IF('Données projet'!$A$270&gt;35,GU73+GT74-HC73,IF(A74&lt;'Données projet'!$A$270,$GR$205^A74,IF(A74='Données projet'!$A$270,'Données projet'!$B$270,GU73+GT74-HC73)))</f>
        <v>309.59999999999997</v>
      </c>
      <c r="GV74" s="18">
        <f>GU74*VLOOKUP('Données projet'!$B$18,Paramètres!$A$1:$I$88,3,0)*VLOOKUP('Données projet'!$B$18,Paramètres!$A$1:$I$88,5,0)</f>
        <v>323.59391999999997</v>
      </c>
      <c r="GW74" s="14">
        <f t="shared" si="105"/>
        <v>76.100651858165278</v>
      </c>
      <c r="GX74" s="22">
        <f t="shared" si="82"/>
        <v>696.13471265297119</v>
      </c>
      <c r="GY74" s="62">
        <f t="shared" si="83"/>
        <v>989.46804598630456</v>
      </c>
      <c r="GZ74" s="62">
        <f ca="1">AVERAGE(OFFSET($GY$3,0,0,'Données projet'!$E$18+1,1))-AVERAGE(OFFSET($H$3,0,0,'Données projet'!$E$18+1,1))</f>
        <v>582.89879210197682</v>
      </c>
      <c r="HA74" s="62">
        <f t="shared" si="106"/>
        <v>314.72094983133326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projet'!$B$18,Paramètres!$A$1:$I$88,3,0)*0.475*44/12</f>
        <v>0</v>
      </c>
      <c r="HH74" s="23">
        <f>EXP(-LN(2)/25)*HH73+(1-EXP(-LN(2)/25))/(LN(2)/25)*Calculateur!HC74*Calculateur!HE74*VLOOKUP('Données projet'!$B$18,Paramètres!$A$1:$I$88,3,0)*0.475*44/12</f>
        <v>0</v>
      </c>
      <c r="HI74" s="23">
        <f>EXP(-LN(2)/2)*HI73+(1-EXP(-LN(2)/2))/(LN(2)/2)*HC74*HF74*VLOOKUP('Données projet'!$B$18,Paramètres!$A$1:$I$88,3,0)*0.475*44/12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21.2</v>
      </c>
      <c r="N75" s="14">
        <f>IF('Données projet'!$A$36&gt;35,N74+M75-V74,IF(A75&lt;'Données projet'!$A$36,$K$205^A75,IF(A75='Données projet'!$A$36,'Données projet'!$B$36,N74+M75-V74)))</f>
        <v>564.4</v>
      </c>
      <c r="O75" s="14">
        <f>N75*VLOOKUP('Données projet'!$B$9,Paramètres!$A$1:$I$88,3,0)*VLOOKUP('Données projet'!$B$9,Paramètres!$A$1:$I$88,5,0)</f>
        <v>264.13920000000002</v>
      </c>
      <c r="P75" s="14">
        <f t="shared" si="87"/>
        <v>63.60387543087441</v>
      </c>
      <c r="Q75" s="22">
        <f t="shared" si="54"/>
        <v>570.81918970877302</v>
      </c>
      <c r="R75" s="62">
        <f t="shared" si="55"/>
        <v>864.1525230421064</v>
      </c>
      <c r="S75" s="62">
        <f ca="1">AVERAGE(OFFSET($R$3,0,0,'Données projet'!$E$9+1,1))-AVERAGE(OFFSET($H$3,0,0,'Données projet'!$E$9+1,1))</f>
        <v>399.92909819003523</v>
      </c>
      <c r="T75" s="62">
        <f t="shared" si="88"/>
        <v>163.7053537268381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projet'!$B$10,Paramètres!$A$1:$I$88,3,0)*VLOOKUP('Données projet'!$B$10,Paramètres!$A$1:$I$88,5,0)</f>
        <v>287.00255999999996</v>
      </c>
      <c r="AK75" s="14">
        <f t="shared" si="89"/>
        <v>68.444716936118553</v>
      </c>
      <c r="AL75" s="22">
        <f t="shared" si="58"/>
        <v>619.07067399707296</v>
      </c>
      <c r="AM75" s="62">
        <f t="shared" si="59"/>
        <v>912.40400733040633</v>
      </c>
      <c r="AN75" s="62">
        <f ca="1">AVERAGE(OFFSET($AM$3,0,0,'Données projet'!$E$10+1,1))-AVERAGE(OFFSET($H$3,0,0,'Données projet'!$E$10+1,1))</f>
        <v>510.56580450928806</v>
      </c>
      <c r="AO75" s="62">
        <f t="shared" si="90"/>
        <v>278.21741231699929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315.40000000000003</v>
      </c>
      <c r="BE75" s="14">
        <f>BD75*VLOOKUP('Données projet'!$B$11,Paramètres!$A$1:$I$88,3,0)*VLOOKUP('Données projet'!$B$11,Paramètres!$A$1:$I$88,5,0)</f>
        <v>300.13464000000005</v>
      </c>
      <c r="BF75" s="14">
        <f t="shared" si="91"/>
        <v>71.204688454130647</v>
      </c>
      <c r="BG75" s="22">
        <f t="shared" si="61"/>
        <v>646.74933039094424</v>
      </c>
      <c r="BH75" s="62">
        <f t="shared" si="62"/>
        <v>940.08266372427761</v>
      </c>
      <c r="BI75" s="62">
        <f ca="1">AVERAGE(OFFSET($BH$3,0,0,'Données projet'!$E$11+1,1))-AVERAGE(OFFSET($H$3,0,0,'Données projet'!$E$11+1,1))</f>
        <v>525.51330555662139</v>
      </c>
      <c r="BJ75" s="62">
        <f t="shared" si="92"/>
        <v>357.72390083433635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1.7053025658242404E-13</v>
      </c>
      <c r="BZ75" s="14">
        <f>BY75*VLOOKUP('Données projet'!$B$12,Paramètres!$A$1:$I$88,3,0)*VLOOKUP('Données projet'!$B$12,Paramètres!$A$1:$I$88,5,0)</f>
        <v>1.0197709343628959E-13</v>
      </c>
      <c r="CA75" s="14">
        <f t="shared" si="93"/>
        <v>1.5284983994279675E-12</v>
      </c>
      <c r="CB75" s="22">
        <f t="shared" si="64"/>
        <v>2.839744816738581E-12</v>
      </c>
      <c r="CC75" s="62">
        <f t="shared" si="65"/>
        <v>293.33333333333616</v>
      </c>
      <c r="CD75" s="62">
        <f ca="1">AVERAGE(OFFSET($CC$3,0,0,'Données projet'!$E$12+1,1))-AVERAGE(OFFSET($H$3,0,0,'Données projet'!$E$12+1,1))</f>
        <v>227.46616726010473</v>
      </c>
      <c r="CE75" s="62">
        <f t="shared" si="94"/>
        <v>314.188568589113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52.375028080583597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6.6285961283026841E-3</v>
      </c>
      <c r="CN75" s="24">
        <f t="shared" si="66"/>
        <v>52.381656676711899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16.375</v>
      </c>
      <c r="CT75" s="13">
        <f>IF('Données projet'!$A$140&gt;35,CT74+CS75-DB74,IF(A75&lt;'Données projet'!$A$140,$CQ$205^A75,IF(A75='Données projet'!$A$140,'Données projet'!$B$140,CT74+CS75-DB74)))</f>
        <v>528.25</v>
      </c>
      <c r="CU75" s="18">
        <f>CT75*VLOOKUP('Données projet'!$B$13,Paramètres!$A$1:$I$88,3,0)*VLOOKUP('Données projet'!$B$13,Paramètres!$A$1:$I$88,5,0)</f>
        <v>315.89350000000002</v>
      </c>
      <c r="CV75" s="14">
        <f t="shared" si="95"/>
        <v>74.498275253826293</v>
      </c>
      <c r="CW75" s="22">
        <f t="shared" si="67"/>
        <v>679.93234190041414</v>
      </c>
      <c r="CX75" s="62">
        <f t="shared" si="68"/>
        <v>973.26567523374752</v>
      </c>
      <c r="CY75" s="62">
        <f ca="1">AVERAGE(OFFSET($CX$3,0,0,'Données projet'!$E$13+1,1))-AVERAGE(OFFSET($H$3,0,0,'Données projet'!$E$13+1,1))</f>
        <v>356.46794174556311</v>
      </c>
      <c r="CZ75" s="62">
        <f t="shared" si="96"/>
        <v>248.47107558211923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0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projet'!$B$14,Paramètres!$A$1:$I$88,3,0)*VLOOKUP('Données projet'!$B$14,Paramètres!$A$1:$I$88,5,0)</f>
        <v>6.3550942286383367E-14</v>
      </c>
      <c r="DQ75" s="14">
        <f t="shared" si="97"/>
        <v>1.0064464192543978E-12</v>
      </c>
      <c r="DR75" s="22">
        <f t="shared" si="70"/>
        <v>1.8635787380168604E-12</v>
      </c>
      <c r="DS75" s="62">
        <f t="shared" si="71"/>
        <v>293.33333333333519</v>
      </c>
      <c r="DT75" s="62">
        <f ca="1">AVERAGE(OFFSET($DS$3,0,0,'Données projet'!$E$14+1,1))-AVERAGE(OFFSET($H$3,0,0,'Données projet'!$E$14+1,1))</f>
        <v>397.04445188588369</v>
      </c>
      <c r="DU75" s="62">
        <f t="shared" si="98"/>
        <v>350.01856672839466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2.1841130543931886</v>
      </c>
      <c r="EB75" s="23">
        <f>EXP(-LN(2)/25)*EB74+(1-EXP(-LN(2)/25))/(LN(2)/25)*Calculateur!DW75*Calculateur!DY75*VLOOKUP('Données projet'!$B$14,Paramètres!$A$1:$I$88,3,0)*0.475*44/12</f>
        <v>0</v>
      </c>
      <c r="EC75" s="23">
        <f>EXP(-LN(2)/2)*EC74+(1-EXP(-LN(2)/2))/(LN(2)/2)*DW75*DZ75*VLOOKUP('Données projet'!$B$14,Paramètres!$A$1:$I$88,3,0)*0.475*44/12</f>
        <v>7.7260480263341644E-6</v>
      </c>
      <c r="ED75" s="24">
        <f t="shared" si="72"/>
        <v>2.1841207804412148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1.8800000000000012</v>
      </c>
      <c r="EJ75" s="13">
        <f>IF('Données projet'!$A$192&gt;35,EJ74+EI75-ER74,IF(A75&lt;'Données projet'!$A$192,$EG$205^A75,IF(A75='Données projet'!$A$192,'Données projet'!$B$192,EJ74+EI75-ER74)))</f>
        <v>154.45999999999987</v>
      </c>
      <c r="EK75" s="18">
        <f>EJ75*VLOOKUP('Données projet'!$B$15,Paramètres!$A$1:$I$88,3,0)*VLOOKUP('Données projet'!$B$15,Paramètres!$A$1:$I$88,5,0)</f>
        <v>134.9362559999999</v>
      </c>
      <c r="EL75" s="14">
        <f t="shared" si="99"/>
        <v>35.134497389284256</v>
      </c>
      <c r="EM75" s="22">
        <f t="shared" si="73"/>
        <v>296.20656215300323</v>
      </c>
      <c r="EN75" s="62">
        <f t="shared" si="74"/>
        <v>589.53989548633649</v>
      </c>
      <c r="EO75" s="62">
        <f ca="1">AVERAGE(OFFSET($EN$3,0,0,'Données projet'!$E$15+1,1))-AVERAGE(OFFSET($H$3,0,0,'Données projet'!$E$15+1,1))</f>
        <v>202.5548390231225</v>
      </c>
      <c r="EP75" s="62">
        <f t="shared" si="100"/>
        <v>184.62184077734179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projet'!$B$15,Paramètres!$A$1:$I$88,3,0)*0.475*44/12</f>
        <v>0</v>
      </c>
      <c r="EW75" s="23">
        <f>EXP(-LN(2)/25)*EW74+(1-EXP(-LN(2)/25))/(LN(2)/25)*Calculateur!ER75*Calculateur!ET75*VLOOKUP('Données projet'!$B$15,Paramètres!$A$1:$I$88,3,0)*0.475*44/12</f>
        <v>0</v>
      </c>
      <c r="EX75" s="23">
        <f>EXP(-LN(2)/2)*EX74+(1-EXP(-LN(2)/2))/(LN(2)/2)*ER75*EU75*VLOOKUP('Données projet'!$B$15,Paramètres!$A$1:$I$88,3,0)*0.475*44/12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254.39999999999992</v>
      </c>
      <c r="FF75" s="18">
        <f>FE75*VLOOKUP('Données projet'!$B$16,Paramètres!$A$1:$I$88,3,0)*VLOOKUP('Données projet'!$B$16,Paramètres!$A$1:$I$88,5,0)</f>
        <v>246.05567999999994</v>
      </c>
      <c r="FG75" s="14">
        <f t="shared" si="101"/>
        <v>59.740543938088187</v>
      </c>
      <c r="FH75" s="22">
        <f t="shared" si="76"/>
        <v>532.59509002550351</v>
      </c>
      <c r="FI75" s="62">
        <f t="shared" si="77"/>
        <v>825.92842335883688</v>
      </c>
      <c r="FJ75" s="62">
        <f ca="1">AVERAGE(OFFSET($FI$3,0,0,'Données projet'!$E$16+1,1))-AVERAGE(OFFSET($H$3,0,0,'Données projet'!$E$16+1,1))</f>
        <v>456.96274622094955</v>
      </c>
      <c r="FK75" s="62">
        <f t="shared" si="102"/>
        <v>244.45149244446094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projet'!$B$16,Paramètres!$A$1:$I$88,3,0)*0.475*44/12</f>
        <v>0</v>
      </c>
      <c r="FR75" s="23">
        <f>EXP(-LN(2)/25)*FR74+(1-EXP(-LN(2)/25))/(LN(2)/25)*Calculateur!FM75*Calculateur!FO75*VLOOKUP('Données projet'!$B$16,Paramètres!$A$1:$I$88,3,0)*0.475*44/12</f>
        <v>0</v>
      </c>
      <c r="FS75" s="23">
        <f>EXP(-LN(2)/2)*FS74+(1-EXP(-LN(2)/2))/(LN(2)/2)*FM75*FP75*VLOOKUP('Données projet'!$B$16,Paramètres!$A$1:$I$88,3,0)*0.475*44/12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6.2</v>
      </c>
      <c r="FZ75" s="13">
        <f>IF('Données projet'!$A$244&gt;35,FZ74+FY75-GH74,IF(A75&lt;'Données projet'!$A$244,$FW$205^A75,IF(A75='Données projet'!$A$244,'Données projet'!$B$244,FZ74+FY75-GH74)))</f>
        <v>254.39999999999992</v>
      </c>
      <c r="GA75" s="18">
        <f>FZ75*VLOOKUP('Données projet'!$B$17,Paramètres!$A$1:$I$88,3,0)*VLOOKUP('Données projet'!$B$17,Paramètres!$A$1:$I$88,5,0)</f>
        <v>273.83615999999995</v>
      </c>
      <c r="GB75" s="14">
        <f t="shared" si="103"/>
        <v>65.662729582301651</v>
      </c>
      <c r="GC75" s="22">
        <f t="shared" si="79"/>
        <v>591.29389935584197</v>
      </c>
      <c r="GD75" s="62">
        <f t="shared" si="80"/>
        <v>884.62723268917534</v>
      </c>
      <c r="GE75" s="62">
        <f ca="1">AVERAGE(OFFSET($GD$3,0,0,'Données projet'!$E$17+1,1))-AVERAGE(OFFSET($H$3,0,0,'Données projet'!$E$17+1,1))</f>
        <v>503.69304261527651</v>
      </c>
      <c r="GF75" s="62">
        <f t="shared" si="104"/>
        <v>267.2998309535638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projet'!$B$17,Paramètres!$A$1:$I$88,3,0)*0.475*44/12</f>
        <v>0</v>
      </c>
      <c r="GM75" s="23">
        <f>EXP(-LN(2)/25)*GM74+(1-EXP(-LN(2)/25))/(LN(2)/25)*Calculateur!GH75*Calculateur!GJ75*VLOOKUP('Données projet'!$B$17,Paramètres!$A$1:$I$88,3,0)*0.475*44/12</f>
        <v>0</v>
      </c>
      <c r="GN75" s="23">
        <f>EXP(-LN(2)/2)*GN74+(1-EXP(-LN(2)/2))/(LN(2)/2)*GH75*GK75*VLOOKUP('Données projet'!$B$17,Paramètres!$A$1:$I$88,3,0)*0.475*44/12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7.6</v>
      </c>
      <c r="GU75" s="13">
        <f>IF('Données projet'!$A$270&gt;35,GU74+GT75-HC74,IF(A75&lt;'Données projet'!$A$270,$GR$205^A75,IF(A75='Données projet'!$A$270,'Données projet'!$B$270,GU74+GT75-HC74)))</f>
        <v>317.2</v>
      </c>
      <c r="GV75" s="18">
        <f>GU75*VLOOKUP('Données projet'!$B$18,Paramètres!$A$1:$I$88,3,0)*VLOOKUP('Données projet'!$B$18,Paramètres!$A$1:$I$88,5,0)</f>
        <v>331.53744</v>
      </c>
      <c r="GW75" s="14">
        <f t="shared" si="105"/>
        <v>77.748971429863658</v>
      </c>
      <c r="GX75" s="22">
        <f t="shared" si="82"/>
        <v>712.8404999070126</v>
      </c>
      <c r="GY75" s="62">
        <f t="shared" si="83"/>
        <v>1006.1738332403459</v>
      </c>
      <c r="GZ75" s="62">
        <f ca="1">AVERAGE(OFFSET($GY$3,0,0,'Données projet'!$E$18+1,1))-AVERAGE(OFFSET($H$3,0,0,'Données projet'!$E$18+1,1))</f>
        <v>582.89879210197682</v>
      </c>
      <c r="HA75" s="62">
        <f t="shared" si="106"/>
        <v>314.72094983133326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projet'!$B$18,Paramètres!$A$1:$I$88,3,0)*0.475*44/12</f>
        <v>0</v>
      </c>
      <c r="HH75" s="23">
        <f>EXP(-LN(2)/25)*HH74+(1-EXP(-LN(2)/25))/(LN(2)/25)*Calculateur!HC75*Calculateur!HE75*VLOOKUP('Données projet'!$B$18,Paramètres!$A$1:$I$88,3,0)*0.475*44/12</f>
        <v>0</v>
      </c>
      <c r="HI75" s="23">
        <f>EXP(-LN(2)/2)*HI74+(1-EXP(-LN(2)/2))/(LN(2)/2)*HC75*HF75*VLOOKUP('Données projet'!$B$18,Paramètres!$A$1:$I$88,3,0)*0.475*44/12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21.2</v>
      </c>
      <c r="N76" s="14">
        <f>IF('Données projet'!$A$36&gt;35,N75+M76-V75,IF(A76&lt;'Données projet'!$A$36,$K$205^A76,IF(A76='Données projet'!$A$36,'Données projet'!$B$36,N75+M76-V75)))</f>
        <v>585.6</v>
      </c>
      <c r="O76" s="14">
        <f>N76*VLOOKUP('Données projet'!$B$9,Paramètres!$A$1:$I$88,3,0)*VLOOKUP('Données projet'!$B$9,Paramètres!$A$1:$I$88,5,0)</f>
        <v>274.06080000000003</v>
      </c>
      <c r="P76" s="14">
        <f t="shared" si="87"/>
        <v>65.710323362952991</v>
      </c>
      <c r="Q76" s="22">
        <f t="shared" si="54"/>
        <v>591.76803985714309</v>
      </c>
      <c r="R76" s="62">
        <f t="shared" si="55"/>
        <v>885.10137319047635</v>
      </c>
      <c r="S76" s="62">
        <f ca="1">AVERAGE(OFFSET($R$3,0,0,'Données projet'!$E$9+1,1))-AVERAGE(OFFSET($H$3,0,0,'Données projet'!$E$9+1,1))</f>
        <v>399.92909819003523</v>
      </c>
      <c r="T76" s="62">
        <f t="shared" si="88"/>
        <v>163.7053537268381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projet'!$B$10,Paramètres!$A$1:$I$88,3,0)*VLOOKUP('Données projet'!$B$10,Paramètres!$A$1:$I$88,5,0)</f>
        <v>293.87903999999997</v>
      </c>
      <c r="AK76" s="14">
        <f t="shared" si="89"/>
        <v>69.891739712361669</v>
      </c>
      <c r="AL76" s="22">
        <f t="shared" si="58"/>
        <v>633.56744133236327</v>
      </c>
      <c r="AM76" s="62">
        <f t="shared" si="59"/>
        <v>926.90077466569664</v>
      </c>
      <c r="AN76" s="62">
        <f ca="1">AVERAGE(OFFSET($AM$3,0,0,'Données projet'!$E$10+1,1))-AVERAGE(OFFSET($H$3,0,0,'Données projet'!$E$10+1,1))</f>
        <v>510.56580450928806</v>
      </c>
      <c r="AO76" s="62">
        <f t="shared" si="90"/>
        <v>278.21741231699929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321.60000000000002</v>
      </c>
      <c r="BE76" s="14">
        <f>BD76*VLOOKUP('Données projet'!$B$11,Paramètres!$A$1:$I$88,3,0)*VLOOKUP('Données projet'!$B$11,Paramètres!$A$1:$I$88,5,0)</f>
        <v>306.03456000000006</v>
      </c>
      <c r="BF76" s="14">
        <f t="shared" si="91"/>
        <v>72.440068981630802</v>
      </c>
      <c r="BG76" s="22">
        <f t="shared" si="61"/>
        <v>659.17664547634035</v>
      </c>
      <c r="BH76" s="62">
        <f t="shared" si="62"/>
        <v>952.50997880967361</v>
      </c>
      <c r="BI76" s="62">
        <f ca="1">AVERAGE(OFFSET($BH$3,0,0,'Données projet'!$E$11+1,1))-AVERAGE(OFFSET($H$3,0,0,'Données projet'!$E$11+1,1))</f>
        <v>525.51330555662139</v>
      </c>
      <c r="BJ76" s="62">
        <f t="shared" si="92"/>
        <v>357.72390083433635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1.7053025658242404E-13</v>
      </c>
      <c r="BZ76" s="14">
        <f>BY76*VLOOKUP('Données projet'!$B$12,Paramètres!$A$1:$I$88,3,0)*VLOOKUP('Données projet'!$B$12,Paramètres!$A$1:$I$88,5,0)</f>
        <v>1.0197709343628959E-13</v>
      </c>
      <c r="CA76" s="14">
        <f t="shared" si="93"/>
        <v>1.5284983994279675E-12</v>
      </c>
      <c r="CB76" s="22">
        <f t="shared" si="64"/>
        <v>2.839744816738581E-12</v>
      </c>
      <c r="CC76" s="62">
        <f t="shared" si="65"/>
        <v>293.33333333333616</v>
      </c>
      <c r="CD76" s="62">
        <f ca="1">AVERAGE(OFFSET($CC$3,0,0,'Données projet'!$E$12+1,1))-AVERAGE(OFFSET($H$3,0,0,'Données projet'!$E$12+1,1))</f>
        <v>227.46616726010473</v>
      </c>
      <c r="CE76" s="62">
        <f t="shared" si="94"/>
        <v>314.188568589113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51.347985725536113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4.6871252720697221E-3</v>
      </c>
      <c r="CN76" s="24">
        <f t="shared" si="66"/>
        <v>51.352672850808183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16.375</v>
      </c>
      <c r="CT76" s="13">
        <f>IF('Données projet'!$A$140&gt;35,CT75+CS76-DB75,IF(A76&lt;'Données projet'!$A$140,$CQ$205^A76,IF(A76='Données projet'!$A$140,'Données projet'!$B$140,CT75+CS76-DB75)))</f>
        <v>544.625</v>
      </c>
      <c r="CU76" s="18">
        <f>CT76*VLOOKUP('Données projet'!$B$13,Paramètres!$A$1:$I$88,3,0)*VLOOKUP('Données projet'!$B$13,Paramètres!$A$1:$I$88,5,0)</f>
        <v>325.68575000000004</v>
      </c>
      <c r="CV76" s="14">
        <f t="shared" si="95"/>
        <v>76.535169172198877</v>
      </c>
      <c r="CW76" s="22">
        <f t="shared" si="67"/>
        <v>700.53476755824647</v>
      </c>
      <c r="CX76" s="62">
        <f t="shared" si="68"/>
        <v>993.86810089157984</v>
      </c>
      <c r="CY76" s="62">
        <f ca="1">AVERAGE(OFFSET($CX$3,0,0,'Données projet'!$E$13+1,1))-AVERAGE(OFFSET($H$3,0,0,'Données projet'!$E$13+1,1))</f>
        <v>356.46794174556311</v>
      </c>
      <c r="CZ76" s="62">
        <f t="shared" si="96"/>
        <v>248.47107558211923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0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projet'!$B$14,Paramètres!$A$1:$I$88,3,0)*VLOOKUP('Données projet'!$B$14,Paramètres!$A$1:$I$88,5,0)</f>
        <v>6.3550942286383367E-14</v>
      </c>
      <c r="DQ76" s="14">
        <f t="shared" si="97"/>
        <v>1.0064464192543978E-12</v>
      </c>
      <c r="DR76" s="22">
        <f t="shared" si="70"/>
        <v>1.8635787380168604E-12</v>
      </c>
      <c r="DS76" s="62">
        <f t="shared" si="71"/>
        <v>293.33333333333519</v>
      </c>
      <c r="DT76" s="62">
        <f ca="1">AVERAGE(OFFSET($DS$3,0,0,'Données projet'!$E$14+1,1))-AVERAGE(OFFSET($H$3,0,0,'Données projet'!$E$14+1,1))</f>
        <v>397.04445188588369</v>
      </c>
      <c r="DU76" s="62">
        <f t="shared" si="98"/>
        <v>350.01856672839466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2.1412839295739596</v>
      </c>
      <c r="EB76" s="23">
        <f>EXP(-LN(2)/25)*EB75+(1-EXP(-LN(2)/25))/(LN(2)/25)*Calculateur!DW76*Calculateur!DY76*VLOOKUP('Données projet'!$B$14,Paramètres!$A$1:$I$88,3,0)*0.475*44/12</f>
        <v>0</v>
      </c>
      <c r="EC76" s="23">
        <f>EXP(-LN(2)/2)*EC75+(1-EXP(-LN(2)/2))/(LN(2)/2)*DW76*DZ76*VLOOKUP('Données projet'!$B$14,Paramètres!$A$1:$I$88,3,0)*0.475*44/12</f>
        <v>5.4631409511938294E-6</v>
      </c>
      <c r="ED76" s="24">
        <f t="shared" si="72"/>
        <v>2.1412893927149108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1.8800000000000012</v>
      </c>
      <c r="EJ76" s="13">
        <f>IF('Données projet'!$A$192&gt;35,EJ75+EI76-ER75,IF(A76&lt;'Données projet'!$A$192,$EG$205^A76,IF(A76='Données projet'!$A$192,'Données projet'!$B$192,EJ75+EI76-ER75)))</f>
        <v>156.33999999999986</v>
      </c>
      <c r="EK76" s="18">
        <f>EJ76*VLOOKUP('Données projet'!$B$15,Paramètres!$A$1:$I$88,3,0)*VLOOKUP('Données projet'!$B$15,Paramètres!$A$1:$I$88,5,0)</f>
        <v>136.57862399999988</v>
      </c>
      <c r="EL76" s="14">
        <f t="shared" si="99"/>
        <v>35.512091231459166</v>
      </c>
      <c r="EM76" s="22">
        <f t="shared" si="73"/>
        <v>299.72466236145789</v>
      </c>
      <c r="EN76" s="62">
        <f t="shared" si="74"/>
        <v>593.0579956947912</v>
      </c>
      <c r="EO76" s="62">
        <f ca="1">AVERAGE(OFFSET($EN$3,0,0,'Données projet'!$E$15+1,1))-AVERAGE(OFFSET($H$3,0,0,'Données projet'!$E$15+1,1))</f>
        <v>202.5548390231225</v>
      </c>
      <c r="EP76" s="62">
        <f t="shared" si="100"/>
        <v>184.62184077734179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projet'!$B$15,Paramètres!$A$1:$I$88,3,0)*0.475*44/12</f>
        <v>0</v>
      </c>
      <c r="EW76" s="23">
        <f>EXP(-LN(2)/25)*EW75+(1-EXP(-LN(2)/25))/(LN(2)/25)*Calculateur!ER76*Calculateur!ET76*VLOOKUP('Données projet'!$B$15,Paramètres!$A$1:$I$88,3,0)*0.475*44/12</f>
        <v>0</v>
      </c>
      <c r="EX76" s="23">
        <f>EXP(-LN(2)/2)*EX75+(1-EXP(-LN(2)/2))/(LN(2)/2)*ER76*EU76*VLOOKUP('Données projet'!$B$15,Paramètres!$A$1:$I$88,3,0)*0.475*44/12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260.59999999999991</v>
      </c>
      <c r="FF76" s="18">
        <f>FE76*VLOOKUP('Données projet'!$B$16,Paramètres!$A$1:$I$88,3,0)*VLOOKUP('Données projet'!$B$16,Paramètres!$A$1:$I$88,5,0)</f>
        <v>252.05231999999992</v>
      </c>
      <c r="FG76" s="14">
        <f t="shared" si="101"/>
        <v>61.025204958609983</v>
      </c>
      <c r="FH76" s="22">
        <f t="shared" si="76"/>
        <v>545.27668930291225</v>
      </c>
      <c r="FI76" s="62">
        <f t="shared" si="77"/>
        <v>838.6100226362455</v>
      </c>
      <c r="FJ76" s="62">
        <f ca="1">AVERAGE(OFFSET($FI$3,0,0,'Données projet'!$E$16+1,1))-AVERAGE(OFFSET($H$3,0,0,'Données projet'!$E$16+1,1))</f>
        <v>456.96274622094955</v>
      </c>
      <c r="FK76" s="62">
        <f t="shared" si="102"/>
        <v>244.45149244446094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projet'!$B$16,Paramètres!$A$1:$I$88,3,0)*0.475*44/12</f>
        <v>0</v>
      </c>
      <c r="FR76" s="23">
        <f>EXP(-LN(2)/25)*FR75+(1-EXP(-LN(2)/25))/(LN(2)/25)*Calculateur!FM76*Calculateur!FO76*VLOOKUP('Données projet'!$B$16,Paramètres!$A$1:$I$88,3,0)*0.475*44/12</f>
        <v>0</v>
      </c>
      <c r="FS76" s="23">
        <f>EXP(-LN(2)/2)*FS75+(1-EXP(-LN(2)/2))/(LN(2)/2)*FM76*FP76*VLOOKUP('Données projet'!$B$16,Paramètres!$A$1:$I$88,3,0)*0.475*44/12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6.2</v>
      </c>
      <c r="FZ76" s="13">
        <f>IF('Données projet'!$A$244&gt;35,FZ75+FY76-GH75,IF(A76&lt;'Données projet'!$A$244,$FW$205^A76,IF(A76='Données projet'!$A$244,'Données projet'!$B$244,FZ75+FY76-GH75)))</f>
        <v>260.59999999999991</v>
      </c>
      <c r="GA76" s="18">
        <f>FZ76*VLOOKUP('Données projet'!$B$17,Paramètres!$A$1:$I$88,3,0)*VLOOKUP('Données projet'!$B$17,Paramètres!$A$1:$I$88,5,0)</f>
        <v>280.50983999999988</v>
      </c>
      <c r="GB76" s="14">
        <f t="shared" si="103"/>
        <v>67.074741318968506</v>
      </c>
      <c r="GC76" s="22">
        <f t="shared" si="79"/>
        <v>605.37647913053661</v>
      </c>
      <c r="GD76" s="62">
        <f t="shared" si="80"/>
        <v>898.70981246386987</v>
      </c>
      <c r="GE76" s="62">
        <f ca="1">AVERAGE(OFFSET($GD$3,0,0,'Données projet'!$E$17+1,1))-AVERAGE(OFFSET($H$3,0,0,'Données projet'!$E$17+1,1))</f>
        <v>503.69304261527651</v>
      </c>
      <c r="GF76" s="62">
        <f t="shared" si="104"/>
        <v>267.2998309535638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projet'!$B$17,Paramètres!$A$1:$I$88,3,0)*0.475*44/12</f>
        <v>0</v>
      </c>
      <c r="GM76" s="23">
        <f>EXP(-LN(2)/25)*GM75+(1-EXP(-LN(2)/25))/(LN(2)/25)*Calculateur!GH76*Calculateur!GJ76*VLOOKUP('Données projet'!$B$17,Paramètres!$A$1:$I$88,3,0)*0.475*44/12</f>
        <v>0</v>
      </c>
      <c r="GN76" s="23">
        <f>EXP(-LN(2)/2)*GN75+(1-EXP(-LN(2)/2))/(LN(2)/2)*GH76*GK76*VLOOKUP('Données projet'!$B$17,Paramètres!$A$1:$I$88,3,0)*0.475*44/12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7.6</v>
      </c>
      <c r="GU76" s="13">
        <f>IF('Données projet'!$A$270&gt;35,GU75+GT76-HC75,IF(A76&lt;'Données projet'!$A$270,$GR$205^A76,IF(A76='Données projet'!$A$270,'Données projet'!$B$270,GU75+GT76-HC75)))</f>
        <v>324.8</v>
      </c>
      <c r="GV76" s="18">
        <f>GU76*VLOOKUP('Données projet'!$B$18,Paramètres!$A$1:$I$88,3,0)*VLOOKUP('Données projet'!$B$18,Paramètres!$A$1:$I$88,5,0)</f>
        <v>339.48096000000004</v>
      </c>
      <c r="GW76" s="14">
        <f t="shared" si="105"/>
        <v>79.392699938427526</v>
      </c>
      <c r="GX76" s="22">
        <f t="shared" si="82"/>
        <v>729.53829105942805</v>
      </c>
      <c r="GY76" s="62">
        <f t="shared" si="83"/>
        <v>1022.8716243927613</v>
      </c>
      <c r="GZ76" s="62">
        <f ca="1">AVERAGE(OFFSET($GY$3,0,0,'Données projet'!$E$18+1,1))-AVERAGE(OFFSET($H$3,0,0,'Données projet'!$E$18+1,1))</f>
        <v>582.89879210197682</v>
      </c>
      <c r="HA76" s="62">
        <f t="shared" si="106"/>
        <v>314.72094983133326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projet'!$B$18,Paramètres!$A$1:$I$88,3,0)*0.475*44/12</f>
        <v>0</v>
      </c>
      <c r="HH76" s="23">
        <f>EXP(-LN(2)/25)*HH75+(1-EXP(-LN(2)/25))/(LN(2)/25)*Calculateur!HC76*Calculateur!HE76*VLOOKUP('Données projet'!$B$18,Paramètres!$A$1:$I$88,3,0)*0.475*44/12</f>
        <v>0</v>
      </c>
      <c r="HI76" s="23">
        <f>EXP(-LN(2)/2)*HI75+(1-EXP(-LN(2)/2))/(LN(2)/2)*HC76*HF76*VLOOKUP('Données projet'!$B$18,Paramètres!$A$1:$I$88,3,0)*0.475*44/12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21.2</v>
      </c>
      <c r="N77" s="14">
        <f>IF('Données projet'!$A$36&gt;35,N76+M77-V76,IF(A77&lt;'Données projet'!$A$36,$K$205^A77,IF(A77='Données projet'!$A$36,'Données projet'!$B$36,N76+M77-V76)))</f>
        <v>606.80000000000007</v>
      </c>
      <c r="O77" s="14">
        <f>N77*VLOOKUP('Données projet'!$B$9,Paramètres!$A$1:$I$88,3,0)*VLOOKUP('Données projet'!$B$9,Paramètres!$A$1:$I$88,5,0)</f>
        <v>283.98240000000004</v>
      </c>
      <c r="P77" s="14">
        <f t="shared" si="87"/>
        <v>67.807911493441154</v>
      </c>
      <c r="Q77" s="22">
        <f t="shared" si="54"/>
        <v>612.70145918441006</v>
      </c>
      <c r="R77" s="62">
        <f t="shared" si="55"/>
        <v>906.03479251774343</v>
      </c>
      <c r="S77" s="62">
        <f ca="1">AVERAGE(OFFSET($R$3,0,0,'Données projet'!$E$9+1,1))-AVERAGE(OFFSET($H$3,0,0,'Données projet'!$E$9+1,1))</f>
        <v>399.92909819003523</v>
      </c>
      <c r="T77" s="62">
        <f t="shared" si="88"/>
        <v>163.7053537268381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projet'!$B$10,Paramètres!$A$1:$I$88,3,0)*VLOOKUP('Données projet'!$B$10,Paramètres!$A$1:$I$88,5,0)</f>
        <v>300.75551999999999</v>
      </c>
      <c r="AK77" s="14">
        <f t="shared" si="89"/>
        <v>71.334826294482014</v>
      </c>
      <c r="AL77" s="22">
        <f t="shared" si="58"/>
        <v>648.05735312955619</v>
      </c>
      <c r="AM77" s="62">
        <f t="shared" si="59"/>
        <v>941.39068646288956</v>
      </c>
      <c r="AN77" s="62">
        <f ca="1">AVERAGE(OFFSET($AM$3,0,0,'Données projet'!$E$10+1,1))-AVERAGE(OFFSET($H$3,0,0,'Données projet'!$E$10+1,1))</f>
        <v>510.56580450928806</v>
      </c>
      <c r="AO77" s="62">
        <f t="shared" si="90"/>
        <v>278.21741231699929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327.8</v>
      </c>
      <c r="BE77" s="14">
        <f>BD77*VLOOKUP('Données projet'!$B$11,Paramètres!$A$1:$I$88,3,0)*VLOOKUP('Données projet'!$B$11,Paramètres!$A$1:$I$88,5,0)</f>
        <v>311.93448000000001</v>
      </c>
      <c r="BF77" s="14">
        <f t="shared" si="91"/>
        <v>73.672680205170593</v>
      </c>
      <c r="BG77" s="22">
        <f t="shared" si="61"/>
        <v>671.59913735733869</v>
      </c>
      <c r="BH77" s="62">
        <f t="shared" si="62"/>
        <v>964.93247069067206</v>
      </c>
      <c r="BI77" s="62">
        <f ca="1">AVERAGE(OFFSET($BH$3,0,0,'Données projet'!$E$11+1,1))-AVERAGE(OFFSET($H$3,0,0,'Données projet'!$E$11+1,1))</f>
        <v>525.51330555662139</v>
      </c>
      <c r="BJ77" s="62">
        <f t="shared" si="92"/>
        <v>357.72390083433635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1.7053025658242404E-13</v>
      </c>
      <c r="BZ77" s="14">
        <f>BY77*VLOOKUP('Données projet'!$B$12,Paramètres!$A$1:$I$88,3,0)*VLOOKUP('Données projet'!$B$12,Paramètres!$A$1:$I$88,5,0)</f>
        <v>1.0197709343628959E-13</v>
      </c>
      <c r="CA77" s="14">
        <f t="shared" si="93"/>
        <v>1.5284983994279675E-12</v>
      </c>
      <c r="CB77" s="22">
        <f t="shared" si="64"/>
        <v>2.839744816738581E-12</v>
      </c>
      <c r="CC77" s="62">
        <f t="shared" si="65"/>
        <v>293.33333333333616</v>
      </c>
      <c r="CD77" s="62">
        <f ca="1">AVERAGE(OFFSET($CC$3,0,0,'Données projet'!$E$12+1,1))-AVERAGE(OFFSET($H$3,0,0,'Données projet'!$E$12+1,1))</f>
        <v>227.46616726010473</v>
      </c>
      <c r="CE77" s="62">
        <f t="shared" si="94"/>
        <v>314.188568589113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50.341083044637131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3.314298064151342E-3</v>
      </c>
      <c r="CN77" s="24">
        <f t="shared" si="66"/>
        <v>50.344397342701285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>
        <f>VLOOKUP(A77,'Données projet'!$A$139:$I$159,2,0)</f>
        <v>561</v>
      </c>
      <c r="CR77" s="13">
        <f>VLOOKUP(A77,'Données projet'!$A$139:$I$159,9,0)</f>
        <v>16.375</v>
      </c>
      <c r="CS77" s="13">
        <f t="array" ref="CS77">INDEX(CR:CR,MIN(IF(ISNUMBER(CR77:CR273),ROW(CR77:CR273),"")))</f>
        <v>16.375</v>
      </c>
      <c r="CT77" s="13">
        <f>IF('Données projet'!$A$140&gt;35,CT76+CS77-DB76,IF(A77&lt;'Données projet'!$A$140,$CQ$205^A77,IF(A77='Données projet'!$A$140,'Données projet'!$B$140,CT76+CS77-DB76)))</f>
        <v>561</v>
      </c>
      <c r="CU77" s="18">
        <f>CT77*VLOOKUP('Données projet'!$B$13,Paramètres!$A$1:$I$88,3,0)*VLOOKUP('Données projet'!$B$13,Paramètres!$A$1:$I$88,5,0)</f>
        <v>335.47800000000001</v>
      </c>
      <c r="CV77" s="14">
        <f t="shared" si="95"/>
        <v>78.564945802732936</v>
      </c>
      <c r="CW77" s="22">
        <f t="shared" si="67"/>
        <v>721.12479727309312</v>
      </c>
      <c r="CX77" s="62">
        <f t="shared" si="68"/>
        <v>1014.4581306064265</v>
      </c>
      <c r="CY77" s="62">
        <f ca="1">AVERAGE(OFFSET($CX$3,0,0,'Données projet'!$E$13+1,1))-AVERAGE(OFFSET($H$3,0,0,'Données projet'!$E$13+1,1))</f>
        <v>356.46794174556311</v>
      </c>
      <c r="CZ77" s="62">
        <f t="shared" si="96"/>
        <v>248.47107558211923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0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projet'!$B$14,Paramètres!$A$1:$I$88,3,0)*VLOOKUP('Données projet'!$B$14,Paramètres!$A$1:$I$88,5,0)</f>
        <v>6.3550942286383367E-14</v>
      </c>
      <c r="DQ77" s="14">
        <f t="shared" si="97"/>
        <v>1.0064464192543978E-12</v>
      </c>
      <c r="DR77" s="22">
        <f t="shared" si="70"/>
        <v>1.8635787380168604E-12</v>
      </c>
      <c r="DS77" s="62">
        <f t="shared" si="71"/>
        <v>293.33333333333519</v>
      </c>
      <c r="DT77" s="62">
        <f ca="1">AVERAGE(OFFSET($DS$3,0,0,'Données projet'!$E$14+1,1))-AVERAGE(OFFSET($H$3,0,0,'Données projet'!$E$14+1,1))</f>
        <v>397.04445188588369</v>
      </c>
      <c r="DU77" s="62">
        <f t="shared" si="98"/>
        <v>350.01856672839466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2.0992946577692493</v>
      </c>
      <c r="EB77" s="23">
        <f>EXP(-LN(2)/25)*EB76+(1-EXP(-LN(2)/25))/(LN(2)/25)*Calculateur!DW77*Calculateur!DY77*VLOOKUP('Données projet'!$B$14,Paramètres!$A$1:$I$88,3,0)*0.475*44/12</f>
        <v>0</v>
      </c>
      <c r="EC77" s="23">
        <f>EXP(-LN(2)/2)*EC76+(1-EXP(-LN(2)/2))/(LN(2)/2)*DW77*DZ77*VLOOKUP('Données projet'!$B$14,Paramètres!$A$1:$I$88,3,0)*0.475*44/12</f>
        <v>3.8630240131670822E-6</v>
      </c>
      <c r="ED77" s="24">
        <f t="shared" si="72"/>
        <v>2.0992985207932624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1.8800000000000012</v>
      </c>
      <c r="EJ77" s="13">
        <f>IF('Données projet'!$A$192&gt;35,EJ76+EI77-ER76,IF(A77&lt;'Données projet'!$A$192,$EG$205^A77,IF(A77='Données projet'!$A$192,'Données projet'!$B$192,EJ76+EI77-ER76)))</f>
        <v>158.21999999999986</v>
      </c>
      <c r="EK77" s="18">
        <f>EJ77*VLOOKUP('Données projet'!$B$15,Paramètres!$A$1:$I$88,3,0)*VLOOKUP('Données projet'!$B$15,Paramètres!$A$1:$I$88,5,0)</f>
        <v>138.22099199999988</v>
      </c>
      <c r="EL77" s="14">
        <f t="shared" si="99"/>
        <v>35.889156904783945</v>
      </c>
      <c r="EM77" s="22">
        <f t="shared" si="73"/>
        <v>303.24184267583183</v>
      </c>
      <c r="EN77" s="62">
        <f t="shared" si="74"/>
        <v>596.57517600916515</v>
      </c>
      <c r="EO77" s="62">
        <f ca="1">AVERAGE(OFFSET($EN$3,0,0,'Données projet'!$E$15+1,1))-AVERAGE(OFFSET($H$3,0,0,'Données projet'!$E$15+1,1))</f>
        <v>202.5548390231225</v>
      </c>
      <c r="EP77" s="62">
        <f t="shared" si="100"/>
        <v>184.62184077734179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projet'!$B$15,Paramètres!$A$1:$I$88,3,0)*0.475*44/12</f>
        <v>0</v>
      </c>
      <c r="EW77" s="23">
        <f>EXP(-LN(2)/25)*EW76+(1-EXP(-LN(2)/25))/(LN(2)/25)*Calculateur!ER77*Calculateur!ET77*VLOOKUP('Données projet'!$B$15,Paramètres!$A$1:$I$88,3,0)*0.475*44/12</f>
        <v>0</v>
      </c>
      <c r="EX77" s="23">
        <f>EXP(-LN(2)/2)*EX76+(1-EXP(-LN(2)/2))/(LN(2)/2)*ER77*EU77*VLOOKUP('Données projet'!$B$15,Paramètres!$A$1:$I$88,3,0)*0.475*44/12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266.7999999999999</v>
      </c>
      <c r="FF77" s="18">
        <f>FE77*VLOOKUP('Données projet'!$B$16,Paramètres!$A$1:$I$88,3,0)*VLOOKUP('Données projet'!$B$16,Paramètres!$A$1:$I$88,5,0)</f>
        <v>258.04895999999991</v>
      </c>
      <c r="FG77" s="14">
        <f t="shared" si="101"/>
        <v>62.306312932555763</v>
      </c>
      <c r="FH77" s="22">
        <f t="shared" si="76"/>
        <v>557.95210035753439</v>
      </c>
      <c r="FI77" s="62">
        <f t="shared" si="77"/>
        <v>851.28543369086765</v>
      </c>
      <c r="FJ77" s="62">
        <f ca="1">AVERAGE(OFFSET($FI$3,0,0,'Données projet'!$E$16+1,1))-AVERAGE(OFFSET($H$3,0,0,'Données projet'!$E$16+1,1))</f>
        <v>456.96274622094955</v>
      </c>
      <c r="FK77" s="62">
        <f t="shared" si="102"/>
        <v>244.45149244446094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projet'!$B$16,Paramètres!$A$1:$I$88,3,0)*0.475*44/12</f>
        <v>0</v>
      </c>
      <c r="FR77" s="23">
        <f>EXP(-LN(2)/25)*FR76+(1-EXP(-LN(2)/25))/(LN(2)/25)*Calculateur!FM77*Calculateur!FO77*VLOOKUP('Données projet'!$B$16,Paramètres!$A$1:$I$88,3,0)*0.475*44/12</f>
        <v>0</v>
      </c>
      <c r="FS77" s="23">
        <f>EXP(-LN(2)/2)*FS76+(1-EXP(-LN(2)/2))/(LN(2)/2)*FM77*FP77*VLOOKUP('Données projet'!$B$16,Paramètres!$A$1:$I$88,3,0)*0.475*44/12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6.2</v>
      </c>
      <c r="FZ77" s="13">
        <f>IF('Données projet'!$A$244&gt;35,FZ76+FY77-GH76,IF(A77&lt;'Données projet'!$A$244,$FW$205^A77,IF(A77='Données projet'!$A$244,'Données projet'!$B$244,FZ76+FY77-GH76)))</f>
        <v>266.7999999999999</v>
      </c>
      <c r="GA77" s="18">
        <f>FZ77*VLOOKUP('Données projet'!$B$17,Paramètres!$A$1:$I$88,3,0)*VLOOKUP('Données projet'!$B$17,Paramètres!$A$1:$I$88,5,0)</f>
        <v>287.18351999999987</v>
      </c>
      <c r="GB77" s="14">
        <f t="shared" si="103"/>
        <v>68.482847789276349</v>
      </c>
      <c r="GC77" s="22">
        <f t="shared" si="79"/>
        <v>619.45225723298938</v>
      </c>
      <c r="GD77" s="62">
        <f t="shared" si="80"/>
        <v>912.78559056632275</v>
      </c>
      <c r="GE77" s="62">
        <f ca="1">AVERAGE(OFFSET($GD$3,0,0,'Données projet'!$E$17+1,1))-AVERAGE(OFFSET($H$3,0,0,'Données projet'!$E$17+1,1))</f>
        <v>503.69304261527651</v>
      </c>
      <c r="GF77" s="62">
        <f t="shared" si="104"/>
        <v>267.2998309535638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projet'!$B$17,Paramètres!$A$1:$I$88,3,0)*0.475*44/12</f>
        <v>0</v>
      </c>
      <c r="GM77" s="23">
        <f>EXP(-LN(2)/25)*GM76+(1-EXP(-LN(2)/25))/(LN(2)/25)*Calculateur!GH77*Calculateur!GJ77*VLOOKUP('Données projet'!$B$17,Paramètres!$A$1:$I$88,3,0)*0.475*44/12</f>
        <v>0</v>
      </c>
      <c r="GN77" s="23">
        <f>EXP(-LN(2)/2)*GN76+(1-EXP(-LN(2)/2))/(LN(2)/2)*GH77*GK77*VLOOKUP('Données projet'!$B$17,Paramètres!$A$1:$I$88,3,0)*0.475*44/12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7.6</v>
      </c>
      <c r="GU77" s="13">
        <f>IF('Données projet'!$A$270&gt;35,GU76+GT77-HC76,IF(A77&lt;'Données projet'!$A$270,$GR$205^A77,IF(A77='Données projet'!$A$270,'Données projet'!$B$270,GU76+GT77-HC76)))</f>
        <v>332.40000000000003</v>
      </c>
      <c r="GV77" s="18">
        <f>GU77*VLOOKUP('Données projet'!$B$18,Paramètres!$A$1:$I$88,3,0)*VLOOKUP('Données projet'!$B$18,Paramètres!$A$1:$I$88,5,0)</f>
        <v>347.42448000000007</v>
      </c>
      <c r="GW77" s="14">
        <f t="shared" si="105"/>
        <v>81.031957173559519</v>
      </c>
      <c r="GX77" s="22">
        <f t="shared" si="82"/>
        <v>746.22829474394973</v>
      </c>
      <c r="GY77" s="62">
        <f t="shared" si="83"/>
        <v>1039.5616280772831</v>
      </c>
      <c r="GZ77" s="62">
        <f ca="1">AVERAGE(OFFSET($GY$3,0,0,'Données projet'!$E$18+1,1))-AVERAGE(OFFSET($H$3,0,0,'Données projet'!$E$18+1,1))</f>
        <v>582.89879210197682</v>
      </c>
      <c r="HA77" s="62">
        <f t="shared" si="106"/>
        <v>314.72094983133326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projet'!$B$18,Paramètres!$A$1:$I$88,3,0)*0.475*44/12</f>
        <v>0</v>
      </c>
      <c r="HH77" s="23">
        <f>EXP(-LN(2)/25)*HH76+(1-EXP(-LN(2)/25))/(LN(2)/25)*Calculateur!HC77*Calculateur!HE77*VLOOKUP('Données projet'!$B$18,Paramètres!$A$1:$I$88,3,0)*0.475*44/12</f>
        <v>0</v>
      </c>
      <c r="HI77" s="23">
        <f>EXP(-LN(2)/2)*HI76+(1-EXP(-LN(2)/2))/(LN(2)/2)*HC77*HF77*VLOOKUP('Données projet'!$B$18,Paramètres!$A$1:$I$88,3,0)*0.475*44/12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21.2</v>
      </c>
      <c r="N78" s="14">
        <f>IF('Données projet'!$A$36&gt;35,N77+M78-V77,IF(A78&lt;'Données projet'!$A$36,$K$205^A78,IF(A78='Données projet'!$A$36,'Données projet'!$B$36,N77+M78-V77)))</f>
        <v>628.00000000000011</v>
      </c>
      <c r="O78" s="14">
        <f>N78*VLOOKUP('Données projet'!$B$9,Paramètres!$A$1:$I$88,3,0)*VLOOKUP('Données projet'!$B$9,Paramètres!$A$1:$I$88,5,0)</f>
        <v>293.90400000000005</v>
      </c>
      <c r="P78" s="14">
        <f t="shared" si="87"/>
        <v>69.896984831773324</v>
      </c>
      <c r="Q78" s="22">
        <f t="shared" si="54"/>
        <v>633.62004858200532</v>
      </c>
      <c r="R78" s="62">
        <f t="shared" si="55"/>
        <v>926.9533819153387</v>
      </c>
      <c r="S78" s="62">
        <f ca="1">AVERAGE(OFFSET($R$3,0,0,'Données projet'!$E$9+1,1))-AVERAGE(OFFSET($H$3,0,0,'Données projet'!$E$9+1,1))</f>
        <v>399.92909819003523</v>
      </c>
      <c r="T78" s="62">
        <f t="shared" si="88"/>
        <v>163.7053537268381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projet'!$B$10,Paramètres!$A$1:$I$88,3,0)*VLOOKUP('Données projet'!$B$10,Paramètres!$A$1:$I$88,5,0)</f>
        <v>307.63200000000006</v>
      </c>
      <c r="AK78" s="14">
        <f t="shared" si="89"/>
        <v>72.774077039465567</v>
      </c>
      <c r="AL78" s="22">
        <f t="shared" si="58"/>
        <v>662.54058417706926</v>
      </c>
      <c r="AM78" s="62">
        <f t="shared" si="59"/>
        <v>955.87391751040263</v>
      </c>
      <c r="AN78" s="62">
        <f ca="1">AVERAGE(OFFSET($AM$3,0,0,'Données projet'!$E$10+1,1))-AVERAGE(OFFSET($H$3,0,0,'Données projet'!$E$10+1,1))</f>
        <v>510.56580450928806</v>
      </c>
      <c r="AO78" s="62">
        <f t="shared" si="90"/>
        <v>278.21741231699929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334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334</v>
      </c>
      <c r="BE78" s="14">
        <f>BD78*VLOOKUP('Données projet'!$B$11,Paramètres!$A$1:$I$88,3,0)*VLOOKUP('Données projet'!$B$11,Paramètres!$A$1:$I$88,5,0)</f>
        <v>317.83440000000002</v>
      </c>
      <c r="BF78" s="14">
        <f t="shared" si="91"/>
        <v>74.902580542853116</v>
      </c>
      <c r="BG78" s="22">
        <f t="shared" si="61"/>
        <v>684.01690777880265</v>
      </c>
      <c r="BH78" s="62">
        <f t="shared" si="62"/>
        <v>977.35024111213602</v>
      </c>
      <c r="BI78" s="62">
        <f ca="1">AVERAGE(OFFSET($BH$3,0,0,'Données projet'!$E$11+1,1))-AVERAGE(OFFSET($H$3,0,0,'Données projet'!$E$11+1,1))</f>
        <v>525.51330555662139</v>
      </c>
      <c r="BJ78" s="62">
        <f t="shared" si="92"/>
        <v>357.72390083433635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1.7053025658242404E-13</v>
      </c>
      <c r="BZ78" s="14">
        <f>BY78*VLOOKUP('Données projet'!$B$12,Paramètres!$A$1:$I$88,3,0)*VLOOKUP('Données projet'!$B$12,Paramètres!$A$1:$I$88,5,0)</f>
        <v>1.0197709343628959E-13</v>
      </c>
      <c r="CA78" s="14">
        <f t="shared" si="93"/>
        <v>1.5284983994279675E-12</v>
      </c>
      <c r="CB78" s="22">
        <f t="shared" si="64"/>
        <v>2.839744816738581E-12</v>
      </c>
      <c r="CC78" s="62">
        <f t="shared" si="65"/>
        <v>293.33333333333616</v>
      </c>
      <c r="CD78" s="62">
        <f ca="1">AVERAGE(OFFSET($CC$3,0,0,'Données projet'!$E$12+1,1))-AVERAGE(OFFSET($H$3,0,0,'Données projet'!$E$12+1,1))</f>
        <v>227.46616726010473</v>
      </c>
      <c r="CE78" s="62">
        <f t="shared" si="94"/>
        <v>314.188568589113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49.353925111160585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2.3435626360348611E-3</v>
      </c>
      <c r="CN78" s="24">
        <f t="shared" si="66"/>
        <v>49.35626867379662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10.25</v>
      </c>
      <c r="CT78" s="13">
        <f>IF('Données projet'!$A$140&gt;35,CT77+CS78-DB77,IF(A78&lt;'Données projet'!$A$140,$CQ$205^A78,IF(A78='Données projet'!$A$140,'Données projet'!$B$140,CT77+CS78-DB77)))</f>
        <v>571.25</v>
      </c>
      <c r="CU78" s="18">
        <f>CT78*VLOOKUP('Données projet'!$B$13,Paramètres!$A$1:$I$88,3,0)*VLOOKUP('Données projet'!$B$13,Paramètres!$A$1:$I$88,5,0)</f>
        <v>341.60750000000007</v>
      </c>
      <c r="CV78" s="14">
        <f t="shared" si="95"/>
        <v>79.831974871724839</v>
      </c>
      <c r="CW78" s="22">
        <f t="shared" si="67"/>
        <v>734.00708540158746</v>
      </c>
      <c r="CX78" s="62">
        <f t="shared" si="68"/>
        <v>1027.3404187349208</v>
      </c>
      <c r="CY78" s="62">
        <f ca="1">AVERAGE(OFFSET($CX$3,0,0,'Données projet'!$E$13+1,1))-AVERAGE(OFFSET($H$3,0,0,'Données projet'!$E$13+1,1))</f>
        <v>356.46794174556311</v>
      </c>
      <c r="CZ78" s="62">
        <f t="shared" si="96"/>
        <v>248.47107558211923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0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projet'!$B$14,Paramètres!$A$1:$I$88,3,0)*VLOOKUP('Données projet'!$B$14,Paramètres!$A$1:$I$88,5,0)</f>
        <v>6.3550942286383367E-14</v>
      </c>
      <c r="DQ78" s="14">
        <f t="shared" si="97"/>
        <v>1.0064464192543978E-12</v>
      </c>
      <c r="DR78" s="22">
        <f t="shared" si="70"/>
        <v>1.8635787380168604E-12</v>
      </c>
      <c r="DS78" s="62">
        <f t="shared" si="71"/>
        <v>293.33333333333519</v>
      </c>
      <c r="DT78" s="62">
        <f ca="1">AVERAGE(OFFSET($DS$3,0,0,'Données projet'!$E$14+1,1))-AVERAGE(OFFSET($H$3,0,0,'Données projet'!$E$14+1,1))</f>
        <v>397.04445188588369</v>
      </c>
      <c r="DU78" s="62">
        <f t="shared" si="98"/>
        <v>350.01856672839466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2.0581287699737021</v>
      </c>
      <c r="EB78" s="23">
        <f>EXP(-LN(2)/25)*EB77+(1-EXP(-LN(2)/25))/(LN(2)/25)*Calculateur!DW78*Calculateur!DY78*VLOOKUP('Données projet'!$B$14,Paramètres!$A$1:$I$88,3,0)*0.475*44/12</f>
        <v>0</v>
      </c>
      <c r="EC78" s="23">
        <f>EXP(-LN(2)/2)*EC77+(1-EXP(-LN(2)/2))/(LN(2)/2)*DW78*DZ78*VLOOKUP('Données projet'!$B$14,Paramètres!$A$1:$I$88,3,0)*0.475*44/12</f>
        <v>2.7315704755969147E-6</v>
      </c>
      <c r="ED78" s="24">
        <f t="shared" si="72"/>
        <v>2.0581315015441777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160.1</v>
      </c>
      <c r="EH78" s="13">
        <f>VLOOKUP(A78,'Données projet'!$A$191:$I$211,9,0)</f>
        <v>1.8800000000000012</v>
      </c>
      <c r="EI78" s="13">
        <f t="array" ref="EI78">INDEX(EH:EH,MIN(IF(ISNUMBER(EH78:EH274),ROW(EH78:EH274),"")))</f>
        <v>1.8800000000000012</v>
      </c>
      <c r="EJ78" s="13">
        <f>IF('Données projet'!$A$192&gt;35,EJ77+EI78-ER77,IF(A78&lt;'Données projet'!$A$192,$EG$205^A78,IF(A78='Données projet'!$A$192,'Données projet'!$B$192,EJ77+EI78-ER77)))</f>
        <v>160.09999999999985</v>
      </c>
      <c r="EK78" s="18">
        <f>EJ78*VLOOKUP('Données projet'!$B$15,Paramètres!$A$1:$I$88,3,0)*VLOOKUP('Données projet'!$B$15,Paramètres!$A$1:$I$88,5,0)</f>
        <v>139.86335999999989</v>
      </c>
      <c r="EL78" s="14">
        <f t="shared" si="99"/>
        <v>36.265701411052667</v>
      </c>
      <c r="EM78" s="22">
        <f t="shared" si="73"/>
        <v>306.75811529091652</v>
      </c>
      <c r="EN78" s="62">
        <f t="shared" si="74"/>
        <v>600.09144862424978</v>
      </c>
      <c r="EO78" s="62">
        <f ca="1">AVERAGE(OFFSET($EN$3,0,0,'Données projet'!$E$15+1,1))-AVERAGE(OFFSET($H$3,0,0,'Données projet'!$E$15+1,1))</f>
        <v>202.5548390231225</v>
      </c>
      <c r="EP78" s="62">
        <f t="shared" si="100"/>
        <v>184.62184077734179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projet'!$B$15,Paramètres!$A$1:$I$88,3,0)*0.475*44/12</f>
        <v>0</v>
      </c>
      <c r="EW78" s="23">
        <f>EXP(-LN(2)/25)*EW77+(1-EXP(-LN(2)/25))/(LN(2)/25)*Calculateur!ER78*Calculateur!ET78*VLOOKUP('Données projet'!$B$15,Paramètres!$A$1:$I$88,3,0)*0.475*44/12</f>
        <v>0</v>
      </c>
      <c r="EX78" s="23">
        <f>EXP(-LN(2)/2)*EX77+(1-EXP(-LN(2)/2))/(LN(2)/2)*ER78*EU78*VLOOKUP('Données projet'!$B$15,Paramètres!$A$1:$I$88,3,0)*0.475*44/12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273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272.99999999999989</v>
      </c>
      <c r="FF78" s="18">
        <f>FE78*VLOOKUP('Données projet'!$B$16,Paramètres!$A$1:$I$88,3,0)*VLOOKUP('Données projet'!$B$16,Paramètres!$A$1:$I$88,5,0)</f>
        <v>264.04559999999992</v>
      </c>
      <c r="FG78" s="14">
        <f t="shared" si="101"/>
        <v>63.58395992997368</v>
      </c>
      <c r="FH78" s="22">
        <f t="shared" si="76"/>
        <v>570.62148354470401</v>
      </c>
      <c r="FI78" s="62">
        <f t="shared" si="77"/>
        <v>863.95481687803726</v>
      </c>
      <c r="FJ78" s="62">
        <f ca="1">AVERAGE(OFFSET($FI$3,0,0,'Données projet'!$E$16+1,1))-AVERAGE(OFFSET($H$3,0,0,'Données projet'!$E$16+1,1))</f>
        <v>456.96274622094955</v>
      </c>
      <c r="FK78" s="62">
        <f t="shared" si="102"/>
        <v>244.45149244446094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42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projet'!$B$16,Paramètres!$A$1:$I$88,3,0)*0.475*44/12</f>
        <v>0</v>
      </c>
      <c r="FR78" s="23">
        <f>EXP(-LN(2)/25)*FR77+(1-EXP(-LN(2)/25))/(LN(2)/25)*Calculateur!FM78*Calculateur!FO78*VLOOKUP('Données projet'!$B$16,Paramètres!$A$1:$I$88,3,0)*0.475*44/12</f>
        <v>0</v>
      </c>
      <c r="FS78" s="23">
        <f>EXP(-LN(2)/2)*FS77+(1-EXP(-LN(2)/2))/(LN(2)/2)*FM78*FP78*VLOOKUP('Données projet'!$B$16,Paramètres!$A$1:$I$88,3,0)*0.475*44/12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273</v>
      </c>
      <c r="FX78" s="13">
        <f>VLOOKUP(A78,'Données projet'!$A$243:$I$263,9,0)</f>
        <v>6.2</v>
      </c>
      <c r="FY78" s="13">
        <f t="array" ref="FY78">INDEX(FX:FX,MIN(IF(ISNUMBER(FX78:FX274),ROW(FX78:FX274),"")))</f>
        <v>6.2</v>
      </c>
      <c r="FZ78" s="13">
        <f>IF('Données projet'!$A$244&gt;35,FZ77+FY78-GH77,IF(A78&lt;'Données projet'!$A$244,$FW$205^A78,IF(A78='Données projet'!$A$244,'Données projet'!$B$244,FZ77+FY78-GH77)))</f>
        <v>272.99999999999989</v>
      </c>
      <c r="GA78" s="18">
        <f>FZ78*VLOOKUP('Données projet'!$B$17,Paramètres!$A$1:$I$88,3,0)*VLOOKUP('Données projet'!$B$17,Paramètres!$A$1:$I$88,5,0)</f>
        <v>293.85719999999986</v>
      </c>
      <c r="GB78" s="14">
        <f t="shared" si="103"/>
        <v>69.887150190339781</v>
      </c>
      <c r="GC78" s="22">
        <f t="shared" si="79"/>
        <v>633.52140991484157</v>
      </c>
      <c r="GD78" s="62">
        <f t="shared" si="80"/>
        <v>926.85474324817483</v>
      </c>
      <c r="GE78" s="62">
        <f ca="1">AVERAGE(OFFSET($GD$3,0,0,'Données projet'!$E$17+1,1))-AVERAGE(OFFSET($H$3,0,0,'Données projet'!$E$17+1,1))</f>
        <v>503.69304261527651</v>
      </c>
      <c r="GF78" s="62">
        <f t="shared" si="104"/>
        <v>267.2998309535638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42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projet'!$B$17,Paramètres!$A$1:$I$88,3,0)*0.475*44/12</f>
        <v>0</v>
      </c>
      <c r="GM78" s="23">
        <f>EXP(-LN(2)/25)*GM77+(1-EXP(-LN(2)/25))/(LN(2)/25)*Calculateur!GH78*Calculateur!GJ78*VLOOKUP('Données projet'!$B$17,Paramètres!$A$1:$I$88,3,0)*0.475*44/12</f>
        <v>0</v>
      </c>
      <c r="GN78" s="23">
        <f>EXP(-LN(2)/2)*GN77+(1-EXP(-LN(2)/2))/(LN(2)/2)*GH78*GK78*VLOOKUP('Données projet'!$B$17,Paramètres!$A$1:$I$88,3,0)*0.475*44/12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340</v>
      </c>
      <c r="GS78" s="13">
        <f>VLOOKUP(A78,'Données projet'!$A$269:$I$289,9,0)</f>
        <v>7.6</v>
      </c>
      <c r="GT78" s="13">
        <f t="array" ref="GT78">INDEX(GS:GS,MIN(IF(ISNUMBER(GS78:GS274),ROW(GS78:GS274),"")))</f>
        <v>7.6</v>
      </c>
      <c r="GU78" s="13">
        <f>IF('Données projet'!$A$270&gt;35,GU77+GT78-HC77,IF(A78&lt;'Données projet'!$A$270,$GR$205^A78,IF(A78='Données projet'!$A$270,'Données projet'!$B$270,GU77+GT78-HC77)))</f>
        <v>340.00000000000006</v>
      </c>
      <c r="GV78" s="18">
        <f>GU78*VLOOKUP('Données projet'!$B$18,Paramètres!$A$1:$I$88,3,0)*VLOOKUP('Données projet'!$B$18,Paramètres!$A$1:$I$88,5,0)</f>
        <v>355.36800000000005</v>
      </c>
      <c r="GW78" s="14">
        <f t="shared" si="105"/>
        <v>82.666857134597876</v>
      </c>
      <c r="GX78" s="22">
        <f t="shared" si="82"/>
        <v>762.91070950942469</v>
      </c>
      <c r="GY78" s="62">
        <f t="shared" si="83"/>
        <v>1056.2440428427581</v>
      </c>
      <c r="GZ78" s="62">
        <f ca="1">AVERAGE(OFFSET($GY$3,0,0,'Données projet'!$E$18+1,1))-AVERAGE(OFFSET($H$3,0,0,'Données projet'!$E$18+1,1))</f>
        <v>582.89879210197682</v>
      </c>
      <c r="HA78" s="62">
        <f t="shared" si="106"/>
        <v>314.72094983133326</v>
      </c>
      <c r="HB78" s="16">
        <f>IF(ISNA(VLOOKUP(A78,'Données projet'!$A$269:$I$289,3,0)),0,VLOOKUP(A78,'Données projet'!$A$269:$I$289,3,0))</f>
        <v>6</v>
      </c>
      <c r="HC78" s="16">
        <f>IF(ISNA(VLOOKUP(A78,'Données projet'!$A$269:$I$289,4,0)),0,VLOOKUP(A78,'Données projet'!$A$269:$I$289,4,0))</f>
        <v>56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projet'!$B$18,Paramètres!$A$1:$I$88,3,0)*0.475*44/12</f>
        <v>0</v>
      </c>
      <c r="HH78" s="23">
        <f>EXP(-LN(2)/25)*HH77+(1-EXP(-LN(2)/25))/(LN(2)/25)*Calculateur!HC78*Calculateur!HE78*VLOOKUP('Données projet'!$B$18,Paramètres!$A$1:$I$88,3,0)*0.475*44/12</f>
        <v>0</v>
      </c>
      <c r="HI78" s="23">
        <f>EXP(-LN(2)/2)*HI77+(1-EXP(-LN(2)/2))/(LN(2)/2)*HC78*HF78*VLOOKUP('Données projet'!$B$18,Paramètres!$A$1:$I$88,3,0)*0.475*44/12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21.2</v>
      </c>
      <c r="N79" s="14">
        <f>IF('Données projet'!$A$36&gt;35,N78+M79-V78,IF(A79&lt;'Données projet'!$A$36,$K$205^A79,IF(A79='Données projet'!$A$36,'Données projet'!$B$36,N78+M79-V78)))</f>
        <v>649.20000000000016</v>
      </c>
      <c r="O79" s="14">
        <f>N79*VLOOKUP('Données projet'!$B$9,Paramètres!$A$1:$I$88,3,0)*VLOOKUP('Données projet'!$B$9,Paramètres!$A$1:$I$88,5,0)</f>
        <v>303.82560000000007</v>
      </c>
      <c r="P79" s="14">
        <f t="shared" si="87"/>
        <v>71.977863772206462</v>
      </c>
      <c r="Q79" s="22">
        <f t="shared" si="54"/>
        <v>654.52436606992637</v>
      </c>
      <c r="R79" s="62">
        <f t="shared" si="55"/>
        <v>947.85769940325963</v>
      </c>
      <c r="S79" s="62">
        <f ca="1">AVERAGE(OFFSET($R$3,0,0,'Données projet'!$E$9+1,1))-AVERAGE(OFFSET($H$3,0,0,'Données projet'!$E$9+1,1))</f>
        <v>399.92909819003523</v>
      </c>
      <c r="T79" s="62">
        <f t="shared" si="88"/>
        <v>163.7053537268381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</v>
      </c>
      <c r="AI79" s="14">
        <f>IF('Données projet'!$A$62&gt;35,AI78+AH79-AQ78,IF(A79&lt;'Données projet'!$A$62,$AF$205^A79,IF(A79='Données projet'!$A$62,'Données projet'!$B$62,AI78+AH79-AQ78)))</f>
        <v>291.00000000000006</v>
      </c>
      <c r="AJ79" s="14">
        <f>AI79*VLOOKUP('Données projet'!$B$10,Paramètres!$A$1:$I$88,3,0)*VLOOKUP('Données projet'!$B$10,Paramètres!$A$1:$I$88,5,0)</f>
        <v>263.29680000000008</v>
      </c>
      <c r="AK79" s="14">
        <f t="shared" si="89"/>
        <v>63.424606311701645</v>
      </c>
      <c r="AL79" s="22">
        <f t="shared" si="58"/>
        <v>569.03978265954709</v>
      </c>
      <c r="AM79" s="62">
        <f t="shared" si="59"/>
        <v>862.37311599288046</v>
      </c>
      <c r="AN79" s="62">
        <f ca="1">AVERAGE(OFFSET($AM$3,0,0,'Données projet'!$E$10+1,1))-AVERAGE(OFFSET($H$3,0,0,'Données projet'!$E$10+1,1))</f>
        <v>510.56580450928806</v>
      </c>
      <c r="AO79" s="62">
        <f t="shared" si="90"/>
        <v>278.21741231699929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IF('Données projet'!$A$88&gt;35,BD78+BC79-BL78,IF(A79&lt;'Données projet'!$A$88,$BA$205^A79,IF(A79='Données projet'!$A$88,'Données projet'!$B$88,BD78+BC79-BL78)))</f>
        <v>297.89999999999998</v>
      </c>
      <c r="BE79" s="14">
        <f>BD79*VLOOKUP('Données projet'!$B$11,Paramètres!$A$1:$I$88,3,0)*VLOOKUP('Données projet'!$B$11,Paramètres!$A$1:$I$88,5,0)</f>
        <v>283.48164000000003</v>
      </c>
      <c r="BF79" s="14">
        <f t="shared" si="91"/>
        <v>67.702249480950741</v>
      </c>
      <c r="BG79" s="22">
        <f t="shared" si="61"/>
        <v>611.64527417932254</v>
      </c>
      <c r="BH79" s="62">
        <f t="shared" si="62"/>
        <v>904.9786075126558</v>
      </c>
      <c r="BI79" s="62">
        <f ca="1">AVERAGE(OFFSET($BH$3,0,0,'Données projet'!$E$11+1,1))-AVERAGE(OFFSET($H$3,0,0,'Données projet'!$E$11+1,1))</f>
        <v>525.51330555662139</v>
      </c>
      <c r="BJ79" s="62">
        <f t="shared" si="92"/>
        <v>357.72390083433635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1.7053025658242404E-13</v>
      </c>
      <c r="BZ79" s="14">
        <f>BY79*VLOOKUP('Données projet'!$B$12,Paramètres!$A$1:$I$88,3,0)*VLOOKUP('Données projet'!$B$12,Paramètres!$A$1:$I$88,5,0)</f>
        <v>1.0197709343628959E-13</v>
      </c>
      <c r="CA79" s="14">
        <f t="shared" si="93"/>
        <v>1.5284983994279675E-12</v>
      </c>
      <c r="CB79" s="22">
        <f t="shared" si="64"/>
        <v>2.839744816738581E-12</v>
      </c>
      <c r="CC79" s="62">
        <f t="shared" si="65"/>
        <v>293.33333333333616</v>
      </c>
      <c r="CD79" s="62">
        <f ca="1">AVERAGE(OFFSET($CC$3,0,0,'Données projet'!$E$12+1,1))-AVERAGE(OFFSET($H$3,0,0,'Données projet'!$E$12+1,1))</f>
        <v>227.46616726010473</v>
      </c>
      <c r="CE79" s="62">
        <f t="shared" si="94"/>
        <v>314.188568589113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48.386124742652626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1.657149032075671E-3</v>
      </c>
      <c r="CN79" s="24">
        <f t="shared" si="66"/>
        <v>48.387781891684703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10.25</v>
      </c>
      <c r="CT79" s="13">
        <f>IF('Données projet'!$A$140&gt;35,CT78+CS79-DB78,IF(A79&lt;'Données projet'!$A$140,$CQ$205^A79,IF(A79='Données projet'!$A$140,'Données projet'!$B$140,CT78+CS79-DB78)))</f>
        <v>581.5</v>
      </c>
      <c r="CU79" s="18">
        <f>CT79*VLOOKUP('Données projet'!$B$13,Paramètres!$A$1:$I$88,3,0)*VLOOKUP('Données projet'!$B$13,Paramètres!$A$1:$I$88,5,0)</f>
        <v>347.73700000000002</v>
      </c>
      <c r="CV79" s="14">
        <f t="shared" si="95"/>
        <v>81.096360263680808</v>
      </c>
      <c r="CW79" s="22">
        <f t="shared" si="67"/>
        <v>746.88476912591068</v>
      </c>
      <c r="CX79" s="62">
        <f t="shared" si="68"/>
        <v>1040.2181024592439</v>
      </c>
      <c r="CY79" s="62">
        <f ca="1">AVERAGE(OFFSET($CX$3,0,0,'Données projet'!$E$13+1,1))-AVERAGE(OFFSET($H$3,0,0,'Données projet'!$E$13+1,1))</f>
        <v>356.46794174556311</v>
      </c>
      <c r="CZ79" s="62">
        <f t="shared" si="96"/>
        <v>248.47107558211923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0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projet'!$B$14,Paramètres!$A$1:$I$88,3,0)*VLOOKUP('Données projet'!$B$14,Paramètres!$A$1:$I$88,5,0)</f>
        <v>6.3550942286383367E-14</v>
      </c>
      <c r="DQ79" s="14">
        <f t="shared" si="97"/>
        <v>1.0064464192543978E-12</v>
      </c>
      <c r="DR79" s="22">
        <f t="shared" si="70"/>
        <v>1.8635787380168604E-12</v>
      </c>
      <c r="DS79" s="62">
        <f t="shared" si="71"/>
        <v>293.33333333333519</v>
      </c>
      <c r="DT79" s="62">
        <f ca="1">AVERAGE(OFFSET($DS$3,0,0,'Données projet'!$E$14+1,1))-AVERAGE(OFFSET($H$3,0,0,'Données projet'!$E$14+1,1))</f>
        <v>397.04445188588369</v>
      </c>
      <c r="DU79" s="62">
        <f t="shared" si="98"/>
        <v>350.01856672839466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2.0177701201291134</v>
      </c>
      <c r="EB79" s="23">
        <f>EXP(-LN(2)/25)*EB78+(1-EXP(-LN(2)/25))/(LN(2)/25)*Calculateur!DW79*Calculateur!DY79*VLOOKUP('Données projet'!$B$14,Paramètres!$A$1:$I$88,3,0)*0.475*44/12</f>
        <v>0</v>
      </c>
      <c r="EC79" s="23">
        <f>EXP(-LN(2)/2)*EC78+(1-EXP(-LN(2)/2))/(LN(2)/2)*DW79*DZ79*VLOOKUP('Données projet'!$B$14,Paramètres!$A$1:$I$88,3,0)*0.475*44/12</f>
        <v>1.9315120065835411E-6</v>
      </c>
      <c r="ED79" s="24">
        <f t="shared" si="72"/>
        <v>2.0177720516411202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1.7</v>
      </c>
      <c r="EJ79" s="13">
        <f>IF('Données projet'!$A$192&gt;35,EJ78+EI79-ER78,IF(A79&lt;'Données projet'!$A$192,$EG$205^A79,IF(A79='Données projet'!$A$192,'Données projet'!$B$192,EJ78+EI79-ER78)))</f>
        <v>161.79999999999984</v>
      </c>
      <c r="EK79" s="18">
        <f>EJ79*VLOOKUP('Données projet'!$B$15,Paramètres!$A$1:$I$88,3,0)*VLOOKUP('Données projet'!$B$15,Paramètres!$A$1:$I$88,5,0)</f>
        <v>141.34847999999988</v>
      </c>
      <c r="EL79" s="14">
        <f t="shared" si="99"/>
        <v>36.605750770707772</v>
      </c>
      <c r="EM79" s="22">
        <f t="shared" si="73"/>
        <v>309.93695192564911</v>
      </c>
      <c r="EN79" s="62">
        <f t="shared" si="74"/>
        <v>603.27028525898243</v>
      </c>
      <c r="EO79" s="62">
        <f ca="1">AVERAGE(OFFSET($EN$3,0,0,'Données projet'!$E$15+1,1))-AVERAGE(OFFSET($H$3,0,0,'Données projet'!$E$15+1,1))</f>
        <v>202.5548390231225</v>
      </c>
      <c r="EP79" s="62">
        <f t="shared" si="100"/>
        <v>184.62184077734179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projet'!$B$15,Paramètres!$A$1:$I$88,3,0)*0.475*44/12</f>
        <v>0</v>
      </c>
      <c r="EW79" s="23">
        <f>EXP(-LN(2)/25)*EW78+(1-EXP(-LN(2)/25))/(LN(2)/25)*Calculateur!ER79*Calculateur!ET79*VLOOKUP('Données projet'!$B$15,Paramètres!$A$1:$I$88,3,0)*0.475*44/12</f>
        <v>0</v>
      </c>
      <c r="EX79" s="23">
        <f>EXP(-LN(2)/2)*EX78+(1-EXP(-LN(2)/2))/(LN(2)/2)*ER79*EU79*VLOOKUP('Données projet'!$B$15,Paramètres!$A$1:$I$88,3,0)*0.475*44/12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5.9</v>
      </c>
      <c r="FE79" s="13">
        <f>IF('Données projet'!$A$218&gt;35,FE78+FD79-FM78,IF(A79&lt;'Données projet'!$A$218,$FB$205^A79,IF(A79='Données projet'!$A$218,'Données projet'!$B$218,FE78+FD79-FM78)))</f>
        <v>236.89999999999986</v>
      </c>
      <c r="FF79" s="18">
        <f>FE79*VLOOKUP('Données projet'!$B$16,Paramètres!$A$1:$I$88,3,0)*VLOOKUP('Données projet'!$B$16,Paramètres!$A$1:$I$88,5,0)</f>
        <v>229.12967999999987</v>
      </c>
      <c r="FG79" s="14">
        <f t="shared" si="101"/>
        <v>56.094456497146638</v>
      </c>
      <c r="FH79" s="22">
        <f t="shared" si="76"/>
        <v>496.76537106586352</v>
      </c>
      <c r="FI79" s="62">
        <f t="shared" si="77"/>
        <v>790.09870439919678</v>
      </c>
      <c r="FJ79" s="62">
        <f ca="1">AVERAGE(OFFSET($FI$3,0,0,'Données projet'!$E$16+1,1))-AVERAGE(OFFSET($H$3,0,0,'Données projet'!$E$16+1,1))</f>
        <v>456.96274622094955</v>
      </c>
      <c r="FK79" s="62">
        <f t="shared" si="102"/>
        <v>244.45149244446094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projet'!$B$16,Paramètres!$A$1:$I$88,3,0)*0.475*44/12</f>
        <v>0</v>
      </c>
      <c r="FR79" s="23">
        <f>EXP(-LN(2)/25)*FR78+(1-EXP(-LN(2)/25))/(LN(2)/25)*Calculateur!FM79*Calculateur!FO79*VLOOKUP('Données projet'!$B$16,Paramètres!$A$1:$I$88,3,0)*0.475*44/12</f>
        <v>0</v>
      </c>
      <c r="FS79" s="23">
        <f>EXP(-LN(2)/2)*FS78+(1-EXP(-LN(2)/2))/(LN(2)/2)*FM79*FP79*VLOOKUP('Données projet'!$B$16,Paramètres!$A$1:$I$88,3,0)*0.475*44/12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5.9</v>
      </c>
      <c r="FZ79" s="13">
        <f>IF('Données projet'!$A$244&gt;35,FZ78+FY79-GH78,IF(A79&lt;'Données projet'!$A$244,$FW$205^A79,IF(A79='Données projet'!$A$244,'Données projet'!$B$244,FZ78+FY79-GH78)))</f>
        <v>236.89999999999986</v>
      </c>
      <c r="GA79" s="18">
        <f>FZ79*VLOOKUP('Données projet'!$B$17,Paramètres!$A$1:$I$88,3,0)*VLOOKUP('Données projet'!$B$17,Paramètres!$A$1:$I$88,5,0)</f>
        <v>254.99915999999985</v>
      </c>
      <c r="GB79" s="14">
        <f t="shared" si="103"/>
        <v>61.655199053016801</v>
      </c>
      <c r="GC79" s="22">
        <f t="shared" si="79"/>
        <v>551.50634201733726</v>
      </c>
      <c r="GD79" s="62">
        <f t="shared" si="80"/>
        <v>844.83967535067063</v>
      </c>
      <c r="GE79" s="62">
        <f ca="1">AVERAGE(OFFSET($GD$3,0,0,'Données projet'!$E$17+1,1))-AVERAGE(OFFSET($H$3,0,0,'Données projet'!$E$17+1,1))</f>
        <v>503.69304261527651</v>
      </c>
      <c r="GF79" s="62">
        <f t="shared" si="104"/>
        <v>267.2998309535638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projet'!$B$17,Paramètres!$A$1:$I$88,3,0)*0.475*44/12</f>
        <v>0</v>
      </c>
      <c r="GM79" s="23">
        <f>EXP(-LN(2)/25)*GM78+(1-EXP(-LN(2)/25))/(LN(2)/25)*Calculateur!GH79*Calculateur!GJ79*VLOOKUP('Données projet'!$B$17,Paramètres!$A$1:$I$88,3,0)*0.475*44/12</f>
        <v>0</v>
      </c>
      <c r="GN79" s="23">
        <f>EXP(-LN(2)/2)*GN78+(1-EXP(-LN(2)/2))/(LN(2)/2)*GH79*GK79*VLOOKUP('Données projet'!$B$17,Paramètres!$A$1:$I$88,3,0)*0.475*44/12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7</v>
      </c>
      <c r="GU79" s="13">
        <f>IF('Données projet'!$A$270&gt;35,GU78+GT79-HC78,IF(A79&lt;'Données projet'!$A$270,$GR$205^A79,IF(A79='Données projet'!$A$270,'Données projet'!$B$270,GU78+GT79-HC78)))</f>
        <v>291.00000000000006</v>
      </c>
      <c r="GV79" s="18">
        <f>GU79*VLOOKUP('Données projet'!$B$18,Paramètres!$A$1:$I$88,3,0)*VLOOKUP('Données projet'!$B$18,Paramètres!$A$1:$I$88,5,0)</f>
        <v>304.15320000000008</v>
      </c>
      <c r="GW79" s="14">
        <f t="shared" si="105"/>
        <v>72.046435792572083</v>
      </c>
      <c r="GX79" s="22">
        <f t="shared" si="82"/>
        <v>655.21436567206308</v>
      </c>
      <c r="GY79" s="62">
        <f t="shared" si="83"/>
        <v>948.54769900539645</v>
      </c>
      <c r="GZ79" s="62">
        <f ca="1">AVERAGE(OFFSET($GY$3,0,0,'Données projet'!$E$18+1,1))-AVERAGE(OFFSET($H$3,0,0,'Données projet'!$E$18+1,1))</f>
        <v>582.89879210197682</v>
      </c>
      <c r="HA79" s="62">
        <f t="shared" si="106"/>
        <v>314.72094983133326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projet'!$B$18,Paramètres!$A$1:$I$88,3,0)*0.475*44/12</f>
        <v>0</v>
      </c>
      <c r="HH79" s="23">
        <f>EXP(-LN(2)/25)*HH78+(1-EXP(-LN(2)/25))/(LN(2)/25)*Calculateur!HC79*Calculateur!HE79*VLOOKUP('Données projet'!$B$18,Paramètres!$A$1:$I$88,3,0)*0.475*44/12</f>
        <v>0</v>
      </c>
      <c r="HI79" s="23">
        <f>EXP(-LN(2)/2)*HI78+(1-EXP(-LN(2)/2))/(LN(2)/2)*HC79*HF79*VLOOKUP('Données projet'!$B$18,Paramètres!$A$1:$I$88,3,0)*0.475*44/12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21.2</v>
      </c>
      <c r="N80" s="14">
        <f>IF('Données projet'!$A$36&gt;35,N79+M80-V79,IF(A80&lt;'Données projet'!$A$36,$K$205^A80,IF(A80='Données projet'!$A$36,'Données projet'!$B$36,N79+M80-V79)))</f>
        <v>670.4000000000002</v>
      </c>
      <c r="O80" s="14">
        <f>N80*VLOOKUP('Données projet'!$B$9,Paramètres!$A$1:$I$88,3,0)*VLOOKUP('Données projet'!$B$9,Paramètres!$A$1:$I$88,5,0)</f>
        <v>313.74720000000008</v>
      </c>
      <c r="P80" s="14">
        <f t="shared" si="87"/>
        <v>74.050846595914663</v>
      </c>
      <c r="Q80" s="22">
        <f t="shared" si="54"/>
        <v>675.41493115455148</v>
      </c>
      <c r="R80" s="62">
        <f t="shared" si="55"/>
        <v>968.74826448788485</v>
      </c>
      <c r="S80" s="62">
        <f ca="1">AVERAGE(OFFSET($R$3,0,0,'Données projet'!$E$9+1,1))-AVERAGE(OFFSET($H$3,0,0,'Données projet'!$E$9+1,1))</f>
        <v>399.92909819003523</v>
      </c>
      <c r="T80" s="62">
        <f t="shared" si="88"/>
        <v>163.7053537268381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</v>
      </c>
      <c r="AI80" s="14">
        <f>IF('Données projet'!$A$62&gt;35,AI79+AH80-AQ79,IF(A80&lt;'Données projet'!$A$62,$AF$205^A80,IF(A80='Données projet'!$A$62,'Données projet'!$B$62,AI79+AH80-AQ79)))</f>
        <v>298.00000000000006</v>
      </c>
      <c r="AJ80" s="14">
        <f>AI80*VLOOKUP('Données projet'!$B$10,Paramètres!$A$1:$I$88,3,0)*VLOOKUP('Données projet'!$B$10,Paramètres!$A$1:$I$88,5,0)</f>
        <v>269.63040000000007</v>
      </c>
      <c r="AK80" s="14">
        <f t="shared" si="89"/>
        <v>64.770824587436138</v>
      </c>
      <c r="AL80" s="22">
        <f t="shared" si="58"/>
        <v>582.41546615645132</v>
      </c>
      <c r="AM80" s="62">
        <f t="shared" si="59"/>
        <v>875.74879948978469</v>
      </c>
      <c r="AN80" s="62">
        <f ca="1">AVERAGE(OFFSET($AM$3,0,0,'Données projet'!$E$10+1,1))-AVERAGE(OFFSET($H$3,0,0,'Données projet'!$E$10+1,1))</f>
        <v>510.56580450928806</v>
      </c>
      <c r="AO80" s="62">
        <f t="shared" si="90"/>
        <v>278.21741231699929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IF('Données projet'!$A$88&gt;35,BD79+BC80-BL79,IF(A80&lt;'Données projet'!$A$88,$BA$205^A80,IF(A80='Données projet'!$A$88,'Données projet'!$B$88,BD79+BC80-BL79)))</f>
        <v>303.79999999999995</v>
      </c>
      <c r="BE80" s="14">
        <f>BD80*VLOOKUP('Données projet'!$B$11,Paramètres!$A$1:$I$88,3,0)*VLOOKUP('Données projet'!$B$11,Paramètres!$A$1:$I$88,5,0)</f>
        <v>289.09607999999992</v>
      </c>
      <c r="BF80" s="14">
        <f t="shared" si="91"/>
        <v>68.88568086830972</v>
      </c>
      <c r="BG80" s="22">
        <f t="shared" si="61"/>
        <v>623.48490017897257</v>
      </c>
      <c r="BH80" s="62">
        <f t="shared" si="62"/>
        <v>916.81823351230582</v>
      </c>
      <c r="BI80" s="62">
        <f ca="1">AVERAGE(OFFSET($BH$3,0,0,'Données projet'!$E$11+1,1))-AVERAGE(OFFSET($H$3,0,0,'Données projet'!$E$11+1,1))</f>
        <v>525.51330555662139</v>
      </c>
      <c r="BJ80" s="62">
        <f t="shared" si="92"/>
        <v>357.72390083433635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1.7053025658242404E-13</v>
      </c>
      <c r="BZ80" s="14">
        <f>BY80*VLOOKUP('Données projet'!$B$12,Paramètres!$A$1:$I$88,3,0)*VLOOKUP('Données projet'!$B$12,Paramètres!$A$1:$I$88,5,0)</f>
        <v>1.0197709343628959E-13</v>
      </c>
      <c r="CA80" s="14">
        <f t="shared" si="93"/>
        <v>1.5284983994279675E-12</v>
      </c>
      <c r="CB80" s="22">
        <f t="shared" si="64"/>
        <v>2.839744816738581E-12</v>
      </c>
      <c r="CC80" s="62">
        <f t="shared" si="65"/>
        <v>293.33333333333616</v>
      </c>
      <c r="CD80" s="62">
        <f ca="1">AVERAGE(OFFSET($CC$3,0,0,'Données projet'!$E$12+1,1))-AVERAGE(OFFSET($H$3,0,0,'Données projet'!$E$12+1,1))</f>
        <v>227.46616726010473</v>
      </c>
      <c r="CE80" s="62">
        <f t="shared" si="94"/>
        <v>314.188568589113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47.437302349071174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1.1717813180174305E-3</v>
      </c>
      <c r="CN80" s="24">
        <f t="shared" si="66"/>
        <v>47.438474130389189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10.25</v>
      </c>
      <c r="CT80" s="13">
        <f>IF('Données projet'!$A$140&gt;35,CT79+CS80-DB79,IF(A80&lt;'Données projet'!$A$140,$CQ$205^A80,IF(A80='Données projet'!$A$140,'Données projet'!$B$140,CT79+CS80-DB79)))</f>
        <v>591.75</v>
      </c>
      <c r="CU80" s="18">
        <f>CT80*VLOOKUP('Données projet'!$B$13,Paramètres!$A$1:$I$88,3,0)*VLOOKUP('Données projet'!$B$13,Paramètres!$A$1:$I$88,5,0)</f>
        <v>353.86649999999997</v>
      </c>
      <c r="CV80" s="14">
        <f t="shared" si="95"/>
        <v>82.358153954529243</v>
      </c>
      <c r="CW80" s="22">
        <f t="shared" si="67"/>
        <v>759.75793897080496</v>
      </c>
      <c r="CX80" s="62">
        <f t="shared" si="68"/>
        <v>1053.0912723041383</v>
      </c>
      <c r="CY80" s="62">
        <f ca="1">AVERAGE(OFFSET($CX$3,0,0,'Données projet'!$E$13+1,1))-AVERAGE(OFFSET($H$3,0,0,'Données projet'!$E$13+1,1))</f>
        <v>356.46794174556311</v>
      </c>
      <c r="CZ80" s="62">
        <f t="shared" si="96"/>
        <v>248.47107558211923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0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projet'!$B$14,Paramètres!$A$1:$I$88,3,0)*VLOOKUP('Données projet'!$B$14,Paramètres!$A$1:$I$88,5,0)</f>
        <v>6.3550942286383367E-14</v>
      </c>
      <c r="DQ80" s="14">
        <f t="shared" si="97"/>
        <v>1.0064464192543978E-12</v>
      </c>
      <c r="DR80" s="22">
        <f t="shared" si="70"/>
        <v>1.8635787380168604E-12</v>
      </c>
      <c r="DS80" s="62">
        <f t="shared" si="71"/>
        <v>293.33333333333519</v>
      </c>
      <c r="DT80" s="62">
        <f ca="1">AVERAGE(OFFSET($DS$3,0,0,'Données projet'!$E$14+1,1))-AVERAGE(OFFSET($H$3,0,0,'Données projet'!$E$14+1,1))</f>
        <v>397.04445188588369</v>
      </c>
      <c r="DU80" s="62">
        <f t="shared" si="98"/>
        <v>350.01856672839466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1.9782028787916315</v>
      </c>
      <c r="EB80" s="23">
        <f>EXP(-LN(2)/25)*EB79+(1-EXP(-LN(2)/25))/(LN(2)/25)*Calculateur!DW80*Calculateur!DY80*VLOOKUP('Données projet'!$B$14,Paramètres!$A$1:$I$88,3,0)*0.475*44/12</f>
        <v>0</v>
      </c>
      <c r="EC80" s="23">
        <f>EXP(-LN(2)/2)*EC79+(1-EXP(-LN(2)/2))/(LN(2)/2)*DW80*DZ80*VLOOKUP('Données projet'!$B$14,Paramètres!$A$1:$I$88,3,0)*0.475*44/12</f>
        <v>1.3657852377984573E-6</v>
      </c>
      <c r="ED80" s="24">
        <f t="shared" si="72"/>
        <v>1.9782042445768693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1.7</v>
      </c>
      <c r="EJ80" s="13">
        <f>IF('Données projet'!$A$192&gt;35,EJ79+EI80-ER79,IF(A80&lt;'Données projet'!$A$192,$EG$205^A80,IF(A80='Données projet'!$A$192,'Données projet'!$B$192,EJ79+EI80-ER79)))</f>
        <v>163.49999999999983</v>
      </c>
      <c r="EK80" s="18">
        <f>EJ80*VLOOKUP('Données projet'!$B$15,Paramètres!$A$1:$I$88,3,0)*VLOOKUP('Données projet'!$B$15,Paramètres!$A$1:$I$88,5,0)</f>
        <v>142.83359999999988</v>
      </c>
      <c r="EL80" s="14">
        <f t="shared" si="99"/>
        <v>36.945384499054541</v>
      </c>
      <c r="EM80" s="22">
        <f t="shared" si="73"/>
        <v>313.11506466918644</v>
      </c>
      <c r="EN80" s="62">
        <f t="shared" si="74"/>
        <v>606.44839800251975</v>
      </c>
      <c r="EO80" s="62">
        <f ca="1">AVERAGE(OFFSET($EN$3,0,0,'Données projet'!$E$15+1,1))-AVERAGE(OFFSET($H$3,0,0,'Données projet'!$E$15+1,1))</f>
        <v>202.5548390231225</v>
      </c>
      <c r="EP80" s="62">
        <f t="shared" si="100"/>
        <v>184.62184077734179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projet'!$B$15,Paramètres!$A$1:$I$88,3,0)*0.475*44/12</f>
        <v>0</v>
      </c>
      <c r="EW80" s="23">
        <f>EXP(-LN(2)/25)*EW79+(1-EXP(-LN(2)/25))/(LN(2)/25)*Calculateur!ER80*Calculateur!ET80*VLOOKUP('Données projet'!$B$15,Paramètres!$A$1:$I$88,3,0)*0.475*44/12</f>
        <v>0</v>
      </c>
      <c r="EX80" s="23">
        <f>EXP(-LN(2)/2)*EX79+(1-EXP(-LN(2)/2))/(LN(2)/2)*ER80*EU80*VLOOKUP('Données projet'!$B$15,Paramètres!$A$1:$I$88,3,0)*0.475*44/12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5.9</v>
      </c>
      <c r="FE80" s="13">
        <f>IF('Données projet'!$A$218&gt;35,FE79+FD80-FM79,IF(A80&lt;'Données projet'!$A$218,$FB$205^A80,IF(A80='Données projet'!$A$218,'Données projet'!$B$218,FE79+FD80-FM79)))</f>
        <v>242.79999999999987</v>
      </c>
      <c r="FF80" s="18">
        <f>FE80*VLOOKUP('Données projet'!$B$16,Paramètres!$A$1:$I$88,3,0)*VLOOKUP('Données projet'!$B$16,Paramètres!$A$1:$I$88,5,0)</f>
        <v>234.83615999999986</v>
      </c>
      <c r="FG80" s="14">
        <f t="shared" si="101"/>
        <v>57.327102622427432</v>
      </c>
      <c r="FH80" s="22">
        <f t="shared" si="76"/>
        <v>508.85101573406081</v>
      </c>
      <c r="FI80" s="62">
        <f t="shared" si="77"/>
        <v>802.18434906739412</v>
      </c>
      <c r="FJ80" s="62">
        <f ca="1">AVERAGE(OFFSET($FI$3,0,0,'Données projet'!$E$16+1,1))-AVERAGE(OFFSET($H$3,0,0,'Données projet'!$E$16+1,1))</f>
        <v>456.96274622094955</v>
      </c>
      <c r="FK80" s="62">
        <f t="shared" si="102"/>
        <v>244.45149244446094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projet'!$B$16,Paramètres!$A$1:$I$88,3,0)*0.475*44/12</f>
        <v>0</v>
      </c>
      <c r="FR80" s="23">
        <f>EXP(-LN(2)/25)*FR79+(1-EXP(-LN(2)/25))/(LN(2)/25)*Calculateur!FM80*Calculateur!FO80*VLOOKUP('Données projet'!$B$16,Paramètres!$A$1:$I$88,3,0)*0.475*44/12</f>
        <v>0</v>
      </c>
      <c r="FS80" s="23">
        <f>EXP(-LN(2)/2)*FS79+(1-EXP(-LN(2)/2))/(LN(2)/2)*FM80*FP80*VLOOKUP('Données projet'!$B$16,Paramètres!$A$1:$I$88,3,0)*0.475*44/12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5.9</v>
      </c>
      <c r="FZ80" s="13">
        <f>IF('Données projet'!$A$244&gt;35,FZ79+FY80-GH79,IF(A80&lt;'Données projet'!$A$244,$FW$205^A80,IF(A80='Données projet'!$A$244,'Données projet'!$B$244,FZ79+FY80-GH79)))</f>
        <v>242.79999999999987</v>
      </c>
      <c r="GA80" s="18">
        <f>FZ80*VLOOKUP('Données projet'!$B$17,Paramètres!$A$1:$I$88,3,0)*VLOOKUP('Données projet'!$B$17,Paramètres!$A$1:$I$88,5,0)</f>
        <v>261.34991999999983</v>
      </c>
      <c r="GB80" s="14">
        <f t="shared" si="103"/>
        <v>63.010039566000117</v>
      </c>
      <c r="GC80" s="22">
        <f t="shared" si="79"/>
        <v>564.92692957744987</v>
      </c>
      <c r="GD80" s="62">
        <f t="shared" si="80"/>
        <v>858.26026291078324</v>
      </c>
      <c r="GE80" s="62">
        <f ca="1">AVERAGE(OFFSET($GD$3,0,0,'Données projet'!$E$17+1,1))-AVERAGE(OFFSET($H$3,0,0,'Données projet'!$E$17+1,1))</f>
        <v>503.69304261527651</v>
      </c>
      <c r="GF80" s="62">
        <f t="shared" si="104"/>
        <v>267.2998309535638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projet'!$B$17,Paramètres!$A$1:$I$88,3,0)*0.475*44/12</f>
        <v>0</v>
      </c>
      <c r="GM80" s="23">
        <f>EXP(-LN(2)/25)*GM79+(1-EXP(-LN(2)/25))/(LN(2)/25)*Calculateur!GH80*Calculateur!GJ80*VLOOKUP('Données projet'!$B$17,Paramètres!$A$1:$I$88,3,0)*0.475*44/12</f>
        <v>0</v>
      </c>
      <c r="GN80" s="23">
        <f>EXP(-LN(2)/2)*GN79+(1-EXP(-LN(2)/2))/(LN(2)/2)*GH80*GK80*VLOOKUP('Données projet'!$B$17,Paramètres!$A$1:$I$88,3,0)*0.475*44/12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7</v>
      </c>
      <c r="GU80" s="13">
        <f>IF('Données projet'!$A$270&gt;35,GU79+GT80-HC79,IF(A80&lt;'Données projet'!$A$270,$GR$205^A80,IF(A80='Données projet'!$A$270,'Données projet'!$B$270,GU79+GT80-HC79)))</f>
        <v>298.00000000000006</v>
      </c>
      <c r="GV80" s="18">
        <f>GU80*VLOOKUP('Données projet'!$B$18,Paramètres!$A$1:$I$88,3,0)*VLOOKUP('Données projet'!$B$18,Paramètres!$A$1:$I$88,5,0)</f>
        <v>311.46960000000007</v>
      </c>
      <c r="GW80" s="14">
        <f t="shared" si="105"/>
        <v>73.575656614043666</v>
      </c>
      <c r="GX80" s="22">
        <f t="shared" si="82"/>
        <v>670.62048860279288</v>
      </c>
      <c r="GY80" s="62">
        <f t="shared" si="83"/>
        <v>963.95382193612613</v>
      </c>
      <c r="GZ80" s="62">
        <f ca="1">AVERAGE(OFFSET($GY$3,0,0,'Données projet'!$E$18+1,1))-AVERAGE(OFFSET($H$3,0,0,'Données projet'!$E$18+1,1))</f>
        <v>582.89879210197682</v>
      </c>
      <c r="HA80" s="62">
        <f t="shared" si="106"/>
        <v>314.72094983133326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projet'!$B$18,Paramètres!$A$1:$I$88,3,0)*0.475*44/12</f>
        <v>0</v>
      </c>
      <c r="HH80" s="23">
        <f>EXP(-LN(2)/25)*HH79+(1-EXP(-LN(2)/25))/(LN(2)/25)*Calculateur!HC80*Calculateur!HE80*VLOOKUP('Données projet'!$B$18,Paramètres!$A$1:$I$88,3,0)*0.475*44/12</f>
        <v>0</v>
      </c>
      <c r="HI80" s="23">
        <f>EXP(-LN(2)/2)*HI79+(1-EXP(-LN(2)/2))/(LN(2)/2)*HC80*HF80*VLOOKUP('Données projet'!$B$18,Paramètres!$A$1:$I$88,3,0)*0.475*44/12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21.2</v>
      </c>
      <c r="N81" s="14">
        <f>IF('Données projet'!$A$36&gt;35,N80+M81-V80,IF(A81&lt;'Données projet'!$A$36,$K$205^A81,IF(A81='Données projet'!$A$36,'Données projet'!$B$36,N80+M81-V80)))</f>
        <v>691.60000000000025</v>
      </c>
      <c r="O81" s="14">
        <f>N81*VLOOKUP('Données projet'!$B$9,Paramètres!$A$1:$I$88,3,0)*VLOOKUP('Données projet'!$B$9,Paramètres!$A$1:$I$88,5,0)</f>
        <v>323.66880000000015</v>
      </c>
      <c r="P81" s="14">
        <f t="shared" si="87"/>
        <v>76.11621164769852</v>
      </c>
      <c r="Q81" s="22">
        <f t="shared" si="54"/>
        <v>696.29222861974176</v>
      </c>
      <c r="R81" s="62">
        <f t="shared" si="55"/>
        <v>989.62556195307502</v>
      </c>
      <c r="S81" s="62">
        <f ca="1">AVERAGE(OFFSET($R$3,0,0,'Données projet'!$E$9+1,1))-AVERAGE(OFFSET($H$3,0,0,'Données projet'!$E$9+1,1))</f>
        <v>399.92909819003523</v>
      </c>
      <c r="T81" s="62">
        <f t="shared" si="88"/>
        <v>163.7053537268381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</v>
      </c>
      <c r="AI81" s="14">
        <f>IF('Données projet'!$A$62&gt;35,AI80+AH81-AQ80,IF(A81&lt;'Données projet'!$A$62,$AF$205^A81,IF(A81='Données projet'!$A$62,'Données projet'!$B$62,AI80+AH81-AQ80)))</f>
        <v>305.00000000000006</v>
      </c>
      <c r="AJ81" s="14">
        <f>AI81*VLOOKUP('Données projet'!$B$10,Paramètres!$A$1:$I$88,3,0)*VLOOKUP('Données projet'!$B$10,Paramètres!$A$1:$I$88,5,0)</f>
        <v>275.96400000000006</v>
      </c>
      <c r="AK81" s="14">
        <f t="shared" si="89"/>
        <v>66.113366665488911</v>
      </c>
      <c r="AL81" s="22">
        <f t="shared" si="58"/>
        <v>595.78474694239321</v>
      </c>
      <c r="AM81" s="62">
        <f t="shared" si="59"/>
        <v>889.11808027572647</v>
      </c>
      <c r="AN81" s="62">
        <f ca="1">AVERAGE(OFFSET($AM$3,0,0,'Données projet'!$E$10+1,1))-AVERAGE(OFFSET($H$3,0,0,'Données projet'!$E$10+1,1))</f>
        <v>510.56580450928806</v>
      </c>
      <c r="AO81" s="62">
        <f t="shared" si="90"/>
        <v>278.21741231699929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IF('Données projet'!$A$88&gt;35,BD80+BC81-BL80,IF(A81&lt;'Données projet'!$A$88,$BA$205^A81,IF(A81='Données projet'!$A$88,'Données projet'!$B$88,BD80+BC81-BL80)))</f>
        <v>309.69999999999993</v>
      </c>
      <c r="BE81" s="14">
        <f>BD81*VLOOKUP('Données projet'!$B$11,Paramètres!$A$1:$I$88,3,0)*VLOOKUP('Données projet'!$B$11,Paramètres!$A$1:$I$88,5,0)</f>
        <v>294.71051999999992</v>
      </c>
      <c r="BF81" s="14">
        <f t="shared" si="91"/>
        <v>70.06643987462455</v>
      </c>
      <c r="BG81" s="22">
        <f t="shared" si="61"/>
        <v>635.31987178163763</v>
      </c>
      <c r="BH81" s="62">
        <f t="shared" si="62"/>
        <v>928.65320511497089</v>
      </c>
      <c r="BI81" s="62">
        <f ca="1">AVERAGE(OFFSET($BH$3,0,0,'Données projet'!$E$11+1,1))-AVERAGE(OFFSET($H$3,0,0,'Données projet'!$E$11+1,1))</f>
        <v>525.51330555662139</v>
      </c>
      <c r="BJ81" s="62">
        <f t="shared" si="92"/>
        <v>357.72390083433635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1.7053025658242404E-13</v>
      </c>
      <c r="BZ81" s="14">
        <f>BY81*VLOOKUP('Données projet'!$B$12,Paramètres!$A$1:$I$88,3,0)*VLOOKUP('Données projet'!$B$12,Paramètres!$A$1:$I$88,5,0)</f>
        <v>1.0197709343628959E-13</v>
      </c>
      <c r="CA81" s="14">
        <f t="shared" si="93"/>
        <v>1.5284983994279675E-12</v>
      </c>
      <c r="CB81" s="22">
        <f t="shared" si="64"/>
        <v>2.839744816738581E-12</v>
      </c>
      <c r="CC81" s="62">
        <f t="shared" si="65"/>
        <v>293.33333333333616</v>
      </c>
      <c r="CD81" s="62">
        <f ca="1">AVERAGE(OFFSET($CC$3,0,0,'Données projet'!$E$12+1,1))-AVERAGE(OFFSET($H$3,0,0,'Données projet'!$E$12+1,1))</f>
        <v>227.46616726010473</v>
      </c>
      <c r="CE81" s="62">
        <f t="shared" si="94"/>
        <v>314.188568589113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46.507085783903335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8.2857451603783551E-4</v>
      </c>
      <c r="CN81" s="24">
        <f t="shared" si="66"/>
        <v>46.50791435841937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10.25</v>
      </c>
      <c r="CT81" s="13">
        <f>IF('Données projet'!$A$140&gt;35,CT80+CS81-DB80,IF(A81&lt;'Données projet'!$A$140,$CQ$205^A81,IF(A81='Données projet'!$A$140,'Données projet'!$B$140,CT80+CS81-DB80)))</f>
        <v>602</v>
      </c>
      <c r="CU81" s="18">
        <f>CT81*VLOOKUP('Données projet'!$B$13,Paramètres!$A$1:$I$88,3,0)*VLOOKUP('Données projet'!$B$13,Paramètres!$A$1:$I$88,5,0)</f>
        <v>359.99600000000004</v>
      </c>
      <c r="CV81" s="14">
        <f t="shared" si="95"/>
        <v>83.617406016435922</v>
      </c>
      <c r="CW81" s="22">
        <f t="shared" si="67"/>
        <v>772.62668214529265</v>
      </c>
      <c r="CX81" s="62">
        <f t="shared" si="68"/>
        <v>1065.960015478626</v>
      </c>
      <c r="CY81" s="62">
        <f ca="1">AVERAGE(OFFSET($CX$3,0,0,'Données projet'!$E$13+1,1))-AVERAGE(OFFSET($H$3,0,0,'Données projet'!$E$13+1,1))</f>
        <v>356.46794174556311</v>
      </c>
      <c r="CZ81" s="62">
        <f t="shared" si="96"/>
        <v>248.47107558211923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0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projet'!$B$14,Paramètres!$A$1:$I$88,3,0)*VLOOKUP('Données projet'!$B$14,Paramètres!$A$1:$I$88,5,0)</f>
        <v>6.3550942286383367E-14</v>
      </c>
      <c r="DQ81" s="14">
        <f t="shared" si="97"/>
        <v>1.0064464192543978E-12</v>
      </c>
      <c r="DR81" s="22">
        <f t="shared" si="70"/>
        <v>1.8635787380168604E-12</v>
      </c>
      <c r="DS81" s="62">
        <f t="shared" si="71"/>
        <v>293.33333333333519</v>
      </c>
      <c r="DT81" s="62">
        <f ca="1">AVERAGE(OFFSET($DS$3,0,0,'Données projet'!$E$14+1,1))-AVERAGE(OFFSET($H$3,0,0,'Données projet'!$E$14+1,1))</f>
        <v>397.04445188588369</v>
      </c>
      <c r="DU81" s="62">
        <f t="shared" si="98"/>
        <v>350.01856672839466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1.9394115269231433</v>
      </c>
      <c r="EB81" s="23">
        <f>EXP(-LN(2)/25)*EB80+(1-EXP(-LN(2)/25))/(LN(2)/25)*Calculateur!DW81*Calculateur!DY81*VLOOKUP('Données projet'!$B$14,Paramètres!$A$1:$I$88,3,0)*0.475*44/12</f>
        <v>0</v>
      </c>
      <c r="EC81" s="23">
        <f>EXP(-LN(2)/2)*EC80+(1-EXP(-LN(2)/2))/(LN(2)/2)*DW81*DZ81*VLOOKUP('Données projet'!$B$14,Paramètres!$A$1:$I$88,3,0)*0.475*44/12</f>
        <v>9.6575600329177055E-7</v>
      </c>
      <c r="ED81" s="24">
        <f t="shared" si="72"/>
        <v>1.9394124926791467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1.7</v>
      </c>
      <c r="EJ81" s="13">
        <f>IF('Données projet'!$A$192&gt;35,EJ80+EI81-ER80,IF(A81&lt;'Données projet'!$A$192,$EG$205^A81,IF(A81='Données projet'!$A$192,'Données projet'!$B$192,EJ80+EI81-ER80)))</f>
        <v>165.19999999999982</v>
      </c>
      <c r="EK81" s="18">
        <f>EJ81*VLOOKUP('Données projet'!$B$15,Paramètres!$A$1:$I$88,3,0)*VLOOKUP('Données projet'!$B$15,Paramètres!$A$1:$I$88,5,0)</f>
        <v>144.31871999999984</v>
      </c>
      <c r="EL81" s="14">
        <f t="shared" si="99"/>
        <v>37.284607417926146</v>
      </c>
      <c r="EM81" s="22">
        <f t="shared" si="73"/>
        <v>316.2924619195544</v>
      </c>
      <c r="EN81" s="62">
        <f t="shared" si="74"/>
        <v>609.62579525288766</v>
      </c>
      <c r="EO81" s="62">
        <f ca="1">AVERAGE(OFFSET($EN$3,0,0,'Données projet'!$E$15+1,1))-AVERAGE(OFFSET($H$3,0,0,'Données projet'!$E$15+1,1))</f>
        <v>202.5548390231225</v>
      </c>
      <c r="EP81" s="62">
        <f t="shared" si="100"/>
        <v>184.62184077734179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projet'!$B$15,Paramètres!$A$1:$I$88,3,0)*0.475*44/12</f>
        <v>0</v>
      </c>
      <c r="EW81" s="23">
        <f>EXP(-LN(2)/25)*EW80+(1-EXP(-LN(2)/25))/(LN(2)/25)*Calculateur!ER81*Calculateur!ET81*VLOOKUP('Données projet'!$B$15,Paramètres!$A$1:$I$88,3,0)*0.475*44/12</f>
        <v>0</v>
      </c>
      <c r="EX81" s="23">
        <f>EXP(-LN(2)/2)*EX80+(1-EXP(-LN(2)/2))/(LN(2)/2)*ER81*EU81*VLOOKUP('Données projet'!$B$15,Paramètres!$A$1:$I$88,3,0)*0.475*44/12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5.9</v>
      </c>
      <c r="FE81" s="13">
        <f>IF('Données projet'!$A$218&gt;35,FE80+FD81-FM80,IF(A81&lt;'Données projet'!$A$218,$FB$205^A81,IF(A81='Données projet'!$A$218,'Données projet'!$B$218,FE80+FD81-FM80)))</f>
        <v>248.69999999999987</v>
      </c>
      <c r="FF81" s="18">
        <f>FE81*VLOOKUP('Données projet'!$B$16,Paramètres!$A$1:$I$88,3,0)*VLOOKUP('Données projet'!$B$16,Paramètres!$A$1:$I$88,5,0)</f>
        <v>240.54263999999989</v>
      </c>
      <c r="FG81" s="14">
        <f t="shared" si="101"/>
        <v>58.556266771166264</v>
      </c>
      <c r="FH81" s="22">
        <f t="shared" si="76"/>
        <v>520.93059595978104</v>
      </c>
      <c r="FI81" s="62">
        <f t="shared" si="77"/>
        <v>814.26392929311442</v>
      </c>
      <c r="FJ81" s="62">
        <f ca="1">AVERAGE(OFFSET($FI$3,0,0,'Données projet'!$E$16+1,1))-AVERAGE(OFFSET($H$3,0,0,'Données projet'!$E$16+1,1))</f>
        <v>456.96274622094955</v>
      </c>
      <c r="FK81" s="62">
        <f t="shared" si="102"/>
        <v>244.45149244446094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projet'!$B$16,Paramètres!$A$1:$I$88,3,0)*0.475*44/12</f>
        <v>0</v>
      </c>
      <c r="FR81" s="23">
        <f>EXP(-LN(2)/25)*FR80+(1-EXP(-LN(2)/25))/(LN(2)/25)*Calculateur!FM81*Calculateur!FO81*VLOOKUP('Données projet'!$B$16,Paramètres!$A$1:$I$88,3,0)*0.475*44/12</f>
        <v>0</v>
      </c>
      <c r="FS81" s="23">
        <f>EXP(-LN(2)/2)*FS80+(1-EXP(-LN(2)/2))/(LN(2)/2)*FM81*FP81*VLOOKUP('Données projet'!$B$16,Paramètres!$A$1:$I$88,3,0)*0.475*44/12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5.9</v>
      </c>
      <c r="FZ81" s="13">
        <f>IF('Données projet'!$A$244&gt;35,FZ80+FY81-GH80,IF(A81&lt;'Données projet'!$A$244,$FW$205^A81,IF(A81='Données projet'!$A$244,'Données projet'!$B$244,FZ80+FY81-GH80)))</f>
        <v>248.69999999999987</v>
      </c>
      <c r="GA81" s="18">
        <f>FZ81*VLOOKUP('Données projet'!$B$17,Paramètres!$A$1:$I$88,3,0)*VLOOKUP('Données projet'!$B$17,Paramètres!$A$1:$I$88,5,0)</f>
        <v>267.70067999999986</v>
      </c>
      <c r="GB81" s="14">
        <f t="shared" si="103"/>
        <v>64.361052927956521</v>
      </c>
      <c r="GC81" s="22">
        <f t="shared" si="79"/>
        <v>578.34085151619058</v>
      </c>
      <c r="GD81" s="62">
        <f t="shared" si="80"/>
        <v>871.67418484952395</v>
      </c>
      <c r="GE81" s="62">
        <f ca="1">AVERAGE(OFFSET($GD$3,0,0,'Données projet'!$E$17+1,1))-AVERAGE(OFFSET($H$3,0,0,'Données projet'!$E$17+1,1))</f>
        <v>503.69304261527651</v>
      </c>
      <c r="GF81" s="62">
        <f t="shared" si="104"/>
        <v>267.2998309535638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projet'!$B$17,Paramètres!$A$1:$I$88,3,0)*0.475*44/12</f>
        <v>0</v>
      </c>
      <c r="GM81" s="23">
        <f>EXP(-LN(2)/25)*GM80+(1-EXP(-LN(2)/25))/(LN(2)/25)*Calculateur!GH81*Calculateur!GJ81*VLOOKUP('Données projet'!$B$17,Paramètres!$A$1:$I$88,3,0)*0.475*44/12</f>
        <v>0</v>
      </c>
      <c r="GN81" s="23">
        <f>EXP(-LN(2)/2)*GN80+(1-EXP(-LN(2)/2))/(LN(2)/2)*GH81*GK81*VLOOKUP('Données projet'!$B$17,Paramètres!$A$1:$I$88,3,0)*0.475*44/12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7</v>
      </c>
      <c r="GU81" s="13">
        <f>IF('Données projet'!$A$270&gt;35,GU80+GT81-HC80,IF(A81&lt;'Données projet'!$A$270,$GR$205^A81,IF(A81='Données projet'!$A$270,'Données projet'!$B$270,GU80+GT81-HC80)))</f>
        <v>305.00000000000006</v>
      </c>
      <c r="GV81" s="18">
        <f>GU81*VLOOKUP('Données projet'!$B$18,Paramètres!$A$1:$I$88,3,0)*VLOOKUP('Données projet'!$B$18,Paramètres!$A$1:$I$88,5,0)</f>
        <v>318.78600000000012</v>
      </c>
      <c r="GW81" s="14">
        <f t="shared" si="105"/>
        <v>75.10070150198348</v>
      </c>
      <c r="GX81" s="22">
        <f t="shared" si="82"/>
        <v>686.01933844928806</v>
      </c>
      <c r="GY81" s="62">
        <f t="shared" si="83"/>
        <v>979.35267178262143</v>
      </c>
      <c r="GZ81" s="62">
        <f ca="1">AVERAGE(OFFSET($GY$3,0,0,'Données projet'!$E$18+1,1))-AVERAGE(OFFSET($H$3,0,0,'Données projet'!$E$18+1,1))</f>
        <v>582.89879210197682</v>
      </c>
      <c r="HA81" s="62">
        <f t="shared" si="106"/>
        <v>314.72094983133326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projet'!$B$18,Paramètres!$A$1:$I$88,3,0)*0.475*44/12</f>
        <v>0</v>
      </c>
      <c r="HH81" s="23">
        <f>EXP(-LN(2)/25)*HH80+(1-EXP(-LN(2)/25))/(LN(2)/25)*Calculateur!HC81*Calculateur!HE81*VLOOKUP('Données projet'!$B$18,Paramètres!$A$1:$I$88,3,0)*0.475*44/12</f>
        <v>0</v>
      </c>
      <c r="HI81" s="23">
        <f>EXP(-LN(2)/2)*HI80+(1-EXP(-LN(2)/2))/(LN(2)/2)*HC81*HF81*VLOOKUP('Données projet'!$B$18,Paramètres!$A$1:$I$88,3,0)*0.475*44/12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21.2</v>
      </c>
      <c r="N82" s="14">
        <f>IF('Données projet'!$A$36&gt;35,N81+M82-V81,IF(A82&lt;'Données projet'!$A$36,$K$205^A82,IF(A82='Données projet'!$A$36,'Données projet'!$B$36,N81+M82-V81)))</f>
        <v>712.8000000000003</v>
      </c>
      <c r="O82" s="14">
        <f>N82*VLOOKUP('Données projet'!$B$9,Paramètres!$A$1:$I$88,3,0)*VLOOKUP('Données projet'!$B$9,Paramètres!$A$1:$I$88,5,0)</f>
        <v>333.59040000000016</v>
      </c>
      <c r="P82" s="14">
        <f t="shared" si="87"/>
        <v>78.174219238300594</v>
      </c>
      <c r="Q82" s="22">
        <f t="shared" si="54"/>
        <v>717.15671184004043</v>
      </c>
      <c r="R82" s="62">
        <f t="shared" si="55"/>
        <v>1010.4900451733738</v>
      </c>
      <c r="S82" s="62">
        <f ca="1">AVERAGE(OFFSET($R$3,0,0,'Données projet'!$E$9+1,1))-AVERAGE(OFFSET($H$3,0,0,'Données projet'!$E$9+1,1))</f>
        <v>399.92909819003523</v>
      </c>
      <c r="T82" s="62">
        <f t="shared" si="88"/>
        <v>163.7053537268381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</v>
      </c>
      <c r="AI82" s="14">
        <f>IF('Données projet'!$A$62&gt;35,AI81+AH82-AQ81,IF(A82&lt;'Données projet'!$A$62,$AF$205^A82,IF(A82='Données projet'!$A$62,'Données projet'!$B$62,AI81+AH82-AQ81)))</f>
        <v>312.00000000000006</v>
      </c>
      <c r="AJ82" s="14">
        <f>AI82*VLOOKUP('Données projet'!$B$10,Paramètres!$A$1:$I$88,3,0)*VLOOKUP('Données projet'!$B$10,Paramètres!$A$1:$I$88,5,0)</f>
        <v>282.29760000000005</v>
      </c>
      <c r="AK82" s="14">
        <f t="shared" si="89"/>
        <v>67.452326629470178</v>
      </c>
      <c r="AL82" s="22">
        <f t="shared" si="58"/>
        <v>609.14778887966054</v>
      </c>
      <c r="AM82" s="62">
        <f t="shared" si="59"/>
        <v>902.4811222129938</v>
      </c>
      <c r="AN82" s="62">
        <f ca="1">AVERAGE(OFFSET($AM$3,0,0,'Données projet'!$E$10+1,1))-AVERAGE(OFFSET($H$3,0,0,'Données projet'!$E$10+1,1))</f>
        <v>510.56580450928806</v>
      </c>
      <c r="AO82" s="62">
        <f t="shared" si="90"/>
        <v>278.21741231699929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IF('Données projet'!$A$88&gt;35,BD81+BC82-BL81,IF(A82&lt;'Données projet'!$A$88,$BA$205^A82,IF(A82='Données projet'!$A$88,'Données projet'!$B$88,BD81+BC82-BL81)))</f>
        <v>315.59999999999991</v>
      </c>
      <c r="BE82" s="14">
        <f>BD82*VLOOKUP('Données projet'!$B$11,Paramètres!$A$1:$I$88,3,0)*VLOOKUP('Données projet'!$B$11,Paramètres!$A$1:$I$88,5,0)</f>
        <v>300.32495999999992</v>
      </c>
      <c r="BF82" s="14">
        <f t="shared" si="91"/>
        <v>71.244583280574048</v>
      </c>
      <c r="BG82" s="22">
        <f t="shared" si="61"/>
        <v>647.15028788033294</v>
      </c>
      <c r="BH82" s="62">
        <f t="shared" si="62"/>
        <v>940.48362121366631</v>
      </c>
      <c r="BI82" s="62">
        <f ca="1">AVERAGE(OFFSET($BH$3,0,0,'Données projet'!$E$11+1,1))-AVERAGE(OFFSET($H$3,0,0,'Données projet'!$E$11+1,1))</f>
        <v>525.51330555662139</v>
      </c>
      <c r="BJ82" s="62">
        <f t="shared" si="92"/>
        <v>357.72390083433635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1.7053025658242404E-13</v>
      </c>
      <c r="BZ82" s="14">
        <f>BY82*VLOOKUP('Données projet'!$B$12,Paramètres!$A$1:$I$88,3,0)*VLOOKUP('Données projet'!$B$12,Paramètres!$A$1:$I$88,5,0)</f>
        <v>1.0197709343628959E-13</v>
      </c>
      <c r="CA82" s="14">
        <f t="shared" si="93"/>
        <v>1.5284983994279675E-12</v>
      </c>
      <c r="CB82" s="22">
        <f t="shared" si="64"/>
        <v>2.839744816738581E-12</v>
      </c>
      <c r="CC82" s="62">
        <f t="shared" si="65"/>
        <v>293.33333333333616</v>
      </c>
      <c r="CD82" s="62">
        <f ca="1">AVERAGE(OFFSET($CC$3,0,0,'Données projet'!$E$12+1,1))-AVERAGE(OFFSET($H$3,0,0,'Données projet'!$E$12+1,1))</f>
        <v>227.46616726010473</v>
      </c>
      <c r="CE82" s="62">
        <f t="shared" si="94"/>
        <v>314.188568589113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45.595110198202356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5.8589065900871526E-4</v>
      </c>
      <c r="CN82" s="24">
        <f t="shared" si="66"/>
        <v>45.595696088861366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10.25</v>
      </c>
      <c r="CT82" s="13">
        <f>IF('Données projet'!$A$140&gt;35,CT81+CS82-DB81,IF(A82&lt;'Données projet'!$A$140,$CQ$205^A82,IF(A82='Données projet'!$A$140,'Données projet'!$B$140,CT81+CS82-DB81)))</f>
        <v>612.25</v>
      </c>
      <c r="CU82" s="18">
        <f>CT82*VLOOKUP('Données projet'!$B$13,Paramètres!$A$1:$I$88,3,0)*VLOOKUP('Données projet'!$B$13,Paramètres!$A$1:$I$88,5,0)</f>
        <v>366.12549999999999</v>
      </c>
      <c r="CV82" s="14">
        <f t="shared" si="95"/>
        <v>84.874164718739721</v>
      </c>
      <c r="CW82" s="22">
        <f t="shared" si="67"/>
        <v>785.4910827184716</v>
      </c>
      <c r="CX82" s="62">
        <f t="shared" si="68"/>
        <v>1078.824416051805</v>
      </c>
      <c r="CY82" s="62">
        <f ca="1">AVERAGE(OFFSET($CX$3,0,0,'Données projet'!$E$13+1,1))-AVERAGE(OFFSET($H$3,0,0,'Données projet'!$E$13+1,1))</f>
        <v>356.46794174556311</v>
      </c>
      <c r="CZ82" s="62">
        <f t="shared" si="96"/>
        <v>248.47107558211923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0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projet'!$B$14,Paramètres!$A$1:$I$88,3,0)*VLOOKUP('Données projet'!$B$14,Paramètres!$A$1:$I$88,5,0)</f>
        <v>6.3550942286383367E-14</v>
      </c>
      <c r="DQ82" s="14">
        <f t="shared" si="97"/>
        <v>1.0064464192543978E-12</v>
      </c>
      <c r="DR82" s="22">
        <f t="shared" si="70"/>
        <v>1.8635787380168604E-12</v>
      </c>
      <c r="DS82" s="62">
        <f t="shared" si="71"/>
        <v>293.33333333333519</v>
      </c>
      <c r="DT82" s="62">
        <f ca="1">AVERAGE(OFFSET($DS$3,0,0,'Données projet'!$E$14+1,1))-AVERAGE(OFFSET($H$3,0,0,'Données projet'!$E$14+1,1))</f>
        <v>397.04445188588369</v>
      </c>
      <c r="DU82" s="62">
        <f t="shared" si="98"/>
        <v>350.01856672839466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1.9013808498044078</v>
      </c>
      <c r="EB82" s="23">
        <f>EXP(-LN(2)/25)*EB81+(1-EXP(-LN(2)/25))/(LN(2)/25)*Calculateur!DW82*Calculateur!DY82*VLOOKUP('Données projet'!$B$14,Paramètres!$A$1:$I$88,3,0)*0.475*44/12</f>
        <v>0</v>
      </c>
      <c r="EC82" s="23">
        <f>EXP(-LN(2)/2)*EC81+(1-EXP(-LN(2)/2))/(LN(2)/2)*DW82*DZ82*VLOOKUP('Données projet'!$B$14,Paramètres!$A$1:$I$88,3,0)*0.475*44/12</f>
        <v>6.8289261889922867E-7</v>
      </c>
      <c r="ED82" s="24">
        <f t="shared" si="72"/>
        <v>1.9013815326970267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1.7</v>
      </c>
      <c r="EJ82" s="13">
        <f>IF('Données projet'!$A$192&gt;35,EJ81+EI82-ER81,IF(A82&lt;'Données projet'!$A$192,$EG$205^A82,IF(A82='Données projet'!$A$192,'Données projet'!$B$192,EJ81+EI82-ER81)))</f>
        <v>166.89999999999981</v>
      </c>
      <c r="EK82" s="18">
        <f>EJ82*VLOOKUP('Données projet'!$B$15,Paramètres!$A$1:$I$88,3,0)*VLOOKUP('Données projet'!$B$15,Paramètres!$A$1:$I$88,5,0)</f>
        <v>145.80383999999984</v>
      </c>
      <c r="EL82" s="14">
        <f t="shared" si="99"/>
        <v>37.623424244198908</v>
      </c>
      <c r="EM82" s="22">
        <f t="shared" si="73"/>
        <v>319.46915189197949</v>
      </c>
      <c r="EN82" s="62">
        <f t="shared" si="74"/>
        <v>612.80248522531281</v>
      </c>
      <c r="EO82" s="62">
        <f ca="1">AVERAGE(OFFSET($EN$3,0,0,'Données projet'!$E$15+1,1))-AVERAGE(OFFSET($H$3,0,0,'Données projet'!$E$15+1,1))</f>
        <v>202.5548390231225</v>
      </c>
      <c r="EP82" s="62">
        <f t="shared" si="100"/>
        <v>184.62184077734179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projet'!$B$15,Paramètres!$A$1:$I$88,3,0)*0.475*44/12</f>
        <v>0</v>
      </c>
      <c r="EW82" s="23">
        <f>EXP(-LN(2)/25)*EW81+(1-EXP(-LN(2)/25))/(LN(2)/25)*Calculateur!ER82*Calculateur!ET82*VLOOKUP('Données projet'!$B$15,Paramètres!$A$1:$I$88,3,0)*0.475*44/12</f>
        <v>0</v>
      </c>
      <c r="EX82" s="23">
        <f>EXP(-LN(2)/2)*EX81+(1-EXP(-LN(2)/2))/(LN(2)/2)*ER82*EU82*VLOOKUP('Données projet'!$B$15,Paramètres!$A$1:$I$88,3,0)*0.475*44/12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5.9</v>
      </c>
      <c r="FE82" s="13">
        <f>IF('Données projet'!$A$218&gt;35,FE81+FD82-FM81,IF(A82&lt;'Données projet'!$A$218,$FB$205^A82,IF(A82='Données projet'!$A$218,'Données projet'!$B$218,FE81+FD82-FM81)))</f>
        <v>254.59999999999988</v>
      </c>
      <c r="FF82" s="18">
        <f>FE82*VLOOKUP('Données projet'!$B$16,Paramètres!$A$1:$I$88,3,0)*VLOOKUP('Données projet'!$B$16,Paramètres!$A$1:$I$88,5,0)</f>
        <v>246.24911999999989</v>
      </c>
      <c r="FG82" s="14">
        <f t="shared" si="101"/>
        <v>59.782041052936805</v>
      </c>
      <c r="FH82" s="22">
        <f t="shared" si="76"/>
        <v>533.00427216719811</v>
      </c>
      <c r="FI82" s="62">
        <f t="shared" si="77"/>
        <v>826.33760550053148</v>
      </c>
      <c r="FJ82" s="62">
        <f ca="1">AVERAGE(OFFSET($FI$3,0,0,'Données projet'!$E$16+1,1))-AVERAGE(OFFSET($H$3,0,0,'Données projet'!$E$16+1,1))</f>
        <v>456.96274622094955</v>
      </c>
      <c r="FK82" s="62">
        <f t="shared" si="102"/>
        <v>244.45149244446094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projet'!$B$16,Paramètres!$A$1:$I$88,3,0)*0.475*44/12</f>
        <v>0</v>
      </c>
      <c r="FR82" s="23">
        <f>EXP(-LN(2)/25)*FR81+(1-EXP(-LN(2)/25))/(LN(2)/25)*Calculateur!FM82*Calculateur!FO82*VLOOKUP('Données projet'!$B$16,Paramètres!$A$1:$I$88,3,0)*0.475*44/12</f>
        <v>0</v>
      </c>
      <c r="FS82" s="23">
        <f>EXP(-LN(2)/2)*FS81+(1-EXP(-LN(2)/2))/(LN(2)/2)*FM82*FP82*VLOOKUP('Données projet'!$B$16,Paramètres!$A$1:$I$88,3,0)*0.475*44/12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5.9</v>
      </c>
      <c r="FZ82" s="13">
        <f>IF('Données projet'!$A$244&gt;35,FZ81+FY82-GH81,IF(A82&lt;'Données projet'!$A$244,$FW$205^A82,IF(A82='Données projet'!$A$244,'Données projet'!$B$244,FZ81+FY82-GH81)))</f>
        <v>254.59999999999988</v>
      </c>
      <c r="GA82" s="18">
        <f>FZ82*VLOOKUP('Données projet'!$B$17,Paramètres!$A$1:$I$88,3,0)*VLOOKUP('Données projet'!$B$17,Paramètres!$A$1:$I$88,5,0)</f>
        <v>274.05143999999984</v>
      </c>
      <c r="GB82" s="14">
        <f t="shared" si="103"/>
        <v>65.70834037944428</v>
      </c>
      <c r="GC82" s="22">
        <f t="shared" si="79"/>
        <v>591.74828416086518</v>
      </c>
      <c r="GD82" s="62">
        <f t="shared" si="80"/>
        <v>885.08161749419855</v>
      </c>
      <c r="GE82" s="62">
        <f ca="1">AVERAGE(OFFSET($GD$3,0,0,'Données projet'!$E$17+1,1))-AVERAGE(OFFSET($H$3,0,0,'Données projet'!$E$17+1,1))</f>
        <v>503.69304261527651</v>
      </c>
      <c r="GF82" s="62">
        <f t="shared" si="104"/>
        <v>267.2998309535638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projet'!$B$17,Paramètres!$A$1:$I$88,3,0)*0.475*44/12</f>
        <v>0</v>
      </c>
      <c r="GM82" s="23">
        <f>EXP(-LN(2)/25)*GM81+(1-EXP(-LN(2)/25))/(LN(2)/25)*Calculateur!GH82*Calculateur!GJ82*VLOOKUP('Données projet'!$B$17,Paramètres!$A$1:$I$88,3,0)*0.475*44/12</f>
        <v>0</v>
      </c>
      <c r="GN82" s="23">
        <f>EXP(-LN(2)/2)*GN81+(1-EXP(-LN(2)/2))/(LN(2)/2)*GH82*GK82*VLOOKUP('Données projet'!$B$17,Paramètres!$A$1:$I$88,3,0)*0.475*44/12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7</v>
      </c>
      <c r="GU82" s="13">
        <f>IF('Données projet'!$A$270&gt;35,GU81+GT82-HC81,IF(A82&lt;'Données projet'!$A$270,$GR$205^A82,IF(A82='Données projet'!$A$270,'Données projet'!$B$270,GU81+GT82-HC81)))</f>
        <v>312.00000000000006</v>
      </c>
      <c r="GV82" s="18">
        <f>GU82*VLOOKUP('Données projet'!$B$18,Paramètres!$A$1:$I$88,3,0)*VLOOKUP('Données projet'!$B$18,Paramètres!$A$1:$I$88,5,0)</f>
        <v>326.1024000000001</v>
      </c>
      <c r="GW82" s="14">
        <f t="shared" si="105"/>
        <v>76.621677329562345</v>
      </c>
      <c r="GX82" s="22">
        <f t="shared" si="82"/>
        <v>701.41110134898781</v>
      </c>
      <c r="GY82" s="62">
        <f t="shared" si="83"/>
        <v>994.74443468232107</v>
      </c>
      <c r="GZ82" s="62">
        <f ca="1">AVERAGE(OFFSET($GY$3,0,0,'Données projet'!$E$18+1,1))-AVERAGE(OFFSET($H$3,0,0,'Données projet'!$E$18+1,1))</f>
        <v>582.89879210197682</v>
      </c>
      <c r="HA82" s="62">
        <f t="shared" si="106"/>
        <v>314.72094983133326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projet'!$B$18,Paramètres!$A$1:$I$88,3,0)*0.475*44/12</f>
        <v>0</v>
      </c>
      <c r="HH82" s="23">
        <f>EXP(-LN(2)/25)*HH81+(1-EXP(-LN(2)/25))/(LN(2)/25)*Calculateur!HC82*Calculateur!HE82*VLOOKUP('Données projet'!$B$18,Paramètres!$A$1:$I$88,3,0)*0.475*44/12</f>
        <v>0</v>
      </c>
      <c r="HI82" s="23">
        <f>EXP(-LN(2)/2)*HI81+(1-EXP(-LN(2)/2))/(LN(2)/2)*HC82*HF82*VLOOKUP('Données projet'!$B$18,Paramètres!$A$1:$I$88,3,0)*0.475*44/12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734</v>
      </c>
      <c r="L83" s="13">
        <f>VLOOKUP(A83,'Données projet'!$A$35:$I$55,9,0)</f>
        <v>21.2</v>
      </c>
      <c r="M83" s="13">
        <f t="array" ref="M83">INDEX(L:L,MIN(IF(ISNUMBER(L83:L279),ROW(L83:L279),"")))</f>
        <v>21.2</v>
      </c>
      <c r="N83" s="14">
        <f>IF('Données projet'!$A$36&gt;35,N82+M83-V82,IF(A83&lt;'Données projet'!$A$36,$K$205^A83,IF(A83='Données projet'!$A$36,'Données projet'!$B$36,N82+M83-V82)))</f>
        <v>734.00000000000034</v>
      </c>
      <c r="O83" s="14">
        <f>N83*VLOOKUP('Données projet'!$B$9,Paramètres!$A$1:$I$88,3,0)*VLOOKUP('Données projet'!$B$9,Paramètres!$A$1:$I$88,5,0)</f>
        <v>343.51200000000017</v>
      </c>
      <c r="P83" s="14">
        <f t="shared" si="87"/>
        <v>80.225113314048286</v>
      </c>
      <c r="Q83" s="22">
        <f t="shared" si="54"/>
        <v>738.00880568863431</v>
      </c>
      <c r="R83" s="62">
        <f t="shared" si="55"/>
        <v>1031.3421390219676</v>
      </c>
      <c r="S83" s="62">
        <f ca="1">AVERAGE(OFFSET($R$3,0,0,'Données projet'!$E$9+1,1))-AVERAGE(OFFSET($H$3,0,0,'Données projet'!$E$9+1,1))</f>
        <v>399.92909819003523</v>
      </c>
      <c r="T83" s="62">
        <f t="shared" si="88"/>
        <v>163.7053537268381</v>
      </c>
      <c r="U83" s="16">
        <f>IF(ISNA(VLOOKUP(A83,'Données projet'!$A$35:$I$55,3,0)),0,VLOOKUP(A83,'Données projet'!$A$35:$I$55,3,0))</f>
        <v>5</v>
      </c>
      <c r="V83" s="16">
        <f>IF(ISNA(VLOOKUP(A83,'Données projet'!$A$35:$I$55,4,0)),0,VLOOKUP(A83,'Données projet'!$A$35:$I$55,4,0))</f>
        <v>110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7</v>
      </c>
      <c r="AI83" s="14">
        <f>IF('Données projet'!$A$62&gt;35,AI82+AH83-AQ82,IF(A83&lt;'Données projet'!$A$62,$AF$205^A83,IF(A83='Données projet'!$A$62,'Données projet'!$B$62,AI82+AH83-AQ82)))</f>
        <v>319.00000000000006</v>
      </c>
      <c r="AJ83" s="14">
        <f>AI83*VLOOKUP('Données projet'!$B$10,Paramètres!$A$1:$I$88,3,0)*VLOOKUP('Données projet'!$B$10,Paramètres!$A$1:$I$88,5,0)</f>
        <v>288.63120000000004</v>
      </c>
      <c r="AK83" s="14">
        <f t="shared" si="89"/>
        <v>68.787794100289275</v>
      </c>
      <c r="AL83" s="22">
        <f t="shared" si="58"/>
        <v>622.50474805800388</v>
      </c>
      <c r="AM83" s="62">
        <f t="shared" si="59"/>
        <v>915.83808139133725</v>
      </c>
      <c r="AN83" s="62">
        <f ca="1">AVERAGE(OFFSET($AM$3,0,0,'Données projet'!$E$10+1,1))-AVERAGE(OFFSET($H$3,0,0,'Données projet'!$E$10+1,1))</f>
        <v>510.56580450928806</v>
      </c>
      <c r="AO83" s="62">
        <f t="shared" si="90"/>
        <v>278.21741231699929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IF('Données projet'!$A$88&gt;35,BD82+BC83-BL82,IF(A83&lt;'Données projet'!$A$88,$BA$205^A83,IF(A83='Données projet'!$A$88,'Données projet'!$B$88,BD82+BC83-BL82)))</f>
        <v>321.49999999999989</v>
      </c>
      <c r="BE83" s="14">
        <f>BD83*VLOOKUP('Données projet'!$B$11,Paramètres!$A$1:$I$88,3,0)*VLOOKUP('Données projet'!$B$11,Paramètres!$A$1:$I$88,5,0)</f>
        <v>305.93939999999986</v>
      </c>
      <c r="BF83" s="14">
        <f t="shared" si="91"/>
        <v>72.420165622351931</v>
      </c>
      <c r="BG83" s="22">
        <f t="shared" si="61"/>
        <v>658.97624345892939</v>
      </c>
      <c r="BH83" s="62">
        <f t="shared" si="62"/>
        <v>952.30957679226276</v>
      </c>
      <c r="BI83" s="62">
        <f ca="1">AVERAGE(OFFSET($BH$3,0,0,'Données projet'!$E$11+1,1))-AVERAGE(OFFSET($H$3,0,0,'Données projet'!$E$11+1,1))</f>
        <v>525.51330555662139</v>
      </c>
      <c r="BJ83" s="62">
        <f t="shared" si="92"/>
        <v>357.72390083433635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1.7053025658242404E-13</v>
      </c>
      <c r="BZ83" s="14">
        <f>BY83*VLOOKUP('Données projet'!$B$12,Paramètres!$A$1:$I$88,3,0)*VLOOKUP('Données projet'!$B$12,Paramètres!$A$1:$I$88,5,0)</f>
        <v>1.0197709343628959E-13</v>
      </c>
      <c r="CA83" s="14">
        <f t="shared" si="93"/>
        <v>1.5284983994279675E-12</v>
      </c>
      <c r="CB83" s="22">
        <f t="shared" si="64"/>
        <v>2.839744816738581E-12</v>
      </c>
      <c r="CC83" s="62">
        <f t="shared" si="65"/>
        <v>293.33333333333616</v>
      </c>
      <c r="CD83" s="62">
        <f ca="1">AVERAGE(OFFSET($CC$3,0,0,'Données projet'!$E$12+1,1))-AVERAGE(OFFSET($H$3,0,0,'Données projet'!$E$12+1,1))</f>
        <v>227.46616726010473</v>
      </c>
      <c r="CE83" s="62">
        <f t="shared" si="94"/>
        <v>314.188568589113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44.701017897486793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4.1428725801891775E-4</v>
      </c>
      <c r="CN83" s="24">
        <f t="shared" si="66"/>
        <v>44.70143218474481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10.25</v>
      </c>
      <c r="CT83" s="13">
        <f>IF('Données projet'!$A$140&gt;35,CT82+CS83-DB82,IF(A83&lt;'Données projet'!$A$140,$CQ$205^A83,IF(A83='Données projet'!$A$140,'Données projet'!$B$140,CT82+CS83-DB82)))</f>
        <v>622.5</v>
      </c>
      <c r="CU83" s="18">
        <f>CT83*VLOOKUP('Données projet'!$B$13,Paramètres!$A$1:$I$88,3,0)*VLOOKUP('Données projet'!$B$13,Paramètres!$A$1:$I$88,5,0)</f>
        <v>372.25500000000005</v>
      </c>
      <c r="CV83" s="14">
        <f t="shared" si="95"/>
        <v>86.128476621938418</v>
      </c>
      <c r="CW83" s="22">
        <f t="shared" si="67"/>
        <v>798.35122178320944</v>
      </c>
      <c r="CX83" s="62">
        <f t="shared" si="68"/>
        <v>1091.6845551165427</v>
      </c>
      <c r="CY83" s="62">
        <f ca="1">AVERAGE(OFFSET($CX$3,0,0,'Données projet'!$E$13+1,1))-AVERAGE(OFFSET($H$3,0,0,'Données projet'!$E$13+1,1))</f>
        <v>356.46794174556311</v>
      </c>
      <c r="CZ83" s="62">
        <f t="shared" si="96"/>
        <v>248.47107558211923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0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projet'!$B$14,Paramètres!$A$1:$I$88,3,0)*VLOOKUP('Données projet'!$B$14,Paramètres!$A$1:$I$88,5,0)</f>
        <v>6.3550942286383367E-14</v>
      </c>
      <c r="DQ83" s="14">
        <f t="shared" si="97"/>
        <v>1.0064464192543978E-12</v>
      </c>
      <c r="DR83" s="22">
        <f t="shared" si="70"/>
        <v>1.8635787380168604E-12</v>
      </c>
      <c r="DS83" s="62">
        <f t="shared" si="71"/>
        <v>293.33333333333519</v>
      </c>
      <c r="DT83" s="62">
        <f ca="1">AVERAGE(OFFSET($DS$3,0,0,'Données projet'!$E$14+1,1))-AVERAGE(OFFSET($H$3,0,0,'Données projet'!$E$14+1,1))</f>
        <v>397.04445188588369</v>
      </c>
      <c r="DU83" s="62">
        <f t="shared" si="98"/>
        <v>350.01856672839466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1.8640959310675482</v>
      </c>
      <c r="EB83" s="23">
        <f>EXP(-LN(2)/25)*EB82+(1-EXP(-LN(2)/25))/(LN(2)/25)*Calculateur!DW83*Calculateur!DY83*VLOOKUP('Données projet'!$B$14,Paramètres!$A$1:$I$88,3,0)*0.475*44/12</f>
        <v>0</v>
      </c>
      <c r="EC83" s="23">
        <f>EXP(-LN(2)/2)*EC82+(1-EXP(-LN(2)/2))/(LN(2)/2)*DW83*DZ83*VLOOKUP('Données projet'!$B$14,Paramètres!$A$1:$I$88,3,0)*0.475*44/12</f>
        <v>4.8287800164588528E-7</v>
      </c>
      <c r="ED83" s="24">
        <f t="shared" si="72"/>
        <v>1.8640964139455498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168.6</v>
      </c>
      <c r="EH83" s="13">
        <f>VLOOKUP(A83,'Données projet'!$A$191:$I$211,9,0)</f>
        <v>1.7</v>
      </c>
      <c r="EI83" s="13">
        <f t="array" ref="EI83">INDEX(EH:EH,MIN(IF(ISNUMBER(EH83:EH279),ROW(EH83:EH279),"")))</f>
        <v>1.7</v>
      </c>
      <c r="EJ83" s="13">
        <f>IF('Données projet'!$A$192&gt;35,EJ82+EI83-ER82,IF(A83&lt;'Données projet'!$A$192,$EG$205^A83,IF(A83='Données projet'!$A$192,'Données projet'!$B$192,EJ82+EI83-ER82)))</f>
        <v>168.5999999999998</v>
      </c>
      <c r="EK83" s="18">
        <f>EJ83*VLOOKUP('Données projet'!$B$15,Paramètres!$A$1:$I$88,3,0)*VLOOKUP('Données projet'!$B$15,Paramètres!$A$1:$I$88,5,0)</f>
        <v>147.28895999999983</v>
      </c>
      <c r="EL83" s="14">
        <f t="shared" si="99"/>
        <v>37.96183959312188</v>
      </c>
      <c r="EM83" s="22">
        <f t="shared" si="73"/>
        <v>322.64514262468697</v>
      </c>
      <c r="EN83" s="62">
        <f t="shared" si="74"/>
        <v>615.97847595802023</v>
      </c>
      <c r="EO83" s="62">
        <f ca="1">AVERAGE(OFFSET($EN$3,0,0,'Données projet'!$E$15+1,1))-AVERAGE(OFFSET($H$3,0,0,'Données projet'!$E$15+1,1))</f>
        <v>202.5548390231225</v>
      </c>
      <c r="EP83" s="62">
        <f t="shared" si="100"/>
        <v>184.62184077734179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168.6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projet'!$B$15,Paramètres!$A$1:$I$88,3,0)*0.475*44/12</f>
        <v>0</v>
      </c>
      <c r="EW83" s="23">
        <f>EXP(-LN(2)/25)*EW82+(1-EXP(-LN(2)/25))/(LN(2)/25)*Calculateur!ER83*Calculateur!ET83*VLOOKUP('Données projet'!$B$15,Paramètres!$A$1:$I$88,3,0)*0.475*44/12</f>
        <v>0</v>
      </c>
      <c r="EX83" s="23">
        <f>EXP(-LN(2)/2)*EX82+(1-EXP(-LN(2)/2))/(LN(2)/2)*ER83*EU83*VLOOKUP('Données projet'!$B$15,Paramètres!$A$1:$I$88,3,0)*0.475*44/12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5.9</v>
      </c>
      <c r="FE83" s="13">
        <f>IF('Données projet'!$A$218&gt;35,FE82+FD83-FM82,IF(A83&lt;'Données projet'!$A$218,$FB$205^A83,IF(A83='Données projet'!$A$218,'Données projet'!$B$218,FE82+FD83-FM82)))</f>
        <v>260.49999999999989</v>
      </c>
      <c r="FF83" s="18">
        <f>FE83*VLOOKUP('Données projet'!$B$16,Paramètres!$A$1:$I$88,3,0)*VLOOKUP('Données projet'!$B$16,Paramètres!$A$1:$I$88,5,0)</f>
        <v>251.95559999999992</v>
      </c>
      <c r="FG83" s="14">
        <f t="shared" si="101"/>
        <v>61.00451306470562</v>
      </c>
      <c r="FH83" s="22">
        <f t="shared" si="76"/>
        <v>545.07219692102865</v>
      </c>
      <c r="FI83" s="62">
        <f t="shared" si="77"/>
        <v>838.40553025436202</v>
      </c>
      <c r="FJ83" s="62">
        <f ca="1">AVERAGE(OFFSET($FI$3,0,0,'Données projet'!$E$16+1,1))-AVERAGE(OFFSET($H$3,0,0,'Données projet'!$E$16+1,1))</f>
        <v>456.96274622094955</v>
      </c>
      <c r="FK83" s="62">
        <f t="shared" si="102"/>
        <v>244.45149244446094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projet'!$B$16,Paramètres!$A$1:$I$88,3,0)*0.475*44/12</f>
        <v>0</v>
      </c>
      <c r="FR83" s="23">
        <f>EXP(-LN(2)/25)*FR82+(1-EXP(-LN(2)/25))/(LN(2)/25)*Calculateur!FM83*Calculateur!FO83*VLOOKUP('Données projet'!$B$16,Paramètres!$A$1:$I$88,3,0)*0.475*44/12</f>
        <v>0</v>
      </c>
      <c r="FS83" s="23">
        <f>EXP(-LN(2)/2)*FS82+(1-EXP(-LN(2)/2))/(LN(2)/2)*FM83*FP83*VLOOKUP('Données projet'!$B$16,Paramètres!$A$1:$I$88,3,0)*0.475*44/12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5.9</v>
      </c>
      <c r="FZ83" s="13">
        <f>IF('Données projet'!$A$244&gt;35,FZ82+FY83-GH82,IF(A83&lt;'Données projet'!$A$244,$FW$205^A83,IF(A83='Données projet'!$A$244,'Données projet'!$B$244,FZ82+FY83-GH82)))</f>
        <v>260.49999999999989</v>
      </c>
      <c r="GA83" s="18">
        <f>FZ83*VLOOKUP('Données projet'!$B$17,Paramètres!$A$1:$I$88,3,0)*VLOOKUP('Données projet'!$B$17,Paramètres!$A$1:$I$88,5,0)</f>
        <v>280.40219999999988</v>
      </c>
      <c r="GB83" s="14">
        <f t="shared" si="103"/>
        <v>67.051998201071953</v>
      </c>
      <c r="GC83" s="22">
        <f t="shared" si="79"/>
        <v>605.14939520020005</v>
      </c>
      <c r="GD83" s="62">
        <f t="shared" si="80"/>
        <v>898.48272853353342</v>
      </c>
      <c r="GE83" s="62">
        <f ca="1">AVERAGE(OFFSET($GD$3,0,0,'Données projet'!$E$17+1,1))-AVERAGE(OFFSET($H$3,0,0,'Données projet'!$E$17+1,1))</f>
        <v>503.69304261527651</v>
      </c>
      <c r="GF83" s="62">
        <f t="shared" si="104"/>
        <v>267.2998309535638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projet'!$B$17,Paramètres!$A$1:$I$88,3,0)*0.475*44/12</f>
        <v>0</v>
      </c>
      <c r="GM83" s="23">
        <f>EXP(-LN(2)/25)*GM82+(1-EXP(-LN(2)/25))/(LN(2)/25)*Calculateur!GH83*Calculateur!GJ83*VLOOKUP('Données projet'!$B$17,Paramètres!$A$1:$I$88,3,0)*0.475*44/12</f>
        <v>0</v>
      </c>
      <c r="GN83" s="23">
        <f>EXP(-LN(2)/2)*GN82+(1-EXP(-LN(2)/2))/(LN(2)/2)*GH83*GK83*VLOOKUP('Données projet'!$B$17,Paramètres!$A$1:$I$88,3,0)*0.475*44/12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7</v>
      </c>
      <c r="GU83" s="13">
        <f>IF('Données projet'!$A$270&gt;35,GU82+GT83-HC82,IF(A83&lt;'Données projet'!$A$270,$GR$205^A83,IF(A83='Données projet'!$A$270,'Données projet'!$B$270,GU82+GT83-HC82)))</f>
        <v>319.00000000000006</v>
      </c>
      <c r="GV83" s="18">
        <f>GU83*VLOOKUP('Données projet'!$B$18,Paramètres!$A$1:$I$88,3,0)*VLOOKUP('Données projet'!$B$18,Paramètres!$A$1:$I$88,5,0)</f>
        <v>333.41880000000009</v>
      </c>
      <c r="GW83" s="14">
        <f t="shared" si="105"/>
        <v>78.138685900598375</v>
      </c>
      <c r="GX83" s="22">
        <f t="shared" si="82"/>
        <v>716.79595461020892</v>
      </c>
      <c r="GY83" s="62">
        <f t="shared" si="83"/>
        <v>1010.1292879435423</v>
      </c>
      <c r="GZ83" s="62">
        <f ca="1">AVERAGE(OFFSET($GY$3,0,0,'Données projet'!$E$18+1,1))-AVERAGE(OFFSET($H$3,0,0,'Données projet'!$E$18+1,1))</f>
        <v>582.89879210197682</v>
      </c>
      <c r="HA83" s="62">
        <f t="shared" si="106"/>
        <v>314.72094983133326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projet'!$B$18,Paramètres!$A$1:$I$88,3,0)*0.475*44/12</f>
        <v>0</v>
      </c>
      <c r="HH83" s="23">
        <f>EXP(-LN(2)/25)*HH82+(1-EXP(-LN(2)/25))/(LN(2)/25)*Calculateur!HC83*Calculateur!HE83*VLOOKUP('Données projet'!$B$18,Paramètres!$A$1:$I$88,3,0)*0.475*44/12</f>
        <v>0</v>
      </c>
      <c r="HI83" s="23">
        <f>EXP(-LN(2)/2)*HI82+(1-EXP(-LN(2)/2))/(LN(2)/2)*HC83*HF83*VLOOKUP('Données projet'!$B$18,Paramètres!$A$1:$I$88,3,0)*0.475*44/12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17.8</v>
      </c>
      <c r="N84" s="14">
        <f>IF('Données projet'!$A$36&gt;35,N83+M84-V83,IF(A84&lt;'Données projet'!$A$36,$K$205^A84,IF(A84='Données projet'!$A$36,'Données projet'!$B$36,N83+M84-V83)))</f>
        <v>641.8000000000003</v>
      </c>
      <c r="O84" s="14">
        <f>N84*VLOOKUP('Données projet'!$B$9,Paramètres!$A$1:$I$88,3,0)*VLOOKUP('Données projet'!$B$9,Paramètres!$A$1:$I$88,5,0)</f>
        <v>300.36240000000015</v>
      </c>
      <c r="P84" s="14">
        <f t="shared" si="87"/>
        <v>71.252431096700917</v>
      </c>
      <c r="Q84" s="22">
        <f t="shared" si="54"/>
        <v>647.22916416008775</v>
      </c>
      <c r="R84" s="62">
        <f t="shared" si="55"/>
        <v>940.56249749342101</v>
      </c>
      <c r="S84" s="62">
        <f ca="1">AVERAGE(OFFSET($R$3,0,0,'Données projet'!$E$9+1,1))-AVERAGE(OFFSET($H$3,0,0,'Données projet'!$E$9+1,1))</f>
        <v>399.92909819003523</v>
      </c>
      <c r="T84" s="62">
        <f t="shared" si="88"/>
        <v>163.7053537268381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</v>
      </c>
      <c r="AI84" s="14">
        <f>IF('Données projet'!$A$62&gt;35,AI83+AH84-AQ83,IF(A84&lt;'Données projet'!$A$62,$AF$205^A84,IF(A84='Données projet'!$A$62,'Données projet'!$B$62,AI83+AH84-AQ83)))</f>
        <v>326.00000000000006</v>
      </c>
      <c r="AJ84" s="14">
        <f>AI84*VLOOKUP('Données projet'!$B$10,Paramètres!$A$1:$I$88,3,0)*VLOOKUP('Données projet'!$B$10,Paramètres!$A$1:$I$88,5,0)</f>
        <v>294.96480000000003</v>
      </c>
      <c r="AK84" s="14">
        <f t="shared" si="89"/>
        <v>70.119854541045001</v>
      </c>
      <c r="AL84" s="22">
        <f t="shared" si="58"/>
        <v>635.85577332565333</v>
      </c>
      <c r="AM84" s="62">
        <f t="shared" si="59"/>
        <v>929.1891066589867</v>
      </c>
      <c r="AN84" s="62">
        <f ca="1">AVERAGE(OFFSET($AM$3,0,0,'Données projet'!$E$10+1,1))-AVERAGE(OFFSET($H$3,0,0,'Données projet'!$E$10+1,1))</f>
        <v>510.56580450928806</v>
      </c>
      <c r="AO84" s="62">
        <f t="shared" si="90"/>
        <v>278.21741231699929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IF('Données projet'!$A$88&gt;35,BD83+BC84-BL83,IF(A84&lt;'Données projet'!$A$88,$BA$205^A84,IF(A84='Données projet'!$A$88,'Données projet'!$B$88,BD83+BC84-BL83)))</f>
        <v>327.39999999999986</v>
      </c>
      <c r="BE84" s="14">
        <f>BD84*VLOOKUP('Données projet'!$B$11,Paramètres!$A$1:$I$88,3,0)*VLOOKUP('Données projet'!$B$11,Paramètres!$A$1:$I$88,5,0)</f>
        <v>311.55383999999987</v>
      </c>
      <c r="BF84" s="14">
        <f t="shared" si="91"/>
        <v>73.59323931992212</v>
      </c>
      <c r="BG84" s="22">
        <f t="shared" si="61"/>
        <v>670.7978298155308</v>
      </c>
      <c r="BH84" s="62">
        <f t="shared" si="62"/>
        <v>964.13116314886406</v>
      </c>
      <c r="BI84" s="62">
        <f ca="1">AVERAGE(OFFSET($BH$3,0,0,'Données projet'!$E$11+1,1))-AVERAGE(OFFSET($H$3,0,0,'Données projet'!$E$11+1,1))</f>
        <v>525.51330555662139</v>
      </c>
      <c r="BJ84" s="62">
        <f t="shared" si="92"/>
        <v>357.72390083433635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1.7053025658242404E-13</v>
      </c>
      <c r="BZ84" s="14">
        <f>BY84*VLOOKUP('Données projet'!$B$12,Paramètres!$A$1:$I$88,3,0)*VLOOKUP('Données projet'!$B$12,Paramètres!$A$1:$I$88,5,0)</f>
        <v>1.0197709343628959E-13</v>
      </c>
      <c r="CA84" s="14">
        <f t="shared" si="93"/>
        <v>1.5284983994279675E-12</v>
      </c>
      <c r="CB84" s="22">
        <f t="shared" si="64"/>
        <v>2.839744816738581E-12</v>
      </c>
      <c r="CC84" s="62">
        <f t="shared" si="65"/>
        <v>293.33333333333616</v>
      </c>
      <c r="CD84" s="62">
        <f ca="1">AVERAGE(OFFSET($CC$3,0,0,'Données projet'!$E$12+1,1))-AVERAGE(OFFSET($H$3,0,0,'Données projet'!$E$12+1,1))</f>
        <v>227.46616726010473</v>
      </c>
      <c r="CE84" s="62">
        <f t="shared" si="94"/>
        <v>314.188568589113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43.824458201445808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2.9294532950435763E-4</v>
      </c>
      <c r="CN84" s="24">
        <f t="shared" si="66"/>
        <v>43.824751146775313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10.25</v>
      </c>
      <c r="CT84" s="13">
        <f>IF('Données projet'!$A$140&gt;35,CT83+CS84-DB83,IF(A84&lt;'Données projet'!$A$140,$CQ$205^A84,IF(A84='Données projet'!$A$140,'Données projet'!$B$140,CT83+CS84-DB83)))</f>
        <v>632.75</v>
      </c>
      <c r="CU84" s="18">
        <f>CT84*VLOOKUP('Données projet'!$B$13,Paramètres!$A$1:$I$88,3,0)*VLOOKUP('Données projet'!$B$13,Paramètres!$A$1:$I$88,5,0)</f>
        <v>378.3845</v>
      </c>
      <c r="CV84" s="14">
        <f t="shared" si="95"/>
        <v>87.380386665307825</v>
      </c>
      <c r="CW84" s="22">
        <f t="shared" si="67"/>
        <v>811.20717760874447</v>
      </c>
      <c r="CX84" s="62">
        <f t="shared" si="68"/>
        <v>1104.5405109420778</v>
      </c>
      <c r="CY84" s="62">
        <f ca="1">AVERAGE(OFFSET($CX$3,0,0,'Données projet'!$E$13+1,1))-AVERAGE(OFFSET($H$3,0,0,'Données projet'!$E$13+1,1))</f>
        <v>356.46794174556311</v>
      </c>
      <c r="CZ84" s="62">
        <f t="shared" si="96"/>
        <v>248.47107558211923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0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projet'!$B$14,Paramètres!$A$1:$I$88,3,0)*VLOOKUP('Données projet'!$B$14,Paramètres!$A$1:$I$88,5,0)</f>
        <v>6.3550942286383367E-14</v>
      </c>
      <c r="DQ84" s="14">
        <f t="shared" si="97"/>
        <v>1.0064464192543978E-12</v>
      </c>
      <c r="DR84" s="22">
        <f t="shared" si="70"/>
        <v>1.8635787380168604E-12</v>
      </c>
      <c r="DS84" s="62">
        <f t="shared" si="71"/>
        <v>293.33333333333519</v>
      </c>
      <c r="DT84" s="62">
        <f ca="1">AVERAGE(OFFSET($DS$3,0,0,'Données projet'!$E$14+1,1))-AVERAGE(OFFSET($H$3,0,0,'Données projet'!$E$14+1,1))</f>
        <v>397.04445188588369</v>
      </c>
      <c r="DU84" s="62">
        <f t="shared" si="98"/>
        <v>350.01856672839466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1.8275421468455635</v>
      </c>
      <c r="EB84" s="23">
        <f>EXP(-LN(2)/25)*EB83+(1-EXP(-LN(2)/25))/(LN(2)/25)*Calculateur!DW84*Calculateur!DY84*VLOOKUP('Données projet'!$B$14,Paramètres!$A$1:$I$88,3,0)*0.475*44/12</f>
        <v>0</v>
      </c>
      <c r="EC84" s="23">
        <f>EXP(-LN(2)/2)*EC83+(1-EXP(-LN(2)/2))/(LN(2)/2)*DW84*DZ84*VLOOKUP('Données projet'!$B$14,Paramètres!$A$1:$I$88,3,0)*0.475*44/12</f>
        <v>3.4144630944961433E-7</v>
      </c>
      <c r="ED84" s="24">
        <f t="shared" si="72"/>
        <v>1.8275424882918729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-1.9895196601282805E-13</v>
      </c>
      <c r="EK84" s="18">
        <f>EJ84*VLOOKUP('Données projet'!$B$15,Paramètres!$A$1:$I$88,3,0)*VLOOKUP('Données projet'!$B$15,Paramètres!$A$1:$I$88,5,0)</f>
        <v>-1.738044375088066E-13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202.5548390231225</v>
      </c>
      <c r="EP84" s="62">
        <f t="shared" si="100"/>
        <v>184.62184077734179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projet'!$B$15,Paramètres!$A$1:$I$88,3,0)*0.475*44/12</f>
        <v>0</v>
      </c>
      <c r="EW84" s="23">
        <f>EXP(-LN(2)/25)*EW83+(1-EXP(-LN(2)/25))/(LN(2)/25)*Calculateur!ER84*Calculateur!ET84*VLOOKUP('Données projet'!$B$15,Paramètres!$A$1:$I$88,3,0)*0.475*44/12</f>
        <v>0</v>
      </c>
      <c r="EX84" s="23">
        <f>EXP(-LN(2)/2)*EX83+(1-EXP(-LN(2)/2))/(LN(2)/2)*ER84*EU84*VLOOKUP('Données projet'!$B$15,Paramètres!$A$1:$I$88,3,0)*0.475*44/12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5.9</v>
      </c>
      <c r="FE84" s="13">
        <f>IF('Données projet'!$A$218&gt;35,FE83+FD84-FM83,IF(A84&lt;'Données projet'!$A$218,$FB$205^A84,IF(A84='Données projet'!$A$218,'Données projet'!$B$218,FE83+FD84-FM83)))</f>
        <v>266.39999999999986</v>
      </c>
      <c r="FF84" s="18">
        <f>FE84*VLOOKUP('Données projet'!$B$16,Paramètres!$A$1:$I$88,3,0)*VLOOKUP('Données projet'!$B$16,Paramètres!$A$1:$I$88,5,0)</f>
        <v>257.66207999999989</v>
      </c>
      <c r="FG84" s="14">
        <f t="shared" si="101"/>
        <v>62.223766209033421</v>
      </c>
      <c r="FH84" s="22">
        <f t="shared" si="76"/>
        <v>557.13451548073306</v>
      </c>
      <c r="FI84" s="62">
        <f t="shared" si="77"/>
        <v>850.46784881406643</v>
      </c>
      <c r="FJ84" s="62">
        <f ca="1">AVERAGE(OFFSET($FI$3,0,0,'Données projet'!$E$16+1,1))-AVERAGE(OFFSET($H$3,0,0,'Données projet'!$E$16+1,1))</f>
        <v>456.96274622094955</v>
      </c>
      <c r="FK84" s="62">
        <f t="shared" si="102"/>
        <v>244.45149244446094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projet'!$B$16,Paramètres!$A$1:$I$88,3,0)*0.475*44/12</f>
        <v>0</v>
      </c>
      <c r="FR84" s="23">
        <f>EXP(-LN(2)/25)*FR83+(1-EXP(-LN(2)/25))/(LN(2)/25)*Calculateur!FM84*Calculateur!FO84*VLOOKUP('Données projet'!$B$16,Paramètres!$A$1:$I$88,3,0)*0.475*44/12</f>
        <v>0</v>
      </c>
      <c r="FS84" s="23">
        <f>EXP(-LN(2)/2)*FS83+(1-EXP(-LN(2)/2))/(LN(2)/2)*FM84*FP84*VLOOKUP('Données projet'!$B$16,Paramètres!$A$1:$I$88,3,0)*0.475*44/12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5.9</v>
      </c>
      <c r="FZ84" s="13">
        <f>IF('Données projet'!$A$244&gt;35,FZ83+FY84-GH83,IF(A84&lt;'Données projet'!$A$244,$FW$205^A84,IF(A84='Données projet'!$A$244,'Données projet'!$B$244,FZ83+FY84-GH83)))</f>
        <v>266.39999999999986</v>
      </c>
      <c r="GA84" s="18">
        <f>FZ84*VLOOKUP('Données projet'!$B$17,Paramètres!$A$1:$I$88,3,0)*VLOOKUP('Données projet'!$B$17,Paramètres!$A$1:$I$88,5,0)</f>
        <v>286.75295999999986</v>
      </c>
      <c r="GB84" s="14">
        <f t="shared" si="103"/>
        <v>68.392118063243558</v>
      </c>
      <c r="GC84" s="22">
        <f t="shared" si="79"/>
        <v>618.54434429348237</v>
      </c>
      <c r="GD84" s="62">
        <f t="shared" si="80"/>
        <v>911.87767762681574</v>
      </c>
      <c r="GE84" s="62">
        <f ca="1">AVERAGE(OFFSET($GD$3,0,0,'Données projet'!$E$17+1,1))-AVERAGE(OFFSET($H$3,0,0,'Données projet'!$E$17+1,1))</f>
        <v>503.69304261527651</v>
      </c>
      <c r="GF84" s="62">
        <f t="shared" si="104"/>
        <v>267.2998309535638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projet'!$B$17,Paramètres!$A$1:$I$88,3,0)*0.475*44/12</f>
        <v>0</v>
      </c>
      <c r="GM84" s="23">
        <f>EXP(-LN(2)/25)*GM83+(1-EXP(-LN(2)/25))/(LN(2)/25)*Calculateur!GH84*Calculateur!GJ84*VLOOKUP('Données projet'!$B$17,Paramètres!$A$1:$I$88,3,0)*0.475*44/12</f>
        <v>0</v>
      </c>
      <c r="GN84" s="23">
        <f>EXP(-LN(2)/2)*GN83+(1-EXP(-LN(2)/2))/(LN(2)/2)*GH84*GK84*VLOOKUP('Données projet'!$B$17,Paramètres!$A$1:$I$88,3,0)*0.475*44/12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7</v>
      </c>
      <c r="GU84" s="13">
        <f>IF('Données projet'!$A$270&gt;35,GU83+GT84-HC83,IF(A84&lt;'Données projet'!$A$270,$GR$205^A84,IF(A84='Données projet'!$A$270,'Données projet'!$B$270,GU83+GT84-HC83)))</f>
        <v>326.00000000000006</v>
      </c>
      <c r="GV84" s="18">
        <f>GU84*VLOOKUP('Données projet'!$B$18,Paramètres!$A$1:$I$88,3,0)*VLOOKUP('Données projet'!$B$18,Paramètres!$A$1:$I$88,5,0)</f>
        <v>340.73520000000008</v>
      </c>
      <c r="GW84" s="14">
        <f t="shared" si="105"/>
        <v>79.651824295893803</v>
      </c>
      <c r="GX84" s="22">
        <f t="shared" si="82"/>
        <v>732.17406731534845</v>
      </c>
      <c r="GY84" s="62">
        <f t="shared" si="83"/>
        <v>1025.5074006486818</v>
      </c>
      <c r="GZ84" s="62">
        <f ca="1">AVERAGE(OFFSET($GY$3,0,0,'Données projet'!$E$18+1,1))-AVERAGE(OFFSET($H$3,0,0,'Données projet'!$E$18+1,1))</f>
        <v>582.89879210197682</v>
      </c>
      <c r="HA84" s="62">
        <f t="shared" si="106"/>
        <v>314.72094983133326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projet'!$B$18,Paramètres!$A$1:$I$88,3,0)*0.475*44/12</f>
        <v>0</v>
      </c>
      <c r="HH84" s="23">
        <f>EXP(-LN(2)/25)*HH83+(1-EXP(-LN(2)/25))/(LN(2)/25)*Calculateur!HC84*Calculateur!HE84*VLOOKUP('Données projet'!$B$18,Paramètres!$A$1:$I$88,3,0)*0.475*44/12</f>
        <v>0</v>
      </c>
      <c r="HI84" s="23">
        <f>EXP(-LN(2)/2)*HI83+(1-EXP(-LN(2)/2))/(LN(2)/2)*HC84*HF84*VLOOKUP('Données projet'!$B$18,Paramètres!$A$1:$I$88,3,0)*0.475*44/12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17.8</v>
      </c>
      <c r="N85" s="14">
        <f>IF('Données projet'!$A$36&gt;35,N84+M85-V84,IF(A85&lt;'Données projet'!$A$36,$K$205^A85,IF(A85='Données projet'!$A$36,'Données projet'!$B$36,N84+M85-V84)))</f>
        <v>659.60000000000025</v>
      </c>
      <c r="O85" s="14">
        <f>N85*VLOOKUP('Données projet'!$B$9,Paramètres!$A$1:$I$88,3,0)*VLOOKUP('Données projet'!$B$9,Paramètres!$A$1:$I$88,5,0)</f>
        <v>308.69280000000009</v>
      </c>
      <c r="P85" s="14">
        <f t="shared" si="87"/>
        <v>72.995767680913616</v>
      </c>
      <c r="Q85" s="22">
        <f t="shared" si="54"/>
        <v>664.77425537759143</v>
      </c>
      <c r="R85" s="62">
        <f t="shared" si="55"/>
        <v>958.1075887109248</v>
      </c>
      <c r="S85" s="62">
        <f ca="1">AVERAGE(OFFSET($R$3,0,0,'Données projet'!$E$9+1,1))-AVERAGE(OFFSET($H$3,0,0,'Données projet'!$E$9+1,1))</f>
        <v>399.92909819003523</v>
      </c>
      <c r="T85" s="62">
        <f t="shared" si="88"/>
        <v>163.7053537268381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</v>
      </c>
      <c r="AI85" s="14">
        <f>IF('Données projet'!$A$62&gt;35,AI84+AH85-AQ84,IF(A85&lt;'Données projet'!$A$62,$AF$205^A85,IF(A85='Données projet'!$A$62,'Données projet'!$B$62,AI84+AH85-AQ84)))</f>
        <v>333.00000000000006</v>
      </c>
      <c r="AJ85" s="14">
        <f>AI85*VLOOKUP('Données projet'!$B$10,Paramètres!$A$1:$I$88,3,0)*VLOOKUP('Données projet'!$B$10,Paramètres!$A$1:$I$88,5,0)</f>
        <v>301.29840000000002</v>
      </c>
      <c r="AK85" s="14">
        <f t="shared" si="89"/>
        <v>71.448589534990518</v>
      </c>
      <c r="AL85" s="22">
        <f t="shared" si="58"/>
        <v>649.2010067734418</v>
      </c>
      <c r="AM85" s="62">
        <f t="shared" si="59"/>
        <v>942.53434010677506</v>
      </c>
      <c r="AN85" s="62">
        <f ca="1">AVERAGE(OFFSET($AM$3,0,0,'Données projet'!$E$10+1,1))-AVERAGE(OFFSET($H$3,0,0,'Données projet'!$E$10+1,1))</f>
        <v>510.56580450928806</v>
      </c>
      <c r="AO85" s="62">
        <f t="shared" si="90"/>
        <v>278.21741231699929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IF('Données projet'!$A$88&gt;35,BD84+BC85-BL84,IF(A85&lt;'Données projet'!$A$88,$BA$205^A85,IF(A85='Données projet'!$A$88,'Données projet'!$B$88,BD84+BC85-BL84)))</f>
        <v>333.29999999999984</v>
      </c>
      <c r="BE85" s="14">
        <f>BD85*VLOOKUP('Données projet'!$B$11,Paramètres!$A$1:$I$88,3,0)*VLOOKUP('Données projet'!$B$11,Paramètres!$A$1:$I$88,5,0)</f>
        <v>317.16827999999987</v>
      </c>
      <c r="BF85" s="14">
        <f t="shared" si="91"/>
        <v>74.76385479576723</v>
      </c>
      <c r="BG85" s="22">
        <f t="shared" si="61"/>
        <v>682.61513476929429</v>
      </c>
      <c r="BH85" s="62">
        <f t="shared" si="62"/>
        <v>975.94846810262766</v>
      </c>
      <c r="BI85" s="62">
        <f ca="1">AVERAGE(OFFSET($BH$3,0,0,'Données projet'!$E$11+1,1))-AVERAGE(OFFSET($H$3,0,0,'Données projet'!$E$11+1,1))</f>
        <v>525.51330555662139</v>
      </c>
      <c r="BJ85" s="62">
        <f t="shared" si="92"/>
        <v>357.72390083433635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1.7053025658242404E-13</v>
      </c>
      <c r="BZ85" s="14">
        <f>BY85*VLOOKUP('Données projet'!$B$12,Paramètres!$A$1:$I$88,3,0)*VLOOKUP('Données projet'!$B$12,Paramètres!$A$1:$I$88,5,0)</f>
        <v>1.0197709343628959E-13</v>
      </c>
      <c r="CA85" s="14">
        <f t="shared" si="93"/>
        <v>1.5284983994279675E-12</v>
      </c>
      <c r="CB85" s="22">
        <f t="shared" si="64"/>
        <v>2.839744816738581E-12</v>
      </c>
      <c r="CC85" s="62">
        <f t="shared" si="65"/>
        <v>293.33333333333616</v>
      </c>
      <c r="CD85" s="62">
        <f ca="1">AVERAGE(OFFSET($CC$3,0,0,'Données projet'!$E$12+1,1))-AVERAGE(OFFSET($H$3,0,0,'Données projet'!$E$12+1,1))</f>
        <v>227.46616726010473</v>
      </c>
      <c r="CE85" s="62">
        <f t="shared" si="94"/>
        <v>314.188568589113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42.96508730639556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2.0714362900945888E-4</v>
      </c>
      <c r="CN85" s="24">
        <f t="shared" si="66"/>
        <v>42.965294450024572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>
        <f>VLOOKUP(A85,'Données projet'!$A$139:$I$159,2,0)</f>
        <v>643</v>
      </c>
      <c r="CR85" s="13">
        <f>VLOOKUP(A85,'Données projet'!$A$139:$I$159,9,0)</f>
        <v>10.25</v>
      </c>
      <c r="CS85" s="13">
        <f t="array" ref="CS85">INDEX(CR:CR,MIN(IF(ISNUMBER(CR85:CR281),ROW(CR85:CR281),"")))</f>
        <v>10.25</v>
      </c>
      <c r="CT85" s="13">
        <f>IF('Données projet'!$A$140&gt;35,CT84+CS85-DB84,IF(A85&lt;'Données projet'!$A$140,$CQ$205^A85,IF(A85='Données projet'!$A$140,'Données projet'!$B$140,CT84+CS85-DB84)))</f>
        <v>643</v>
      </c>
      <c r="CU85" s="18">
        <f>CT85*VLOOKUP('Données projet'!$B$13,Paramètres!$A$1:$I$88,3,0)*VLOOKUP('Données projet'!$B$13,Paramètres!$A$1:$I$88,5,0)</f>
        <v>384.51400000000007</v>
      </c>
      <c r="CV85" s="14">
        <f t="shared" si="95"/>
        <v>88.629938248683558</v>
      </c>
      <c r="CW85" s="22">
        <f t="shared" si="67"/>
        <v>824.05902578312396</v>
      </c>
      <c r="CX85" s="62">
        <f t="shared" si="68"/>
        <v>1117.3923591164573</v>
      </c>
      <c r="CY85" s="62">
        <f ca="1">AVERAGE(OFFSET($CX$3,0,0,'Données projet'!$E$13+1,1))-AVERAGE(OFFSET($H$3,0,0,'Données projet'!$E$13+1,1))</f>
        <v>356.46794174556311</v>
      </c>
      <c r="CZ85" s="62">
        <f t="shared" si="96"/>
        <v>248.47107558211923</v>
      </c>
      <c r="DA85" s="16">
        <f>IF(ISNA(VLOOKUP(A85,'Données projet'!$A$139:$I$159,3,0)),0,VLOOKUP(A85,'Données projet'!$A$139:$I$159,3,0))</f>
        <v>5</v>
      </c>
      <c r="DB85" s="16">
        <f>IF(ISNA(VLOOKUP(A85,'Données projet'!$A$139:$I$159,4,0)),0,VLOOKUP(A85,'Données projet'!$A$139:$I$159,4,0))</f>
        <v>643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0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projet'!$B$14,Paramètres!$A$1:$I$88,3,0)*VLOOKUP('Données projet'!$B$14,Paramètres!$A$1:$I$88,5,0)</f>
        <v>6.3550942286383367E-14</v>
      </c>
      <c r="DQ85" s="14">
        <f t="shared" si="97"/>
        <v>1.0064464192543978E-12</v>
      </c>
      <c r="DR85" s="22">
        <f t="shared" si="70"/>
        <v>1.8635787380168604E-12</v>
      </c>
      <c r="DS85" s="62">
        <f t="shared" si="71"/>
        <v>293.33333333333519</v>
      </c>
      <c r="DT85" s="62">
        <f ca="1">AVERAGE(OFFSET($DS$3,0,0,'Données projet'!$E$14+1,1))-AVERAGE(OFFSET($H$3,0,0,'Données projet'!$E$14+1,1))</f>
        <v>397.04445188588369</v>
      </c>
      <c r="DU85" s="62">
        <f t="shared" si="98"/>
        <v>350.01856672839466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1.791705160036565</v>
      </c>
      <c r="EB85" s="23">
        <f>EXP(-LN(2)/25)*EB84+(1-EXP(-LN(2)/25))/(LN(2)/25)*Calculateur!DW85*Calculateur!DY85*VLOOKUP('Données projet'!$B$14,Paramètres!$A$1:$I$88,3,0)*0.475*44/12</f>
        <v>0</v>
      </c>
      <c r="EC85" s="23">
        <f>EXP(-LN(2)/2)*EC84+(1-EXP(-LN(2)/2))/(LN(2)/2)*DW85*DZ85*VLOOKUP('Données projet'!$B$14,Paramètres!$A$1:$I$88,3,0)*0.475*44/12</f>
        <v>2.4143900082294264E-7</v>
      </c>
      <c r="ED85" s="24">
        <f t="shared" si="72"/>
        <v>1.7917054014755658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-1.9895196601282805E-13</v>
      </c>
      <c r="EK85" s="18">
        <f>EJ85*VLOOKUP('Données projet'!$B$15,Paramètres!$A$1:$I$88,3,0)*VLOOKUP('Données projet'!$B$15,Paramètres!$A$1:$I$88,5,0)</f>
        <v>-1.738044375088066E-13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202.5548390231225</v>
      </c>
      <c r="EP85" s="62">
        <f t="shared" si="100"/>
        <v>184.62184077734179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projet'!$B$15,Paramètres!$A$1:$I$88,3,0)*0.475*44/12</f>
        <v>0</v>
      </c>
      <c r="EW85" s="23">
        <f>EXP(-LN(2)/25)*EW84+(1-EXP(-LN(2)/25))/(LN(2)/25)*Calculateur!ER85*Calculateur!ET85*VLOOKUP('Données projet'!$B$15,Paramètres!$A$1:$I$88,3,0)*0.475*44/12</f>
        <v>0</v>
      </c>
      <c r="EX85" s="23">
        <f>EXP(-LN(2)/2)*EX84+(1-EXP(-LN(2)/2))/(LN(2)/2)*ER85*EU85*VLOOKUP('Données projet'!$B$15,Paramètres!$A$1:$I$88,3,0)*0.475*44/12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5.9</v>
      </c>
      <c r="FE85" s="13">
        <f>IF('Données projet'!$A$218&gt;35,FE84+FD85-FM84,IF(A85&lt;'Données projet'!$A$218,$FB$205^A85,IF(A85='Données projet'!$A$218,'Données projet'!$B$218,FE84+FD85-FM84)))</f>
        <v>272.29999999999984</v>
      </c>
      <c r="FF85" s="18">
        <f>FE85*VLOOKUP('Données projet'!$B$16,Paramètres!$A$1:$I$88,3,0)*VLOOKUP('Données projet'!$B$16,Paramètres!$A$1:$I$88,5,0)</f>
        <v>263.36855999999989</v>
      </c>
      <c r="FG85" s="14">
        <f t="shared" si="101"/>
        <v>63.439879983292599</v>
      </c>
      <c r="FH85" s="22">
        <f t="shared" si="76"/>
        <v>569.19136630423441</v>
      </c>
      <c r="FI85" s="62">
        <f t="shared" si="77"/>
        <v>862.52469963756766</v>
      </c>
      <c r="FJ85" s="62">
        <f ca="1">AVERAGE(OFFSET($FI$3,0,0,'Données projet'!$E$16+1,1))-AVERAGE(OFFSET($H$3,0,0,'Données projet'!$E$16+1,1))</f>
        <v>456.96274622094955</v>
      </c>
      <c r="FK85" s="62">
        <f t="shared" si="102"/>
        <v>244.45149244446094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projet'!$B$16,Paramètres!$A$1:$I$88,3,0)*0.475*44/12</f>
        <v>0</v>
      </c>
      <c r="FR85" s="23">
        <f>EXP(-LN(2)/25)*FR84+(1-EXP(-LN(2)/25))/(LN(2)/25)*Calculateur!FM85*Calculateur!FO85*VLOOKUP('Données projet'!$B$16,Paramètres!$A$1:$I$88,3,0)*0.475*44/12</f>
        <v>0</v>
      </c>
      <c r="FS85" s="23">
        <f>EXP(-LN(2)/2)*FS84+(1-EXP(-LN(2)/2))/(LN(2)/2)*FM85*FP85*VLOOKUP('Données projet'!$B$16,Paramètres!$A$1:$I$88,3,0)*0.475*44/12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5.9</v>
      </c>
      <c r="FZ85" s="13">
        <f>IF('Données projet'!$A$244&gt;35,FZ84+FY85-GH84,IF(A85&lt;'Données projet'!$A$244,$FW$205^A85,IF(A85='Données projet'!$A$244,'Données projet'!$B$244,FZ84+FY85-GH84)))</f>
        <v>272.29999999999984</v>
      </c>
      <c r="GA85" s="18">
        <f>FZ85*VLOOKUP('Données projet'!$B$17,Paramètres!$A$1:$I$88,3,0)*VLOOKUP('Données projet'!$B$17,Paramètres!$A$1:$I$88,5,0)</f>
        <v>293.10371999999984</v>
      </c>
      <c r="GB85" s="14">
        <f t="shared" si="103"/>
        <v>69.728787344046424</v>
      </c>
      <c r="GC85" s="22">
        <f t="shared" si="79"/>
        <v>631.9332836242138</v>
      </c>
      <c r="GD85" s="62">
        <f t="shared" si="80"/>
        <v>925.26661695754706</v>
      </c>
      <c r="GE85" s="62">
        <f ca="1">AVERAGE(OFFSET($GD$3,0,0,'Données projet'!$E$17+1,1))-AVERAGE(OFFSET($H$3,0,0,'Données projet'!$E$17+1,1))</f>
        <v>503.69304261527651</v>
      </c>
      <c r="GF85" s="62">
        <f t="shared" si="104"/>
        <v>267.2998309535638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projet'!$B$17,Paramètres!$A$1:$I$88,3,0)*0.475*44/12</f>
        <v>0</v>
      </c>
      <c r="GM85" s="23">
        <f>EXP(-LN(2)/25)*GM84+(1-EXP(-LN(2)/25))/(LN(2)/25)*Calculateur!GH85*Calculateur!GJ85*VLOOKUP('Données projet'!$B$17,Paramètres!$A$1:$I$88,3,0)*0.475*44/12</f>
        <v>0</v>
      </c>
      <c r="GN85" s="23">
        <f>EXP(-LN(2)/2)*GN84+(1-EXP(-LN(2)/2))/(LN(2)/2)*GH85*GK85*VLOOKUP('Données projet'!$B$17,Paramètres!$A$1:$I$88,3,0)*0.475*44/12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7</v>
      </c>
      <c r="GU85" s="13">
        <f>IF('Données projet'!$A$270&gt;35,GU84+GT85-HC84,IF(A85&lt;'Données projet'!$A$270,$GR$205^A85,IF(A85='Données projet'!$A$270,'Données projet'!$B$270,GU84+GT85-HC84)))</f>
        <v>333.00000000000006</v>
      </c>
      <c r="GV85" s="18">
        <f>GU85*VLOOKUP('Données projet'!$B$18,Paramètres!$A$1:$I$88,3,0)*VLOOKUP('Données projet'!$B$18,Paramètres!$A$1:$I$88,5,0)</f>
        <v>348.05160000000006</v>
      </c>
      <c r="GW85" s="14">
        <f t="shared" si="105"/>
        <v>81.161185188985755</v>
      </c>
      <c r="GX85" s="22">
        <f t="shared" si="82"/>
        <v>747.545600870817</v>
      </c>
      <c r="GY85" s="62">
        <f t="shared" si="83"/>
        <v>1040.8789342041503</v>
      </c>
      <c r="GZ85" s="62">
        <f ca="1">AVERAGE(OFFSET($GY$3,0,0,'Données projet'!$E$18+1,1))-AVERAGE(OFFSET($H$3,0,0,'Données projet'!$E$18+1,1))</f>
        <v>582.89879210197682</v>
      </c>
      <c r="HA85" s="62">
        <f t="shared" si="106"/>
        <v>314.72094983133326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projet'!$B$18,Paramètres!$A$1:$I$88,3,0)*0.475*44/12</f>
        <v>0</v>
      </c>
      <c r="HH85" s="23">
        <f>EXP(-LN(2)/25)*HH84+(1-EXP(-LN(2)/25))/(LN(2)/25)*Calculateur!HC85*Calculateur!HE85*VLOOKUP('Données projet'!$B$18,Paramètres!$A$1:$I$88,3,0)*0.475*44/12</f>
        <v>0</v>
      </c>
      <c r="HI85" s="23">
        <f>EXP(-LN(2)/2)*HI84+(1-EXP(-LN(2)/2))/(LN(2)/2)*HC85*HF85*VLOOKUP('Données projet'!$B$18,Paramètres!$A$1:$I$88,3,0)*0.475*44/12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17.8</v>
      </c>
      <c r="N86" s="14">
        <f>IF('Données projet'!$A$36&gt;35,N85+M86-V85,IF(A86&lt;'Données projet'!$A$36,$K$205^A86,IF(A86='Données projet'!$A$36,'Données projet'!$B$36,N85+M86-V85)))</f>
        <v>677.4000000000002</v>
      </c>
      <c r="O86" s="14">
        <f>N86*VLOOKUP('Données projet'!$B$9,Paramètres!$A$1:$I$88,3,0)*VLOOKUP('Données projet'!$B$9,Paramètres!$A$1:$I$88,5,0)</f>
        <v>317.02320000000009</v>
      </c>
      <c r="P86" s="14">
        <f t="shared" si="87"/>
        <v>74.733636027657681</v>
      </c>
      <c r="Q86" s="22">
        <f t="shared" si="54"/>
        <v>682.30982274817052</v>
      </c>
      <c r="R86" s="62">
        <f t="shared" si="55"/>
        <v>975.64315608150378</v>
      </c>
      <c r="S86" s="62">
        <f ca="1">AVERAGE(OFFSET($R$3,0,0,'Données projet'!$E$9+1,1))-AVERAGE(OFFSET($H$3,0,0,'Données projet'!$E$9+1,1))</f>
        <v>399.92909819003523</v>
      </c>
      <c r="T86" s="62">
        <f t="shared" si="88"/>
        <v>163.7053537268381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</v>
      </c>
      <c r="AI86" s="14">
        <f>IF('Données projet'!$A$62&gt;35,AI85+AH86-AQ85,IF(A86&lt;'Données projet'!$A$62,$AF$205^A86,IF(A86='Données projet'!$A$62,'Données projet'!$B$62,AI85+AH86-AQ85)))</f>
        <v>340.00000000000006</v>
      </c>
      <c r="AJ86" s="14">
        <f>AI86*VLOOKUP('Données projet'!$B$10,Paramètres!$A$1:$I$88,3,0)*VLOOKUP('Données projet'!$B$10,Paramètres!$A$1:$I$88,5,0)</f>
        <v>307.63200000000006</v>
      </c>
      <c r="AK86" s="14">
        <f t="shared" si="89"/>
        <v>72.774077039465567</v>
      </c>
      <c r="AL86" s="22">
        <f t="shared" si="58"/>
        <v>662.54058417706926</v>
      </c>
      <c r="AM86" s="62">
        <f t="shared" si="59"/>
        <v>955.87391751040263</v>
      </c>
      <c r="AN86" s="62">
        <f ca="1">AVERAGE(OFFSET($AM$3,0,0,'Données projet'!$E$10+1,1))-AVERAGE(OFFSET($H$3,0,0,'Données projet'!$E$10+1,1))</f>
        <v>510.56580450928806</v>
      </c>
      <c r="AO86" s="62">
        <f t="shared" si="90"/>
        <v>278.21741231699929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IF('Données projet'!$A$88&gt;35,BD85+BC86-BL85,IF(A86&lt;'Données projet'!$A$88,$BA$205^A86,IF(A86='Données projet'!$A$88,'Données projet'!$B$88,BD85+BC86-BL85)))</f>
        <v>339.19999999999982</v>
      </c>
      <c r="BE86" s="14">
        <f>BD86*VLOOKUP('Données projet'!$B$11,Paramètres!$A$1:$I$88,3,0)*VLOOKUP('Données projet'!$B$11,Paramètres!$A$1:$I$88,5,0)</f>
        <v>322.78271999999987</v>
      </c>
      <c r="BF86" s="14">
        <f t="shared" si="91"/>
        <v>75.932060584989983</v>
      </c>
      <c r="BG86" s="22">
        <f t="shared" si="61"/>
        <v>694.42824285219058</v>
      </c>
      <c r="BH86" s="62">
        <f t="shared" si="62"/>
        <v>987.76157618552384</v>
      </c>
      <c r="BI86" s="62">
        <f ca="1">AVERAGE(OFFSET($BH$3,0,0,'Données projet'!$E$11+1,1))-AVERAGE(OFFSET($H$3,0,0,'Données projet'!$E$11+1,1))</f>
        <v>525.51330555662139</v>
      </c>
      <c r="BJ86" s="62">
        <f t="shared" si="92"/>
        <v>357.72390083433635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1.7053025658242404E-13</v>
      </c>
      <c r="BZ86" s="14">
        <f>BY86*VLOOKUP('Données projet'!$B$12,Paramètres!$A$1:$I$88,3,0)*VLOOKUP('Données projet'!$B$12,Paramètres!$A$1:$I$88,5,0)</f>
        <v>1.0197709343628959E-13</v>
      </c>
      <c r="CA86" s="14">
        <f t="shared" si="93"/>
        <v>1.5284983994279675E-12</v>
      </c>
      <c r="CB86" s="22">
        <f t="shared" si="64"/>
        <v>2.839744816738581E-12</v>
      </c>
      <c r="CC86" s="62">
        <f t="shared" si="65"/>
        <v>293.33333333333616</v>
      </c>
      <c r="CD86" s="62">
        <f ca="1">AVERAGE(OFFSET($CC$3,0,0,'Données projet'!$E$12+1,1))-AVERAGE(OFFSET($H$3,0,0,'Données projet'!$E$12+1,1))</f>
        <v>227.46616726010473</v>
      </c>
      <c r="CE86" s="62">
        <f t="shared" si="94"/>
        <v>314.188568589113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42.122568150432762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1.4647266475217882E-4</v>
      </c>
      <c r="CN86" s="24">
        <f t="shared" si="66"/>
        <v>42.122714623097515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projet'!$B$13,Paramètres!$A$1:$I$88,3,0)*VLOOKUP('Données projet'!$B$13,Paramètres!$A$1:$I$88,5,0)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356.46794174556311</v>
      </c>
      <c r="CZ86" s="62">
        <f t="shared" si="96"/>
        <v>248.47107558211923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0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projet'!$B$14,Paramètres!$A$1:$I$88,3,0)*VLOOKUP('Données projet'!$B$14,Paramètres!$A$1:$I$88,5,0)</f>
        <v>6.3550942286383367E-14</v>
      </c>
      <c r="DQ86" s="14">
        <f t="shared" si="97"/>
        <v>1.0064464192543978E-12</v>
      </c>
      <c r="DR86" s="22">
        <f t="shared" si="70"/>
        <v>1.8635787380168604E-12</v>
      </c>
      <c r="DS86" s="62">
        <f t="shared" si="71"/>
        <v>293.33333333333519</v>
      </c>
      <c r="DT86" s="62">
        <f ca="1">AVERAGE(OFFSET($DS$3,0,0,'Données projet'!$E$14+1,1))-AVERAGE(OFFSET($H$3,0,0,'Données projet'!$E$14+1,1))</f>
        <v>397.04445188588369</v>
      </c>
      <c r="DU86" s="62">
        <f t="shared" si="98"/>
        <v>350.01856672839466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1.7565709146804873</v>
      </c>
      <c r="EB86" s="23">
        <f>EXP(-LN(2)/25)*EB85+(1-EXP(-LN(2)/25))/(LN(2)/25)*Calculateur!DW86*Calculateur!DY86*VLOOKUP('Données projet'!$B$14,Paramètres!$A$1:$I$88,3,0)*0.475*44/12</f>
        <v>0</v>
      </c>
      <c r="EC86" s="23">
        <f>EXP(-LN(2)/2)*EC85+(1-EXP(-LN(2)/2))/(LN(2)/2)*DW86*DZ86*VLOOKUP('Données projet'!$B$14,Paramètres!$A$1:$I$88,3,0)*0.475*44/12</f>
        <v>1.7072315472480717E-7</v>
      </c>
      <c r="ED86" s="24">
        <f t="shared" si="72"/>
        <v>1.756571085403642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-1.9895196601282805E-13</v>
      </c>
      <c r="EK86" s="18">
        <f>EJ86*VLOOKUP('Données projet'!$B$15,Paramètres!$A$1:$I$88,3,0)*VLOOKUP('Données projet'!$B$15,Paramètres!$A$1:$I$88,5,0)</f>
        <v>-1.738044375088066E-13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202.5548390231225</v>
      </c>
      <c r="EP86" s="62">
        <f t="shared" si="100"/>
        <v>184.62184077734179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projet'!$B$15,Paramètres!$A$1:$I$88,3,0)*0.475*44/12</f>
        <v>0</v>
      </c>
      <c r="EW86" s="23">
        <f>EXP(-LN(2)/25)*EW85+(1-EXP(-LN(2)/25))/(LN(2)/25)*Calculateur!ER86*Calculateur!ET86*VLOOKUP('Données projet'!$B$15,Paramètres!$A$1:$I$88,3,0)*0.475*44/12</f>
        <v>0</v>
      </c>
      <c r="EX86" s="23">
        <f>EXP(-LN(2)/2)*EX85+(1-EXP(-LN(2)/2))/(LN(2)/2)*ER86*EU86*VLOOKUP('Données projet'!$B$15,Paramètres!$A$1:$I$88,3,0)*0.475*44/12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5.9</v>
      </c>
      <c r="FE86" s="13">
        <f>IF('Données projet'!$A$218&gt;35,FE85+FD86-FM85,IF(A86&lt;'Données projet'!$A$218,$FB$205^A86,IF(A86='Données projet'!$A$218,'Données projet'!$B$218,FE85+FD86-FM85)))</f>
        <v>278.19999999999982</v>
      </c>
      <c r="FF86" s="18">
        <f>FE86*VLOOKUP('Données projet'!$B$16,Paramètres!$A$1:$I$88,3,0)*VLOOKUP('Données projet'!$B$16,Paramètres!$A$1:$I$88,5,0)</f>
        <v>269.07503999999983</v>
      </c>
      <c r="FG86" s="14">
        <f t="shared" si="101"/>
        <v>64.652930243111086</v>
      </c>
      <c r="FH86" s="22">
        <f t="shared" si="76"/>
        <v>581.24288150675147</v>
      </c>
      <c r="FI86" s="62">
        <f t="shared" si="77"/>
        <v>874.57621484008473</v>
      </c>
      <c r="FJ86" s="62">
        <f ca="1">AVERAGE(OFFSET($FI$3,0,0,'Données projet'!$E$16+1,1))-AVERAGE(OFFSET($H$3,0,0,'Données projet'!$E$16+1,1))</f>
        <v>456.96274622094955</v>
      </c>
      <c r="FK86" s="62">
        <f t="shared" si="102"/>
        <v>244.45149244446094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projet'!$B$16,Paramètres!$A$1:$I$88,3,0)*0.475*44/12</f>
        <v>0</v>
      </c>
      <c r="FR86" s="23">
        <f>EXP(-LN(2)/25)*FR85+(1-EXP(-LN(2)/25))/(LN(2)/25)*Calculateur!FM86*Calculateur!FO86*VLOOKUP('Données projet'!$B$16,Paramètres!$A$1:$I$88,3,0)*0.475*44/12</f>
        <v>0</v>
      </c>
      <c r="FS86" s="23">
        <f>EXP(-LN(2)/2)*FS85+(1-EXP(-LN(2)/2))/(LN(2)/2)*FM86*FP86*VLOOKUP('Données projet'!$B$16,Paramètres!$A$1:$I$88,3,0)*0.475*44/12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5.9</v>
      </c>
      <c r="FZ86" s="13">
        <f>IF('Données projet'!$A$244&gt;35,FZ85+FY86-GH85,IF(A86&lt;'Données projet'!$A$244,$FW$205^A86,IF(A86='Données projet'!$A$244,'Données projet'!$B$244,FZ85+FY86-GH85)))</f>
        <v>278.19999999999982</v>
      </c>
      <c r="GA86" s="18">
        <f>FZ86*VLOOKUP('Données projet'!$B$17,Paramètres!$A$1:$I$88,3,0)*VLOOKUP('Données projet'!$B$17,Paramètres!$A$1:$I$88,5,0)</f>
        <v>299.45447999999976</v>
      </c>
      <c r="GB86" s="14">
        <f t="shared" si="103"/>
        <v>71.062089418810686</v>
      </c>
      <c r="GC86" s="22">
        <f t="shared" si="79"/>
        <v>645.31635840442812</v>
      </c>
      <c r="GD86" s="62">
        <f t="shared" si="80"/>
        <v>938.64969173776149</v>
      </c>
      <c r="GE86" s="62">
        <f ca="1">AVERAGE(OFFSET($GD$3,0,0,'Données projet'!$E$17+1,1))-AVERAGE(OFFSET($H$3,0,0,'Données projet'!$E$17+1,1))</f>
        <v>503.69304261527651</v>
      </c>
      <c r="GF86" s="62">
        <f t="shared" si="104"/>
        <v>267.2998309535638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projet'!$B$17,Paramètres!$A$1:$I$88,3,0)*0.475*44/12</f>
        <v>0</v>
      </c>
      <c r="GM86" s="23">
        <f>EXP(-LN(2)/25)*GM85+(1-EXP(-LN(2)/25))/(LN(2)/25)*Calculateur!GH86*Calculateur!GJ86*VLOOKUP('Données projet'!$B$17,Paramètres!$A$1:$I$88,3,0)*0.475*44/12</f>
        <v>0</v>
      </c>
      <c r="GN86" s="23">
        <f>EXP(-LN(2)/2)*GN85+(1-EXP(-LN(2)/2))/(LN(2)/2)*GH86*GK86*VLOOKUP('Données projet'!$B$17,Paramètres!$A$1:$I$88,3,0)*0.475*44/12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7</v>
      </c>
      <c r="GU86" s="13">
        <f>IF('Données projet'!$A$270&gt;35,GU85+GT86-HC85,IF(A86&lt;'Données projet'!$A$270,$GR$205^A86,IF(A86='Données projet'!$A$270,'Données projet'!$B$270,GU85+GT86-HC85)))</f>
        <v>340.00000000000006</v>
      </c>
      <c r="GV86" s="18">
        <f>GU86*VLOOKUP('Données projet'!$B$18,Paramètres!$A$1:$I$88,3,0)*VLOOKUP('Données projet'!$B$18,Paramètres!$A$1:$I$88,5,0)</f>
        <v>355.36800000000005</v>
      </c>
      <c r="GW86" s="14">
        <f t="shared" si="105"/>
        <v>82.666857134597876</v>
      </c>
      <c r="GX86" s="22">
        <f t="shared" si="82"/>
        <v>762.91070950942469</v>
      </c>
      <c r="GY86" s="62">
        <f t="shared" si="83"/>
        <v>1056.2440428427581</v>
      </c>
      <c r="GZ86" s="62">
        <f ca="1">AVERAGE(OFFSET($GY$3,0,0,'Données projet'!$E$18+1,1))-AVERAGE(OFFSET($H$3,0,0,'Données projet'!$E$18+1,1))</f>
        <v>582.89879210197682</v>
      </c>
      <c r="HA86" s="62">
        <f t="shared" si="106"/>
        <v>314.72094983133326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projet'!$B$18,Paramètres!$A$1:$I$88,3,0)*0.475*44/12</f>
        <v>0</v>
      </c>
      <c r="HH86" s="23">
        <f>EXP(-LN(2)/25)*HH85+(1-EXP(-LN(2)/25))/(LN(2)/25)*Calculateur!HC86*Calculateur!HE86*VLOOKUP('Données projet'!$B$18,Paramètres!$A$1:$I$88,3,0)*0.475*44/12</f>
        <v>0</v>
      </c>
      <c r="HI86" s="23">
        <f>EXP(-LN(2)/2)*HI85+(1-EXP(-LN(2)/2))/(LN(2)/2)*HC86*HF86*VLOOKUP('Données projet'!$B$18,Paramètres!$A$1:$I$88,3,0)*0.475*44/12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17.8</v>
      </c>
      <c r="N87" s="14">
        <f>IF('Données projet'!$A$36&gt;35,N86+M87-V86,IF(A87&lt;'Données projet'!$A$36,$K$205^A87,IF(A87='Données projet'!$A$36,'Données projet'!$B$36,N86+M87-V86)))</f>
        <v>695.20000000000016</v>
      </c>
      <c r="O87" s="14">
        <f>N87*VLOOKUP('Données projet'!$B$9,Paramètres!$A$1:$I$88,3,0)*VLOOKUP('Données projet'!$B$9,Paramètres!$A$1:$I$88,5,0)</f>
        <v>325.35360000000009</v>
      </c>
      <c r="P87" s="14">
        <f t="shared" si="87"/>
        <v>76.466196343081592</v>
      </c>
      <c r="Q87" s="22">
        <f t="shared" si="54"/>
        <v>699.83614529753402</v>
      </c>
      <c r="R87" s="62">
        <f t="shared" si="55"/>
        <v>993.16947863086739</v>
      </c>
      <c r="S87" s="62">
        <f ca="1">AVERAGE(OFFSET($R$3,0,0,'Données projet'!$E$9+1,1))-AVERAGE(OFFSET($H$3,0,0,'Données projet'!$E$9+1,1))</f>
        <v>399.92909819003523</v>
      </c>
      <c r="T87" s="62">
        <f t="shared" si="88"/>
        <v>163.7053537268381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</v>
      </c>
      <c r="AI87" s="14">
        <f>IF('Données projet'!$A$62&gt;35,AI86+AH87-AQ86,IF(A87&lt;'Données projet'!$A$62,$AF$205^A87,IF(A87='Données projet'!$A$62,'Données projet'!$B$62,AI86+AH87-AQ86)))</f>
        <v>347.00000000000006</v>
      </c>
      <c r="AJ87" s="14">
        <f>AI87*VLOOKUP('Données projet'!$B$10,Paramètres!$A$1:$I$88,3,0)*VLOOKUP('Données projet'!$B$10,Paramètres!$A$1:$I$88,5,0)</f>
        <v>313.96560000000005</v>
      </c>
      <c r="AK87" s="14">
        <f t="shared" si="89"/>
        <v>74.096391618326777</v>
      </c>
      <c r="AL87" s="22">
        <f t="shared" si="58"/>
        <v>675.87463540191914</v>
      </c>
      <c r="AM87" s="62">
        <f t="shared" si="59"/>
        <v>969.20796873525251</v>
      </c>
      <c r="AN87" s="62">
        <f ca="1">AVERAGE(OFFSET($AM$3,0,0,'Données projet'!$E$10+1,1))-AVERAGE(OFFSET($H$3,0,0,'Données projet'!$E$10+1,1))</f>
        <v>510.56580450928806</v>
      </c>
      <c r="AO87" s="62">
        <f t="shared" si="90"/>
        <v>278.21741231699929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IF('Données projet'!$A$88&gt;35,BD86+BC87-BL86,IF(A87&lt;'Données projet'!$A$88,$BA$205^A87,IF(A87='Données projet'!$A$88,'Données projet'!$B$88,BD86+BC87-BL86)))</f>
        <v>345.0999999999998</v>
      </c>
      <c r="BE87" s="14">
        <f>BD87*VLOOKUP('Données projet'!$B$11,Paramètres!$A$1:$I$88,3,0)*VLOOKUP('Données projet'!$B$11,Paramètres!$A$1:$I$88,5,0)</f>
        <v>328.39715999999981</v>
      </c>
      <c r="BF87" s="14">
        <f t="shared" si="91"/>
        <v>77.097903437539159</v>
      </c>
      <c r="BG87" s="22">
        <f t="shared" si="61"/>
        <v>706.23723548704709</v>
      </c>
      <c r="BH87" s="62">
        <f t="shared" si="62"/>
        <v>999.57056882038046</v>
      </c>
      <c r="BI87" s="62">
        <f ca="1">AVERAGE(OFFSET($BH$3,0,0,'Données projet'!$E$11+1,1))-AVERAGE(OFFSET($H$3,0,0,'Données projet'!$E$11+1,1))</f>
        <v>525.51330555662139</v>
      </c>
      <c r="BJ87" s="62">
        <f t="shared" si="92"/>
        <v>357.72390083433635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1.7053025658242404E-13</v>
      </c>
      <c r="BZ87" s="14">
        <f>BY87*VLOOKUP('Données projet'!$B$12,Paramètres!$A$1:$I$88,3,0)*VLOOKUP('Données projet'!$B$12,Paramètres!$A$1:$I$88,5,0)</f>
        <v>1.0197709343628959E-13</v>
      </c>
      <c r="CA87" s="14">
        <f t="shared" si="93"/>
        <v>1.5284983994279675E-12</v>
      </c>
      <c r="CB87" s="22">
        <f t="shared" si="64"/>
        <v>2.839744816738581E-12</v>
      </c>
      <c r="CC87" s="62">
        <f t="shared" si="65"/>
        <v>293.33333333333616</v>
      </c>
      <c r="CD87" s="62">
        <f ca="1">AVERAGE(OFFSET($CC$3,0,0,'Données projet'!$E$12+1,1))-AVERAGE(OFFSET($H$3,0,0,'Données projet'!$E$12+1,1))</f>
        <v>227.46616726010473</v>
      </c>
      <c r="CE87" s="62">
        <f t="shared" si="94"/>
        <v>314.188568589113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41.296570281232448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1.0357181450472944E-4</v>
      </c>
      <c r="CN87" s="24">
        <f t="shared" si="66"/>
        <v>41.296673853046954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projet'!$B$13,Paramètres!$A$1:$I$88,3,0)*VLOOKUP('Données projet'!$B$13,Paramètres!$A$1:$I$88,5,0)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356.46794174556311</v>
      </c>
      <c r="CZ87" s="62">
        <f t="shared" si="96"/>
        <v>248.47107558211923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0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projet'!$B$14,Paramètres!$A$1:$I$88,3,0)*VLOOKUP('Données projet'!$B$14,Paramètres!$A$1:$I$88,5,0)</f>
        <v>6.3550942286383367E-14</v>
      </c>
      <c r="DQ87" s="14">
        <f t="shared" si="97"/>
        <v>1.0064464192543978E-12</v>
      </c>
      <c r="DR87" s="22">
        <f t="shared" si="70"/>
        <v>1.8635787380168604E-12</v>
      </c>
      <c r="DS87" s="62">
        <f t="shared" si="71"/>
        <v>293.33333333333519</v>
      </c>
      <c r="DT87" s="62">
        <f ca="1">AVERAGE(OFFSET($DS$3,0,0,'Données projet'!$E$14+1,1))-AVERAGE(OFFSET($H$3,0,0,'Données projet'!$E$14+1,1))</f>
        <v>397.04445188588369</v>
      </c>
      <c r="DU87" s="62">
        <f t="shared" si="98"/>
        <v>350.01856672839466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1.7221256304460688</v>
      </c>
      <c r="EB87" s="23">
        <f>EXP(-LN(2)/25)*EB86+(1-EXP(-LN(2)/25))/(LN(2)/25)*Calculateur!DW87*Calculateur!DY87*VLOOKUP('Données projet'!$B$14,Paramètres!$A$1:$I$88,3,0)*0.475*44/12</f>
        <v>0</v>
      </c>
      <c r="EC87" s="23">
        <f>EXP(-LN(2)/2)*EC86+(1-EXP(-LN(2)/2))/(LN(2)/2)*DW87*DZ87*VLOOKUP('Données projet'!$B$14,Paramètres!$A$1:$I$88,3,0)*0.475*44/12</f>
        <v>1.2071950041147132E-7</v>
      </c>
      <c r="ED87" s="24">
        <f t="shared" si="72"/>
        <v>1.7221257511655692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-1.9895196601282805E-13</v>
      </c>
      <c r="EK87" s="18">
        <f>EJ87*VLOOKUP('Données projet'!$B$15,Paramètres!$A$1:$I$88,3,0)*VLOOKUP('Données projet'!$B$15,Paramètres!$A$1:$I$88,5,0)</f>
        <v>-1.738044375088066E-13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202.5548390231225</v>
      </c>
      <c r="EP87" s="62">
        <f t="shared" si="100"/>
        <v>184.62184077734179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projet'!$B$15,Paramètres!$A$1:$I$88,3,0)*0.475*44/12</f>
        <v>0</v>
      </c>
      <c r="EW87" s="23">
        <f>EXP(-LN(2)/25)*EW86+(1-EXP(-LN(2)/25))/(LN(2)/25)*Calculateur!ER87*Calculateur!ET87*VLOOKUP('Données projet'!$B$15,Paramètres!$A$1:$I$88,3,0)*0.475*44/12</f>
        <v>0</v>
      </c>
      <c r="EX87" s="23">
        <f>EXP(-LN(2)/2)*EX86+(1-EXP(-LN(2)/2))/(LN(2)/2)*ER87*EU87*VLOOKUP('Données projet'!$B$15,Paramètres!$A$1:$I$88,3,0)*0.475*44/12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5.9</v>
      </c>
      <c r="FE87" s="13">
        <f>IF('Données projet'!$A$218&gt;35,FE86+FD87-FM86,IF(A87&lt;'Données projet'!$A$218,$FB$205^A87,IF(A87='Données projet'!$A$218,'Données projet'!$B$218,FE86+FD87-FM86)))</f>
        <v>284.0999999999998</v>
      </c>
      <c r="FF87" s="18">
        <f>FE87*VLOOKUP('Données projet'!$B$16,Paramètres!$A$1:$I$88,3,0)*VLOOKUP('Données projet'!$B$16,Paramètres!$A$1:$I$88,5,0)</f>
        <v>274.78151999999983</v>
      </c>
      <c r="FG87" s="14">
        <f t="shared" si="101"/>
        <v>65.862989442837574</v>
      </c>
      <c r="FH87" s="22">
        <f t="shared" si="76"/>
        <v>593.28918727960843</v>
      </c>
      <c r="FI87" s="62">
        <f t="shared" si="77"/>
        <v>886.6225206129418</v>
      </c>
      <c r="FJ87" s="62">
        <f ca="1">AVERAGE(OFFSET($FI$3,0,0,'Données projet'!$E$16+1,1))-AVERAGE(OFFSET($H$3,0,0,'Données projet'!$E$16+1,1))</f>
        <v>456.96274622094955</v>
      </c>
      <c r="FK87" s="62">
        <f t="shared" si="102"/>
        <v>244.45149244446094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projet'!$B$16,Paramètres!$A$1:$I$88,3,0)*0.475*44/12</f>
        <v>0</v>
      </c>
      <c r="FR87" s="23">
        <f>EXP(-LN(2)/25)*FR86+(1-EXP(-LN(2)/25))/(LN(2)/25)*Calculateur!FM87*Calculateur!FO87*VLOOKUP('Données projet'!$B$16,Paramètres!$A$1:$I$88,3,0)*0.475*44/12</f>
        <v>0</v>
      </c>
      <c r="FS87" s="23">
        <f>EXP(-LN(2)/2)*FS86+(1-EXP(-LN(2)/2))/(LN(2)/2)*FM87*FP87*VLOOKUP('Données projet'!$B$16,Paramètres!$A$1:$I$88,3,0)*0.475*44/12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5.9</v>
      </c>
      <c r="FZ87" s="13">
        <f>IF('Données projet'!$A$244&gt;35,FZ86+FY87-GH86,IF(A87&lt;'Données projet'!$A$244,$FW$205^A87,IF(A87='Données projet'!$A$244,'Données projet'!$B$244,FZ86+FY87-GH86)))</f>
        <v>284.0999999999998</v>
      </c>
      <c r="GA87" s="18">
        <f>FZ87*VLOOKUP('Données projet'!$B$17,Paramètres!$A$1:$I$88,3,0)*VLOOKUP('Données projet'!$B$17,Paramètres!$A$1:$I$88,5,0)</f>
        <v>305.8052399999998</v>
      </c>
      <c r="GB87" s="14">
        <f t="shared" si="103"/>
        <v>72.392103924412837</v>
      </c>
      <c r="GC87" s="22">
        <f t="shared" si="79"/>
        <v>658.69370733501853</v>
      </c>
      <c r="GD87" s="62">
        <f t="shared" si="80"/>
        <v>952.0270406683519</v>
      </c>
      <c r="GE87" s="62">
        <f ca="1">AVERAGE(OFFSET($GD$3,0,0,'Données projet'!$E$17+1,1))-AVERAGE(OFFSET($H$3,0,0,'Données projet'!$E$17+1,1))</f>
        <v>503.69304261527651</v>
      </c>
      <c r="GF87" s="62">
        <f t="shared" si="104"/>
        <v>267.2998309535638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projet'!$B$17,Paramètres!$A$1:$I$88,3,0)*0.475*44/12</f>
        <v>0</v>
      </c>
      <c r="GM87" s="23">
        <f>EXP(-LN(2)/25)*GM86+(1-EXP(-LN(2)/25))/(LN(2)/25)*Calculateur!GH87*Calculateur!GJ87*VLOOKUP('Données projet'!$B$17,Paramètres!$A$1:$I$88,3,0)*0.475*44/12</f>
        <v>0</v>
      </c>
      <c r="GN87" s="23">
        <f>EXP(-LN(2)/2)*GN86+(1-EXP(-LN(2)/2))/(LN(2)/2)*GH87*GK87*VLOOKUP('Données projet'!$B$17,Paramètres!$A$1:$I$88,3,0)*0.475*44/12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7</v>
      </c>
      <c r="GU87" s="13">
        <f>IF('Données projet'!$A$270&gt;35,GU86+GT87-HC86,IF(A87&lt;'Données projet'!$A$270,$GR$205^A87,IF(A87='Données projet'!$A$270,'Données projet'!$B$270,GU86+GT87-HC86)))</f>
        <v>347.00000000000006</v>
      </c>
      <c r="GV87" s="18">
        <f>GU87*VLOOKUP('Données projet'!$B$18,Paramètres!$A$1:$I$88,3,0)*VLOOKUP('Données projet'!$B$18,Paramètres!$A$1:$I$88,5,0)</f>
        <v>362.6844000000001</v>
      </c>
      <c r="GW87" s="14">
        <f t="shared" si="105"/>
        <v>84.168924832666107</v>
      </c>
      <c r="GX87" s="22">
        <f t="shared" si="82"/>
        <v>778.26954075022695</v>
      </c>
      <c r="GY87" s="62">
        <f t="shared" si="83"/>
        <v>1071.6028740835602</v>
      </c>
      <c r="GZ87" s="62">
        <f ca="1">AVERAGE(OFFSET($GY$3,0,0,'Données projet'!$E$18+1,1))-AVERAGE(OFFSET($H$3,0,0,'Données projet'!$E$18+1,1))</f>
        <v>582.89879210197682</v>
      </c>
      <c r="HA87" s="62">
        <f t="shared" si="106"/>
        <v>314.72094983133326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projet'!$B$18,Paramètres!$A$1:$I$88,3,0)*0.475*44/12</f>
        <v>0</v>
      </c>
      <c r="HH87" s="23">
        <f>EXP(-LN(2)/25)*HH86+(1-EXP(-LN(2)/25))/(LN(2)/25)*Calculateur!HC87*Calculateur!HE87*VLOOKUP('Données projet'!$B$18,Paramètres!$A$1:$I$88,3,0)*0.475*44/12</f>
        <v>0</v>
      </c>
      <c r="HI87" s="23">
        <f>EXP(-LN(2)/2)*HI86+(1-EXP(-LN(2)/2))/(LN(2)/2)*HC87*HF87*VLOOKUP('Données projet'!$B$18,Paramètres!$A$1:$I$88,3,0)*0.475*44/12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17.8</v>
      </c>
      <c r="N88" s="14">
        <f>IF('Données projet'!$A$36&gt;35,N87+M88-V87,IF(A88&lt;'Données projet'!$A$36,$K$205^A88,IF(A88='Données projet'!$A$36,'Données projet'!$B$36,N87+M88-V87)))</f>
        <v>713.00000000000011</v>
      </c>
      <c r="O88" s="14">
        <f>N88*VLOOKUP('Données projet'!$B$9,Paramètres!$A$1:$I$88,3,0)*VLOOKUP('Données projet'!$B$9,Paramètres!$A$1:$I$88,5,0)</f>
        <v>333.68400000000003</v>
      </c>
      <c r="P88" s="14">
        <f t="shared" si="87"/>
        <v>78.193600162051595</v>
      </c>
      <c r="Q88" s="22">
        <f t="shared" si="54"/>
        <v>717.35348694890661</v>
      </c>
      <c r="R88" s="62">
        <f t="shared" si="55"/>
        <v>1010.68682028224</v>
      </c>
      <c r="S88" s="62">
        <f ca="1">AVERAGE(OFFSET($R$3,0,0,'Données projet'!$E$9+1,1))-AVERAGE(OFFSET($H$3,0,0,'Données projet'!$E$9+1,1))</f>
        <v>399.92909819003523</v>
      </c>
      <c r="T88" s="62">
        <f t="shared" si="88"/>
        <v>163.7053537268381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354</v>
      </c>
      <c r="AG88" s="13">
        <f>VLOOKUP(A88,'Données projet'!$A$61:$I$81,9,0)</f>
        <v>7</v>
      </c>
      <c r="AH88" s="13">
        <f t="array" ref="AH88">INDEX(AG:AG,MIN(IF(ISNUMBER(AG88:AG284),ROW(AG88:AG284),"")))</f>
        <v>7</v>
      </c>
      <c r="AI88" s="14">
        <f>IF('Données projet'!$A$62&gt;35,AI87+AH88-AQ87,IF(A88&lt;'Données projet'!$A$62,$AF$205^A88,IF(A88='Données projet'!$A$62,'Données projet'!$B$62,AI87+AH88-AQ87)))</f>
        <v>354.00000000000006</v>
      </c>
      <c r="AJ88" s="14">
        <f>AI88*VLOOKUP('Données projet'!$B$10,Paramètres!$A$1:$I$88,3,0)*VLOOKUP('Données projet'!$B$10,Paramètres!$A$1:$I$88,5,0)</f>
        <v>320.29920000000004</v>
      </c>
      <c r="AK88" s="14">
        <f t="shared" si="89"/>
        <v>75.415604655092991</v>
      </c>
      <c r="AL88" s="22">
        <f t="shared" si="58"/>
        <v>689.203284774287</v>
      </c>
      <c r="AM88" s="62">
        <f t="shared" si="59"/>
        <v>982.53661810762037</v>
      </c>
      <c r="AN88" s="62">
        <f ca="1">AVERAGE(OFFSET($AM$3,0,0,'Données projet'!$E$10+1,1))-AVERAGE(OFFSET($H$3,0,0,'Données projet'!$E$10+1,1))</f>
        <v>510.56580450928806</v>
      </c>
      <c r="AO88" s="62">
        <f t="shared" si="90"/>
        <v>278.21741231699929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56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351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IF('Données projet'!$A$88&gt;35,BD87+BC88-BL87,IF(A88&lt;'Données projet'!$A$88,$BA$205^A88,IF(A88='Données projet'!$A$88,'Données projet'!$B$88,BD87+BC88-BL87)))</f>
        <v>350.99999999999977</v>
      </c>
      <c r="BE88" s="14">
        <f>BD88*VLOOKUP('Données projet'!$B$11,Paramètres!$A$1:$I$88,3,0)*VLOOKUP('Données projet'!$B$11,Paramètres!$A$1:$I$88,5,0)</f>
        <v>334.01159999999976</v>
      </c>
      <c r="BF88" s="14">
        <f t="shared" si="91"/>
        <v>78.261428413244431</v>
      </c>
      <c r="BG88" s="22">
        <f t="shared" si="61"/>
        <v>718.04219115306705</v>
      </c>
      <c r="BH88" s="62">
        <f t="shared" si="62"/>
        <v>1011.3755244864003</v>
      </c>
      <c r="BI88" s="62">
        <f ca="1">AVERAGE(OFFSET($BH$3,0,0,'Données projet'!$E$11+1,1))-AVERAGE(OFFSET($H$3,0,0,'Données projet'!$E$11+1,1))</f>
        <v>525.51330555662139</v>
      </c>
      <c r="BJ88" s="62">
        <f t="shared" si="92"/>
        <v>357.72390083433635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1.7053025658242404E-13</v>
      </c>
      <c r="BZ88" s="14">
        <f>BY88*VLOOKUP('Données projet'!$B$12,Paramètres!$A$1:$I$88,3,0)*VLOOKUP('Données projet'!$B$12,Paramètres!$A$1:$I$88,5,0)</f>
        <v>1.0197709343628959E-13</v>
      </c>
      <c r="CA88" s="14">
        <f t="shared" si="93"/>
        <v>1.5284983994279675E-12</v>
      </c>
      <c r="CB88" s="22">
        <f t="shared" si="64"/>
        <v>2.839744816738581E-12</v>
      </c>
      <c r="CC88" s="62">
        <f t="shared" si="65"/>
        <v>293.33333333333616</v>
      </c>
      <c r="CD88" s="62">
        <f ca="1">AVERAGE(OFFSET($CC$3,0,0,'Données projet'!$E$12+1,1))-AVERAGE(OFFSET($H$3,0,0,'Données projet'!$E$12+1,1))</f>
        <v>227.46616726010473</v>
      </c>
      <c r="CE88" s="62">
        <f t="shared" si="94"/>
        <v>314.188568589113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40.486769726438204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7.3236332376089408E-5</v>
      </c>
      <c r="CN88" s="24">
        <f t="shared" si="66"/>
        <v>40.486842962770581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projet'!$B$13,Paramètres!$A$1:$I$88,3,0)*VLOOKUP('Données projet'!$B$13,Paramètres!$A$1:$I$88,5,0)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356.46794174556311</v>
      </c>
      <c r="CZ88" s="62">
        <f t="shared" si="96"/>
        <v>248.47107558211923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0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projet'!$B$14,Paramètres!$A$1:$I$88,3,0)*VLOOKUP('Données projet'!$B$14,Paramètres!$A$1:$I$88,5,0)</f>
        <v>6.3550942286383367E-14</v>
      </c>
      <c r="DQ88" s="14">
        <f t="shared" si="97"/>
        <v>1.0064464192543978E-12</v>
      </c>
      <c r="DR88" s="22">
        <f t="shared" si="70"/>
        <v>1.8635787380168604E-12</v>
      </c>
      <c r="DS88" s="62">
        <f t="shared" si="71"/>
        <v>293.33333333333519</v>
      </c>
      <c r="DT88" s="62">
        <f ca="1">AVERAGE(OFFSET($DS$3,0,0,'Données projet'!$E$14+1,1))-AVERAGE(OFFSET($H$3,0,0,'Données projet'!$E$14+1,1))</f>
        <v>397.04445188588369</v>
      </c>
      <c r="DU88" s="62">
        <f t="shared" si="98"/>
        <v>350.01856672839466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1.6883557972259382</v>
      </c>
      <c r="EB88" s="23">
        <f>EXP(-LN(2)/25)*EB87+(1-EXP(-LN(2)/25))/(LN(2)/25)*Calculateur!DW88*Calculateur!DY88*VLOOKUP('Données projet'!$B$14,Paramètres!$A$1:$I$88,3,0)*0.475*44/12</f>
        <v>0</v>
      </c>
      <c r="EC88" s="23">
        <f>EXP(-LN(2)/2)*EC87+(1-EXP(-LN(2)/2))/(LN(2)/2)*DW88*DZ88*VLOOKUP('Données projet'!$B$14,Paramètres!$A$1:$I$88,3,0)*0.475*44/12</f>
        <v>8.5361577362403584E-8</v>
      </c>
      <c r="ED88" s="24">
        <f t="shared" si="72"/>
        <v>1.6883558825875156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-1.9895196601282805E-13</v>
      </c>
      <c r="EK88" s="18">
        <f>EJ88*VLOOKUP('Données projet'!$B$15,Paramètres!$A$1:$I$88,3,0)*VLOOKUP('Données projet'!$B$15,Paramètres!$A$1:$I$88,5,0)</f>
        <v>-1.738044375088066E-13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202.5548390231225</v>
      </c>
      <c r="EP88" s="62">
        <f t="shared" si="100"/>
        <v>184.62184077734179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projet'!$B$15,Paramètres!$A$1:$I$88,3,0)*0.475*44/12</f>
        <v>0</v>
      </c>
      <c r="EW88" s="23">
        <f>EXP(-LN(2)/25)*EW87+(1-EXP(-LN(2)/25))/(LN(2)/25)*Calculateur!ER88*Calculateur!ET88*VLOOKUP('Données projet'!$B$15,Paramètres!$A$1:$I$88,3,0)*0.475*44/12</f>
        <v>0</v>
      </c>
      <c r="EX88" s="23">
        <f>EXP(-LN(2)/2)*EX87+(1-EXP(-LN(2)/2))/(LN(2)/2)*ER88*EU88*VLOOKUP('Données projet'!$B$15,Paramètres!$A$1:$I$88,3,0)*0.475*44/12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290</v>
      </c>
      <c r="FC88" s="13">
        <f>VLOOKUP(A88,'Données projet'!$A$217:$I$237,9,0)</f>
        <v>5.9</v>
      </c>
      <c r="FD88" s="13">
        <f t="array" ref="FD88">INDEX(FC:FC,MIN(IF(ISNUMBER(FC88:FC284),ROW(FC88:FC284),"")))</f>
        <v>5.9</v>
      </c>
      <c r="FE88" s="13">
        <f>IF('Données projet'!$A$218&gt;35,FE87+FD88-FM87,IF(A88&lt;'Données projet'!$A$218,$FB$205^A88,IF(A88='Données projet'!$A$218,'Données projet'!$B$218,FE87+FD88-FM87)))</f>
        <v>289.99999999999977</v>
      </c>
      <c r="FF88" s="18">
        <f>FE88*VLOOKUP('Données projet'!$B$16,Paramètres!$A$1:$I$88,3,0)*VLOOKUP('Données projet'!$B$16,Paramètres!$A$1:$I$88,5,0)</f>
        <v>280.48799999999983</v>
      </c>
      <c r="FG88" s="14">
        <f t="shared" si="101"/>
        <v>67.070126855467493</v>
      </c>
      <c r="FH88" s="22">
        <f t="shared" si="76"/>
        <v>605.33040427327217</v>
      </c>
      <c r="FI88" s="62">
        <f t="shared" si="77"/>
        <v>898.66373760660554</v>
      </c>
      <c r="FJ88" s="62">
        <f ca="1">AVERAGE(OFFSET($FI$3,0,0,'Données projet'!$E$16+1,1))-AVERAGE(OFFSET($H$3,0,0,'Données projet'!$E$16+1,1))</f>
        <v>456.96274622094955</v>
      </c>
      <c r="FK88" s="62">
        <f t="shared" si="102"/>
        <v>244.45149244446094</v>
      </c>
      <c r="FL88" s="16">
        <f>IF(ISNA(VLOOKUP(A88,'Données projet'!$A$217:$I$237,3,0)),0,VLOOKUP(A88,'Données projet'!$A$217:$I$237,3,0))</f>
        <v>7</v>
      </c>
      <c r="FM88" s="16">
        <f>IF(ISNA(VLOOKUP(A88,'Données projet'!$A$217:$I$237,4,0)),0,VLOOKUP(A88,'Données projet'!$A$217:$I$237,4,0))</f>
        <v>42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projet'!$B$16,Paramètres!$A$1:$I$88,3,0)*0.475*44/12</f>
        <v>0</v>
      </c>
      <c r="FR88" s="23">
        <f>EXP(-LN(2)/25)*FR87+(1-EXP(-LN(2)/25))/(LN(2)/25)*Calculateur!FM88*Calculateur!FO88*VLOOKUP('Données projet'!$B$16,Paramètres!$A$1:$I$88,3,0)*0.475*44/12</f>
        <v>0</v>
      </c>
      <c r="FS88" s="23">
        <f>EXP(-LN(2)/2)*FS87+(1-EXP(-LN(2)/2))/(LN(2)/2)*FM88*FP88*VLOOKUP('Données projet'!$B$16,Paramètres!$A$1:$I$88,3,0)*0.475*44/12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290</v>
      </c>
      <c r="FX88" s="13">
        <f>VLOOKUP(A88,'Données projet'!$A$243:$I$263,9,0)</f>
        <v>5.9</v>
      </c>
      <c r="FY88" s="13">
        <f t="array" ref="FY88">INDEX(FX:FX,MIN(IF(ISNUMBER(FX88:FX284),ROW(FX88:FX284),"")))</f>
        <v>5.9</v>
      </c>
      <c r="FZ88" s="13">
        <f>IF('Données projet'!$A$244&gt;35,FZ87+FY88-GH87,IF(A88&lt;'Données projet'!$A$244,$FW$205^A88,IF(A88='Données projet'!$A$244,'Données projet'!$B$244,FZ87+FY88-GH87)))</f>
        <v>289.99999999999977</v>
      </c>
      <c r="GA88" s="18">
        <f>FZ88*VLOOKUP('Données projet'!$B$17,Paramètres!$A$1:$I$88,3,0)*VLOOKUP('Données projet'!$B$17,Paramètres!$A$1:$I$88,5,0)</f>
        <v>312.15599999999972</v>
      </c>
      <c r="GB88" s="14">
        <f t="shared" si="103"/>
        <v>73.718907001002492</v>
      </c>
      <c r="GC88" s="22">
        <f t="shared" si="79"/>
        <v>672.06546302674553</v>
      </c>
      <c r="GD88" s="62">
        <f t="shared" si="80"/>
        <v>965.3987963600789</v>
      </c>
      <c r="GE88" s="62">
        <f ca="1">AVERAGE(OFFSET($GD$3,0,0,'Données projet'!$E$17+1,1))-AVERAGE(OFFSET($H$3,0,0,'Données projet'!$E$17+1,1))</f>
        <v>503.69304261527651</v>
      </c>
      <c r="GF88" s="62">
        <f t="shared" si="104"/>
        <v>267.2998309535638</v>
      </c>
      <c r="GG88" s="16">
        <f>IF(ISNA(VLOOKUP(A88,'Données projet'!$A$243:$I$263,3,0)),0,VLOOKUP(A88,'Données projet'!$A$243:$I$263,3,0))</f>
        <v>7</v>
      </c>
      <c r="GH88" s="16">
        <f>IF(ISNA(VLOOKUP(A88,'Données projet'!$A$243:$I$263,4,0)),0,VLOOKUP(A88,'Données projet'!$A$243:$I$263,4,0))</f>
        <v>42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projet'!$B$17,Paramètres!$A$1:$I$88,3,0)*0.475*44/12</f>
        <v>0</v>
      </c>
      <c r="GM88" s="23">
        <f>EXP(-LN(2)/25)*GM87+(1-EXP(-LN(2)/25))/(LN(2)/25)*Calculateur!GH88*Calculateur!GJ88*VLOOKUP('Données projet'!$B$17,Paramètres!$A$1:$I$88,3,0)*0.475*44/12</f>
        <v>0</v>
      </c>
      <c r="GN88" s="23">
        <f>EXP(-LN(2)/2)*GN87+(1-EXP(-LN(2)/2))/(LN(2)/2)*GH88*GK88*VLOOKUP('Données projet'!$B$17,Paramètres!$A$1:$I$88,3,0)*0.475*44/12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354</v>
      </c>
      <c r="GS88" s="13">
        <f>VLOOKUP(A88,'Données projet'!$A$269:$I$289,9,0)</f>
        <v>7</v>
      </c>
      <c r="GT88" s="13">
        <f t="array" ref="GT88">INDEX(GS:GS,MIN(IF(ISNUMBER(GS88:GS284),ROW(GS88:GS284),"")))</f>
        <v>7</v>
      </c>
      <c r="GU88" s="13">
        <f>IF('Données projet'!$A$270&gt;35,GU87+GT88-HC87,IF(A88&lt;'Données projet'!$A$270,$GR$205^A88,IF(A88='Données projet'!$A$270,'Données projet'!$B$270,GU87+GT88-HC87)))</f>
        <v>354.00000000000006</v>
      </c>
      <c r="GV88" s="18">
        <f>GU88*VLOOKUP('Données projet'!$B$18,Paramètres!$A$1:$I$88,3,0)*VLOOKUP('Données projet'!$B$18,Paramètres!$A$1:$I$88,5,0)</f>
        <v>370.00080000000014</v>
      </c>
      <c r="GW88" s="14">
        <f t="shared" si="105"/>
        <v>85.667469370459571</v>
      </c>
      <c r="GX88" s="22">
        <f t="shared" si="82"/>
        <v>793.62223582021727</v>
      </c>
      <c r="GY88" s="62">
        <f t="shared" si="83"/>
        <v>1086.9555691535506</v>
      </c>
      <c r="GZ88" s="62">
        <f ca="1">AVERAGE(OFFSET($GY$3,0,0,'Données projet'!$E$18+1,1))-AVERAGE(OFFSET($H$3,0,0,'Données projet'!$E$18+1,1))</f>
        <v>582.89879210197682</v>
      </c>
      <c r="HA88" s="62">
        <f t="shared" si="106"/>
        <v>314.72094983133326</v>
      </c>
      <c r="HB88" s="16">
        <f>IF(ISNA(VLOOKUP(A88,'Données projet'!$A$269:$I$289,3,0)),0,VLOOKUP(A88,'Données projet'!$A$269:$I$289,3,0))</f>
        <v>7</v>
      </c>
      <c r="HC88" s="16">
        <f>IF(ISNA(VLOOKUP(A88,'Données projet'!$A$269:$I$289,4,0)),0,VLOOKUP(A88,'Données projet'!$A$269:$I$289,4,0))</f>
        <v>56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projet'!$B$18,Paramètres!$A$1:$I$88,3,0)*0.475*44/12</f>
        <v>0</v>
      </c>
      <c r="HH88" s="23">
        <f>EXP(-LN(2)/25)*HH87+(1-EXP(-LN(2)/25))/(LN(2)/25)*Calculateur!HC88*Calculateur!HE88*VLOOKUP('Données projet'!$B$18,Paramètres!$A$1:$I$88,3,0)*0.475*44/12</f>
        <v>0</v>
      </c>
      <c r="HI88" s="23">
        <f>EXP(-LN(2)/2)*HI87+(1-EXP(-LN(2)/2))/(LN(2)/2)*HC88*HF88*VLOOKUP('Données projet'!$B$18,Paramètres!$A$1:$I$88,3,0)*0.475*44/12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17.8</v>
      </c>
      <c r="N89" s="14">
        <f>IF('Données projet'!$A$36&gt;35,N88+M89-V88,IF(A89&lt;'Données projet'!$A$36,$K$205^A89,IF(A89='Données projet'!$A$36,'Données projet'!$B$36,N88+M89-V88)))</f>
        <v>730.80000000000007</v>
      </c>
      <c r="O89" s="14">
        <f>N89*VLOOKUP('Données projet'!$B$9,Paramètres!$A$1:$I$88,3,0)*VLOOKUP('Données projet'!$B$9,Paramètres!$A$1:$I$88,5,0)</f>
        <v>342.01440000000002</v>
      </c>
      <c r="P89" s="14">
        <f t="shared" si="87"/>
        <v>79.915991022086629</v>
      </c>
      <c r="Q89" s="22">
        <f t="shared" si="54"/>
        <v>734.8620976968009</v>
      </c>
      <c r="R89" s="62">
        <f t="shared" si="55"/>
        <v>1028.1954310301342</v>
      </c>
      <c r="S89" s="62">
        <f ca="1">AVERAGE(OFFSET($R$3,0,0,'Données projet'!$E$9+1,1))-AVERAGE(OFFSET($H$3,0,0,'Données projet'!$E$9+1,1))</f>
        <v>399.92909819003523</v>
      </c>
      <c r="T89" s="62">
        <f t="shared" si="88"/>
        <v>163.7053537268381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6.3</v>
      </c>
      <c r="AI89" s="14">
        <f>IF('Données projet'!$A$62&gt;35,AI88+AH89-AQ88,IF(A89&lt;'Données projet'!$A$62,$AF$205^A89,IF(A89='Données projet'!$A$62,'Données projet'!$B$62,AI88+AH89-AQ88)))</f>
        <v>304.30000000000007</v>
      </c>
      <c r="AJ89" s="14">
        <f>AI89*VLOOKUP('Données projet'!$B$10,Paramètres!$A$1:$I$88,3,0)*VLOOKUP('Données projet'!$B$10,Paramètres!$A$1:$I$88,5,0)</f>
        <v>275.33064000000007</v>
      </c>
      <c r="AK89" s="14">
        <f t="shared" si="89"/>
        <v>65.979275169167465</v>
      </c>
      <c r="AL89" s="22">
        <f t="shared" si="58"/>
        <v>594.44810225296681</v>
      </c>
      <c r="AM89" s="62">
        <f t="shared" si="59"/>
        <v>887.78143558630018</v>
      </c>
      <c r="AN89" s="62">
        <f ca="1">AVERAGE(OFFSET($AM$3,0,0,'Données projet'!$E$10+1,1))-AVERAGE(OFFSET($H$3,0,0,'Données projet'!$E$10+1,1))</f>
        <v>510.56580450928806</v>
      </c>
      <c r="AO89" s="62">
        <f t="shared" si="90"/>
        <v>278.21741231699929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316.39999999999975</v>
      </c>
      <c r="BE89" s="14">
        <f>BD89*VLOOKUP('Données projet'!$B$11,Paramètres!$A$1:$I$88,3,0)*VLOOKUP('Données projet'!$B$11,Paramètres!$A$1:$I$88,5,0)</f>
        <v>301.08623999999975</v>
      </c>
      <c r="BF89" s="14">
        <f t="shared" si="91"/>
        <v>71.404133180098981</v>
      </c>
      <c r="BG89" s="22">
        <f t="shared" si="61"/>
        <v>648.75406662200533</v>
      </c>
      <c r="BH89" s="62">
        <f t="shared" si="62"/>
        <v>942.0873999553387</v>
      </c>
      <c r="BI89" s="62">
        <f ca="1">AVERAGE(OFFSET($BH$3,0,0,'Données projet'!$E$11+1,1))-AVERAGE(OFFSET($H$3,0,0,'Données projet'!$E$11+1,1))</f>
        <v>525.51330555662139</v>
      </c>
      <c r="BJ89" s="62">
        <f t="shared" si="92"/>
        <v>357.72390083433635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1.7053025658242404E-13</v>
      </c>
      <c r="BZ89" s="14">
        <f>BY89*VLOOKUP('Données projet'!$B$12,Paramètres!$A$1:$I$88,3,0)*VLOOKUP('Données projet'!$B$12,Paramètres!$A$1:$I$88,5,0)</f>
        <v>1.0197709343628959E-13</v>
      </c>
      <c r="CA89" s="14">
        <f t="shared" si="93"/>
        <v>1.5284983994279675E-12</v>
      </c>
      <c r="CB89" s="22">
        <f t="shared" si="64"/>
        <v>2.839744816738581E-12</v>
      </c>
      <c r="CC89" s="62">
        <f t="shared" si="65"/>
        <v>293.33333333333616</v>
      </c>
      <c r="CD89" s="62">
        <f ca="1">AVERAGE(OFFSET($CC$3,0,0,'Données projet'!$E$12+1,1))-AVERAGE(OFFSET($H$3,0,0,'Données projet'!$E$12+1,1))</f>
        <v>227.46616726010473</v>
      </c>
      <c r="CE89" s="62">
        <f t="shared" si="94"/>
        <v>314.188568589113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39.692848866593906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5.1785907252364719E-5</v>
      </c>
      <c r="CN89" s="24">
        <f t="shared" si="66"/>
        <v>39.692900652501159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projet'!$B$13,Paramètres!$A$1:$I$88,3,0)*VLOOKUP('Données projet'!$B$13,Paramètres!$A$1:$I$88,5,0)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356.46794174556311</v>
      </c>
      <c r="CZ89" s="62">
        <f t="shared" si="96"/>
        <v>248.47107558211923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0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projet'!$B$14,Paramètres!$A$1:$I$88,3,0)*VLOOKUP('Données projet'!$B$14,Paramètres!$A$1:$I$88,5,0)</f>
        <v>6.3550942286383367E-14</v>
      </c>
      <c r="DQ89" s="14">
        <f t="shared" si="97"/>
        <v>1.0064464192543978E-12</v>
      </c>
      <c r="DR89" s="22">
        <f t="shared" si="70"/>
        <v>1.8635787380168604E-12</v>
      </c>
      <c r="DS89" s="62">
        <f t="shared" si="71"/>
        <v>293.33333333333519</v>
      </c>
      <c r="DT89" s="62">
        <f ca="1">AVERAGE(OFFSET($DS$3,0,0,'Données projet'!$E$14+1,1))-AVERAGE(OFFSET($H$3,0,0,'Données projet'!$E$14+1,1))</f>
        <v>397.04445188588369</v>
      </c>
      <c r="DU89" s="62">
        <f t="shared" si="98"/>
        <v>350.01856672839466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1.65524816983769</v>
      </c>
      <c r="EB89" s="23">
        <f>EXP(-LN(2)/25)*EB88+(1-EXP(-LN(2)/25))/(LN(2)/25)*Calculateur!DW89*Calculateur!DY89*VLOOKUP('Données projet'!$B$14,Paramètres!$A$1:$I$88,3,0)*0.475*44/12</f>
        <v>0</v>
      </c>
      <c r="EC89" s="23">
        <f>EXP(-LN(2)/2)*EC88+(1-EXP(-LN(2)/2))/(LN(2)/2)*DW89*DZ89*VLOOKUP('Données projet'!$B$14,Paramètres!$A$1:$I$88,3,0)*0.475*44/12</f>
        <v>6.0359750205735659E-8</v>
      </c>
      <c r="ED89" s="24">
        <f t="shared" si="72"/>
        <v>1.6552482301974403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-1.9895196601282805E-13</v>
      </c>
      <c r="EK89" s="18">
        <f>EJ89*VLOOKUP('Données projet'!$B$15,Paramètres!$A$1:$I$88,3,0)*VLOOKUP('Données projet'!$B$15,Paramètres!$A$1:$I$88,5,0)</f>
        <v>-1.738044375088066E-13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202.5548390231225</v>
      </c>
      <c r="EP89" s="62">
        <f t="shared" si="100"/>
        <v>184.62184077734179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projet'!$B$15,Paramètres!$A$1:$I$88,3,0)*0.475*44/12</f>
        <v>0</v>
      </c>
      <c r="EW89" s="23">
        <f>EXP(-LN(2)/25)*EW88+(1-EXP(-LN(2)/25))/(LN(2)/25)*Calculateur!ER89*Calculateur!ET89*VLOOKUP('Données projet'!$B$15,Paramètres!$A$1:$I$88,3,0)*0.475*44/12</f>
        <v>0</v>
      </c>
      <c r="EX89" s="23">
        <f>EXP(-LN(2)/2)*EX88+(1-EXP(-LN(2)/2))/(LN(2)/2)*ER89*EU89*VLOOKUP('Données projet'!$B$15,Paramètres!$A$1:$I$88,3,0)*0.475*44/12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5.2</v>
      </c>
      <c r="FE89" s="13">
        <f>IF('Données projet'!$A$218&gt;35,FE88+FD89-FM88,IF(A89&lt;'Données projet'!$A$218,$FB$205^A89,IF(A89='Données projet'!$A$218,'Données projet'!$B$218,FE88+FD89-FM88)))</f>
        <v>253.19999999999976</v>
      </c>
      <c r="FF89" s="18">
        <f>FE89*VLOOKUP('Données projet'!$B$16,Paramètres!$A$1:$I$88,3,0)*VLOOKUP('Données projet'!$B$16,Paramètres!$A$1:$I$88,5,0)</f>
        <v>244.89503999999977</v>
      </c>
      <c r="FG89" s="14">
        <f t="shared" si="101"/>
        <v>59.491481383464382</v>
      </c>
      <c r="FH89" s="22">
        <f t="shared" si="76"/>
        <v>530.13985807619997</v>
      </c>
      <c r="FI89" s="62">
        <f t="shared" si="77"/>
        <v>823.47319140953323</v>
      </c>
      <c r="FJ89" s="62">
        <f ca="1">AVERAGE(OFFSET($FI$3,0,0,'Données projet'!$E$16+1,1))-AVERAGE(OFFSET($H$3,0,0,'Données projet'!$E$16+1,1))</f>
        <v>456.96274622094955</v>
      </c>
      <c r="FK89" s="62">
        <f t="shared" si="102"/>
        <v>244.45149244446094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projet'!$B$16,Paramètres!$A$1:$I$88,3,0)*0.475*44/12</f>
        <v>0</v>
      </c>
      <c r="FR89" s="23">
        <f>EXP(-LN(2)/25)*FR88+(1-EXP(-LN(2)/25))/(LN(2)/25)*Calculateur!FM89*Calculateur!FO89*VLOOKUP('Données projet'!$B$16,Paramètres!$A$1:$I$88,3,0)*0.475*44/12</f>
        <v>0</v>
      </c>
      <c r="FS89" s="23">
        <f>EXP(-LN(2)/2)*FS88+(1-EXP(-LN(2)/2))/(LN(2)/2)*FM89*FP89*VLOOKUP('Données projet'!$B$16,Paramètres!$A$1:$I$88,3,0)*0.475*44/12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5.2</v>
      </c>
      <c r="FZ89" s="13">
        <f>IF('Données projet'!$A$244&gt;35,FZ88+FY89-GH88,IF(A89&lt;'Données projet'!$A$244,$FW$205^A89,IF(A89='Données projet'!$A$244,'Données projet'!$B$244,FZ88+FY89-GH88)))</f>
        <v>253.19999999999976</v>
      </c>
      <c r="GA89" s="18">
        <f>FZ89*VLOOKUP('Données projet'!$B$17,Paramètres!$A$1:$I$88,3,0)*VLOOKUP('Données projet'!$B$17,Paramètres!$A$1:$I$88,5,0)</f>
        <v>272.54447999999974</v>
      </c>
      <c r="GB89" s="14">
        <f t="shared" si="103"/>
        <v>65.388977016702441</v>
      </c>
      <c r="GC89" s="22">
        <f t="shared" si="79"/>
        <v>588.56743763742293</v>
      </c>
      <c r="GD89" s="62">
        <f t="shared" si="80"/>
        <v>881.90077097075618</v>
      </c>
      <c r="GE89" s="62">
        <f ca="1">AVERAGE(OFFSET($GD$3,0,0,'Données projet'!$E$17+1,1))-AVERAGE(OFFSET($H$3,0,0,'Données projet'!$E$17+1,1))</f>
        <v>503.69304261527651</v>
      </c>
      <c r="GF89" s="62">
        <f t="shared" si="104"/>
        <v>267.2998309535638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projet'!$B$17,Paramètres!$A$1:$I$88,3,0)*0.475*44/12</f>
        <v>0</v>
      </c>
      <c r="GM89" s="23">
        <f>EXP(-LN(2)/25)*GM88+(1-EXP(-LN(2)/25))/(LN(2)/25)*Calculateur!GH89*Calculateur!GJ89*VLOOKUP('Données projet'!$B$17,Paramètres!$A$1:$I$88,3,0)*0.475*44/12</f>
        <v>0</v>
      </c>
      <c r="GN89" s="23">
        <f>EXP(-LN(2)/2)*GN88+(1-EXP(-LN(2)/2))/(LN(2)/2)*GH89*GK89*VLOOKUP('Données projet'!$B$17,Paramètres!$A$1:$I$88,3,0)*0.475*44/12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6.3</v>
      </c>
      <c r="GU89" s="13">
        <f>IF('Données projet'!$A$270&gt;35,GU88+GT89-HC88,IF(A89&lt;'Données projet'!$A$270,$GR$205^A89,IF(A89='Données projet'!$A$270,'Données projet'!$B$270,GU88+GT89-HC88)))</f>
        <v>304.30000000000007</v>
      </c>
      <c r="GV89" s="18">
        <f>GU89*VLOOKUP('Données projet'!$B$18,Paramètres!$A$1:$I$88,3,0)*VLOOKUP('Données projet'!$B$18,Paramètres!$A$1:$I$88,5,0)</f>
        <v>318.05436000000009</v>
      </c>
      <c r="GW89" s="14">
        <f t="shared" si="105"/>
        <v>74.948381843386386</v>
      </c>
      <c r="GX89" s="22">
        <f t="shared" si="82"/>
        <v>684.47977537723136</v>
      </c>
      <c r="GY89" s="62">
        <f t="shared" si="83"/>
        <v>977.81310871056462</v>
      </c>
      <c r="GZ89" s="62">
        <f ca="1">AVERAGE(OFFSET($GY$3,0,0,'Données projet'!$E$18+1,1))-AVERAGE(OFFSET($H$3,0,0,'Données projet'!$E$18+1,1))</f>
        <v>582.89879210197682</v>
      </c>
      <c r="HA89" s="62">
        <f t="shared" si="106"/>
        <v>314.72094983133326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projet'!$B$18,Paramètres!$A$1:$I$88,3,0)*0.475*44/12</f>
        <v>0</v>
      </c>
      <c r="HH89" s="23">
        <f>EXP(-LN(2)/25)*HH88+(1-EXP(-LN(2)/25))/(LN(2)/25)*Calculateur!HC89*Calculateur!HE89*VLOOKUP('Données projet'!$B$18,Paramètres!$A$1:$I$88,3,0)*0.475*44/12</f>
        <v>0</v>
      </c>
      <c r="HI89" s="23">
        <f>EXP(-LN(2)/2)*HI88+(1-EXP(-LN(2)/2))/(LN(2)/2)*HC89*HF89*VLOOKUP('Données projet'!$B$18,Paramètres!$A$1:$I$88,3,0)*0.475*44/12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17.8</v>
      </c>
      <c r="N90" s="14">
        <f>IF('Données projet'!$A$36&gt;35,N89+M90-V89,IF(A90&lt;'Données projet'!$A$36,$K$205^A90,IF(A90='Données projet'!$A$36,'Données projet'!$B$36,N89+M90-V89)))</f>
        <v>748.6</v>
      </c>
      <c r="O90" s="14">
        <f>N90*VLOOKUP('Données projet'!$B$9,Paramètres!$A$1:$I$88,3,0)*VLOOKUP('Données projet'!$B$9,Paramètres!$A$1:$I$88,5,0)</f>
        <v>350.34479999999996</v>
      </c>
      <c r="P90" s="14">
        <f t="shared" si="87"/>
        <v>81.633505069784817</v>
      </c>
      <c r="Q90" s="22">
        <f t="shared" si="54"/>
        <v>752.36221466320842</v>
      </c>
      <c r="R90" s="62">
        <f t="shared" si="55"/>
        <v>1045.6955479965418</v>
      </c>
      <c r="S90" s="62">
        <f ca="1">AVERAGE(OFFSET($R$3,0,0,'Données projet'!$E$9+1,1))-AVERAGE(OFFSET($H$3,0,0,'Données projet'!$E$9+1,1))</f>
        <v>399.92909819003523</v>
      </c>
      <c r="T90" s="62">
        <f t="shared" si="88"/>
        <v>163.7053537268381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6.3</v>
      </c>
      <c r="AI90" s="14">
        <f>IF('Données projet'!$A$62&gt;35,AI89+AH90-AQ89,IF(A90&lt;'Données projet'!$A$62,$AF$205^A90,IF(A90='Données projet'!$A$62,'Données projet'!$B$62,AI89+AH90-AQ89)))</f>
        <v>310.60000000000008</v>
      </c>
      <c r="AJ90" s="14">
        <f>AI90*VLOOKUP('Données projet'!$B$10,Paramètres!$A$1:$I$88,3,0)*VLOOKUP('Données projet'!$B$10,Paramètres!$A$1:$I$88,5,0)</f>
        <v>281.03088000000002</v>
      </c>
      <c r="AK90" s="14">
        <f t="shared" si="89"/>
        <v>67.184816842275524</v>
      </c>
      <c r="AL90" s="22">
        <f t="shared" si="58"/>
        <v>606.47567200029653</v>
      </c>
      <c r="AM90" s="62">
        <f t="shared" si="59"/>
        <v>899.80900533362978</v>
      </c>
      <c r="AN90" s="62">
        <f ca="1">AVERAGE(OFFSET($AM$3,0,0,'Données projet'!$E$10+1,1))-AVERAGE(OFFSET($H$3,0,0,'Données projet'!$E$10+1,1))</f>
        <v>510.56580450928806</v>
      </c>
      <c r="AO90" s="62">
        <f t="shared" si="90"/>
        <v>278.21741231699929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321.79999999999973</v>
      </c>
      <c r="BE90" s="14">
        <f>BD90*VLOOKUP('Données projet'!$B$11,Paramètres!$A$1:$I$88,3,0)*VLOOKUP('Données projet'!$B$11,Paramètres!$A$1:$I$88,5,0)</f>
        <v>306.22487999999976</v>
      </c>
      <c r="BF90" s="14">
        <f t="shared" si="91"/>
        <v>72.479873539329148</v>
      </c>
      <c r="BG90" s="22">
        <f t="shared" si="61"/>
        <v>659.57744574766457</v>
      </c>
      <c r="BH90" s="62">
        <f t="shared" si="62"/>
        <v>952.91077908099783</v>
      </c>
      <c r="BI90" s="62">
        <f ca="1">AVERAGE(OFFSET($BH$3,0,0,'Données projet'!$E$11+1,1))-AVERAGE(OFFSET($H$3,0,0,'Données projet'!$E$11+1,1))</f>
        <v>525.51330555662139</v>
      </c>
      <c r="BJ90" s="62">
        <f t="shared" si="92"/>
        <v>357.72390083433635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1.7053025658242404E-13</v>
      </c>
      <c r="BZ90" s="14">
        <f>BY90*VLOOKUP('Données projet'!$B$12,Paramètres!$A$1:$I$88,3,0)*VLOOKUP('Données projet'!$B$12,Paramètres!$A$1:$I$88,5,0)</f>
        <v>1.0197709343628959E-13</v>
      </c>
      <c r="CA90" s="14">
        <f t="shared" si="93"/>
        <v>1.5284983994279675E-12</v>
      </c>
      <c r="CB90" s="22">
        <f t="shared" si="64"/>
        <v>2.839744816738581E-12</v>
      </c>
      <c r="CC90" s="62">
        <f t="shared" si="65"/>
        <v>293.33333333333616</v>
      </c>
      <c r="CD90" s="62">
        <f ca="1">AVERAGE(OFFSET($CC$3,0,0,'Données projet'!$E$12+1,1))-AVERAGE(OFFSET($H$3,0,0,'Données projet'!$E$12+1,1))</f>
        <v>227.46616726010473</v>
      </c>
      <c r="CE90" s="62">
        <f t="shared" si="94"/>
        <v>314.188568589113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38.914496310567245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3.6618166188044704E-5</v>
      </c>
      <c r="CN90" s="24">
        <f t="shared" si="66"/>
        <v>38.914532928733429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projet'!$B$13,Paramètres!$A$1:$I$88,3,0)*VLOOKUP('Données projet'!$B$13,Paramètres!$A$1:$I$88,5,0)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356.46794174556311</v>
      </c>
      <c r="CZ90" s="62">
        <f t="shared" si="96"/>
        <v>248.47107558211923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0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projet'!$B$14,Paramètres!$A$1:$I$88,3,0)*VLOOKUP('Données projet'!$B$14,Paramètres!$A$1:$I$88,5,0)</f>
        <v>6.3550942286383367E-14</v>
      </c>
      <c r="DQ90" s="14">
        <f t="shared" si="97"/>
        <v>1.0064464192543978E-12</v>
      </c>
      <c r="DR90" s="22">
        <f t="shared" si="70"/>
        <v>1.8635787380168604E-12</v>
      </c>
      <c r="DS90" s="62">
        <f t="shared" si="71"/>
        <v>293.33333333333519</v>
      </c>
      <c r="DT90" s="62">
        <f ca="1">AVERAGE(OFFSET($DS$3,0,0,'Données projet'!$E$14+1,1))-AVERAGE(OFFSET($H$3,0,0,'Données projet'!$E$14+1,1))</f>
        <v>397.04445188588369</v>
      </c>
      <c r="DU90" s="62">
        <f t="shared" si="98"/>
        <v>350.01856672839466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1.6227897628288666</v>
      </c>
      <c r="EB90" s="23">
        <f>EXP(-LN(2)/25)*EB89+(1-EXP(-LN(2)/25))/(LN(2)/25)*Calculateur!DW90*Calculateur!DY90*VLOOKUP('Données projet'!$B$14,Paramètres!$A$1:$I$88,3,0)*0.475*44/12</f>
        <v>0</v>
      </c>
      <c r="EC90" s="23">
        <f>EXP(-LN(2)/2)*EC89+(1-EXP(-LN(2)/2))/(LN(2)/2)*DW90*DZ90*VLOOKUP('Données projet'!$B$14,Paramètres!$A$1:$I$88,3,0)*0.475*44/12</f>
        <v>4.2680788681201792E-8</v>
      </c>
      <c r="ED90" s="24">
        <f t="shared" si="72"/>
        <v>1.6227898055096552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-1.9895196601282805E-13</v>
      </c>
      <c r="EK90" s="18">
        <f>EJ90*VLOOKUP('Données projet'!$B$15,Paramètres!$A$1:$I$88,3,0)*VLOOKUP('Données projet'!$B$15,Paramètres!$A$1:$I$88,5,0)</f>
        <v>-1.738044375088066E-13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202.5548390231225</v>
      </c>
      <c r="EP90" s="62">
        <f t="shared" si="100"/>
        <v>184.62184077734179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projet'!$B$15,Paramètres!$A$1:$I$88,3,0)*0.475*44/12</f>
        <v>0</v>
      </c>
      <c r="EW90" s="23">
        <f>EXP(-LN(2)/25)*EW89+(1-EXP(-LN(2)/25))/(LN(2)/25)*Calculateur!ER90*Calculateur!ET90*VLOOKUP('Données projet'!$B$15,Paramètres!$A$1:$I$88,3,0)*0.475*44/12</f>
        <v>0</v>
      </c>
      <c r="EX90" s="23">
        <f>EXP(-LN(2)/2)*EX89+(1-EXP(-LN(2)/2))/(LN(2)/2)*ER90*EU90*VLOOKUP('Données projet'!$B$15,Paramètres!$A$1:$I$88,3,0)*0.475*44/12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5.2</v>
      </c>
      <c r="FE90" s="13">
        <f>IF('Données projet'!$A$218&gt;35,FE89+FD90-FM89,IF(A90&lt;'Données projet'!$A$218,$FB$205^A90,IF(A90='Données projet'!$A$218,'Données projet'!$B$218,FE89+FD90-FM89)))</f>
        <v>258.39999999999975</v>
      </c>
      <c r="FF90" s="18">
        <f>FE90*VLOOKUP('Données projet'!$B$16,Paramètres!$A$1:$I$88,3,0)*VLOOKUP('Données projet'!$B$16,Paramètres!$A$1:$I$88,5,0)</f>
        <v>249.92447999999979</v>
      </c>
      <c r="FG90" s="14">
        <f t="shared" si="101"/>
        <v>60.569769096626409</v>
      </c>
      <c r="FH90" s="22">
        <f t="shared" si="76"/>
        <v>540.77748384329061</v>
      </c>
      <c r="FI90" s="62">
        <f t="shared" si="77"/>
        <v>834.11081717662387</v>
      </c>
      <c r="FJ90" s="62">
        <f ca="1">AVERAGE(OFFSET($FI$3,0,0,'Données projet'!$E$16+1,1))-AVERAGE(OFFSET($H$3,0,0,'Données projet'!$E$16+1,1))</f>
        <v>456.96274622094955</v>
      </c>
      <c r="FK90" s="62">
        <f t="shared" si="102"/>
        <v>244.45149244446094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projet'!$B$16,Paramètres!$A$1:$I$88,3,0)*0.475*44/12</f>
        <v>0</v>
      </c>
      <c r="FR90" s="23">
        <f>EXP(-LN(2)/25)*FR89+(1-EXP(-LN(2)/25))/(LN(2)/25)*Calculateur!FM90*Calculateur!FO90*VLOOKUP('Données projet'!$B$16,Paramètres!$A$1:$I$88,3,0)*0.475*44/12</f>
        <v>0</v>
      </c>
      <c r="FS90" s="23">
        <f>EXP(-LN(2)/2)*FS89+(1-EXP(-LN(2)/2))/(LN(2)/2)*FM90*FP90*VLOOKUP('Données projet'!$B$16,Paramètres!$A$1:$I$88,3,0)*0.475*44/12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5.2</v>
      </c>
      <c r="FZ90" s="13">
        <f>IF('Données projet'!$A$244&gt;35,FZ89+FY90-GH89,IF(A90&lt;'Données projet'!$A$244,$FW$205^A90,IF(A90='Données projet'!$A$244,'Données projet'!$B$244,FZ89+FY90-GH89)))</f>
        <v>258.39999999999975</v>
      </c>
      <c r="GA90" s="18">
        <f>FZ90*VLOOKUP('Données projet'!$B$17,Paramètres!$A$1:$I$88,3,0)*VLOOKUP('Données projet'!$B$17,Paramètres!$A$1:$I$88,5,0)</f>
        <v>278.14175999999975</v>
      </c>
      <c r="GB90" s="14">
        <f t="shared" si="103"/>
        <v>66.574157295520351</v>
      </c>
      <c r="GC90" s="22">
        <f t="shared" si="79"/>
        <v>600.38022262303082</v>
      </c>
      <c r="GD90" s="62">
        <f t="shared" si="80"/>
        <v>893.71355595636419</v>
      </c>
      <c r="GE90" s="62">
        <f ca="1">AVERAGE(OFFSET($GD$3,0,0,'Données projet'!$E$17+1,1))-AVERAGE(OFFSET($H$3,0,0,'Données projet'!$E$17+1,1))</f>
        <v>503.69304261527651</v>
      </c>
      <c r="GF90" s="62">
        <f t="shared" si="104"/>
        <v>267.2998309535638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projet'!$B$17,Paramètres!$A$1:$I$88,3,0)*0.475*44/12</f>
        <v>0</v>
      </c>
      <c r="GM90" s="23">
        <f>EXP(-LN(2)/25)*GM89+(1-EXP(-LN(2)/25))/(LN(2)/25)*Calculateur!GH90*Calculateur!GJ90*VLOOKUP('Données projet'!$B$17,Paramètres!$A$1:$I$88,3,0)*0.475*44/12</f>
        <v>0</v>
      </c>
      <c r="GN90" s="23">
        <f>EXP(-LN(2)/2)*GN89+(1-EXP(-LN(2)/2))/(LN(2)/2)*GH90*GK90*VLOOKUP('Données projet'!$B$17,Paramètres!$A$1:$I$88,3,0)*0.475*44/12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6.3</v>
      </c>
      <c r="GU90" s="13">
        <f>IF('Données projet'!$A$270&gt;35,GU89+GT90-HC89,IF(A90&lt;'Données projet'!$A$270,$GR$205^A90,IF(A90='Données projet'!$A$270,'Données projet'!$B$270,GU89+GT90-HC89)))</f>
        <v>310.60000000000008</v>
      </c>
      <c r="GV90" s="18">
        <f>GU90*VLOOKUP('Données projet'!$B$18,Paramètres!$A$1:$I$88,3,0)*VLOOKUP('Données projet'!$B$18,Paramètres!$A$1:$I$88,5,0)</f>
        <v>324.6391200000001</v>
      </c>
      <c r="GW90" s="14">
        <f t="shared" si="105"/>
        <v>76.317802732181562</v>
      </c>
      <c r="GX90" s="22">
        <f t="shared" si="82"/>
        <v>698.33330709188306</v>
      </c>
      <c r="GY90" s="62">
        <f t="shared" si="83"/>
        <v>991.66664042521643</v>
      </c>
      <c r="GZ90" s="62">
        <f ca="1">AVERAGE(OFFSET($GY$3,0,0,'Données projet'!$E$18+1,1))-AVERAGE(OFFSET($H$3,0,0,'Données projet'!$E$18+1,1))</f>
        <v>582.89879210197682</v>
      </c>
      <c r="HA90" s="62">
        <f t="shared" si="106"/>
        <v>314.72094983133326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projet'!$B$18,Paramètres!$A$1:$I$88,3,0)*0.475*44/12</f>
        <v>0</v>
      </c>
      <c r="HH90" s="23">
        <f>EXP(-LN(2)/25)*HH89+(1-EXP(-LN(2)/25))/(LN(2)/25)*Calculateur!HC90*Calculateur!HE90*VLOOKUP('Données projet'!$B$18,Paramètres!$A$1:$I$88,3,0)*0.475*44/12</f>
        <v>0</v>
      </c>
      <c r="HI90" s="23">
        <f>EXP(-LN(2)/2)*HI89+(1-EXP(-LN(2)/2))/(LN(2)/2)*HC90*HF90*VLOOKUP('Données projet'!$B$18,Paramètres!$A$1:$I$88,3,0)*0.475*44/12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17.8</v>
      </c>
      <c r="N91" s="14">
        <f>IF('Données projet'!$A$36&gt;35,N90+M91-V90,IF(A91&lt;'Données projet'!$A$36,$K$205^A91,IF(A91='Données projet'!$A$36,'Données projet'!$B$36,N90+M91-V90)))</f>
        <v>766.4</v>
      </c>
      <c r="O91" s="14">
        <f>N91*VLOOKUP('Données projet'!$B$9,Paramètres!$A$1:$I$88,3,0)*VLOOKUP('Données projet'!$B$9,Paramètres!$A$1:$I$88,5,0)</f>
        <v>358.67520000000002</v>
      </c>
      <c r="P91" s="14">
        <f t="shared" si="87"/>
        <v>83.346271607947827</v>
      </c>
      <c r="Q91" s="22">
        <f t="shared" si="54"/>
        <v>769.85406305050913</v>
      </c>
      <c r="R91" s="62">
        <f t="shared" si="55"/>
        <v>1063.1873963838425</v>
      </c>
      <c r="S91" s="62">
        <f ca="1">AVERAGE(OFFSET($R$3,0,0,'Données projet'!$E$9+1,1))-AVERAGE(OFFSET($H$3,0,0,'Données projet'!$E$9+1,1))</f>
        <v>399.92909819003523</v>
      </c>
      <c r="T91" s="62">
        <f t="shared" si="88"/>
        <v>163.7053537268381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6.3</v>
      </c>
      <c r="AI91" s="14">
        <f>IF('Données projet'!$A$62&gt;35,AI90+AH91-AQ90,IF(A91&lt;'Données projet'!$A$62,$AF$205^A91,IF(A91='Données projet'!$A$62,'Données projet'!$B$62,AI90+AH91-AQ90)))</f>
        <v>316.90000000000009</v>
      </c>
      <c r="AJ91" s="14">
        <f>AI91*VLOOKUP('Données projet'!$B$10,Paramètres!$A$1:$I$88,3,0)*VLOOKUP('Données projet'!$B$10,Paramètres!$A$1:$I$88,5,0)</f>
        <v>286.73112000000009</v>
      </c>
      <c r="AK91" s="14">
        <f t="shared" si="89"/>
        <v>68.387515408373432</v>
      </c>
      <c r="AL91" s="22">
        <f t="shared" si="58"/>
        <v>618.4982900029172</v>
      </c>
      <c r="AM91" s="62">
        <f t="shared" si="59"/>
        <v>911.83162333625046</v>
      </c>
      <c r="AN91" s="62">
        <f ca="1">AVERAGE(OFFSET($AM$3,0,0,'Données projet'!$E$10+1,1))-AVERAGE(OFFSET($H$3,0,0,'Données projet'!$E$10+1,1))</f>
        <v>510.56580450928806</v>
      </c>
      <c r="AO91" s="62">
        <f t="shared" si="90"/>
        <v>278.21741231699929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327.1999999999997</v>
      </c>
      <c r="BE91" s="14">
        <f>BD91*VLOOKUP('Données projet'!$B$11,Paramètres!$A$1:$I$88,3,0)*VLOOKUP('Données projet'!$B$11,Paramètres!$A$1:$I$88,5,0)</f>
        <v>311.36351999999971</v>
      </c>
      <c r="BF91" s="14">
        <f t="shared" si="91"/>
        <v>73.553514641435314</v>
      </c>
      <c r="BG91" s="22">
        <f t="shared" si="61"/>
        <v>670.39716866716606</v>
      </c>
      <c r="BH91" s="62">
        <f t="shared" si="62"/>
        <v>963.73050200049943</v>
      </c>
      <c r="BI91" s="62">
        <f ca="1">AVERAGE(OFFSET($BH$3,0,0,'Données projet'!$E$11+1,1))-AVERAGE(OFFSET($H$3,0,0,'Données projet'!$E$11+1,1))</f>
        <v>525.51330555662139</v>
      </c>
      <c r="BJ91" s="62">
        <f t="shared" si="92"/>
        <v>357.72390083433635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1.7053025658242404E-13</v>
      </c>
      <c r="BZ91" s="14">
        <f>BY91*VLOOKUP('Données projet'!$B$12,Paramètres!$A$1:$I$88,3,0)*VLOOKUP('Données projet'!$B$12,Paramètres!$A$1:$I$88,5,0)</f>
        <v>1.0197709343628959E-13</v>
      </c>
      <c r="CA91" s="14">
        <f t="shared" si="93"/>
        <v>1.5284983994279675E-12</v>
      </c>
      <c r="CB91" s="22">
        <f t="shared" si="64"/>
        <v>2.839744816738581E-12</v>
      </c>
      <c r="CC91" s="62">
        <f t="shared" si="65"/>
        <v>293.33333333333616</v>
      </c>
      <c r="CD91" s="62">
        <f ca="1">AVERAGE(OFFSET($CC$3,0,0,'Données projet'!$E$12+1,1))-AVERAGE(OFFSET($H$3,0,0,'Données projet'!$E$12+1,1))</f>
        <v>227.46616726010473</v>
      </c>
      <c r="CE91" s="62">
        <f t="shared" si="94"/>
        <v>314.188568589113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38.151406773416085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2.589295362618236E-5</v>
      </c>
      <c r="CN91" s="24">
        <f t="shared" si="66"/>
        <v>38.151432666369708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projet'!$B$13,Paramètres!$A$1:$I$88,3,0)*VLOOKUP('Données projet'!$B$13,Paramètres!$A$1:$I$88,5,0)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356.46794174556311</v>
      </c>
      <c r="CZ91" s="62">
        <f t="shared" si="96"/>
        <v>248.47107558211923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0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projet'!$B$14,Paramètres!$A$1:$I$88,3,0)*VLOOKUP('Données projet'!$B$14,Paramètres!$A$1:$I$88,5,0)</f>
        <v>6.3550942286383367E-14</v>
      </c>
      <c r="DQ91" s="14">
        <f t="shared" si="97"/>
        <v>1.0064464192543978E-12</v>
      </c>
      <c r="DR91" s="22">
        <f t="shared" si="70"/>
        <v>1.8635787380168604E-12</v>
      </c>
      <c r="DS91" s="62">
        <f t="shared" si="71"/>
        <v>293.33333333333519</v>
      </c>
      <c r="DT91" s="62">
        <f ca="1">AVERAGE(OFFSET($DS$3,0,0,'Données projet'!$E$14+1,1))-AVERAGE(OFFSET($H$3,0,0,'Données projet'!$E$14+1,1))</f>
        <v>397.04445188588369</v>
      </c>
      <c r="DU91" s="62">
        <f t="shared" si="98"/>
        <v>350.01856672839466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1.5909678453838128</v>
      </c>
      <c r="EB91" s="23">
        <f>EXP(-LN(2)/25)*EB90+(1-EXP(-LN(2)/25))/(LN(2)/25)*Calculateur!DW91*Calculateur!DY91*VLOOKUP('Données projet'!$B$14,Paramètres!$A$1:$I$88,3,0)*0.475*44/12</f>
        <v>0</v>
      </c>
      <c r="EC91" s="23">
        <f>EXP(-LN(2)/2)*EC90+(1-EXP(-LN(2)/2))/(LN(2)/2)*DW91*DZ91*VLOOKUP('Données projet'!$B$14,Paramètres!$A$1:$I$88,3,0)*0.475*44/12</f>
        <v>3.017987510286783E-8</v>
      </c>
      <c r="ED91" s="24">
        <f t="shared" si="72"/>
        <v>1.5909678755636878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-1.9895196601282805E-13</v>
      </c>
      <c r="EK91" s="18">
        <f>EJ91*VLOOKUP('Données projet'!$B$15,Paramètres!$A$1:$I$88,3,0)*VLOOKUP('Données projet'!$B$15,Paramètres!$A$1:$I$88,5,0)</f>
        <v>-1.738044375088066E-13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202.5548390231225</v>
      </c>
      <c r="EP91" s="62">
        <f t="shared" si="100"/>
        <v>184.62184077734179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projet'!$B$15,Paramètres!$A$1:$I$88,3,0)*0.475*44/12</f>
        <v>0</v>
      </c>
      <c r="EW91" s="23">
        <f>EXP(-LN(2)/25)*EW90+(1-EXP(-LN(2)/25))/(LN(2)/25)*Calculateur!ER91*Calculateur!ET91*VLOOKUP('Données projet'!$B$15,Paramètres!$A$1:$I$88,3,0)*0.475*44/12</f>
        <v>0</v>
      </c>
      <c r="EX91" s="23">
        <f>EXP(-LN(2)/2)*EX90+(1-EXP(-LN(2)/2))/(LN(2)/2)*ER91*EU91*VLOOKUP('Données projet'!$B$15,Paramètres!$A$1:$I$88,3,0)*0.475*44/12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5.2</v>
      </c>
      <c r="FE91" s="13">
        <f>IF('Données projet'!$A$218&gt;35,FE90+FD91-FM90,IF(A91&lt;'Données projet'!$A$218,$FB$205^A91,IF(A91='Données projet'!$A$218,'Données projet'!$B$218,FE90+FD91-FM90)))</f>
        <v>263.59999999999974</v>
      </c>
      <c r="FF91" s="18">
        <f>FE91*VLOOKUP('Données projet'!$B$16,Paramètres!$A$1:$I$88,3,0)*VLOOKUP('Données projet'!$B$16,Paramètres!$A$1:$I$88,5,0)</f>
        <v>254.95391999999975</v>
      </c>
      <c r="FG91" s="14">
        <f t="shared" si="101"/>
        <v>61.645533788540526</v>
      </c>
      <c r="FH91" s="22">
        <f t="shared" si="76"/>
        <v>551.41071534837431</v>
      </c>
      <c r="FI91" s="62">
        <f t="shared" si="77"/>
        <v>844.74404868170768</v>
      </c>
      <c r="FJ91" s="62">
        <f ca="1">AVERAGE(OFFSET($FI$3,0,0,'Données projet'!$E$16+1,1))-AVERAGE(OFFSET($H$3,0,0,'Données projet'!$E$16+1,1))</f>
        <v>456.96274622094955</v>
      </c>
      <c r="FK91" s="62">
        <f t="shared" si="102"/>
        <v>244.45149244446094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projet'!$B$16,Paramètres!$A$1:$I$88,3,0)*0.475*44/12</f>
        <v>0</v>
      </c>
      <c r="FR91" s="23">
        <f>EXP(-LN(2)/25)*FR90+(1-EXP(-LN(2)/25))/(LN(2)/25)*Calculateur!FM91*Calculateur!FO91*VLOOKUP('Données projet'!$B$16,Paramètres!$A$1:$I$88,3,0)*0.475*44/12</f>
        <v>0</v>
      </c>
      <c r="FS91" s="23">
        <f>EXP(-LN(2)/2)*FS90+(1-EXP(-LN(2)/2))/(LN(2)/2)*FM91*FP91*VLOOKUP('Données projet'!$B$16,Paramètres!$A$1:$I$88,3,0)*0.475*44/12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5.2</v>
      </c>
      <c r="FZ91" s="13">
        <f>IF('Données projet'!$A$244&gt;35,FZ90+FY91-GH90,IF(A91&lt;'Données projet'!$A$244,$FW$205^A91,IF(A91='Données projet'!$A$244,'Données projet'!$B$244,FZ90+FY91-GH90)))</f>
        <v>263.59999999999974</v>
      </c>
      <c r="GA91" s="18">
        <f>FZ91*VLOOKUP('Données projet'!$B$17,Paramètres!$A$1:$I$88,3,0)*VLOOKUP('Données projet'!$B$17,Paramètres!$A$1:$I$88,5,0)</f>
        <v>283.7390399999997</v>
      </c>
      <c r="GB91" s="14">
        <f t="shared" si="103"/>
        <v>67.756564441537463</v>
      </c>
      <c r="GC91" s="22">
        <f t="shared" si="79"/>
        <v>612.18817773567719</v>
      </c>
      <c r="GD91" s="62">
        <f t="shared" si="80"/>
        <v>905.52151106901056</v>
      </c>
      <c r="GE91" s="62">
        <f ca="1">AVERAGE(OFFSET($GD$3,0,0,'Données projet'!$E$17+1,1))-AVERAGE(OFFSET($H$3,0,0,'Données projet'!$E$17+1,1))</f>
        <v>503.69304261527651</v>
      </c>
      <c r="GF91" s="62">
        <f t="shared" si="104"/>
        <v>267.2998309535638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projet'!$B$17,Paramètres!$A$1:$I$88,3,0)*0.475*44/12</f>
        <v>0</v>
      </c>
      <c r="GM91" s="23">
        <f>EXP(-LN(2)/25)*GM90+(1-EXP(-LN(2)/25))/(LN(2)/25)*Calculateur!GH91*Calculateur!GJ91*VLOOKUP('Données projet'!$B$17,Paramètres!$A$1:$I$88,3,0)*0.475*44/12</f>
        <v>0</v>
      </c>
      <c r="GN91" s="23">
        <f>EXP(-LN(2)/2)*GN90+(1-EXP(-LN(2)/2))/(LN(2)/2)*GH91*GK91*VLOOKUP('Données projet'!$B$17,Paramètres!$A$1:$I$88,3,0)*0.475*44/12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6.3</v>
      </c>
      <c r="GU91" s="13">
        <f>IF('Données projet'!$A$270&gt;35,GU90+GT91-HC90,IF(A91&lt;'Données projet'!$A$270,$GR$205^A91,IF(A91='Données projet'!$A$270,'Données projet'!$B$270,GU90+GT91-HC90)))</f>
        <v>316.90000000000009</v>
      </c>
      <c r="GV91" s="18">
        <f>GU91*VLOOKUP('Données projet'!$B$18,Paramètres!$A$1:$I$88,3,0)*VLOOKUP('Données projet'!$B$18,Paramètres!$A$1:$I$88,5,0)</f>
        <v>331.22388000000012</v>
      </c>
      <c r="GW91" s="14">
        <f t="shared" si="105"/>
        <v>77.683994026997681</v>
      </c>
      <c r="GX91" s="22">
        <f t="shared" si="82"/>
        <v>712.18121393035437</v>
      </c>
      <c r="GY91" s="62">
        <f t="shared" si="83"/>
        <v>1005.5145472636877</v>
      </c>
      <c r="GZ91" s="62">
        <f ca="1">AVERAGE(OFFSET($GY$3,0,0,'Données projet'!$E$18+1,1))-AVERAGE(OFFSET($H$3,0,0,'Données projet'!$E$18+1,1))</f>
        <v>582.89879210197682</v>
      </c>
      <c r="HA91" s="62">
        <f t="shared" si="106"/>
        <v>314.72094983133326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projet'!$B$18,Paramètres!$A$1:$I$88,3,0)*0.475*44/12</f>
        <v>0</v>
      </c>
      <c r="HH91" s="23">
        <f>EXP(-LN(2)/25)*HH90+(1-EXP(-LN(2)/25))/(LN(2)/25)*Calculateur!HC91*Calculateur!HE91*VLOOKUP('Données projet'!$B$18,Paramètres!$A$1:$I$88,3,0)*0.475*44/12</f>
        <v>0</v>
      </c>
      <c r="HI91" s="23">
        <f>EXP(-LN(2)/2)*HI90+(1-EXP(-LN(2)/2))/(LN(2)/2)*HC91*HF91*VLOOKUP('Données projet'!$B$18,Paramètres!$A$1:$I$88,3,0)*0.475*44/12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17.8</v>
      </c>
      <c r="N92" s="14">
        <f>IF('Données projet'!$A$36&gt;35,N91+M92-V91,IF(A92&lt;'Données projet'!$A$36,$K$205^A92,IF(A92='Données projet'!$A$36,'Données projet'!$B$36,N91+M92-V91)))</f>
        <v>784.19999999999993</v>
      </c>
      <c r="O92" s="14">
        <f>N92*VLOOKUP('Données projet'!$B$9,Paramètres!$A$1:$I$88,3,0)*VLOOKUP('Données projet'!$B$9,Paramètres!$A$1:$I$88,5,0)</f>
        <v>367.00559999999996</v>
      </c>
      <c r="P92" s="14">
        <f t="shared" si="87"/>
        <v>85.054413590443389</v>
      </c>
      <c r="Q92" s="22">
        <f t="shared" si="54"/>
        <v>787.33785700335545</v>
      </c>
      <c r="R92" s="62">
        <f t="shared" si="55"/>
        <v>1080.6711903366888</v>
      </c>
      <c r="S92" s="62">
        <f ca="1">AVERAGE(OFFSET($R$3,0,0,'Données projet'!$E$9+1,1))-AVERAGE(OFFSET($H$3,0,0,'Données projet'!$E$9+1,1))</f>
        <v>399.92909819003523</v>
      </c>
      <c r="T92" s="62">
        <f t="shared" si="88"/>
        <v>163.7053537268381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6.3</v>
      </c>
      <c r="AI92" s="14">
        <f>IF('Données projet'!$A$62&gt;35,AI91+AH92-AQ91,IF(A92&lt;'Données projet'!$A$62,$AF$205^A92,IF(A92='Données projet'!$A$62,'Données projet'!$B$62,AI91+AH92-AQ91)))</f>
        <v>323.2000000000001</v>
      </c>
      <c r="AJ92" s="14">
        <f>AI92*VLOOKUP('Données projet'!$B$10,Paramètres!$A$1:$I$88,3,0)*VLOOKUP('Données projet'!$B$10,Paramètres!$A$1:$I$88,5,0)</f>
        <v>292.4313600000001</v>
      </c>
      <c r="AK92" s="14">
        <f t="shared" si="89"/>
        <v>69.587433903176986</v>
      </c>
      <c r="AL92" s="22">
        <f t="shared" si="58"/>
        <v>630.51606604803339</v>
      </c>
      <c r="AM92" s="62">
        <f t="shared" si="59"/>
        <v>923.84939938136677</v>
      </c>
      <c r="AN92" s="62">
        <f ca="1">AVERAGE(OFFSET($AM$3,0,0,'Données projet'!$E$10+1,1))-AVERAGE(OFFSET($H$3,0,0,'Données projet'!$E$10+1,1))</f>
        <v>510.56580450928806</v>
      </c>
      <c r="AO92" s="62">
        <f t="shared" si="90"/>
        <v>278.21741231699929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332.59999999999968</v>
      </c>
      <c r="BE92" s="14">
        <f>BD92*VLOOKUP('Données projet'!$B$11,Paramètres!$A$1:$I$88,3,0)*VLOOKUP('Données projet'!$B$11,Paramètres!$A$1:$I$88,5,0)</f>
        <v>316.50215999999972</v>
      </c>
      <c r="BF92" s="14">
        <f t="shared" si="91"/>
        <v>74.625095130996257</v>
      </c>
      <c r="BG92" s="22">
        <f t="shared" si="61"/>
        <v>681.21330268648455</v>
      </c>
      <c r="BH92" s="62">
        <f t="shared" si="62"/>
        <v>974.54663601981792</v>
      </c>
      <c r="BI92" s="62">
        <f ca="1">AVERAGE(OFFSET($BH$3,0,0,'Données projet'!$E$11+1,1))-AVERAGE(OFFSET($H$3,0,0,'Données projet'!$E$11+1,1))</f>
        <v>525.51330555662139</v>
      </c>
      <c r="BJ92" s="62">
        <f t="shared" si="92"/>
        <v>357.72390083433635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1.7053025658242404E-13</v>
      </c>
      <c r="BZ92" s="14">
        <f>BY92*VLOOKUP('Données projet'!$B$12,Paramètres!$A$1:$I$88,3,0)*VLOOKUP('Données projet'!$B$12,Paramètres!$A$1:$I$88,5,0)</f>
        <v>1.0197709343628959E-13</v>
      </c>
      <c r="CA92" s="14">
        <f t="shared" si="93"/>
        <v>1.5284983994279675E-12</v>
      </c>
      <c r="CB92" s="22">
        <f t="shared" si="64"/>
        <v>2.839744816738581E-12</v>
      </c>
      <c r="CC92" s="62">
        <f t="shared" si="65"/>
        <v>293.33333333333616</v>
      </c>
      <c r="CD92" s="62">
        <f ca="1">AVERAGE(OFFSET($CC$3,0,0,'Données projet'!$E$12+1,1))-AVERAGE(OFFSET($H$3,0,0,'Données projet'!$E$12+1,1))</f>
        <v>227.46616726010473</v>
      </c>
      <c r="CE92" s="62">
        <f t="shared" si="94"/>
        <v>314.188568589113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37.403280956649802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1.8309083094022352E-5</v>
      </c>
      <c r="CN92" s="24">
        <f t="shared" si="66"/>
        <v>37.403299265732898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projet'!$B$13,Paramètres!$A$1:$I$88,3,0)*VLOOKUP('Données projet'!$B$13,Paramètres!$A$1:$I$88,5,0)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356.46794174556311</v>
      </c>
      <c r="CZ92" s="62">
        <f t="shared" si="96"/>
        <v>248.47107558211923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0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projet'!$B$14,Paramètres!$A$1:$I$88,3,0)*VLOOKUP('Données projet'!$B$14,Paramètres!$A$1:$I$88,5,0)</f>
        <v>6.3550942286383367E-14</v>
      </c>
      <c r="DQ92" s="14">
        <f t="shared" si="97"/>
        <v>1.0064464192543978E-12</v>
      </c>
      <c r="DR92" s="22">
        <f t="shared" si="70"/>
        <v>1.8635787380168604E-12</v>
      </c>
      <c r="DS92" s="62">
        <f t="shared" si="71"/>
        <v>293.33333333333519</v>
      </c>
      <c r="DT92" s="62">
        <f ca="1">AVERAGE(OFFSET($DS$3,0,0,'Données projet'!$E$14+1,1))-AVERAGE(OFFSET($H$3,0,0,'Données projet'!$E$14+1,1))</f>
        <v>397.04445188588369</v>
      </c>
      <c r="DU92" s="62">
        <f t="shared" si="98"/>
        <v>350.01856672839466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1.5597699363304034</v>
      </c>
      <c r="EB92" s="23">
        <f>EXP(-LN(2)/25)*EB91+(1-EXP(-LN(2)/25))/(LN(2)/25)*Calculateur!DW92*Calculateur!DY92*VLOOKUP('Données projet'!$B$14,Paramètres!$A$1:$I$88,3,0)*0.475*44/12</f>
        <v>0</v>
      </c>
      <c r="EC92" s="23">
        <f>EXP(-LN(2)/2)*EC91+(1-EXP(-LN(2)/2))/(LN(2)/2)*DW92*DZ92*VLOOKUP('Données projet'!$B$14,Paramètres!$A$1:$I$88,3,0)*0.475*44/12</f>
        <v>2.1340394340600896E-8</v>
      </c>
      <c r="ED92" s="24">
        <f t="shared" si="72"/>
        <v>1.5597699576707977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-1.9895196601282805E-13</v>
      </c>
      <c r="EK92" s="18">
        <f>EJ92*VLOOKUP('Données projet'!$B$15,Paramètres!$A$1:$I$88,3,0)*VLOOKUP('Données projet'!$B$15,Paramètres!$A$1:$I$88,5,0)</f>
        <v>-1.738044375088066E-13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202.5548390231225</v>
      </c>
      <c r="EP92" s="62">
        <f t="shared" si="100"/>
        <v>184.62184077734179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projet'!$B$15,Paramètres!$A$1:$I$88,3,0)*0.475*44/12</f>
        <v>0</v>
      </c>
      <c r="EW92" s="23">
        <f>EXP(-LN(2)/25)*EW91+(1-EXP(-LN(2)/25))/(LN(2)/25)*Calculateur!ER92*Calculateur!ET92*VLOOKUP('Données projet'!$B$15,Paramètres!$A$1:$I$88,3,0)*0.475*44/12</f>
        <v>0</v>
      </c>
      <c r="EX92" s="23">
        <f>EXP(-LN(2)/2)*EX91+(1-EXP(-LN(2)/2))/(LN(2)/2)*ER92*EU92*VLOOKUP('Données projet'!$B$15,Paramètres!$A$1:$I$88,3,0)*0.475*44/12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5.2</v>
      </c>
      <c r="FE92" s="13">
        <f>IF('Données projet'!$A$218&gt;35,FE91+FD92-FM91,IF(A92&lt;'Données projet'!$A$218,$FB$205^A92,IF(A92='Données projet'!$A$218,'Données projet'!$B$218,FE91+FD92-FM91)))</f>
        <v>268.79999999999973</v>
      </c>
      <c r="FF92" s="18">
        <f>FE92*VLOOKUP('Données projet'!$B$16,Paramètres!$A$1:$I$88,3,0)*VLOOKUP('Données projet'!$B$16,Paramètres!$A$1:$I$88,5,0)</f>
        <v>259.98335999999978</v>
      </c>
      <c r="FG92" s="14">
        <f t="shared" si="101"/>
        <v>62.718830967388186</v>
      </c>
      <c r="FH92" s="22">
        <f t="shared" si="76"/>
        <v>562.03964926820072</v>
      </c>
      <c r="FI92" s="62">
        <f t="shared" si="77"/>
        <v>855.37298260153398</v>
      </c>
      <c r="FJ92" s="62">
        <f ca="1">AVERAGE(OFFSET($FI$3,0,0,'Données projet'!$E$16+1,1))-AVERAGE(OFFSET($H$3,0,0,'Données projet'!$E$16+1,1))</f>
        <v>456.96274622094955</v>
      </c>
      <c r="FK92" s="62">
        <f t="shared" si="102"/>
        <v>244.45149244446094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projet'!$B$16,Paramètres!$A$1:$I$88,3,0)*0.475*44/12</f>
        <v>0</v>
      </c>
      <c r="FR92" s="23">
        <f>EXP(-LN(2)/25)*FR91+(1-EXP(-LN(2)/25))/(LN(2)/25)*Calculateur!FM92*Calculateur!FO92*VLOOKUP('Données projet'!$B$16,Paramètres!$A$1:$I$88,3,0)*0.475*44/12</f>
        <v>0</v>
      </c>
      <c r="FS92" s="23">
        <f>EXP(-LN(2)/2)*FS91+(1-EXP(-LN(2)/2))/(LN(2)/2)*FM92*FP92*VLOOKUP('Données projet'!$B$16,Paramètres!$A$1:$I$88,3,0)*0.475*44/12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5.2</v>
      </c>
      <c r="FZ92" s="13">
        <f>IF('Données projet'!$A$244&gt;35,FZ91+FY92-GH91,IF(A92&lt;'Données projet'!$A$244,$FW$205^A92,IF(A92='Données projet'!$A$244,'Données projet'!$B$244,FZ91+FY92-GH91)))</f>
        <v>268.79999999999973</v>
      </c>
      <c r="GA92" s="18">
        <f>FZ92*VLOOKUP('Données projet'!$B$17,Paramètres!$A$1:$I$88,3,0)*VLOOKUP('Données projet'!$B$17,Paramètres!$A$1:$I$88,5,0)</f>
        <v>289.33631999999972</v>
      </c>
      <c r="GB92" s="14">
        <f t="shared" si="103"/>
        <v>68.936259465559303</v>
      </c>
      <c r="GC92" s="22">
        <f t="shared" si="79"/>
        <v>623.99140923584866</v>
      </c>
      <c r="GD92" s="62">
        <f t="shared" si="80"/>
        <v>917.32474256918204</v>
      </c>
      <c r="GE92" s="62">
        <f ca="1">AVERAGE(OFFSET($GD$3,0,0,'Données projet'!$E$17+1,1))-AVERAGE(OFFSET($H$3,0,0,'Données projet'!$E$17+1,1))</f>
        <v>503.69304261527651</v>
      </c>
      <c r="GF92" s="62">
        <f t="shared" si="104"/>
        <v>267.2998309535638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projet'!$B$17,Paramètres!$A$1:$I$88,3,0)*0.475*44/12</f>
        <v>0</v>
      </c>
      <c r="GM92" s="23">
        <f>EXP(-LN(2)/25)*GM91+(1-EXP(-LN(2)/25))/(LN(2)/25)*Calculateur!GH92*Calculateur!GJ92*VLOOKUP('Données projet'!$B$17,Paramètres!$A$1:$I$88,3,0)*0.475*44/12</f>
        <v>0</v>
      </c>
      <c r="GN92" s="23">
        <f>EXP(-LN(2)/2)*GN91+(1-EXP(-LN(2)/2))/(LN(2)/2)*GH92*GK92*VLOOKUP('Données projet'!$B$17,Paramètres!$A$1:$I$88,3,0)*0.475*44/12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6.3</v>
      </c>
      <c r="GU92" s="13">
        <f>IF('Données projet'!$A$270&gt;35,GU91+GT92-HC91,IF(A92&lt;'Données projet'!$A$270,$GR$205^A92,IF(A92='Données projet'!$A$270,'Données projet'!$B$270,GU91+GT92-HC91)))</f>
        <v>323.2000000000001</v>
      </c>
      <c r="GV92" s="18">
        <f>GU92*VLOOKUP('Données projet'!$B$18,Paramètres!$A$1:$I$88,3,0)*VLOOKUP('Données projet'!$B$18,Paramètres!$A$1:$I$88,5,0)</f>
        <v>337.80864000000014</v>
      </c>
      <c r="GW92" s="14">
        <f t="shared" si="105"/>
        <v>79.047027332515185</v>
      </c>
      <c r="GX92" s="22">
        <f t="shared" si="82"/>
        <v>726.02362060413088</v>
      </c>
      <c r="GY92" s="62">
        <f t="shared" si="83"/>
        <v>1019.3569539374641</v>
      </c>
      <c r="GZ92" s="62">
        <f ca="1">AVERAGE(OFFSET($GY$3,0,0,'Données projet'!$E$18+1,1))-AVERAGE(OFFSET($H$3,0,0,'Données projet'!$E$18+1,1))</f>
        <v>582.89879210197682</v>
      </c>
      <c r="HA92" s="62">
        <f t="shared" si="106"/>
        <v>314.72094983133326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projet'!$B$18,Paramètres!$A$1:$I$88,3,0)*0.475*44/12</f>
        <v>0</v>
      </c>
      <c r="HH92" s="23">
        <f>EXP(-LN(2)/25)*HH91+(1-EXP(-LN(2)/25))/(LN(2)/25)*Calculateur!HC92*Calculateur!HE92*VLOOKUP('Données projet'!$B$18,Paramètres!$A$1:$I$88,3,0)*0.475*44/12</f>
        <v>0</v>
      </c>
      <c r="HI92" s="23">
        <f>EXP(-LN(2)/2)*HI91+(1-EXP(-LN(2)/2))/(LN(2)/2)*HC92*HF92*VLOOKUP('Données projet'!$B$18,Paramètres!$A$1:$I$88,3,0)*0.475*44/12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802</v>
      </c>
      <c r="L93" s="13">
        <f>VLOOKUP(A93,'Données projet'!$A$35:$I$55,9,0)</f>
        <v>17.8</v>
      </c>
      <c r="M93" s="13">
        <f t="array" ref="M93">INDEX(L:L,MIN(IF(ISNUMBER(L93:L289),ROW(L93:L289),"")))</f>
        <v>17.8</v>
      </c>
      <c r="N93" s="14">
        <f>IF('Données projet'!$A$36&gt;35,N92+M93-V92,IF(A93&lt;'Données projet'!$A$36,$K$205^A93,IF(A93='Données projet'!$A$36,'Données projet'!$B$36,N92+M93-V92)))</f>
        <v>801.99999999999989</v>
      </c>
      <c r="O93" s="14">
        <f>N93*VLOOKUP('Données projet'!$B$9,Paramètres!$A$1:$I$88,3,0)*VLOOKUP('Données projet'!$B$9,Paramètres!$A$1:$I$88,5,0)</f>
        <v>375.33599999999996</v>
      </c>
      <c r="P93" s="14">
        <f t="shared" si="87"/>
        <v>86.75804807087205</v>
      </c>
      <c r="Q93" s="22">
        <f t="shared" si="54"/>
        <v>804.81380039010207</v>
      </c>
      <c r="R93" s="62">
        <f t="shared" si="55"/>
        <v>1098.1471337234354</v>
      </c>
      <c r="S93" s="62">
        <f ca="1">AVERAGE(OFFSET($R$3,0,0,'Données projet'!$E$9+1,1))-AVERAGE(OFFSET($H$3,0,0,'Données projet'!$E$9+1,1))</f>
        <v>399.92909819003523</v>
      </c>
      <c r="T93" s="62">
        <f t="shared" si="88"/>
        <v>163.7053537268381</v>
      </c>
      <c r="U93" s="16">
        <f>IF(ISNA(VLOOKUP(A93,'Données projet'!$A$35:$I$55,3,0)),0,VLOOKUP(A93,'Données projet'!$A$35:$I$55,3,0))</f>
        <v>6</v>
      </c>
      <c r="V93" s="16">
        <f>IF(ISNA(VLOOKUP(A93,'Données projet'!$A$35:$I$55,4,0)),0,VLOOKUP(A93,'Données projet'!$A$35:$I$55,4,0))</f>
        <v>97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6.3</v>
      </c>
      <c r="AI93" s="14">
        <f>IF('Données projet'!$A$62&gt;35,AI92+AH93-AQ92,IF(A93&lt;'Données projet'!$A$62,$AF$205^A93,IF(A93='Données projet'!$A$62,'Données projet'!$B$62,AI92+AH93-AQ92)))</f>
        <v>329.50000000000011</v>
      </c>
      <c r="AJ93" s="14">
        <f>AI93*VLOOKUP('Données projet'!$B$10,Paramètres!$A$1:$I$88,3,0)*VLOOKUP('Données projet'!$B$10,Paramètres!$A$1:$I$88,5,0)</f>
        <v>298.13160000000005</v>
      </c>
      <c r="AK93" s="14">
        <f t="shared" si="89"/>
        <v>70.784632764376099</v>
      </c>
      <c r="AL93" s="22">
        <f t="shared" si="58"/>
        <v>642.52910539795516</v>
      </c>
      <c r="AM93" s="62">
        <f t="shared" si="59"/>
        <v>935.86243873128842</v>
      </c>
      <c r="AN93" s="62">
        <f ca="1">AVERAGE(OFFSET($AM$3,0,0,'Données projet'!$E$10+1,1))-AVERAGE(OFFSET($H$3,0,0,'Données projet'!$E$10+1,1))</f>
        <v>510.56580450928806</v>
      </c>
      <c r="AO93" s="62">
        <f t="shared" si="90"/>
        <v>278.21741231699929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337.99999999999966</v>
      </c>
      <c r="BE93" s="14">
        <f>BD93*VLOOKUP('Données projet'!$B$11,Paramètres!$A$1:$I$88,3,0)*VLOOKUP('Données projet'!$B$11,Paramètres!$A$1:$I$88,5,0)</f>
        <v>321.64079999999967</v>
      </c>
      <c r="BF93" s="14">
        <f t="shared" si="91"/>
        <v>75.694652325793157</v>
      </c>
      <c r="BG93" s="22">
        <f t="shared" si="61"/>
        <v>692.02591280075592</v>
      </c>
      <c r="BH93" s="62">
        <f t="shared" si="62"/>
        <v>985.35924613408929</v>
      </c>
      <c r="BI93" s="62">
        <f ca="1">AVERAGE(OFFSET($BH$3,0,0,'Données projet'!$E$11+1,1))-AVERAGE(OFFSET($H$3,0,0,'Données projet'!$E$11+1,1))</f>
        <v>525.51330555662139</v>
      </c>
      <c r="BJ93" s="62">
        <f t="shared" si="92"/>
        <v>357.72390083433635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1.7053025658242404E-13</v>
      </c>
      <c r="BZ93" s="14">
        <f>BY93*VLOOKUP('Données projet'!$B$12,Paramètres!$A$1:$I$88,3,0)*VLOOKUP('Données projet'!$B$12,Paramètres!$A$1:$I$88,5,0)</f>
        <v>1.0197709343628959E-13</v>
      </c>
      <c r="CA93" s="14">
        <f t="shared" si="93"/>
        <v>1.5284983994279675E-12</v>
      </c>
      <c r="CB93" s="22">
        <f t="shared" si="64"/>
        <v>2.839744816738581E-12</v>
      </c>
      <c r="CC93" s="62">
        <f t="shared" si="65"/>
        <v>293.33333333333616</v>
      </c>
      <c r="CD93" s="62">
        <f ca="1">AVERAGE(OFFSET($CC$3,0,0,'Données projet'!$E$12+1,1))-AVERAGE(OFFSET($H$3,0,0,'Données projet'!$E$12+1,1))</f>
        <v>227.46616726010473</v>
      </c>
      <c r="CE93" s="62">
        <f t="shared" si="94"/>
        <v>314.188568589113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36.669825430838614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1.294647681309118E-5</v>
      </c>
      <c r="CN93" s="24">
        <f t="shared" si="66"/>
        <v>36.669838377315429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projet'!$B$13,Paramètres!$A$1:$I$88,3,0)*VLOOKUP('Données projet'!$B$13,Paramètres!$A$1:$I$88,5,0)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356.46794174556311</v>
      </c>
      <c r="CZ93" s="62">
        <f t="shared" si="96"/>
        <v>248.47107558211923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0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projet'!$B$14,Paramètres!$A$1:$I$88,3,0)*VLOOKUP('Données projet'!$B$14,Paramètres!$A$1:$I$88,5,0)</f>
        <v>6.3550942286383367E-14</v>
      </c>
      <c r="DQ93" s="14">
        <f t="shared" si="97"/>
        <v>1.0064464192543978E-12</v>
      </c>
      <c r="DR93" s="22">
        <f t="shared" si="70"/>
        <v>1.8635787380168604E-12</v>
      </c>
      <c r="DS93" s="62">
        <f t="shared" si="71"/>
        <v>293.33333333333519</v>
      </c>
      <c r="DT93" s="62">
        <f ca="1">AVERAGE(OFFSET($DS$3,0,0,'Données projet'!$E$14+1,1))-AVERAGE(OFFSET($H$3,0,0,'Données projet'!$E$14+1,1))</f>
        <v>397.04445188588369</v>
      </c>
      <c r="DU93" s="62">
        <f t="shared" si="98"/>
        <v>350.01856672839466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1.5291837992446857</v>
      </c>
      <c r="EB93" s="23">
        <f>EXP(-LN(2)/25)*EB92+(1-EXP(-LN(2)/25))/(LN(2)/25)*Calculateur!DW93*Calculateur!DY93*VLOOKUP('Données projet'!$B$14,Paramètres!$A$1:$I$88,3,0)*0.475*44/12</f>
        <v>0</v>
      </c>
      <c r="EC93" s="23">
        <f>EXP(-LN(2)/2)*EC92+(1-EXP(-LN(2)/2))/(LN(2)/2)*DW93*DZ93*VLOOKUP('Données projet'!$B$14,Paramètres!$A$1:$I$88,3,0)*0.475*44/12</f>
        <v>1.5089937551433915E-8</v>
      </c>
      <c r="ED93" s="24">
        <f t="shared" si="72"/>
        <v>1.5291838143346232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-1.9895196601282805E-13</v>
      </c>
      <c r="EK93" s="18">
        <f>EJ93*VLOOKUP('Données projet'!$B$15,Paramètres!$A$1:$I$88,3,0)*VLOOKUP('Données projet'!$B$15,Paramètres!$A$1:$I$88,5,0)</f>
        <v>-1.738044375088066E-13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202.5548390231225</v>
      </c>
      <c r="EP93" s="62">
        <f t="shared" si="100"/>
        <v>184.62184077734179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projet'!$B$15,Paramètres!$A$1:$I$88,3,0)*0.475*44/12</f>
        <v>0</v>
      </c>
      <c r="EW93" s="23">
        <f>EXP(-LN(2)/25)*EW92+(1-EXP(-LN(2)/25))/(LN(2)/25)*Calculateur!ER93*Calculateur!ET93*VLOOKUP('Données projet'!$B$15,Paramètres!$A$1:$I$88,3,0)*0.475*44/12</f>
        <v>0</v>
      </c>
      <c r="EX93" s="23">
        <f>EXP(-LN(2)/2)*EX92+(1-EXP(-LN(2)/2))/(LN(2)/2)*ER93*EU93*VLOOKUP('Données projet'!$B$15,Paramètres!$A$1:$I$88,3,0)*0.475*44/12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5.2</v>
      </c>
      <c r="FE93" s="13">
        <f>IF('Données projet'!$A$218&gt;35,FE92+FD93-FM92,IF(A93&lt;'Données projet'!$A$218,$FB$205^A93,IF(A93='Données projet'!$A$218,'Données projet'!$B$218,FE92+FD93-FM92)))</f>
        <v>273.99999999999972</v>
      </c>
      <c r="FF93" s="18">
        <f>FE93*VLOOKUP('Données projet'!$B$16,Paramètres!$A$1:$I$88,3,0)*VLOOKUP('Données projet'!$B$16,Paramètres!$A$1:$I$88,5,0)</f>
        <v>265.01279999999974</v>
      </c>
      <c r="FG93" s="14">
        <f t="shared" si="101"/>
        <v>63.789713870852673</v>
      </c>
      <c r="FH93" s="22">
        <f t="shared" si="76"/>
        <v>572.6643783250679</v>
      </c>
      <c r="FI93" s="62">
        <f t="shared" si="77"/>
        <v>865.99771165840116</v>
      </c>
      <c r="FJ93" s="62">
        <f ca="1">AVERAGE(OFFSET($FI$3,0,0,'Données projet'!$E$16+1,1))-AVERAGE(OFFSET($H$3,0,0,'Données projet'!$E$16+1,1))</f>
        <v>456.96274622094955</v>
      </c>
      <c r="FK93" s="62">
        <f t="shared" si="102"/>
        <v>244.45149244446094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projet'!$B$16,Paramètres!$A$1:$I$88,3,0)*0.475*44/12</f>
        <v>0</v>
      </c>
      <c r="FR93" s="23">
        <f>EXP(-LN(2)/25)*FR92+(1-EXP(-LN(2)/25))/(LN(2)/25)*Calculateur!FM93*Calculateur!FO93*VLOOKUP('Données projet'!$B$16,Paramètres!$A$1:$I$88,3,0)*0.475*44/12</f>
        <v>0</v>
      </c>
      <c r="FS93" s="23">
        <f>EXP(-LN(2)/2)*FS92+(1-EXP(-LN(2)/2))/(LN(2)/2)*FM93*FP93*VLOOKUP('Données projet'!$B$16,Paramètres!$A$1:$I$88,3,0)*0.475*44/12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5.2</v>
      </c>
      <c r="FZ93" s="13">
        <f>IF('Données projet'!$A$244&gt;35,FZ92+FY93-GH92,IF(A93&lt;'Données projet'!$A$244,$FW$205^A93,IF(A93='Données projet'!$A$244,'Données projet'!$B$244,FZ92+FY93-GH92)))</f>
        <v>273.99999999999972</v>
      </c>
      <c r="GA93" s="18">
        <f>FZ93*VLOOKUP('Données projet'!$B$17,Paramètres!$A$1:$I$88,3,0)*VLOOKUP('Données projet'!$B$17,Paramètres!$A$1:$I$88,5,0)</f>
        <v>294.93359999999973</v>
      </c>
      <c r="GB93" s="14">
        <f t="shared" si="103"/>
        <v>70.113300882814812</v>
      </c>
      <c r="GC93" s="22">
        <f t="shared" si="79"/>
        <v>635.79001903756864</v>
      </c>
      <c r="GD93" s="62">
        <f t="shared" si="80"/>
        <v>929.12335237090201</v>
      </c>
      <c r="GE93" s="62">
        <f ca="1">AVERAGE(OFFSET($GD$3,0,0,'Données projet'!$E$17+1,1))-AVERAGE(OFFSET($H$3,0,0,'Données projet'!$E$17+1,1))</f>
        <v>503.69304261527651</v>
      </c>
      <c r="GF93" s="62">
        <f t="shared" si="104"/>
        <v>267.2998309535638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projet'!$B$17,Paramètres!$A$1:$I$88,3,0)*0.475*44/12</f>
        <v>0</v>
      </c>
      <c r="GM93" s="23">
        <f>EXP(-LN(2)/25)*GM92+(1-EXP(-LN(2)/25))/(LN(2)/25)*Calculateur!GH93*Calculateur!GJ93*VLOOKUP('Données projet'!$B$17,Paramètres!$A$1:$I$88,3,0)*0.475*44/12</f>
        <v>0</v>
      </c>
      <c r="GN93" s="23">
        <f>EXP(-LN(2)/2)*GN92+(1-EXP(-LN(2)/2))/(LN(2)/2)*GH93*GK93*VLOOKUP('Données projet'!$B$17,Paramètres!$A$1:$I$88,3,0)*0.475*44/12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6.3</v>
      </c>
      <c r="GU93" s="13">
        <f>IF('Données projet'!$A$270&gt;35,GU92+GT93-HC92,IF(A93&lt;'Données projet'!$A$270,$GR$205^A93,IF(A93='Données projet'!$A$270,'Données projet'!$B$270,GU92+GT93-HC92)))</f>
        <v>329.50000000000011</v>
      </c>
      <c r="GV93" s="18">
        <f>GU93*VLOOKUP('Données projet'!$B$18,Paramètres!$A$1:$I$88,3,0)*VLOOKUP('Données projet'!$B$18,Paramètres!$A$1:$I$88,5,0)</f>
        <v>344.39340000000016</v>
      </c>
      <c r="GW93" s="14">
        <f t="shared" si="105"/>
        <v>80.406971302217173</v>
      </c>
      <c r="GX93" s="22">
        <f t="shared" si="82"/>
        <v>739.86064668469533</v>
      </c>
      <c r="GY93" s="62">
        <f t="shared" si="83"/>
        <v>1033.1939800180287</v>
      </c>
      <c r="GZ93" s="62">
        <f ca="1">AVERAGE(OFFSET($GY$3,0,0,'Données projet'!$E$18+1,1))-AVERAGE(OFFSET($H$3,0,0,'Données projet'!$E$18+1,1))</f>
        <v>582.89879210197682</v>
      </c>
      <c r="HA93" s="62">
        <f t="shared" si="106"/>
        <v>314.72094983133326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projet'!$B$18,Paramètres!$A$1:$I$88,3,0)*0.475*44/12</f>
        <v>0</v>
      </c>
      <c r="HH93" s="23">
        <f>EXP(-LN(2)/25)*HH92+(1-EXP(-LN(2)/25))/(LN(2)/25)*Calculateur!HC93*Calculateur!HE93*VLOOKUP('Données projet'!$B$18,Paramètres!$A$1:$I$88,3,0)*0.475*44/12</f>
        <v>0</v>
      </c>
      <c r="HI93" s="23">
        <f>EXP(-LN(2)/2)*HI92+(1-EXP(-LN(2)/2))/(LN(2)/2)*HC93*HF93*VLOOKUP('Données projet'!$B$18,Paramètres!$A$1:$I$88,3,0)*0.475*44/12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15</v>
      </c>
      <c r="N94" s="14">
        <f>IF('Données projet'!$A$36&gt;35,N93+M94-V93,IF(A94&lt;'Données projet'!$A$36,$K$205^A94,IF(A94='Données projet'!$A$36,'Données projet'!$B$36,N93+M94-V93)))</f>
        <v>719.99999999999989</v>
      </c>
      <c r="O94" s="14">
        <f>N94*VLOOKUP('Données projet'!$B$9,Paramètres!$A$1:$I$88,3,0)*VLOOKUP('Données projet'!$B$9,Paramètres!$A$1:$I$88,5,0)</f>
        <v>336.95999999999992</v>
      </c>
      <c r="P94" s="14">
        <f t="shared" si="87"/>
        <v>78.871535242083567</v>
      </c>
      <c r="Q94" s="22">
        <f t="shared" si="54"/>
        <v>724.23992387996202</v>
      </c>
      <c r="R94" s="62">
        <f t="shared" si="55"/>
        <v>1017.5732572132954</v>
      </c>
      <c r="S94" s="62">
        <f ca="1">AVERAGE(OFFSET($R$3,0,0,'Données projet'!$E$9+1,1))-AVERAGE(OFFSET($H$3,0,0,'Données projet'!$E$9+1,1))</f>
        <v>399.92909819003523</v>
      </c>
      <c r="T94" s="62">
        <f t="shared" si="88"/>
        <v>163.7053537268381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6.3</v>
      </c>
      <c r="AI94" s="14">
        <f>IF('Données projet'!$A$62&gt;35,AI93+AH94-AQ93,IF(A94&lt;'Données projet'!$A$62,$AF$205^A94,IF(A94='Données projet'!$A$62,'Données projet'!$B$62,AI93+AH94-AQ93)))</f>
        <v>335.80000000000013</v>
      </c>
      <c r="AJ94" s="14">
        <f>AI94*VLOOKUP('Données projet'!$B$10,Paramètres!$A$1:$I$88,3,0)*VLOOKUP('Données projet'!$B$10,Paramètres!$A$1:$I$88,5,0)</f>
        <v>303.83184000000011</v>
      </c>
      <c r="AK94" s="14">
        <f t="shared" si="89"/>
        <v>71.979169986303972</v>
      </c>
      <c r="AL94" s="22">
        <f t="shared" si="58"/>
        <v>654.5375090594797</v>
      </c>
      <c r="AM94" s="62">
        <f t="shared" si="59"/>
        <v>947.87084239281307</v>
      </c>
      <c r="AN94" s="62">
        <f ca="1">AVERAGE(OFFSET($AM$3,0,0,'Données projet'!$E$10+1,1))-AVERAGE(OFFSET($H$3,0,0,'Données projet'!$E$10+1,1))</f>
        <v>510.56580450928806</v>
      </c>
      <c r="AO94" s="62">
        <f t="shared" si="90"/>
        <v>278.21741231699929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5.4</v>
      </c>
      <c r="BD94" s="13">
        <f>IF('Données projet'!$A$88&gt;35,BD93+BC94-BL93,IF(A94&lt;'Données projet'!$A$88,$BA$205^A94,IF(A94='Données projet'!$A$88,'Données projet'!$B$88,BD93+BC94-BL93)))</f>
        <v>343.39999999999964</v>
      </c>
      <c r="BE94" s="14">
        <f>BD94*VLOOKUP('Données projet'!$B$11,Paramètres!$A$1:$I$88,3,0)*VLOOKUP('Données projet'!$B$11,Paramètres!$A$1:$I$88,5,0)</f>
        <v>326.77943999999962</v>
      </c>
      <c r="BF94" s="14">
        <f t="shared" si="91"/>
        <v>76.762222282819494</v>
      </c>
      <c r="BG94" s="22">
        <f t="shared" si="61"/>
        <v>702.83506180924326</v>
      </c>
      <c r="BH94" s="62">
        <f t="shared" si="62"/>
        <v>996.16839514257663</v>
      </c>
      <c r="BI94" s="62">
        <f ca="1">AVERAGE(OFFSET($BH$3,0,0,'Données projet'!$E$11+1,1))-AVERAGE(OFFSET($H$3,0,0,'Données projet'!$E$11+1,1))</f>
        <v>525.51330555662139</v>
      </c>
      <c r="BJ94" s="62">
        <f t="shared" si="92"/>
        <v>357.72390083433635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1.7053025658242404E-13</v>
      </c>
      <c r="BZ94" s="14">
        <f>BY94*VLOOKUP('Données projet'!$B$12,Paramètres!$A$1:$I$88,3,0)*VLOOKUP('Données projet'!$B$12,Paramètres!$A$1:$I$88,5,0)</f>
        <v>1.0197709343628959E-13</v>
      </c>
      <c r="CA94" s="14">
        <f t="shared" si="93"/>
        <v>1.5284983994279675E-12</v>
      </c>
      <c r="CB94" s="22">
        <f t="shared" si="64"/>
        <v>2.839744816738581E-12</v>
      </c>
      <c r="CC94" s="62">
        <f t="shared" si="65"/>
        <v>293.33333333333616</v>
      </c>
      <c r="CD94" s="62">
        <f ca="1">AVERAGE(OFFSET($CC$3,0,0,'Données projet'!$E$12+1,1))-AVERAGE(OFFSET($H$3,0,0,'Données projet'!$E$12+1,1))</f>
        <v>227.46616726010473</v>
      </c>
      <c r="CE94" s="62">
        <f t="shared" si="94"/>
        <v>314.188568589113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35.950752520524887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9.154541547011176E-6</v>
      </c>
      <c r="CN94" s="24">
        <f t="shared" si="66"/>
        <v>35.950761675066431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projet'!$B$13,Paramètres!$A$1:$I$88,3,0)*VLOOKUP('Données projet'!$B$13,Paramètres!$A$1:$I$88,5,0)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356.46794174556311</v>
      </c>
      <c r="CZ94" s="62">
        <f t="shared" si="96"/>
        <v>248.47107558211923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0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projet'!$B$14,Paramètres!$A$1:$I$88,3,0)*VLOOKUP('Données projet'!$B$14,Paramètres!$A$1:$I$88,5,0)</f>
        <v>6.3550942286383367E-14</v>
      </c>
      <c r="DQ94" s="14">
        <f t="shared" si="97"/>
        <v>1.0064464192543978E-12</v>
      </c>
      <c r="DR94" s="22">
        <f t="shared" si="70"/>
        <v>1.8635787380168604E-12</v>
      </c>
      <c r="DS94" s="62">
        <f t="shared" si="71"/>
        <v>293.33333333333519</v>
      </c>
      <c r="DT94" s="62">
        <f ca="1">AVERAGE(OFFSET($DS$3,0,0,'Données projet'!$E$14+1,1))-AVERAGE(OFFSET($H$3,0,0,'Données projet'!$E$14+1,1))</f>
        <v>397.04445188588369</v>
      </c>
      <c r="DU94" s="62">
        <f t="shared" si="98"/>
        <v>350.01856672839466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1.4991974376515176</v>
      </c>
      <c r="EB94" s="23">
        <f>EXP(-LN(2)/25)*EB93+(1-EXP(-LN(2)/25))/(LN(2)/25)*Calculateur!DW94*Calculateur!DY94*VLOOKUP('Données projet'!$B$14,Paramètres!$A$1:$I$88,3,0)*0.475*44/12</f>
        <v>0</v>
      </c>
      <c r="EC94" s="23">
        <f>EXP(-LN(2)/2)*EC93+(1-EXP(-LN(2)/2))/(LN(2)/2)*DW94*DZ94*VLOOKUP('Données projet'!$B$14,Paramètres!$A$1:$I$88,3,0)*0.475*44/12</f>
        <v>1.0670197170300448E-8</v>
      </c>
      <c r="ED94" s="24">
        <f t="shared" si="72"/>
        <v>1.4991974483217148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-1.9895196601282805E-13</v>
      </c>
      <c r="EK94" s="18">
        <f>EJ94*VLOOKUP('Données projet'!$B$15,Paramètres!$A$1:$I$88,3,0)*VLOOKUP('Données projet'!$B$15,Paramètres!$A$1:$I$88,5,0)</f>
        <v>-1.738044375088066E-13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202.5548390231225</v>
      </c>
      <c r="EP94" s="62">
        <f t="shared" si="100"/>
        <v>184.62184077734179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projet'!$B$15,Paramètres!$A$1:$I$88,3,0)*0.475*44/12</f>
        <v>0</v>
      </c>
      <c r="EW94" s="23">
        <f>EXP(-LN(2)/25)*EW93+(1-EXP(-LN(2)/25))/(LN(2)/25)*Calculateur!ER94*Calculateur!ET94*VLOOKUP('Données projet'!$B$15,Paramètres!$A$1:$I$88,3,0)*0.475*44/12</f>
        <v>0</v>
      </c>
      <c r="EX94" s="23">
        <f>EXP(-LN(2)/2)*EX93+(1-EXP(-LN(2)/2))/(LN(2)/2)*ER94*EU94*VLOOKUP('Données projet'!$B$15,Paramètres!$A$1:$I$88,3,0)*0.475*44/12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5.2</v>
      </c>
      <c r="FE94" s="13">
        <f>IF('Données projet'!$A$218&gt;35,FE93+FD94-FM93,IF(A94&lt;'Données projet'!$A$218,$FB$205^A94,IF(A94='Données projet'!$A$218,'Données projet'!$B$218,FE93+FD94-FM93)))</f>
        <v>279.1999999999997</v>
      </c>
      <c r="FF94" s="18">
        <f>FE94*VLOOKUP('Données projet'!$B$16,Paramètres!$A$1:$I$88,3,0)*VLOOKUP('Données projet'!$B$16,Paramètres!$A$1:$I$88,5,0)</f>
        <v>270.04223999999971</v>
      </c>
      <c r="FG94" s="14">
        <f t="shared" si="101"/>
        <v>64.858233600288088</v>
      </c>
      <c r="FH94" s="22">
        <f t="shared" si="76"/>
        <v>583.28499152050119</v>
      </c>
      <c r="FI94" s="62">
        <f t="shared" si="77"/>
        <v>876.61832485383457</v>
      </c>
      <c r="FJ94" s="62">
        <f ca="1">AVERAGE(OFFSET($FI$3,0,0,'Données projet'!$E$16+1,1))-AVERAGE(OFFSET($H$3,0,0,'Données projet'!$E$16+1,1))</f>
        <v>456.96274622094955</v>
      </c>
      <c r="FK94" s="62">
        <f t="shared" si="102"/>
        <v>244.45149244446094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projet'!$B$16,Paramètres!$A$1:$I$88,3,0)*0.475*44/12</f>
        <v>0</v>
      </c>
      <c r="FR94" s="23">
        <f>EXP(-LN(2)/25)*FR93+(1-EXP(-LN(2)/25))/(LN(2)/25)*Calculateur!FM94*Calculateur!FO94*VLOOKUP('Données projet'!$B$16,Paramètres!$A$1:$I$88,3,0)*0.475*44/12</f>
        <v>0</v>
      </c>
      <c r="FS94" s="23">
        <f>EXP(-LN(2)/2)*FS93+(1-EXP(-LN(2)/2))/(LN(2)/2)*FM94*FP94*VLOOKUP('Données projet'!$B$16,Paramètres!$A$1:$I$88,3,0)*0.475*44/12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5.2</v>
      </c>
      <c r="FZ94" s="13">
        <f>IF('Données projet'!$A$244&gt;35,FZ93+FY94-GH93,IF(A94&lt;'Données projet'!$A$244,$FW$205^A94,IF(A94='Données projet'!$A$244,'Données projet'!$B$244,FZ93+FY94-GH93)))</f>
        <v>279.1999999999997</v>
      </c>
      <c r="GA94" s="18">
        <f>FZ94*VLOOKUP('Données projet'!$B$17,Paramètres!$A$1:$I$88,3,0)*VLOOKUP('Données projet'!$B$17,Paramètres!$A$1:$I$88,5,0)</f>
        <v>300.53087999999963</v>
      </c>
      <c r="GB94" s="14">
        <f t="shared" si="103"/>
        <v>71.287744860425335</v>
      </c>
      <c r="GC94" s="22">
        <f t="shared" si="79"/>
        <v>647.58410496524004</v>
      </c>
      <c r="GD94" s="62">
        <f t="shared" si="80"/>
        <v>940.91743829857342</v>
      </c>
      <c r="GE94" s="62">
        <f ca="1">AVERAGE(OFFSET($GD$3,0,0,'Données projet'!$E$17+1,1))-AVERAGE(OFFSET($H$3,0,0,'Données projet'!$E$17+1,1))</f>
        <v>503.69304261527651</v>
      </c>
      <c r="GF94" s="62">
        <f t="shared" si="104"/>
        <v>267.2998309535638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projet'!$B$17,Paramètres!$A$1:$I$88,3,0)*0.475*44/12</f>
        <v>0</v>
      </c>
      <c r="GM94" s="23">
        <f>EXP(-LN(2)/25)*GM93+(1-EXP(-LN(2)/25))/(LN(2)/25)*Calculateur!GH94*Calculateur!GJ94*VLOOKUP('Données projet'!$B$17,Paramètres!$A$1:$I$88,3,0)*0.475*44/12</f>
        <v>0</v>
      </c>
      <c r="GN94" s="23">
        <f>EXP(-LN(2)/2)*GN93+(1-EXP(-LN(2)/2))/(LN(2)/2)*GH94*GK94*VLOOKUP('Données projet'!$B$17,Paramètres!$A$1:$I$88,3,0)*0.475*44/12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6.3</v>
      </c>
      <c r="GU94" s="13">
        <f>IF('Données projet'!$A$270&gt;35,GU93+GT94-HC93,IF(A94&lt;'Données projet'!$A$270,$GR$205^A94,IF(A94='Données projet'!$A$270,'Données projet'!$B$270,GU93+GT94-HC93)))</f>
        <v>335.80000000000013</v>
      </c>
      <c r="GV94" s="18">
        <f>GU94*VLOOKUP('Données projet'!$B$18,Paramètres!$A$1:$I$88,3,0)*VLOOKUP('Données projet'!$B$18,Paramètres!$A$1:$I$88,5,0)</f>
        <v>350.97816000000017</v>
      </c>
      <c r="GW94" s="14">
        <f t="shared" si="105"/>
        <v>81.763891814084602</v>
      </c>
      <c r="GX94" s="22">
        <f t="shared" si="82"/>
        <v>753.69240690953086</v>
      </c>
      <c r="GY94" s="62">
        <f t="shared" si="83"/>
        <v>1047.0257402428642</v>
      </c>
      <c r="GZ94" s="62">
        <f ca="1">AVERAGE(OFFSET($GY$3,0,0,'Données projet'!$E$18+1,1))-AVERAGE(OFFSET($H$3,0,0,'Données projet'!$E$18+1,1))</f>
        <v>582.89879210197682</v>
      </c>
      <c r="HA94" s="62">
        <f t="shared" si="106"/>
        <v>314.72094983133326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projet'!$B$18,Paramètres!$A$1:$I$88,3,0)*0.475*44/12</f>
        <v>0</v>
      </c>
      <c r="HH94" s="23">
        <f>EXP(-LN(2)/25)*HH93+(1-EXP(-LN(2)/25))/(LN(2)/25)*Calculateur!HC94*Calculateur!HE94*VLOOKUP('Données projet'!$B$18,Paramètres!$A$1:$I$88,3,0)*0.475*44/12</f>
        <v>0</v>
      </c>
      <c r="HI94" s="23">
        <f>EXP(-LN(2)/2)*HI93+(1-EXP(-LN(2)/2))/(LN(2)/2)*HC94*HF94*VLOOKUP('Données projet'!$B$18,Paramètres!$A$1:$I$88,3,0)*0.475*44/12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15</v>
      </c>
      <c r="N95" s="14">
        <f>IF('Données projet'!$A$36&gt;35,N94+M95-V94,IF(A95&lt;'Données projet'!$A$36,$K$205^A95,IF(A95='Données projet'!$A$36,'Données projet'!$B$36,N94+M95-V94)))</f>
        <v>734.99999999999989</v>
      </c>
      <c r="O95" s="14">
        <f>N95*VLOOKUP('Données projet'!$B$9,Paramètres!$A$1:$I$88,3,0)*VLOOKUP('Données projet'!$B$9,Paramètres!$A$1:$I$88,5,0)</f>
        <v>343.97999999999996</v>
      </c>
      <c r="P95" s="14">
        <f t="shared" si="87"/>
        <v>80.321681832084693</v>
      </c>
      <c r="Q95" s="22">
        <f t="shared" si="54"/>
        <v>738.9920958575475</v>
      </c>
      <c r="R95" s="62">
        <f t="shared" si="55"/>
        <v>1032.3254291908809</v>
      </c>
      <c r="S95" s="62">
        <f ca="1">AVERAGE(OFFSET($R$3,0,0,'Données projet'!$E$9+1,1))-AVERAGE(OFFSET($H$3,0,0,'Données projet'!$E$9+1,1))</f>
        <v>399.92909819003523</v>
      </c>
      <c r="T95" s="62">
        <f t="shared" si="88"/>
        <v>163.7053537268381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6.3</v>
      </c>
      <c r="AI95" s="14">
        <f>IF('Données projet'!$A$62&gt;35,AI94+AH95-AQ94,IF(A95&lt;'Données projet'!$A$62,$AF$205^A95,IF(A95='Données projet'!$A$62,'Données projet'!$B$62,AI94+AH95-AQ94)))</f>
        <v>342.10000000000014</v>
      </c>
      <c r="AJ95" s="14">
        <f>AI95*VLOOKUP('Données projet'!$B$10,Paramètres!$A$1:$I$88,3,0)*VLOOKUP('Données projet'!$B$10,Paramètres!$A$1:$I$88,5,0)</f>
        <v>309.53208000000012</v>
      </c>
      <c r="AK95" s="14">
        <f t="shared" si="89"/>
        <v>73.171101262671257</v>
      </c>
      <c r="AL95" s="22">
        <f t="shared" si="58"/>
        <v>666.54137403248592</v>
      </c>
      <c r="AM95" s="62">
        <f t="shared" si="59"/>
        <v>959.87470736581918</v>
      </c>
      <c r="AN95" s="62">
        <f ca="1">AVERAGE(OFFSET($AM$3,0,0,'Données projet'!$E$10+1,1))-AVERAGE(OFFSET($H$3,0,0,'Données projet'!$E$10+1,1))</f>
        <v>510.56580450928806</v>
      </c>
      <c r="AO95" s="62">
        <f t="shared" si="90"/>
        <v>278.21741231699929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5.4</v>
      </c>
      <c r="BD95" s="13">
        <f>IF('Données projet'!$A$88&gt;35,BD94+BC95-BL94,IF(A95&lt;'Données projet'!$A$88,$BA$205^A95,IF(A95='Données projet'!$A$88,'Données projet'!$B$88,BD94+BC95-BL94)))</f>
        <v>348.79999999999961</v>
      </c>
      <c r="BE95" s="14">
        <f>BD95*VLOOKUP('Données projet'!$B$11,Paramètres!$A$1:$I$88,3,0)*VLOOKUP('Données projet'!$B$11,Paramètres!$A$1:$I$88,5,0)</f>
        <v>331.91807999999963</v>
      </c>
      <c r="BF95" s="14">
        <f t="shared" si="91"/>
        <v>77.827839860020077</v>
      </c>
      <c r="BG95" s="22">
        <f t="shared" si="61"/>
        <v>713.64081042286762</v>
      </c>
      <c r="BH95" s="62">
        <f t="shared" si="62"/>
        <v>1006.9741437562009</v>
      </c>
      <c r="BI95" s="62">
        <f ca="1">AVERAGE(OFFSET($BH$3,0,0,'Données projet'!$E$11+1,1))-AVERAGE(OFFSET($H$3,0,0,'Données projet'!$E$11+1,1))</f>
        <v>525.51330555662139</v>
      </c>
      <c r="BJ95" s="62">
        <f t="shared" si="92"/>
        <v>357.72390083433635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1.7053025658242404E-13</v>
      </c>
      <c r="BZ95" s="14">
        <f>BY95*VLOOKUP('Données projet'!$B$12,Paramètres!$A$1:$I$88,3,0)*VLOOKUP('Données projet'!$B$12,Paramètres!$A$1:$I$88,5,0)</f>
        <v>1.0197709343628959E-13</v>
      </c>
      <c r="CA95" s="14">
        <f t="shared" si="93"/>
        <v>1.5284983994279675E-12</v>
      </c>
      <c r="CB95" s="22">
        <f t="shared" si="64"/>
        <v>2.839744816738581E-12</v>
      </c>
      <c r="CC95" s="62">
        <f t="shared" si="65"/>
        <v>293.33333333333616</v>
      </c>
      <c r="CD95" s="62">
        <f ca="1">AVERAGE(OFFSET($CC$3,0,0,'Données projet'!$E$12+1,1))-AVERAGE(OFFSET($H$3,0,0,'Données projet'!$E$12+1,1))</f>
        <v>227.46616726010473</v>
      </c>
      <c r="CE95" s="62">
        <f t="shared" si="94"/>
        <v>314.188568589113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35.245780191391241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6.4732384065455899E-6</v>
      </c>
      <c r="CN95" s="24">
        <f t="shared" si="66"/>
        <v>35.245786664629648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projet'!$B$13,Paramètres!$A$1:$I$88,3,0)*VLOOKUP('Données projet'!$B$13,Paramètres!$A$1:$I$88,5,0)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356.46794174556311</v>
      </c>
      <c r="CZ95" s="62">
        <f t="shared" si="96"/>
        <v>248.47107558211923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0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projet'!$B$14,Paramètres!$A$1:$I$88,3,0)*VLOOKUP('Données projet'!$B$14,Paramètres!$A$1:$I$88,5,0)</f>
        <v>6.3550942286383367E-14</v>
      </c>
      <c r="DQ95" s="14">
        <f t="shared" si="97"/>
        <v>1.0064464192543978E-12</v>
      </c>
      <c r="DR95" s="22">
        <f t="shared" si="70"/>
        <v>1.8635787380168604E-12</v>
      </c>
      <c r="DS95" s="62">
        <f t="shared" si="71"/>
        <v>293.33333333333519</v>
      </c>
      <c r="DT95" s="62">
        <f ca="1">AVERAGE(OFFSET($DS$3,0,0,'Données projet'!$E$14+1,1))-AVERAGE(OFFSET($H$3,0,0,'Données projet'!$E$14+1,1))</f>
        <v>397.04445188588369</v>
      </c>
      <c r="DU95" s="62">
        <f t="shared" si="98"/>
        <v>350.01856672839466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1.4697990903193168</v>
      </c>
      <c r="EB95" s="23">
        <f>EXP(-LN(2)/25)*EB94+(1-EXP(-LN(2)/25))/(LN(2)/25)*Calculateur!DW95*Calculateur!DY95*VLOOKUP('Données projet'!$B$14,Paramètres!$A$1:$I$88,3,0)*0.475*44/12</f>
        <v>0</v>
      </c>
      <c r="EC95" s="23">
        <f>EXP(-LN(2)/2)*EC94+(1-EXP(-LN(2)/2))/(LN(2)/2)*DW95*DZ95*VLOOKUP('Données projet'!$B$14,Paramètres!$A$1:$I$88,3,0)*0.475*44/12</f>
        <v>7.5449687757169574E-9</v>
      </c>
      <c r="ED95" s="24">
        <f t="shared" si="72"/>
        <v>1.4697990978642856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-1.9895196601282805E-13</v>
      </c>
      <c r="EK95" s="18">
        <f>EJ95*VLOOKUP('Données projet'!$B$15,Paramètres!$A$1:$I$88,3,0)*VLOOKUP('Données projet'!$B$15,Paramètres!$A$1:$I$88,5,0)</f>
        <v>-1.738044375088066E-13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202.5548390231225</v>
      </c>
      <c r="EP95" s="62">
        <f t="shared" si="100"/>
        <v>184.62184077734179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projet'!$B$15,Paramètres!$A$1:$I$88,3,0)*0.475*44/12</f>
        <v>0</v>
      </c>
      <c r="EW95" s="23">
        <f>EXP(-LN(2)/25)*EW94+(1-EXP(-LN(2)/25))/(LN(2)/25)*Calculateur!ER95*Calculateur!ET95*VLOOKUP('Données projet'!$B$15,Paramètres!$A$1:$I$88,3,0)*0.475*44/12</f>
        <v>0</v>
      </c>
      <c r="EX95" s="23">
        <f>EXP(-LN(2)/2)*EX94+(1-EXP(-LN(2)/2))/(LN(2)/2)*ER95*EU95*VLOOKUP('Données projet'!$B$15,Paramètres!$A$1:$I$88,3,0)*0.475*44/12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5.2</v>
      </c>
      <c r="FE95" s="13">
        <f>IF('Données projet'!$A$218&gt;35,FE94+FD95-FM94,IF(A95&lt;'Données projet'!$A$218,$FB$205^A95,IF(A95='Données projet'!$A$218,'Données projet'!$B$218,FE94+FD95-FM94)))</f>
        <v>284.39999999999969</v>
      </c>
      <c r="FF95" s="18">
        <f>FE95*VLOOKUP('Données projet'!$B$16,Paramètres!$A$1:$I$88,3,0)*VLOOKUP('Données projet'!$B$16,Paramètres!$A$1:$I$88,5,0)</f>
        <v>275.07167999999973</v>
      </c>
      <c r="FG95" s="14">
        <f t="shared" si="101"/>
        <v>65.924439244609644</v>
      </c>
      <c r="FH95" s="22">
        <f t="shared" si="76"/>
        <v>593.90157435102799</v>
      </c>
      <c r="FI95" s="62">
        <f t="shared" si="77"/>
        <v>887.23490768436136</v>
      </c>
      <c r="FJ95" s="62">
        <f ca="1">AVERAGE(OFFSET($FI$3,0,0,'Données projet'!$E$16+1,1))-AVERAGE(OFFSET($H$3,0,0,'Données projet'!$E$16+1,1))</f>
        <v>456.96274622094955</v>
      </c>
      <c r="FK95" s="62">
        <f t="shared" si="102"/>
        <v>244.45149244446094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projet'!$B$16,Paramètres!$A$1:$I$88,3,0)*0.475*44/12</f>
        <v>0</v>
      </c>
      <c r="FR95" s="23">
        <f>EXP(-LN(2)/25)*FR94+(1-EXP(-LN(2)/25))/(LN(2)/25)*Calculateur!FM95*Calculateur!FO95*VLOOKUP('Données projet'!$B$16,Paramètres!$A$1:$I$88,3,0)*0.475*44/12</f>
        <v>0</v>
      </c>
      <c r="FS95" s="23">
        <f>EXP(-LN(2)/2)*FS94+(1-EXP(-LN(2)/2))/(LN(2)/2)*FM95*FP95*VLOOKUP('Données projet'!$B$16,Paramètres!$A$1:$I$88,3,0)*0.475*44/12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5.2</v>
      </c>
      <c r="FZ95" s="13">
        <f>IF('Données projet'!$A$244&gt;35,FZ94+FY95-GH94,IF(A95&lt;'Données projet'!$A$244,$FW$205^A95,IF(A95='Données projet'!$A$244,'Données projet'!$B$244,FZ94+FY95-GH94)))</f>
        <v>284.39999999999969</v>
      </c>
      <c r="GA95" s="18">
        <f>FZ95*VLOOKUP('Données projet'!$B$17,Paramètres!$A$1:$I$88,3,0)*VLOOKUP('Données projet'!$B$17,Paramètres!$A$1:$I$88,5,0)</f>
        <v>306.12815999999964</v>
      </c>
      <c r="GB95" s="14">
        <f t="shared" si="103"/>
        <v>72.459645353577386</v>
      </c>
      <c r="GC95" s="22">
        <f t="shared" si="79"/>
        <v>659.37376099081337</v>
      </c>
      <c r="GD95" s="62">
        <f t="shared" si="80"/>
        <v>952.70709432414674</v>
      </c>
      <c r="GE95" s="62">
        <f ca="1">AVERAGE(OFFSET($GD$3,0,0,'Données projet'!$E$17+1,1))-AVERAGE(OFFSET($H$3,0,0,'Données projet'!$E$17+1,1))</f>
        <v>503.69304261527651</v>
      </c>
      <c r="GF95" s="62">
        <f t="shared" si="104"/>
        <v>267.2998309535638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projet'!$B$17,Paramètres!$A$1:$I$88,3,0)*0.475*44/12</f>
        <v>0</v>
      </c>
      <c r="GM95" s="23">
        <f>EXP(-LN(2)/25)*GM94+(1-EXP(-LN(2)/25))/(LN(2)/25)*Calculateur!GH95*Calculateur!GJ95*VLOOKUP('Données projet'!$B$17,Paramètres!$A$1:$I$88,3,0)*0.475*44/12</f>
        <v>0</v>
      </c>
      <c r="GN95" s="23">
        <f>EXP(-LN(2)/2)*GN94+(1-EXP(-LN(2)/2))/(LN(2)/2)*GH95*GK95*VLOOKUP('Données projet'!$B$17,Paramètres!$A$1:$I$88,3,0)*0.475*44/12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6.3</v>
      </c>
      <c r="GU95" s="13">
        <f>IF('Données projet'!$A$270&gt;35,GU94+GT95-HC94,IF(A95&lt;'Données projet'!$A$270,$GR$205^A95,IF(A95='Données projet'!$A$270,'Données projet'!$B$270,GU94+GT95-HC94)))</f>
        <v>342.10000000000014</v>
      </c>
      <c r="GV95" s="18">
        <f>GU95*VLOOKUP('Données projet'!$B$18,Paramètres!$A$1:$I$88,3,0)*VLOOKUP('Données projet'!$B$18,Paramètres!$A$1:$I$88,5,0)</f>
        <v>357.56292000000019</v>
      </c>
      <c r="GW95" s="14">
        <f t="shared" si="105"/>
        <v>83.117852132733205</v>
      </c>
      <c r="GX95" s="22">
        <f t="shared" si="82"/>
        <v>767.51901146451064</v>
      </c>
      <c r="GY95" s="62">
        <f t="shared" si="83"/>
        <v>1060.8523447978439</v>
      </c>
      <c r="GZ95" s="62">
        <f ca="1">AVERAGE(OFFSET($GY$3,0,0,'Données projet'!$E$18+1,1))-AVERAGE(OFFSET($H$3,0,0,'Données projet'!$E$18+1,1))</f>
        <v>582.89879210197682</v>
      </c>
      <c r="HA95" s="62">
        <f t="shared" si="106"/>
        <v>314.72094983133326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projet'!$B$18,Paramètres!$A$1:$I$88,3,0)*0.475*44/12</f>
        <v>0</v>
      </c>
      <c r="HH95" s="23">
        <f>EXP(-LN(2)/25)*HH94+(1-EXP(-LN(2)/25))/(LN(2)/25)*Calculateur!HC95*Calculateur!HE95*VLOOKUP('Données projet'!$B$18,Paramètres!$A$1:$I$88,3,0)*0.475*44/12</f>
        <v>0</v>
      </c>
      <c r="HI95" s="23">
        <f>EXP(-LN(2)/2)*HI94+(1-EXP(-LN(2)/2))/(LN(2)/2)*HC95*HF95*VLOOKUP('Données projet'!$B$18,Paramètres!$A$1:$I$88,3,0)*0.475*44/12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15</v>
      </c>
      <c r="N96" s="14">
        <f>IF('Données projet'!$A$36&gt;35,N95+M96-V95,IF(A96&lt;'Données projet'!$A$36,$K$205^A96,IF(A96='Données projet'!$A$36,'Données projet'!$B$36,N95+M96-V95)))</f>
        <v>749.99999999999989</v>
      </c>
      <c r="O96" s="14">
        <f>N96*VLOOKUP('Données projet'!$B$9,Paramètres!$A$1:$I$88,3,0)*VLOOKUP('Données projet'!$B$9,Paramètres!$A$1:$I$88,5,0)</f>
        <v>350.99999999999994</v>
      </c>
      <c r="P96" s="14">
        <f t="shared" si="87"/>
        <v>81.768387419963787</v>
      </c>
      <c r="Q96" s="22">
        <f t="shared" si="54"/>
        <v>753.73827475643691</v>
      </c>
      <c r="R96" s="62">
        <f t="shared" si="55"/>
        <v>1047.0716080897703</v>
      </c>
      <c r="S96" s="62">
        <f ca="1">AVERAGE(OFFSET($R$3,0,0,'Données projet'!$E$9+1,1))-AVERAGE(OFFSET($H$3,0,0,'Données projet'!$E$9+1,1))</f>
        <v>399.92909819003523</v>
      </c>
      <c r="T96" s="62">
        <f t="shared" si="88"/>
        <v>163.7053537268381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6.3</v>
      </c>
      <c r="AI96" s="14">
        <f>IF('Données projet'!$A$62&gt;35,AI95+AH96-AQ95,IF(A96&lt;'Données projet'!$A$62,$AF$205^A96,IF(A96='Données projet'!$A$62,'Données projet'!$B$62,AI95+AH96-AQ95)))</f>
        <v>348.40000000000015</v>
      </c>
      <c r="AJ96" s="14">
        <f>AI96*VLOOKUP('Données projet'!$B$10,Paramètres!$A$1:$I$88,3,0)*VLOOKUP('Données projet'!$B$10,Paramètres!$A$1:$I$88,5,0)</f>
        <v>315.23232000000013</v>
      </c>
      <c r="AK96" s="14">
        <f t="shared" si="89"/>
        <v>74.360480118488482</v>
      </c>
      <c r="AL96" s="22">
        <f t="shared" si="58"/>
        <v>678.54079353970099</v>
      </c>
      <c r="AM96" s="62">
        <f t="shared" si="59"/>
        <v>971.87412687303436</v>
      </c>
      <c r="AN96" s="62">
        <f ca="1">AVERAGE(OFFSET($AM$3,0,0,'Données projet'!$E$10+1,1))-AVERAGE(OFFSET($H$3,0,0,'Données projet'!$E$10+1,1))</f>
        <v>510.56580450928806</v>
      </c>
      <c r="AO96" s="62">
        <f t="shared" si="90"/>
        <v>278.21741231699929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5.4</v>
      </c>
      <c r="BD96" s="13">
        <f>IF('Données projet'!$A$88&gt;35,BD95+BC96-BL95,IF(A96&lt;'Données projet'!$A$88,$BA$205^A96,IF(A96='Données projet'!$A$88,'Données projet'!$B$88,BD95+BC96-BL95)))</f>
        <v>354.19999999999959</v>
      </c>
      <c r="BE96" s="14">
        <f>BD96*VLOOKUP('Données projet'!$B$11,Paramètres!$A$1:$I$88,3,0)*VLOOKUP('Données projet'!$B$11,Paramètres!$A$1:$I$88,5,0)</f>
        <v>337.05671999999964</v>
      </c>
      <c r="BF96" s="14">
        <f t="shared" si="91"/>
        <v>78.891538774098493</v>
      </c>
      <c r="BG96" s="22">
        <f t="shared" si="61"/>
        <v>724.44321736488746</v>
      </c>
      <c r="BH96" s="62">
        <f t="shared" si="62"/>
        <v>1017.7765506982207</v>
      </c>
      <c r="BI96" s="62">
        <f ca="1">AVERAGE(OFFSET($BH$3,0,0,'Données projet'!$E$11+1,1))-AVERAGE(OFFSET($H$3,0,0,'Données projet'!$E$11+1,1))</f>
        <v>525.51330555662139</v>
      </c>
      <c r="BJ96" s="62">
        <f t="shared" si="92"/>
        <v>357.72390083433635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1.7053025658242404E-13</v>
      </c>
      <c r="BZ96" s="14">
        <f>BY96*VLOOKUP('Données projet'!$B$12,Paramètres!$A$1:$I$88,3,0)*VLOOKUP('Données projet'!$B$12,Paramètres!$A$1:$I$88,5,0)</f>
        <v>1.0197709343628959E-13</v>
      </c>
      <c r="CA96" s="14">
        <f t="shared" si="93"/>
        <v>1.5284983994279675E-12</v>
      </c>
      <c r="CB96" s="22">
        <f t="shared" si="64"/>
        <v>2.839744816738581E-12</v>
      </c>
      <c r="CC96" s="62">
        <f t="shared" si="65"/>
        <v>293.33333333333616</v>
      </c>
      <c r="CD96" s="62">
        <f ca="1">AVERAGE(OFFSET($CC$3,0,0,'Données projet'!$E$12+1,1))-AVERAGE(OFFSET($H$3,0,0,'Données projet'!$E$12+1,1))</f>
        <v>227.46616726010473</v>
      </c>
      <c r="CE96" s="62">
        <f t="shared" si="94"/>
        <v>314.188568589113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34.55463193964124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4.577270773505588E-6</v>
      </c>
      <c r="CN96" s="24">
        <f t="shared" si="66"/>
        <v>34.554636516912012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projet'!$B$13,Paramètres!$A$1:$I$88,3,0)*VLOOKUP('Données projet'!$B$13,Paramètres!$A$1:$I$88,5,0)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356.46794174556311</v>
      </c>
      <c r="CZ96" s="62">
        <f t="shared" si="96"/>
        <v>248.47107558211923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0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projet'!$B$14,Paramètres!$A$1:$I$88,3,0)*VLOOKUP('Données projet'!$B$14,Paramètres!$A$1:$I$88,5,0)</f>
        <v>6.3550942286383367E-14</v>
      </c>
      <c r="DQ96" s="14">
        <f t="shared" si="97"/>
        <v>1.0064464192543978E-12</v>
      </c>
      <c r="DR96" s="22">
        <f t="shared" si="70"/>
        <v>1.8635787380168604E-12</v>
      </c>
      <c r="DS96" s="62">
        <f t="shared" si="71"/>
        <v>293.33333333333519</v>
      </c>
      <c r="DT96" s="62">
        <f ca="1">AVERAGE(OFFSET($DS$3,0,0,'Données projet'!$E$14+1,1))-AVERAGE(OFFSET($H$3,0,0,'Données projet'!$E$14+1,1))</f>
        <v>397.04445188588369</v>
      </c>
      <c r="DU96" s="62">
        <f t="shared" si="98"/>
        <v>350.01856672839466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1.4409772266470791</v>
      </c>
      <c r="EB96" s="23">
        <f>EXP(-LN(2)/25)*EB95+(1-EXP(-LN(2)/25))/(LN(2)/25)*Calculateur!DW96*Calculateur!DY96*VLOOKUP('Données projet'!$B$14,Paramètres!$A$1:$I$88,3,0)*0.475*44/12</f>
        <v>0</v>
      </c>
      <c r="EC96" s="23">
        <f>EXP(-LN(2)/2)*EC95+(1-EXP(-LN(2)/2))/(LN(2)/2)*DW96*DZ96*VLOOKUP('Données projet'!$B$14,Paramètres!$A$1:$I$88,3,0)*0.475*44/12</f>
        <v>5.335098585150224E-9</v>
      </c>
      <c r="ED96" s="24">
        <f t="shared" si="72"/>
        <v>1.4409772319821776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-1.9895196601282805E-13</v>
      </c>
      <c r="EK96" s="18">
        <f>EJ96*VLOOKUP('Données projet'!$B$15,Paramètres!$A$1:$I$88,3,0)*VLOOKUP('Données projet'!$B$15,Paramètres!$A$1:$I$88,5,0)</f>
        <v>-1.738044375088066E-13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202.5548390231225</v>
      </c>
      <c r="EP96" s="62">
        <f t="shared" si="100"/>
        <v>184.62184077734179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projet'!$B$15,Paramètres!$A$1:$I$88,3,0)*0.475*44/12</f>
        <v>0</v>
      </c>
      <c r="EW96" s="23">
        <f>EXP(-LN(2)/25)*EW95+(1-EXP(-LN(2)/25))/(LN(2)/25)*Calculateur!ER96*Calculateur!ET96*VLOOKUP('Données projet'!$B$15,Paramètres!$A$1:$I$88,3,0)*0.475*44/12</f>
        <v>0</v>
      </c>
      <c r="EX96" s="23">
        <f>EXP(-LN(2)/2)*EX95+(1-EXP(-LN(2)/2))/(LN(2)/2)*ER96*EU96*VLOOKUP('Données projet'!$B$15,Paramètres!$A$1:$I$88,3,0)*0.475*44/12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5.2</v>
      </c>
      <c r="FE96" s="13">
        <f>IF('Données projet'!$A$218&gt;35,FE95+FD96-FM95,IF(A96&lt;'Données projet'!$A$218,$FB$205^A96,IF(A96='Données projet'!$A$218,'Données projet'!$B$218,FE95+FD96-FM95)))</f>
        <v>289.59999999999968</v>
      </c>
      <c r="FF96" s="18">
        <f>FE96*VLOOKUP('Données projet'!$B$16,Paramètres!$A$1:$I$88,3,0)*VLOOKUP('Données projet'!$B$16,Paramètres!$A$1:$I$88,5,0)</f>
        <v>280.1011199999997</v>
      </c>
      <c r="FG96" s="14">
        <f t="shared" si="101"/>
        <v>66.988377994867761</v>
      </c>
      <c r="FH96" s="22">
        <f t="shared" si="76"/>
        <v>604.51420900772746</v>
      </c>
      <c r="FI96" s="62">
        <f t="shared" si="77"/>
        <v>897.84754234106072</v>
      </c>
      <c r="FJ96" s="62">
        <f ca="1">AVERAGE(OFFSET($FI$3,0,0,'Données projet'!$E$16+1,1))-AVERAGE(OFFSET($H$3,0,0,'Données projet'!$E$16+1,1))</f>
        <v>456.96274622094955</v>
      </c>
      <c r="FK96" s="62">
        <f t="shared" si="102"/>
        <v>244.45149244446094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projet'!$B$16,Paramètres!$A$1:$I$88,3,0)*0.475*44/12</f>
        <v>0</v>
      </c>
      <c r="FR96" s="23">
        <f>EXP(-LN(2)/25)*FR95+(1-EXP(-LN(2)/25))/(LN(2)/25)*Calculateur!FM96*Calculateur!FO96*VLOOKUP('Données projet'!$B$16,Paramètres!$A$1:$I$88,3,0)*0.475*44/12</f>
        <v>0</v>
      </c>
      <c r="FS96" s="23">
        <f>EXP(-LN(2)/2)*FS95+(1-EXP(-LN(2)/2))/(LN(2)/2)*FM96*FP96*VLOOKUP('Données projet'!$B$16,Paramètres!$A$1:$I$88,3,0)*0.475*44/12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5.2</v>
      </c>
      <c r="FZ96" s="13">
        <f>IF('Données projet'!$A$244&gt;35,FZ95+FY96-GH95,IF(A96&lt;'Données projet'!$A$244,$FW$205^A96,IF(A96='Données projet'!$A$244,'Données projet'!$B$244,FZ95+FY96-GH95)))</f>
        <v>289.59999999999968</v>
      </c>
      <c r="GA96" s="18">
        <f>FZ96*VLOOKUP('Données projet'!$B$17,Paramètres!$A$1:$I$88,3,0)*VLOOKUP('Données projet'!$B$17,Paramètres!$A$1:$I$88,5,0)</f>
        <v>311.72543999999965</v>
      </c>
      <c r="GB96" s="14">
        <f t="shared" si="103"/>
        <v>73.629054231453196</v>
      </c>
      <c r="GC96" s="22">
        <f t="shared" si="79"/>
        <v>671.1590774531137</v>
      </c>
      <c r="GD96" s="62">
        <f t="shared" si="80"/>
        <v>964.49241078644695</v>
      </c>
      <c r="GE96" s="62">
        <f ca="1">AVERAGE(OFFSET($GD$3,0,0,'Données projet'!$E$17+1,1))-AVERAGE(OFFSET($H$3,0,0,'Données projet'!$E$17+1,1))</f>
        <v>503.69304261527651</v>
      </c>
      <c r="GF96" s="62">
        <f t="shared" si="104"/>
        <v>267.2998309535638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projet'!$B$17,Paramètres!$A$1:$I$88,3,0)*0.475*44/12</f>
        <v>0</v>
      </c>
      <c r="GM96" s="23">
        <f>EXP(-LN(2)/25)*GM95+(1-EXP(-LN(2)/25))/(LN(2)/25)*Calculateur!GH96*Calculateur!GJ96*VLOOKUP('Données projet'!$B$17,Paramètres!$A$1:$I$88,3,0)*0.475*44/12</f>
        <v>0</v>
      </c>
      <c r="GN96" s="23">
        <f>EXP(-LN(2)/2)*GN95+(1-EXP(-LN(2)/2))/(LN(2)/2)*GH96*GK96*VLOOKUP('Données projet'!$B$17,Paramètres!$A$1:$I$88,3,0)*0.475*44/12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6.3</v>
      </c>
      <c r="GU96" s="13">
        <f>IF('Données projet'!$A$270&gt;35,GU95+GT96-HC95,IF(A96&lt;'Données projet'!$A$270,$GR$205^A96,IF(A96='Données projet'!$A$270,'Données projet'!$B$270,GU95+GT96-HC95)))</f>
        <v>348.40000000000015</v>
      </c>
      <c r="GV96" s="18">
        <f>GU96*VLOOKUP('Données projet'!$B$18,Paramètres!$A$1:$I$88,3,0)*VLOOKUP('Données projet'!$B$18,Paramètres!$A$1:$I$88,5,0)</f>
        <v>364.14768000000021</v>
      </c>
      <c r="GW96" s="14">
        <f t="shared" si="105"/>
        <v>84.468913059269369</v>
      </c>
      <c r="GX96" s="22">
        <f t="shared" si="82"/>
        <v>781.34056624489449</v>
      </c>
      <c r="GY96" s="62">
        <f t="shared" si="83"/>
        <v>1074.6738995782277</v>
      </c>
      <c r="GZ96" s="62">
        <f ca="1">AVERAGE(OFFSET($GY$3,0,0,'Données projet'!$E$18+1,1))-AVERAGE(OFFSET($H$3,0,0,'Données projet'!$E$18+1,1))</f>
        <v>582.89879210197682</v>
      </c>
      <c r="HA96" s="62">
        <f t="shared" si="106"/>
        <v>314.72094983133326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projet'!$B$18,Paramètres!$A$1:$I$88,3,0)*0.475*44/12</f>
        <v>0</v>
      </c>
      <c r="HH96" s="23">
        <f>EXP(-LN(2)/25)*HH95+(1-EXP(-LN(2)/25))/(LN(2)/25)*Calculateur!HC96*Calculateur!HE96*VLOOKUP('Données projet'!$B$18,Paramètres!$A$1:$I$88,3,0)*0.475*44/12</f>
        <v>0</v>
      </c>
      <c r="HI96" s="23">
        <f>EXP(-LN(2)/2)*HI95+(1-EXP(-LN(2)/2))/(LN(2)/2)*HC96*HF96*VLOOKUP('Données projet'!$B$18,Paramètres!$A$1:$I$88,3,0)*0.475*44/12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15</v>
      </c>
      <c r="N97" s="14">
        <f>IF('Données projet'!$A$36&gt;35,N96+M97-V96,IF(A97&lt;'Données projet'!$A$36,$K$205^A97,IF(A97='Données projet'!$A$36,'Données projet'!$B$36,N96+M97-V96)))</f>
        <v>764.99999999999989</v>
      </c>
      <c r="O97" s="14">
        <f>N97*VLOOKUP('Données projet'!$B$9,Paramètres!$A$1:$I$88,3,0)*VLOOKUP('Données projet'!$B$9,Paramètres!$A$1:$I$88,5,0)</f>
        <v>358.02</v>
      </c>
      <c r="P97" s="14">
        <f t="shared" si="87"/>
        <v>83.211728757381735</v>
      </c>
      <c r="Q97" s="22">
        <f t="shared" si="54"/>
        <v>768.47859425243985</v>
      </c>
      <c r="R97" s="62">
        <f t="shared" si="55"/>
        <v>1061.8119275857732</v>
      </c>
      <c r="S97" s="62">
        <f ca="1">AVERAGE(OFFSET($R$3,0,0,'Données projet'!$E$9+1,1))-AVERAGE(OFFSET($H$3,0,0,'Données projet'!$E$9+1,1))</f>
        <v>399.92909819003523</v>
      </c>
      <c r="T97" s="62">
        <f t="shared" si="88"/>
        <v>163.7053537268381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6.3</v>
      </c>
      <c r="AI97" s="14">
        <f>IF('Données projet'!$A$62&gt;35,AI96+AH97-AQ96,IF(A97&lt;'Données projet'!$A$62,$AF$205^A97,IF(A97='Données projet'!$A$62,'Données projet'!$B$62,AI96+AH97-AQ96)))</f>
        <v>354.70000000000016</v>
      </c>
      <c r="AJ97" s="14">
        <f>AI97*VLOOKUP('Données projet'!$B$10,Paramètres!$A$1:$I$88,3,0)*VLOOKUP('Données projet'!$B$10,Paramètres!$A$1:$I$88,5,0)</f>
        <v>320.93256000000014</v>
      </c>
      <c r="AK97" s="14">
        <f t="shared" si="89"/>
        <v>75.54735803217622</v>
      </c>
      <c r="AL97" s="22">
        <f t="shared" si="58"/>
        <v>690.53585723937374</v>
      </c>
      <c r="AM97" s="62">
        <f t="shared" si="59"/>
        <v>983.86919057270711</v>
      </c>
      <c r="AN97" s="62">
        <f ca="1">AVERAGE(OFFSET($AM$3,0,0,'Données projet'!$E$10+1,1))-AVERAGE(OFFSET($H$3,0,0,'Données projet'!$E$10+1,1))</f>
        <v>510.56580450928806</v>
      </c>
      <c r="AO97" s="62">
        <f t="shared" si="90"/>
        <v>278.21741231699929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5.4</v>
      </c>
      <c r="BD97" s="13">
        <f>IF('Données projet'!$A$88&gt;35,BD96+BC97-BL96,IF(A97&lt;'Données projet'!$A$88,$BA$205^A97,IF(A97='Données projet'!$A$88,'Données projet'!$B$88,BD96+BC97-BL96)))</f>
        <v>359.59999999999957</v>
      </c>
      <c r="BE97" s="14">
        <f>BD97*VLOOKUP('Données projet'!$B$11,Paramètres!$A$1:$I$88,3,0)*VLOOKUP('Données projet'!$B$11,Paramètres!$A$1:$I$88,5,0)</f>
        <v>342.1953599999996</v>
      </c>
      <c r="BF97" s="14">
        <f t="shared" si="91"/>
        <v>79.953351654699929</v>
      </c>
      <c r="BG97" s="22">
        <f t="shared" si="61"/>
        <v>735.24233946526829</v>
      </c>
      <c r="BH97" s="62">
        <f t="shared" si="62"/>
        <v>1028.5756727986015</v>
      </c>
      <c r="BI97" s="62">
        <f ca="1">AVERAGE(OFFSET($BH$3,0,0,'Données projet'!$E$11+1,1))-AVERAGE(OFFSET($H$3,0,0,'Données projet'!$E$11+1,1))</f>
        <v>525.51330555662139</v>
      </c>
      <c r="BJ97" s="62">
        <f t="shared" si="92"/>
        <v>357.72390083433635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1.7053025658242404E-13</v>
      </c>
      <c r="BZ97" s="14">
        <f>BY97*VLOOKUP('Données projet'!$B$12,Paramètres!$A$1:$I$88,3,0)*VLOOKUP('Données projet'!$B$12,Paramètres!$A$1:$I$88,5,0)</f>
        <v>1.0197709343628959E-13</v>
      </c>
      <c r="CA97" s="14">
        <f t="shared" si="93"/>
        <v>1.5284983994279675E-12</v>
      </c>
      <c r="CB97" s="22">
        <f t="shared" si="64"/>
        <v>2.839744816738581E-12</v>
      </c>
      <c r="CC97" s="62">
        <f t="shared" si="65"/>
        <v>293.33333333333616</v>
      </c>
      <c r="CD97" s="62">
        <f ca="1">AVERAGE(OFFSET($CC$3,0,0,'Données projet'!$E$12+1,1))-AVERAGE(OFFSET($H$3,0,0,'Données projet'!$E$12+1,1))</f>
        <v>227.46616726010473</v>
      </c>
      <c r="CE97" s="62">
        <f t="shared" si="94"/>
        <v>314.188568589113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33.87703668354925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3.236619203272795E-6</v>
      </c>
      <c r="CN97" s="24">
        <f t="shared" si="66"/>
        <v>33.87703992016845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projet'!$B$13,Paramètres!$A$1:$I$88,3,0)*VLOOKUP('Données projet'!$B$13,Paramètres!$A$1:$I$88,5,0)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356.46794174556311</v>
      </c>
      <c r="CZ97" s="62">
        <f t="shared" si="96"/>
        <v>248.47107558211923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0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projet'!$B$14,Paramètres!$A$1:$I$88,3,0)*VLOOKUP('Données projet'!$B$14,Paramètres!$A$1:$I$88,5,0)</f>
        <v>6.3550942286383367E-14</v>
      </c>
      <c r="DQ97" s="14">
        <f t="shared" si="97"/>
        <v>1.0064464192543978E-12</v>
      </c>
      <c r="DR97" s="22">
        <f t="shared" si="70"/>
        <v>1.8635787380168604E-12</v>
      </c>
      <c r="DS97" s="62">
        <f t="shared" si="71"/>
        <v>293.33333333333519</v>
      </c>
      <c r="DT97" s="62">
        <f ca="1">AVERAGE(OFFSET($DS$3,0,0,'Données projet'!$E$14+1,1))-AVERAGE(OFFSET($H$3,0,0,'Données projet'!$E$14+1,1))</f>
        <v>397.04445188588369</v>
      </c>
      <c r="DU97" s="62">
        <f t="shared" si="98"/>
        <v>350.01856672839466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1.4127205421418529</v>
      </c>
      <c r="EB97" s="23">
        <f>EXP(-LN(2)/25)*EB96+(1-EXP(-LN(2)/25))/(LN(2)/25)*Calculateur!DW97*Calculateur!DY97*VLOOKUP('Données projet'!$B$14,Paramètres!$A$1:$I$88,3,0)*0.475*44/12</f>
        <v>0</v>
      </c>
      <c r="EC97" s="23">
        <f>EXP(-LN(2)/2)*EC96+(1-EXP(-LN(2)/2))/(LN(2)/2)*DW97*DZ97*VLOOKUP('Données projet'!$B$14,Paramètres!$A$1:$I$88,3,0)*0.475*44/12</f>
        <v>3.7724843878584787E-9</v>
      </c>
      <c r="ED97" s="24">
        <f t="shared" si="72"/>
        <v>1.4127205459143373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-1.9895196601282805E-13</v>
      </c>
      <c r="EK97" s="18">
        <f>EJ97*VLOOKUP('Données projet'!$B$15,Paramètres!$A$1:$I$88,3,0)*VLOOKUP('Données projet'!$B$15,Paramètres!$A$1:$I$88,5,0)</f>
        <v>-1.738044375088066E-13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202.5548390231225</v>
      </c>
      <c r="EP97" s="62">
        <f t="shared" si="100"/>
        <v>184.62184077734179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projet'!$B$15,Paramètres!$A$1:$I$88,3,0)*0.475*44/12</f>
        <v>0</v>
      </c>
      <c r="EW97" s="23">
        <f>EXP(-LN(2)/25)*EW96+(1-EXP(-LN(2)/25))/(LN(2)/25)*Calculateur!ER97*Calculateur!ET97*VLOOKUP('Données projet'!$B$15,Paramètres!$A$1:$I$88,3,0)*0.475*44/12</f>
        <v>0</v>
      </c>
      <c r="EX97" s="23">
        <f>EXP(-LN(2)/2)*EX96+(1-EXP(-LN(2)/2))/(LN(2)/2)*ER97*EU97*VLOOKUP('Données projet'!$B$15,Paramètres!$A$1:$I$88,3,0)*0.475*44/12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5.2</v>
      </c>
      <c r="FE97" s="13">
        <f>IF('Données projet'!$A$218&gt;35,FE96+FD97-FM96,IF(A97&lt;'Données projet'!$A$218,$FB$205^A97,IF(A97='Données projet'!$A$218,'Données projet'!$B$218,FE96+FD97-FM96)))</f>
        <v>294.79999999999967</v>
      </c>
      <c r="FF97" s="18">
        <f>FE97*VLOOKUP('Données projet'!$B$16,Paramètres!$A$1:$I$88,3,0)*VLOOKUP('Données projet'!$B$16,Paramètres!$A$1:$I$88,5,0)</f>
        <v>285.13055999999966</v>
      </c>
      <c r="FG97" s="14">
        <f t="shared" si="101"/>
        <v>68.050095250359178</v>
      </c>
      <c r="FH97" s="22">
        <f t="shared" si="76"/>
        <v>615.12297456104159</v>
      </c>
      <c r="FI97" s="62">
        <f t="shared" si="77"/>
        <v>908.45630789437496</v>
      </c>
      <c r="FJ97" s="62">
        <f ca="1">AVERAGE(OFFSET($FI$3,0,0,'Données projet'!$E$16+1,1))-AVERAGE(OFFSET($H$3,0,0,'Données projet'!$E$16+1,1))</f>
        <v>456.96274622094955</v>
      </c>
      <c r="FK97" s="62">
        <f t="shared" si="102"/>
        <v>244.45149244446094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projet'!$B$16,Paramètres!$A$1:$I$88,3,0)*0.475*44/12</f>
        <v>0</v>
      </c>
      <c r="FR97" s="23">
        <f>EXP(-LN(2)/25)*FR96+(1-EXP(-LN(2)/25))/(LN(2)/25)*Calculateur!FM97*Calculateur!FO97*VLOOKUP('Données projet'!$B$16,Paramètres!$A$1:$I$88,3,0)*0.475*44/12</f>
        <v>0</v>
      </c>
      <c r="FS97" s="23">
        <f>EXP(-LN(2)/2)*FS96+(1-EXP(-LN(2)/2))/(LN(2)/2)*FM97*FP97*VLOOKUP('Données projet'!$B$16,Paramètres!$A$1:$I$88,3,0)*0.475*44/12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5.2</v>
      </c>
      <c r="FZ97" s="13">
        <f>IF('Données projet'!$A$244&gt;35,FZ96+FY97-GH96,IF(A97&lt;'Données projet'!$A$244,$FW$205^A97,IF(A97='Données projet'!$A$244,'Données projet'!$B$244,FZ96+FY97-GH96)))</f>
        <v>294.79999999999967</v>
      </c>
      <c r="GA97" s="18">
        <f>FZ97*VLOOKUP('Données projet'!$B$17,Paramètres!$A$1:$I$88,3,0)*VLOOKUP('Données projet'!$B$17,Paramètres!$A$1:$I$88,5,0)</f>
        <v>317.32271999999961</v>
      </c>
      <c r="GB97" s="14">
        <f t="shared" si="103"/>
        <v>74.796021393862063</v>
      </c>
      <c r="GC97" s="22">
        <f t="shared" si="79"/>
        <v>682.94014126097579</v>
      </c>
      <c r="GD97" s="62">
        <f t="shared" si="80"/>
        <v>976.27347459430916</v>
      </c>
      <c r="GE97" s="62">
        <f ca="1">AVERAGE(OFFSET($GD$3,0,0,'Données projet'!$E$17+1,1))-AVERAGE(OFFSET($H$3,0,0,'Données projet'!$E$17+1,1))</f>
        <v>503.69304261527651</v>
      </c>
      <c r="GF97" s="62">
        <f t="shared" si="104"/>
        <v>267.2998309535638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projet'!$B$17,Paramètres!$A$1:$I$88,3,0)*0.475*44/12</f>
        <v>0</v>
      </c>
      <c r="GM97" s="23">
        <f>EXP(-LN(2)/25)*GM96+(1-EXP(-LN(2)/25))/(LN(2)/25)*Calculateur!GH97*Calculateur!GJ97*VLOOKUP('Données projet'!$B$17,Paramètres!$A$1:$I$88,3,0)*0.475*44/12</f>
        <v>0</v>
      </c>
      <c r="GN97" s="23">
        <f>EXP(-LN(2)/2)*GN96+(1-EXP(-LN(2)/2))/(LN(2)/2)*GH97*GK97*VLOOKUP('Données projet'!$B$17,Paramètres!$A$1:$I$88,3,0)*0.475*44/12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6.3</v>
      </c>
      <c r="GU97" s="13">
        <f>IF('Données projet'!$A$270&gt;35,GU96+GT97-HC96,IF(A97&lt;'Données projet'!$A$270,$GR$205^A97,IF(A97='Données projet'!$A$270,'Données projet'!$B$270,GU96+GT97-HC96)))</f>
        <v>354.70000000000016</v>
      </c>
      <c r="GV97" s="18">
        <f>GU97*VLOOKUP('Données projet'!$B$18,Paramètres!$A$1:$I$88,3,0)*VLOOKUP('Données projet'!$B$18,Paramètres!$A$1:$I$88,5,0)</f>
        <v>370.73244000000017</v>
      </c>
      <c r="GW97" s="14">
        <f t="shared" si="105"/>
        <v>85.817133069999699</v>
      </c>
      <c r="GX97" s="22">
        <f t="shared" si="82"/>
        <v>795.15717309691638</v>
      </c>
      <c r="GY97" s="62">
        <f t="shared" si="83"/>
        <v>1088.4905064302498</v>
      </c>
      <c r="GZ97" s="62">
        <f ca="1">AVERAGE(OFFSET($GY$3,0,0,'Données projet'!$E$18+1,1))-AVERAGE(OFFSET($H$3,0,0,'Données projet'!$E$18+1,1))</f>
        <v>582.89879210197682</v>
      </c>
      <c r="HA97" s="62">
        <f t="shared" si="106"/>
        <v>314.72094983133326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projet'!$B$18,Paramètres!$A$1:$I$88,3,0)*0.475*44/12</f>
        <v>0</v>
      </c>
      <c r="HH97" s="23">
        <f>EXP(-LN(2)/25)*HH96+(1-EXP(-LN(2)/25))/(LN(2)/25)*Calculateur!HC97*Calculateur!HE97*VLOOKUP('Données projet'!$B$18,Paramètres!$A$1:$I$88,3,0)*0.475*44/12</f>
        <v>0</v>
      </c>
      <c r="HI97" s="23">
        <f>EXP(-LN(2)/2)*HI96+(1-EXP(-LN(2)/2))/(LN(2)/2)*HC97*HF97*VLOOKUP('Données projet'!$B$18,Paramètres!$A$1:$I$88,3,0)*0.475*44/12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15</v>
      </c>
      <c r="N98" s="14">
        <f>IF('Données projet'!$A$36&gt;35,N97+M98-V97,IF(A98&lt;'Données projet'!$A$36,$K$205^A98,IF(A98='Données projet'!$A$36,'Données projet'!$B$36,N97+M98-V97)))</f>
        <v>779.99999999999989</v>
      </c>
      <c r="O98" s="14">
        <f>N98*VLOOKUP('Données projet'!$B$9,Paramètres!$A$1:$I$88,3,0)*VLOOKUP('Données projet'!$B$9,Paramètres!$A$1:$I$88,5,0)</f>
        <v>365.03999999999996</v>
      </c>
      <c r="P98" s="14">
        <f t="shared" si="87"/>
        <v>84.651779413976413</v>
      </c>
      <c r="Q98" s="22">
        <f t="shared" si="54"/>
        <v>783.21318247934221</v>
      </c>
      <c r="R98" s="62">
        <f t="shared" si="55"/>
        <v>1076.5465158126756</v>
      </c>
      <c r="S98" s="62">
        <f ca="1">AVERAGE(OFFSET($R$3,0,0,'Données projet'!$E$9+1,1))-AVERAGE(OFFSET($H$3,0,0,'Données projet'!$E$9+1,1))</f>
        <v>399.92909819003523</v>
      </c>
      <c r="T98" s="62">
        <f t="shared" si="88"/>
        <v>163.7053537268381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361</v>
      </c>
      <c r="AG98" s="13">
        <f>VLOOKUP(A98,'Données projet'!$A$61:$I$81,9,0)</f>
        <v>6.3</v>
      </c>
      <c r="AH98" s="13">
        <f t="array" ref="AH98">INDEX(AG:AG,MIN(IF(ISNUMBER(AG98:AG294),ROW(AG98:AG294),"")))</f>
        <v>6.3</v>
      </c>
      <c r="AI98" s="14">
        <f>IF('Données projet'!$A$62&gt;35,AI97+AH98-AQ97,IF(A98&lt;'Données projet'!$A$62,$AF$205^A98,IF(A98='Données projet'!$A$62,'Données projet'!$B$62,AI97+AH98-AQ97)))</f>
        <v>361.00000000000017</v>
      </c>
      <c r="AJ98" s="14">
        <f>AI98*VLOOKUP('Données projet'!$B$10,Paramètres!$A$1:$I$88,3,0)*VLOOKUP('Données projet'!$B$10,Paramètres!$A$1:$I$88,5,0)</f>
        <v>326.63280000000015</v>
      </c>
      <c r="AK98" s="14">
        <f t="shared" si="89"/>
        <v>76.731784548754845</v>
      </c>
      <c r="AL98" s="22">
        <f t="shared" si="58"/>
        <v>702.52665142241483</v>
      </c>
      <c r="AM98" s="62">
        <f t="shared" si="59"/>
        <v>995.8599847557482</v>
      </c>
      <c r="AN98" s="62">
        <f ca="1">AVERAGE(OFFSET($AM$3,0,0,'Données projet'!$E$10+1,1))-AVERAGE(OFFSET($H$3,0,0,'Données projet'!$E$10+1,1))</f>
        <v>510.56580450928806</v>
      </c>
      <c r="AO98" s="62">
        <f t="shared" si="90"/>
        <v>278.21741231699929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56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365</v>
      </c>
      <c r="BB98" s="13">
        <f>VLOOKUP(A98,'Données projet'!$A$87:$I$107,9,0)</f>
        <v>5.4</v>
      </c>
      <c r="BC98" s="13">
        <f t="array" ref="BC98">INDEX(BB:BB,MIN(IF(ISNUMBER(BB98:BB294),ROW(BB98:BB294),"")))</f>
        <v>5.4</v>
      </c>
      <c r="BD98" s="13">
        <f>IF('Données projet'!$A$88&gt;35,BD97+BC98-BL97,IF(A98&lt;'Données projet'!$A$88,$BA$205^A98,IF(A98='Données projet'!$A$88,'Données projet'!$B$88,BD97+BC98-BL97)))</f>
        <v>364.99999999999955</v>
      </c>
      <c r="BE98" s="14">
        <f>BD98*VLOOKUP('Données projet'!$B$11,Paramètres!$A$1:$I$88,3,0)*VLOOKUP('Données projet'!$B$11,Paramètres!$A$1:$I$88,5,0)</f>
        <v>347.33399999999961</v>
      </c>
      <c r="BF98" s="14">
        <f t="shared" si="91"/>
        <v>81.013310095246069</v>
      </c>
      <c r="BG98" s="22">
        <f t="shared" si="61"/>
        <v>746.03823174921956</v>
      </c>
      <c r="BH98" s="62">
        <f t="shared" si="62"/>
        <v>1039.3715650825529</v>
      </c>
      <c r="BI98" s="62">
        <f ca="1">AVERAGE(OFFSET($BH$3,0,0,'Données projet'!$E$11+1,1))-AVERAGE(OFFSET($H$3,0,0,'Données projet'!$E$11+1,1))</f>
        <v>525.51330555662139</v>
      </c>
      <c r="BJ98" s="62">
        <f t="shared" si="92"/>
        <v>357.72390083433635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37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1.7053025658242404E-13</v>
      </c>
      <c r="BZ98" s="14">
        <f>BY98*VLOOKUP('Données projet'!$B$12,Paramètres!$A$1:$I$88,3,0)*VLOOKUP('Données projet'!$B$12,Paramètres!$A$1:$I$88,5,0)</f>
        <v>1.0197709343628959E-13</v>
      </c>
      <c r="CA98" s="14">
        <f t="shared" si="93"/>
        <v>1.5284983994279675E-12</v>
      </c>
      <c r="CB98" s="22">
        <f t="shared" si="64"/>
        <v>2.839744816738581E-12</v>
      </c>
      <c r="CC98" s="62">
        <f t="shared" si="65"/>
        <v>293.33333333333616</v>
      </c>
      <c r="CD98" s="62">
        <f ca="1">AVERAGE(OFFSET($CC$3,0,0,'Données projet'!$E$12+1,1))-AVERAGE(OFFSET($H$3,0,0,'Données projet'!$E$12+1,1))</f>
        <v>227.46616726010473</v>
      </c>
      <c r="CE98" s="62">
        <f t="shared" si="94"/>
        <v>314.188568589113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33.212728657136928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2.288635386752794E-6</v>
      </c>
      <c r="CN98" s="24">
        <f t="shared" si="66"/>
        <v>33.212730945772314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projet'!$B$13,Paramètres!$A$1:$I$88,3,0)*VLOOKUP('Données projet'!$B$13,Paramètres!$A$1:$I$88,5,0)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356.46794174556311</v>
      </c>
      <c r="CZ98" s="62">
        <f t="shared" si="96"/>
        <v>248.47107558211923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0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projet'!$B$14,Paramètres!$A$1:$I$88,3,0)*VLOOKUP('Données projet'!$B$14,Paramètres!$A$1:$I$88,5,0)</f>
        <v>6.3550942286383367E-14</v>
      </c>
      <c r="DQ98" s="14">
        <f t="shared" si="97"/>
        <v>1.0064464192543978E-12</v>
      </c>
      <c r="DR98" s="22">
        <f t="shared" si="70"/>
        <v>1.8635787380168604E-12</v>
      </c>
      <c r="DS98" s="62">
        <f t="shared" si="71"/>
        <v>293.33333333333519</v>
      </c>
      <c r="DT98" s="62">
        <f ca="1">AVERAGE(OFFSET($DS$3,0,0,'Données projet'!$E$14+1,1))-AVERAGE(OFFSET($H$3,0,0,'Données projet'!$E$14+1,1))</f>
        <v>397.04445188588369</v>
      </c>
      <c r="DU98" s="62">
        <f t="shared" si="98"/>
        <v>350.01856672839466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1.3850179539848986</v>
      </c>
      <c r="EB98" s="23">
        <f>EXP(-LN(2)/25)*EB97+(1-EXP(-LN(2)/25))/(LN(2)/25)*Calculateur!DW98*Calculateur!DY98*VLOOKUP('Données projet'!$B$14,Paramètres!$A$1:$I$88,3,0)*0.475*44/12</f>
        <v>0</v>
      </c>
      <c r="EC98" s="23">
        <f>EXP(-LN(2)/2)*EC97+(1-EXP(-LN(2)/2))/(LN(2)/2)*DW98*DZ98*VLOOKUP('Données projet'!$B$14,Paramètres!$A$1:$I$88,3,0)*0.475*44/12</f>
        <v>2.667549292575112E-9</v>
      </c>
      <c r="ED98" s="24">
        <f t="shared" si="72"/>
        <v>1.3850179566524479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-1.9895196601282805E-13</v>
      </c>
      <c r="EK98" s="18">
        <f>EJ98*VLOOKUP('Données projet'!$B$15,Paramètres!$A$1:$I$88,3,0)*VLOOKUP('Données projet'!$B$15,Paramètres!$A$1:$I$88,5,0)</f>
        <v>-1.738044375088066E-13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202.5548390231225</v>
      </c>
      <c r="EP98" s="62">
        <f t="shared" si="100"/>
        <v>184.62184077734179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projet'!$B$15,Paramètres!$A$1:$I$88,3,0)*0.475*44/12</f>
        <v>0</v>
      </c>
      <c r="EW98" s="23">
        <f>EXP(-LN(2)/25)*EW97+(1-EXP(-LN(2)/25))/(LN(2)/25)*Calculateur!ER98*Calculateur!ET98*VLOOKUP('Données projet'!$B$15,Paramètres!$A$1:$I$88,3,0)*0.475*44/12</f>
        <v>0</v>
      </c>
      <c r="EX98" s="23">
        <f>EXP(-LN(2)/2)*EX97+(1-EXP(-LN(2)/2))/(LN(2)/2)*ER98*EU98*VLOOKUP('Données projet'!$B$15,Paramètres!$A$1:$I$88,3,0)*0.475*44/12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300</v>
      </c>
      <c r="FC98" s="13">
        <f>VLOOKUP(A98,'Données projet'!$A$217:$I$237,9,0)</f>
        <v>5.2</v>
      </c>
      <c r="FD98" s="13">
        <f t="array" ref="FD98">INDEX(FC:FC,MIN(IF(ISNUMBER(FC98:FC294),ROW(FC98:FC294),"")))</f>
        <v>5.2</v>
      </c>
      <c r="FE98" s="13">
        <f>IF('Données projet'!$A$218&gt;35,FE97+FD98-FM97,IF(A98&lt;'Données projet'!$A$218,$FB$205^A98,IF(A98='Données projet'!$A$218,'Données projet'!$B$218,FE97+FD98-FM97)))</f>
        <v>299.99999999999966</v>
      </c>
      <c r="FF98" s="18">
        <f>FE98*VLOOKUP('Données projet'!$B$16,Paramètres!$A$1:$I$88,3,0)*VLOOKUP('Données projet'!$B$16,Paramètres!$A$1:$I$88,5,0)</f>
        <v>290.15999999999968</v>
      </c>
      <c r="FG98" s="14">
        <f t="shared" si="101"/>
        <v>69.109634717039867</v>
      </c>
      <c r="FH98" s="22">
        <f t="shared" si="76"/>
        <v>625.72794713217718</v>
      </c>
      <c r="FI98" s="62">
        <f t="shared" si="77"/>
        <v>919.06128046551044</v>
      </c>
      <c r="FJ98" s="62">
        <f ca="1">AVERAGE(OFFSET($FI$3,0,0,'Données projet'!$E$16+1,1))-AVERAGE(OFFSET($H$3,0,0,'Données projet'!$E$16+1,1))</f>
        <v>456.96274622094955</v>
      </c>
      <c r="FK98" s="62">
        <f t="shared" si="102"/>
        <v>244.45149244446094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42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projet'!$B$16,Paramètres!$A$1:$I$88,3,0)*0.475*44/12</f>
        <v>0</v>
      </c>
      <c r="FR98" s="23">
        <f>EXP(-LN(2)/25)*FR97+(1-EXP(-LN(2)/25))/(LN(2)/25)*Calculateur!FM98*Calculateur!FO98*VLOOKUP('Données projet'!$B$16,Paramètres!$A$1:$I$88,3,0)*0.475*44/12</f>
        <v>0</v>
      </c>
      <c r="FS98" s="23">
        <f>EXP(-LN(2)/2)*FS97+(1-EXP(-LN(2)/2))/(LN(2)/2)*FM98*FP98*VLOOKUP('Données projet'!$B$16,Paramètres!$A$1:$I$88,3,0)*0.475*44/12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300</v>
      </c>
      <c r="FX98" s="13">
        <f>VLOOKUP(A98,'Données projet'!$A$243:$I$263,9,0)</f>
        <v>5.2</v>
      </c>
      <c r="FY98" s="13">
        <f t="array" ref="FY98">INDEX(FX:FX,MIN(IF(ISNUMBER(FX98:FX294),ROW(FX98:FX294),"")))</f>
        <v>5.2</v>
      </c>
      <c r="FZ98" s="13">
        <f>IF('Données projet'!$A$244&gt;35,FZ97+FY98-GH97,IF(A98&lt;'Données projet'!$A$244,$FW$205^A98,IF(A98='Données projet'!$A$244,'Données projet'!$B$244,FZ97+FY98-GH97)))</f>
        <v>299.99999999999966</v>
      </c>
      <c r="GA98" s="18">
        <f>FZ98*VLOOKUP('Données projet'!$B$17,Paramètres!$A$1:$I$88,3,0)*VLOOKUP('Données projet'!$B$17,Paramètres!$A$1:$I$88,5,0)</f>
        <v>322.91999999999962</v>
      </c>
      <c r="GB98" s="14">
        <f t="shared" si="103"/>
        <v>75.960594879408688</v>
      </c>
      <c r="GC98" s="22">
        <f t="shared" si="79"/>
        <v>694.71703608163614</v>
      </c>
      <c r="GD98" s="62">
        <f t="shared" si="80"/>
        <v>988.05036941496951</v>
      </c>
      <c r="GE98" s="62">
        <f ca="1">AVERAGE(OFFSET($GD$3,0,0,'Données projet'!$E$17+1,1))-AVERAGE(OFFSET($H$3,0,0,'Données projet'!$E$17+1,1))</f>
        <v>503.69304261527651</v>
      </c>
      <c r="GF98" s="62">
        <f t="shared" si="104"/>
        <v>267.2998309535638</v>
      </c>
      <c r="GG98" s="16">
        <f>IF(ISNA(VLOOKUP(A98,'Données projet'!$A$243:$I$263,3,0)),0,VLOOKUP(A98,'Données projet'!$A$243:$I$263,3,0))</f>
        <v>8</v>
      </c>
      <c r="GH98" s="16">
        <f>IF(ISNA(VLOOKUP(A98,'Données projet'!$A$243:$I$263,4,0)),0,VLOOKUP(A98,'Données projet'!$A$243:$I$263,4,0))</f>
        <v>42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projet'!$B$17,Paramètres!$A$1:$I$88,3,0)*0.475*44/12</f>
        <v>0</v>
      </c>
      <c r="GM98" s="23">
        <f>EXP(-LN(2)/25)*GM97+(1-EXP(-LN(2)/25))/(LN(2)/25)*Calculateur!GH98*Calculateur!GJ98*VLOOKUP('Données projet'!$B$17,Paramètres!$A$1:$I$88,3,0)*0.475*44/12</f>
        <v>0</v>
      </c>
      <c r="GN98" s="23">
        <f>EXP(-LN(2)/2)*GN97+(1-EXP(-LN(2)/2))/(LN(2)/2)*GH98*GK98*VLOOKUP('Données projet'!$B$17,Paramètres!$A$1:$I$88,3,0)*0.475*44/12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361</v>
      </c>
      <c r="GS98" s="13">
        <f>VLOOKUP(A98,'Données projet'!$A$269:$I$289,9,0)</f>
        <v>6.3</v>
      </c>
      <c r="GT98" s="13">
        <f t="array" ref="GT98">INDEX(GS:GS,MIN(IF(ISNUMBER(GS98:GS294),ROW(GS98:GS294),"")))</f>
        <v>6.3</v>
      </c>
      <c r="GU98" s="13">
        <f>IF('Données projet'!$A$270&gt;35,GU97+GT98-HC97,IF(A98&lt;'Données projet'!$A$270,$GR$205^A98,IF(A98='Données projet'!$A$270,'Données projet'!$B$270,GU97+GT98-HC97)))</f>
        <v>361.00000000000017</v>
      </c>
      <c r="GV98" s="18">
        <f>GU98*VLOOKUP('Données projet'!$B$18,Paramètres!$A$1:$I$88,3,0)*VLOOKUP('Données projet'!$B$18,Paramètres!$A$1:$I$88,5,0)</f>
        <v>377.31720000000018</v>
      </c>
      <c r="GW98" s="14">
        <f t="shared" si="105"/>
        <v>87.162568445007437</v>
      </c>
      <c r="GX98" s="22">
        <f t="shared" si="82"/>
        <v>808.96893004172159</v>
      </c>
      <c r="GY98" s="62">
        <f t="shared" si="83"/>
        <v>1102.302263375055</v>
      </c>
      <c r="GZ98" s="62">
        <f ca="1">AVERAGE(OFFSET($GY$3,0,0,'Données projet'!$E$18+1,1))-AVERAGE(OFFSET($H$3,0,0,'Données projet'!$E$18+1,1))</f>
        <v>582.89879210197682</v>
      </c>
      <c r="HA98" s="62">
        <f t="shared" si="106"/>
        <v>314.72094983133326</v>
      </c>
      <c r="HB98" s="16">
        <f>IF(ISNA(VLOOKUP(A98,'Données projet'!$A$269:$I$289,3,0)),0,VLOOKUP(A98,'Données projet'!$A$269:$I$289,3,0))</f>
        <v>8</v>
      </c>
      <c r="HC98" s="16">
        <f>IF(ISNA(VLOOKUP(A98,'Données projet'!$A$269:$I$289,4,0)),0,VLOOKUP(A98,'Données projet'!$A$269:$I$289,4,0))</f>
        <v>56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projet'!$B$18,Paramètres!$A$1:$I$88,3,0)*0.475*44/12</f>
        <v>0</v>
      </c>
      <c r="HH98" s="23">
        <f>EXP(-LN(2)/25)*HH97+(1-EXP(-LN(2)/25))/(LN(2)/25)*Calculateur!HC98*Calculateur!HE98*VLOOKUP('Données projet'!$B$18,Paramètres!$A$1:$I$88,3,0)*0.475*44/12</f>
        <v>0</v>
      </c>
      <c r="HI98" s="23">
        <f>EXP(-LN(2)/2)*HI97+(1-EXP(-LN(2)/2))/(LN(2)/2)*HC98*HF98*VLOOKUP('Données projet'!$B$18,Paramètres!$A$1:$I$88,3,0)*0.475*44/12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15</v>
      </c>
      <c r="N99" s="14">
        <f>IF('Données projet'!$A$36&gt;35,N98+M99-V98,IF(A99&lt;'Données projet'!$A$36,$K$205^A99,IF(A99='Données projet'!$A$36,'Données projet'!$B$36,N98+M99-V98)))</f>
        <v>794.99999999999989</v>
      </c>
      <c r="O99" s="14">
        <f>N99*VLOOKUP('Données projet'!$B$9,Paramètres!$A$1:$I$88,3,0)*VLOOKUP('Données projet'!$B$9,Paramètres!$A$1:$I$88,5,0)</f>
        <v>372.05999999999995</v>
      </c>
      <c r="P99" s="14">
        <f t="shared" si="87"/>
        <v>86.08860996789744</v>
      </c>
      <c r="Q99" s="22">
        <f t="shared" ref="Q99:Q130" si="107">(O99+P99)*0.475*44/12</f>
        <v>797.94216236075465</v>
      </c>
      <c r="R99" s="62">
        <f t="shared" si="55"/>
        <v>1091.275495694088</v>
      </c>
      <c r="S99" s="62">
        <f ca="1">AVERAGE(OFFSET($R$3,0,0,'Données projet'!$E$9+1,1))-AVERAGE(OFFSET($H$3,0,0,'Données projet'!$E$9+1,1))</f>
        <v>399.92909819003523</v>
      </c>
      <c r="T99" s="62">
        <f t="shared" si="88"/>
        <v>163.7053537268381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5.5</v>
      </c>
      <c r="AI99" s="14">
        <f>IF('Données projet'!$A$62&gt;35,AI98+AH99-AQ98,IF(A99&lt;'Données projet'!$A$62,$AF$205^A99,IF(A99='Données projet'!$A$62,'Données projet'!$B$62,AI98+AH99-AQ98)))</f>
        <v>310.50000000000017</v>
      </c>
      <c r="AJ99" s="14">
        <f>AI99*VLOOKUP('Données projet'!$B$10,Paramètres!$A$1:$I$88,3,0)*VLOOKUP('Données projet'!$B$10,Paramètres!$A$1:$I$88,5,0)</f>
        <v>280.94040000000012</v>
      </c>
      <c r="AK99" s="14">
        <f t="shared" si="89"/>
        <v>67.165703636653262</v>
      </c>
      <c r="AL99" s="22">
        <f t="shared" si="58"/>
        <v>606.2847971671714</v>
      </c>
      <c r="AM99" s="62">
        <f t="shared" si="59"/>
        <v>899.61813050050478</v>
      </c>
      <c r="AN99" s="62">
        <f ca="1">AVERAGE(OFFSET($AM$3,0,0,'Données projet'!$E$10+1,1))-AVERAGE(OFFSET($H$3,0,0,'Données projet'!$E$10+1,1))</f>
        <v>510.56580450928806</v>
      </c>
      <c r="AO99" s="62">
        <f t="shared" si="90"/>
        <v>278.21741231699929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</v>
      </c>
      <c r="BD99" s="13">
        <f>IF('Données projet'!$A$88&gt;35,BD98+BC99-BL98,IF(A99&lt;'Données projet'!$A$88,$BA$205^A99,IF(A99='Données projet'!$A$88,'Données projet'!$B$88,BD98+BC99-BL98)))</f>
        <v>332.99999999999955</v>
      </c>
      <c r="BE99" s="14">
        <f>BD99*VLOOKUP('Données projet'!$B$11,Paramètres!$A$1:$I$88,3,0)*VLOOKUP('Données projet'!$B$11,Paramètres!$A$1:$I$88,5,0)</f>
        <v>316.88279999999958</v>
      </c>
      <c r="BF99" s="14">
        <f t="shared" si="91"/>
        <v>74.704390525833389</v>
      </c>
      <c r="BG99" s="22">
        <f t="shared" si="61"/>
        <v>682.01435683249235</v>
      </c>
      <c r="BH99" s="62">
        <f t="shared" si="62"/>
        <v>975.34769016582572</v>
      </c>
      <c r="BI99" s="62">
        <f ca="1">AVERAGE(OFFSET($BH$3,0,0,'Données projet'!$E$11+1,1))-AVERAGE(OFFSET($H$3,0,0,'Données projet'!$E$11+1,1))</f>
        <v>525.51330555662139</v>
      </c>
      <c r="BJ99" s="62">
        <f t="shared" si="92"/>
        <v>357.72390083433635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1.7053025658242404E-13</v>
      </c>
      <c r="BZ99" s="14">
        <f>BY99*VLOOKUP('Données projet'!$B$12,Paramètres!$A$1:$I$88,3,0)*VLOOKUP('Données projet'!$B$12,Paramètres!$A$1:$I$88,5,0)</f>
        <v>1.0197709343628959E-13</v>
      </c>
      <c r="CA99" s="14">
        <f t="shared" si="93"/>
        <v>1.5284983994279675E-12</v>
      </c>
      <c r="CB99" s="22">
        <f t="shared" si="64"/>
        <v>2.839744816738581E-12</v>
      </c>
      <c r="CC99" s="62">
        <f t="shared" si="65"/>
        <v>293.33333333333616</v>
      </c>
      <c r="CD99" s="62">
        <f ca="1">AVERAGE(OFFSET($CC$3,0,0,'Données projet'!$E$12+1,1))-AVERAGE(OFFSET($H$3,0,0,'Données projet'!$E$12+1,1))</f>
        <v>227.46616726010473</v>
      </c>
      <c r="CE99" s="62">
        <f t="shared" si="94"/>
        <v>314.188568589113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32.561447305934664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1.6183096016363975E-6</v>
      </c>
      <c r="CN99" s="24">
        <f t="shared" si="66"/>
        <v>32.561448924244267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projet'!$B$13,Paramètres!$A$1:$I$88,3,0)*VLOOKUP('Données projet'!$B$13,Paramètres!$A$1:$I$88,5,0)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356.46794174556311</v>
      </c>
      <c r="CZ99" s="62">
        <f t="shared" si="96"/>
        <v>248.47107558211923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0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projet'!$B$14,Paramètres!$A$1:$I$88,3,0)*VLOOKUP('Données projet'!$B$14,Paramètres!$A$1:$I$88,5,0)</f>
        <v>6.3550942286383367E-14</v>
      </c>
      <c r="DQ99" s="14">
        <f t="shared" si="97"/>
        <v>1.0064464192543978E-12</v>
      </c>
      <c r="DR99" s="22">
        <f t="shared" si="70"/>
        <v>1.8635787380168604E-12</v>
      </c>
      <c r="DS99" s="62">
        <f t="shared" si="71"/>
        <v>293.33333333333519</v>
      </c>
      <c r="DT99" s="62">
        <f ca="1">AVERAGE(OFFSET($DS$3,0,0,'Données projet'!$E$14+1,1))-AVERAGE(OFFSET($H$3,0,0,'Données projet'!$E$14+1,1))</f>
        <v>397.04445188588369</v>
      </c>
      <c r="DU99" s="62">
        <f t="shared" si="98"/>
        <v>350.01856672839466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1.3578585966847918</v>
      </c>
      <c r="EB99" s="23">
        <f>EXP(-LN(2)/25)*EB98+(1-EXP(-LN(2)/25))/(LN(2)/25)*Calculateur!DW99*Calculateur!DY99*VLOOKUP('Données projet'!$B$14,Paramètres!$A$1:$I$88,3,0)*0.475*44/12</f>
        <v>0</v>
      </c>
      <c r="EC99" s="23">
        <f>EXP(-LN(2)/2)*EC98+(1-EXP(-LN(2)/2))/(LN(2)/2)*DW99*DZ99*VLOOKUP('Données projet'!$B$14,Paramètres!$A$1:$I$88,3,0)*0.475*44/12</f>
        <v>1.8862421939292394E-9</v>
      </c>
      <c r="ED99" s="24">
        <f t="shared" si="72"/>
        <v>1.3578585985710341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-1.9895196601282805E-13</v>
      </c>
      <c r="EK99" s="18">
        <f>EJ99*VLOOKUP('Données projet'!$B$15,Paramètres!$A$1:$I$88,3,0)*VLOOKUP('Données projet'!$B$15,Paramètres!$A$1:$I$88,5,0)</f>
        <v>-1.738044375088066E-13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202.5548390231225</v>
      </c>
      <c r="EP99" s="62">
        <f t="shared" si="100"/>
        <v>184.62184077734179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projet'!$B$15,Paramètres!$A$1:$I$88,3,0)*0.475*44/12</f>
        <v>0</v>
      </c>
      <c r="EW99" s="23">
        <f>EXP(-LN(2)/25)*EW98+(1-EXP(-LN(2)/25))/(LN(2)/25)*Calculateur!ER99*Calculateur!ET99*VLOOKUP('Données projet'!$B$15,Paramètres!$A$1:$I$88,3,0)*0.475*44/12</f>
        <v>0</v>
      </c>
      <c r="EX99" s="23">
        <f>EXP(-LN(2)/2)*EX98+(1-EXP(-LN(2)/2))/(LN(2)/2)*ER99*EU99*VLOOKUP('Données projet'!$B$15,Paramètres!$A$1:$I$88,3,0)*0.475*44/12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4.7</v>
      </c>
      <c r="FE99" s="13">
        <f>IF('Données projet'!$A$218&gt;35,FE98+FD99-FM98,IF(A99&lt;'Données projet'!$A$218,$FB$205^A99,IF(A99='Données projet'!$A$218,'Données projet'!$B$218,FE98+FD99-FM98)))</f>
        <v>262.69999999999965</v>
      </c>
      <c r="FF99" s="18">
        <f>FE99*VLOOKUP('Données projet'!$B$16,Paramètres!$A$1:$I$88,3,0)*VLOOKUP('Données projet'!$B$16,Paramètres!$A$1:$I$88,5,0)</f>
        <v>254.08343999999965</v>
      </c>
      <c r="FG99" s="14">
        <f t="shared" si="101"/>
        <v>61.459521845988142</v>
      </c>
      <c r="FH99" s="22">
        <f t="shared" si="76"/>
        <v>549.5706585484287</v>
      </c>
      <c r="FI99" s="62">
        <f t="shared" si="77"/>
        <v>842.90399188176207</v>
      </c>
      <c r="FJ99" s="62">
        <f ca="1">AVERAGE(OFFSET($FI$3,0,0,'Données projet'!$E$16+1,1))-AVERAGE(OFFSET($H$3,0,0,'Données projet'!$E$16+1,1))</f>
        <v>456.96274622094955</v>
      </c>
      <c r="FK99" s="62">
        <f t="shared" si="102"/>
        <v>244.45149244446094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projet'!$B$16,Paramètres!$A$1:$I$88,3,0)*0.475*44/12</f>
        <v>0</v>
      </c>
      <c r="FR99" s="23">
        <f>EXP(-LN(2)/25)*FR98+(1-EXP(-LN(2)/25))/(LN(2)/25)*Calculateur!FM99*Calculateur!FO99*VLOOKUP('Données projet'!$B$16,Paramètres!$A$1:$I$88,3,0)*0.475*44/12</f>
        <v>0</v>
      </c>
      <c r="FS99" s="23">
        <f>EXP(-LN(2)/2)*FS98+(1-EXP(-LN(2)/2))/(LN(2)/2)*FM99*FP99*VLOOKUP('Données projet'!$B$16,Paramètres!$A$1:$I$88,3,0)*0.475*44/12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4.7</v>
      </c>
      <c r="FZ99" s="13">
        <f>IF('Données projet'!$A$244&gt;35,FZ98+FY99-GH98,IF(A99&lt;'Données projet'!$A$244,$FW$205^A99,IF(A99='Données projet'!$A$244,'Données projet'!$B$244,FZ98+FY99-GH98)))</f>
        <v>262.69999999999965</v>
      </c>
      <c r="GA99" s="18">
        <f>FZ99*VLOOKUP('Données projet'!$B$17,Paramètres!$A$1:$I$88,3,0)*VLOOKUP('Données projet'!$B$17,Paramètres!$A$1:$I$88,5,0)</f>
        <v>282.77027999999962</v>
      </c>
      <c r="GB99" s="14">
        <f t="shared" si="103"/>
        <v>67.55211280655486</v>
      </c>
      <c r="GC99" s="22">
        <f t="shared" si="79"/>
        <v>610.14483413808227</v>
      </c>
      <c r="GD99" s="62">
        <f t="shared" si="80"/>
        <v>903.47816747141565</v>
      </c>
      <c r="GE99" s="62">
        <f ca="1">AVERAGE(OFFSET($GD$3,0,0,'Données projet'!$E$17+1,1))-AVERAGE(OFFSET($H$3,0,0,'Données projet'!$E$17+1,1))</f>
        <v>503.69304261527651</v>
      </c>
      <c r="GF99" s="62">
        <f t="shared" si="104"/>
        <v>267.2998309535638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projet'!$B$17,Paramètres!$A$1:$I$88,3,0)*0.475*44/12</f>
        <v>0</v>
      </c>
      <c r="GM99" s="23">
        <f>EXP(-LN(2)/25)*GM98+(1-EXP(-LN(2)/25))/(LN(2)/25)*Calculateur!GH99*Calculateur!GJ99*VLOOKUP('Données projet'!$B$17,Paramètres!$A$1:$I$88,3,0)*0.475*44/12</f>
        <v>0</v>
      </c>
      <c r="GN99" s="23">
        <f>EXP(-LN(2)/2)*GN98+(1-EXP(-LN(2)/2))/(LN(2)/2)*GH99*GK99*VLOOKUP('Données projet'!$B$17,Paramètres!$A$1:$I$88,3,0)*0.475*44/12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5.5</v>
      </c>
      <c r="GU99" s="13">
        <f>IF('Données projet'!$A$270&gt;35,GU98+GT99-HC98,IF(A99&lt;'Données projet'!$A$270,$GR$205^A99,IF(A99='Données projet'!$A$270,'Données projet'!$B$270,GU98+GT99-HC98)))</f>
        <v>310.50000000000017</v>
      </c>
      <c r="GV99" s="18">
        <f>GU99*VLOOKUP('Données projet'!$B$18,Paramètres!$A$1:$I$88,3,0)*VLOOKUP('Données projet'!$B$18,Paramètres!$A$1:$I$88,5,0)</f>
        <v>324.53460000000024</v>
      </c>
      <c r="GW99" s="14">
        <f t="shared" si="105"/>
        <v>76.29609131098816</v>
      </c>
      <c r="GX99" s="22">
        <f t="shared" si="82"/>
        <v>698.11345403330472</v>
      </c>
      <c r="GY99" s="62">
        <f t="shared" si="83"/>
        <v>991.44678736663809</v>
      </c>
      <c r="GZ99" s="62">
        <f ca="1">AVERAGE(OFFSET($GY$3,0,0,'Données projet'!$E$18+1,1))-AVERAGE(OFFSET($H$3,0,0,'Données projet'!$E$18+1,1))</f>
        <v>582.89879210197682</v>
      </c>
      <c r="HA99" s="62">
        <f t="shared" si="106"/>
        <v>314.72094983133326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projet'!$B$18,Paramètres!$A$1:$I$88,3,0)*0.475*44/12</f>
        <v>0</v>
      </c>
      <c r="HH99" s="23">
        <f>EXP(-LN(2)/25)*HH98+(1-EXP(-LN(2)/25))/(LN(2)/25)*Calculateur!HC99*Calculateur!HE99*VLOOKUP('Données projet'!$B$18,Paramètres!$A$1:$I$88,3,0)*0.475*44/12</f>
        <v>0</v>
      </c>
      <c r="HI99" s="23">
        <f>EXP(-LN(2)/2)*HI98+(1-EXP(-LN(2)/2))/(LN(2)/2)*HC99*HF99*VLOOKUP('Données projet'!$B$18,Paramètres!$A$1:$I$88,3,0)*0.475*44/12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15</v>
      </c>
      <c r="N100" s="14">
        <f>IF('Données projet'!$A$36&gt;35,N99+M100-V99,IF(A100&lt;'Données projet'!$A$36,$K$205^A100,IF(A100='Données projet'!$A$36,'Données projet'!$B$36,N99+M100-V99)))</f>
        <v>809.99999999999989</v>
      </c>
      <c r="O100" s="14">
        <f>N100*VLOOKUP('Données projet'!$B$9,Paramètres!$A$1:$I$88,3,0)*VLOOKUP('Données projet'!$B$9,Paramètres!$A$1:$I$88,5,0)</f>
        <v>379.08</v>
      </c>
      <c r="P100" s="14">
        <f t="shared" si="87"/>
        <v>87.522288181554913</v>
      </c>
      <c r="Q100" s="22">
        <f t="shared" si="107"/>
        <v>812.66565191620805</v>
      </c>
      <c r="R100" s="62">
        <f t="shared" si="55"/>
        <v>1105.9989852495414</v>
      </c>
      <c r="S100" s="62">
        <f ca="1">AVERAGE(OFFSET($R$3,0,0,'Données projet'!$E$9+1,1))-AVERAGE(OFFSET($H$3,0,0,'Données projet'!$E$9+1,1))</f>
        <v>399.92909819003523</v>
      </c>
      <c r="T100" s="62">
        <f t="shared" si="88"/>
        <v>163.7053537268381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5.5</v>
      </c>
      <c r="AI100" s="14">
        <f>IF('Données projet'!$A$62&gt;35,AI99+AH100-AQ99,IF(A100&lt;'Données projet'!$A$62,$AF$205^A100,IF(A100='Données projet'!$A$62,'Données projet'!$B$62,AI99+AH100-AQ99)))</f>
        <v>316.00000000000017</v>
      </c>
      <c r="AJ100" s="14">
        <f>AI100*VLOOKUP('Données projet'!$B$10,Paramètres!$A$1:$I$88,3,0)*VLOOKUP('Données projet'!$B$10,Paramètres!$A$1:$I$88,5,0)</f>
        <v>285.91680000000014</v>
      </c>
      <c r="AK100" s="14">
        <f t="shared" si="89"/>
        <v>68.215872977287603</v>
      </c>
      <c r="AL100" s="22">
        <f t="shared" si="58"/>
        <v>616.78107210210942</v>
      </c>
      <c r="AM100" s="62">
        <f t="shared" si="59"/>
        <v>910.11440543544268</v>
      </c>
      <c r="AN100" s="62">
        <f ca="1">AVERAGE(OFFSET($AM$3,0,0,'Données projet'!$E$10+1,1))-AVERAGE(OFFSET($H$3,0,0,'Données projet'!$E$10+1,1))</f>
        <v>510.56580450928806</v>
      </c>
      <c r="AO100" s="62">
        <f t="shared" si="90"/>
        <v>278.21741231699929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</v>
      </c>
      <c r="BD100" s="13">
        <f>IF('Données projet'!$A$88&gt;35,BD99+BC100-BL99,IF(A100&lt;'Données projet'!$A$88,$BA$205^A100,IF(A100='Données projet'!$A$88,'Données projet'!$B$88,BD99+BC100-BL99)))</f>
        <v>337.99999999999955</v>
      </c>
      <c r="BE100" s="14">
        <f>BD100*VLOOKUP('Données projet'!$B$11,Paramètres!$A$1:$I$88,3,0)*VLOOKUP('Données projet'!$B$11,Paramètres!$A$1:$I$88,5,0)</f>
        <v>321.64079999999956</v>
      </c>
      <c r="BF100" s="14">
        <f t="shared" si="91"/>
        <v>75.694652325793101</v>
      </c>
      <c r="BG100" s="22">
        <f t="shared" si="61"/>
        <v>692.02591280075546</v>
      </c>
      <c r="BH100" s="62">
        <f t="shared" si="62"/>
        <v>985.35924613408883</v>
      </c>
      <c r="BI100" s="62">
        <f ca="1">AVERAGE(OFFSET($BH$3,0,0,'Données projet'!$E$11+1,1))-AVERAGE(OFFSET($H$3,0,0,'Données projet'!$E$11+1,1))</f>
        <v>525.51330555662139</v>
      </c>
      <c r="BJ100" s="62">
        <f t="shared" si="92"/>
        <v>357.72390083433635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1.7053025658242404E-13</v>
      </c>
      <c r="BZ100" s="14">
        <f>BY100*VLOOKUP('Données projet'!$B$12,Paramètres!$A$1:$I$88,3,0)*VLOOKUP('Données projet'!$B$12,Paramètres!$A$1:$I$88,5,0)</f>
        <v>1.0197709343628959E-13</v>
      </c>
      <c r="CA100" s="14">
        <f t="shared" si="93"/>
        <v>1.5284983994279675E-12</v>
      </c>
      <c r="CB100" s="22">
        <f t="shared" si="64"/>
        <v>2.839744816738581E-12</v>
      </c>
      <c r="CC100" s="62">
        <f t="shared" si="65"/>
        <v>293.33333333333616</v>
      </c>
      <c r="CD100" s="62">
        <f ca="1">AVERAGE(OFFSET($CC$3,0,0,'Données projet'!$E$12+1,1))-AVERAGE(OFFSET($H$3,0,0,'Données projet'!$E$12+1,1))</f>
        <v>227.46616726010473</v>
      </c>
      <c r="CE100" s="62">
        <f t="shared" si="94"/>
        <v>314.188568589113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31.922937184787077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1.144317693376397E-6</v>
      </c>
      <c r="CN100" s="24">
        <f t="shared" si="66"/>
        <v>31.92293832910477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projet'!$B$13,Paramètres!$A$1:$I$88,3,0)*VLOOKUP('Données projet'!$B$13,Paramètres!$A$1:$I$88,5,0)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356.46794174556311</v>
      </c>
      <c r="CZ100" s="62">
        <f t="shared" si="96"/>
        <v>248.47107558211923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0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projet'!$B$14,Paramètres!$A$1:$I$88,3,0)*VLOOKUP('Données projet'!$B$14,Paramètres!$A$1:$I$88,5,0)</f>
        <v>6.3550942286383367E-14</v>
      </c>
      <c r="DQ100" s="14">
        <f t="shared" si="97"/>
        <v>1.0064464192543978E-12</v>
      </c>
      <c r="DR100" s="22">
        <f t="shared" si="70"/>
        <v>1.8635787380168604E-12</v>
      </c>
      <c r="DS100" s="62">
        <f t="shared" si="71"/>
        <v>293.33333333333519</v>
      </c>
      <c r="DT100" s="62">
        <f ca="1">AVERAGE(OFFSET($DS$3,0,0,'Données projet'!$E$14+1,1))-AVERAGE(OFFSET($H$3,0,0,'Données projet'!$E$14+1,1))</f>
        <v>397.04445188588369</v>
      </c>
      <c r="DU100" s="62">
        <f t="shared" si="98"/>
        <v>350.01856672839466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1.3312318178157678</v>
      </c>
      <c r="EB100" s="23">
        <f>EXP(-LN(2)/25)*EB99+(1-EXP(-LN(2)/25))/(LN(2)/25)*Calculateur!DW100*Calculateur!DY100*VLOOKUP('Données projet'!$B$14,Paramètres!$A$1:$I$88,3,0)*0.475*44/12</f>
        <v>0</v>
      </c>
      <c r="EC100" s="23">
        <f>EXP(-LN(2)/2)*EC99+(1-EXP(-LN(2)/2))/(LN(2)/2)*DW100*DZ100*VLOOKUP('Données projet'!$B$14,Paramètres!$A$1:$I$88,3,0)*0.475*44/12</f>
        <v>1.333774646287556E-9</v>
      </c>
      <c r="ED100" s="24">
        <f t="shared" si="72"/>
        <v>1.3312318191495425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-1.9895196601282805E-13</v>
      </c>
      <c r="EK100" s="18">
        <f>EJ100*VLOOKUP('Données projet'!$B$15,Paramètres!$A$1:$I$88,3,0)*VLOOKUP('Données projet'!$B$15,Paramètres!$A$1:$I$88,5,0)</f>
        <v>-1.738044375088066E-13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202.5548390231225</v>
      </c>
      <c r="EP100" s="62">
        <f t="shared" si="100"/>
        <v>184.62184077734179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projet'!$B$15,Paramètres!$A$1:$I$88,3,0)*0.475*44/12</f>
        <v>0</v>
      </c>
      <c r="EW100" s="23">
        <f>EXP(-LN(2)/25)*EW99+(1-EXP(-LN(2)/25))/(LN(2)/25)*Calculateur!ER100*Calculateur!ET100*VLOOKUP('Données projet'!$B$15,Paramètres!$A$1:$I$88,3,0)*0.475*44/12</f>
        <v>0</v>
      </c>
      <c r="EX100" s="23">
        <f>EXP(-LN(2)/2)*EX99+(1-EXP(-LN(2)/2))/(LN(2)/2)*ER100*EU100*VLOOKUP('Données projet'!$B$15,Paramètres!$A$1:$I$88,3,0)*0.475*44/12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4.7</v>
      </c>
      <c r="FE100" s="13">
        <f>IF('Données projet'!$A$218&gt;35,FE99+FD100-FM99,IF(A100&lt;'Données projet'!$A$218,$FB$205^A100,IF(A100='Données projet'!$A$218,'Données projet'!$B$218,FE99+FD100-FM99)))</f>
        <v>267.39999999999964</v>
      </c>
      <c r="FF100" s="18">
        <f>FE100*VLOOKUP('Données projet'!$B$16,Paramètres!$A$1:$I$88,3,0)*VLOOKUP('Données projet'!$B$16,Paramètres!$A$1:$I$88,5,0)</f>
        <v>258.62927999999965</v>
      </c>
      <c r="FG100" s="14">
        <f t="shared" si="101"/>
        <v>62.430106017481812</v>
      </c>
      <c r="FH100" s="22">
        <f t="shared" si="76"/>
        <v>559.17843064711349</v>
      </c>
      <c r="FI100" s="62">
        <f t="shared" si="77"/>
        <v>852.51176398044686</v>
      </c>
      <c r="FJ100" s="62">
        <f ca="1">AVERAGE(OFFSET($FI$3,0,0,'Données projet'!$E$16+1,1))-AVERAGE(OFFSET($H$3,0,0,'Données projet'!$E$16+1,1))</f>
        <v>456.96274622094955</v>
      </c>
      <c r="FK100" s="62">
        <f t="shared" si="102"/>
        <v>244.45149244446094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projet'!$B$16,Paramètres!$A$1:$I$88,3,0)*0.475*44/12</f>
        <v>0</v>
      </c>
      <c r="FR100" s="23">
        <f>EXP(-LN(2)/25)*FR99+(1-EXP(-LN(2)/25))/(LN(2)/25)*Calculateur!FM100*Calculateur!FO100*VLOOKUP('Données projet'!$B$16,Paramètres!$A$1:$I$88,3,0)*0.475*44/12</f>
        <v>0</v>
      </c>
      <c r="FS100" s="23">
        <f>EXP(-LN(2)/2)*FS99+(1-EXP(-LN(2)/2))/(LN(2)/2)*FM100*FP100*VLOOKUP('Données projet'!$B$16,Paramètres!$A$1:$I$88,3,0)*0.475*44/12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4.7</v>
      </c>
      <c r="FZ100" s="13">
        <f>IF('Données projet'!$A$244&gt;35,FZ99+FY100-GH99,IF(A100&lt;'Données projet'!$A$244,$FW$205^A100,IF(A100='Données projet'!$A$244,'Données projet'!$B$244,FZ99+FY100-GH99)))</f>
        <v>267.39999999999964</v>
      </c>
      <c r="GA100" s="18">
        <f>FZ100*VLOOKUP('Données projet'!$B$17,Paramètres!$A$1:$I$88,3,0)*VLOOKUP('Données projet'!$B$17,Paramètres!$A$1:$I$88,5,0)</f>
        <v>287.82935999999961</v>
      </c>
      <c r="GB100" s="14">
        <f t="shared" si="103"/>
        <v>68.61891270137501</v>
      </c>
      <c r="GC100" s="22">
        <f t="shared" si="79"/>
        <v>620.81407495489407</v>
      </c>
      <c r="GD100" s="62">
        <f t="shared" si="80"/>
        <v>914.14740828822733</v>
      </c>
      <c r="GE100" s="62">
        <f ca="1">AVERAGE(OFFSET($GD$3,0,0,'Données projet'!$E$17+1,1))-AVERAGE(OFFSET($H$3,0,0,'Données projet'!$E$17+1,1))</f>
        <v>503.69304261527651</v>
      </c>
      <c r="GF100" s="62">
        <f t="shared" si="104"/>
        <v>267.2998309535638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projet'!$B$17,Paramètres!$A$1:$I$88,3,0)*0.475*44/12</f>
        <v>0</v>
      </c>
      <c r="GM100" s="23">
        <f>EXP(-LN(2)/25)*GM99+(1-EXP(-LN(2)/25))/(LN(2)/25)*Calculateur!GH100*Calculateur!GJ100*VLOOKUP('Données projet'!$B$17,Paramètres!$A$1:$I$88,3,0)*0.475*44/12</f>
        <v>0</v>
      </c>
      <c r="GN100" s="23">
        <f>EXP(-LN(2)/2)*GN99+(1-EXP(-LN(2)/2))/(LN(2)/2)*GH100*GK100*VLOOKUP('Données projet'!$B$17,Paramètres!$A$1:$I$88,3,0)*0.475*44/12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5.5</v>
      </c>
      <c r="GU100" s="13">
        <f>IF('Données projet'!$A$270&gt;35,GU99+GT100-HC99,IF(A100&lt;'Données projet'!$A$270,$GR$205^A100,IF(A100='Données projet'!$A$270,'Données projet'!$B$270,GU99+GT100-HC99)))</f>
        <v>316.00000000000017</v>
      </c>
      <c r="GV100" s="18">
        <f>GU100*VLOOKUP('Données projet'!$B$18,Paramètres!$A$1:$I$88,3,0)*VLOOKUP('Données projet'!$B$18,Paramètres!$A$1:$I$88,5,0)</f>
        <v>330.28320000000025</v>
      </c>
      <c r="GW100" s="14">
        <f t="shared" si="105"/>
        <v>77.489018825579294</v>
      </c>
      <c r="GX100" s="22">
        <f t="shared" si="82"/>
        <v>710.20328112121763</v>
      </c>
      <c r="GY100" s="62">
        <f t="shared" si="83"/>
        <v>1003.536614454551</v>
      </c>
      <c r="GZ100" s="62">
        <f ca="1">AVERAGE(OFFSET($GY$3,0,0,'Données projet'!$E$18+1,1))-AVERAGE(OFFSET($H$3,0,0,'Données projet'!$E$18+1,1))</f>
        <v>582.89879210197682</v>
      </c>
      <c r="HA100" s="62">
        <f t="shared" si="106"/>
        <v>314.72094983133326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projet'!$B$18,Paramètres!$A$1:$I$88,3,0)*0.475*44/12</f>
        <v>0</v>
      </c>
      <c r="HH100" s="23">
        <f>EXP(-LN(2)/25)*HH99+(1-EXP(-LN(2)/25))/(LN(2)/25)*Calculateur!HC100*Calculateur!HE100*VLOOKUP('Données projet'!$B$18,Paramètres!$A$1:$I$88,3,0)*0.475*44/12</f>
        <v>0</v>
      </c>
      <c r="HI100" s="23">
        <f>EXP(-LN(2)/2)*HI99+(1-EXP(-LN(2)/2))/(LN(2)/2)*HC100*HF100*VLOOKUP('Données projet'!$B$18,Paramètres!$A$1:$I$88,3,0)*0.475*44/12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15</v>
      </c>
      <c r="N101" s="14">
        <f>IF('Données projet'!$A$36&gt;35,N100+M101-V100,IF(A101&lt;'Données projet'!$A$36,$K$205^A101,IF(A101='Données projet'!$A$36,'Données projet'!$B$36,N100+M101-V100)))</f>
        <v>824.99999999999989</v>
      </c>
      <c r="O101" s="14">
        <f>N101*VLOOKUP('Données projet'!$B$9,Paramètres!$A$1:$I$88,3,0)*VLOOKUP('Données projet'!$B$9,Paramètres!$A$1:$I$88,5,0)</f>
        <v>386.09999999999997</v>
      </c>
      <c r="P101" s="14">
        <f t="shared" si="87"/>
        <v>88.952879163979915</v>
      </c>
      <c r="Q101" s="22">
        <f t="shared" si="107"/>
        <v>827.38376454393153</v>
      </c>
      <c r="R101" s="62">
        <f t="shared" si="55"/>
        <v>1120.7170978772649</v>
      </c>
      <c r="S101" s="62">
        <f ca="1">AVERAGE(OFFSET($R$3,0,0,'Données projet'!$E$9+1,1))-AVERAGE(OFFSET($H$3,0,0,'Données projet'!$E$9+1,1))</f>
        <v>399.92909819003523</v>
      </c>
      <c r="T101" s="62">
        <f t="shared" si="88"/>
        <v>163.7053537268381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5.5</v>
      </c>
      <c r="AI101" s="14">
        <f>IF('Données projet'!$A$62&gt;35,AI100+AH101-AQ100,IF(A101&lt;'Données projet'!$A$62,$AF$205^A101,IF(A101='Données projet'!$A$62,'Données projet'!$B$62,AI100+AH101-AQ100)))</f>
        <v>321.50000000000017</v>
      </c>
      <c r="AJ101" s="14">
        <f>AI101*VLOOKUP('Données projet'!$B$10,Paramètres!$A$1:$I$88,3,0)*VLOOKUP('Données projet'!$B$10,Paramètres!$A$1:$I$88,5,0)</f>
        <v>290.89320000000015</v>
      </c>
      <c r="AK101" s="14">
        <f t="shared" si="89"/>
        <v>69.263916768293996</v>
      </c>
      <c r="AL101" s="22">
        <f t="shared" si="58"/>
        <v>627.27364503811225</v>
      </c>
      <c r="AM101" s="62">
        <f t="shared" si="59"/>
        <v>920.60697837144562</v>
      </c>
      <c r="AN101" s="62">
        <f ca="1">AVERAGE(OFFSET($AM$3,0,0,'Données projet'!$E$10+1,1))-AVERAGE(OFFSET($H$3,0,0,'Données projet'!$E$10+1,1))</f>
        <v>510.56580450928806</v>
      </c>
      <c r="AO101" s="62">
        <f t="shared" si="90"/>
        <v>278.21741231699929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</v>
      </c>
      <c r="BD101" s="13">
        <f>IF('Données projet'!$A$88&gt;35,BD100+BC101-BL100,IF(A101&lt;'Données projet'!$A$88,$BA$205^A101,IF(A101='Données projet'!$A$88,'Données projet'!$B$88,BD100+BC101-BL100)))</f>
        <v>342.99999999999955</v>
      </c>
      <c r="BE101" s="14">
        <f>BD101*VLOOKUP('Données projet'!$B$11,Paramètres!$A$1:$I$88,3,0)*VLOOKUP('Données projet'!$B$11,Paramètres!$A$1:$I$88,5,0)</f>
        <v>326.39879999999954</v>
      </c>
      <c r="BF101" s="14">
        <f t="shared" si="91"/>
        <v>76.683210401884025</v>
      </c>
      <c r="BG101" s="22">
        <f t="shared" si="61"/>
        <v>702.03450144994724</v>
      </c>
      <c r="BH101" s="62">
        <f t="shared" si="62"/>
        <v>995.36783478328061</v>
      </c>
      <c r="BI101" s="62">
        <f ca="1">AVERAGE(OFFSET($BH$3,0,0,'Données projet'!$E$11+1,1))-AVERAGE(OFFSET($H$3,0,0,'Données projet'!$E$11+1,1))</f>
        <v>525.51330555662139</v>
      </c>
      <c r="BJ101" s="62">
        <f t="shared" si="92"/>
        <v>357.72390083433635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1.7053025658242404E-13</v>
      </c>
      <c r="BZ101" s="14">
        <f>BY101*VLOOKUP('Données projet'!$B$12,Paramètres!$A$1:$I$88,3,0)*VLOOKUP('Données projet'!$B$12,Paramètres!$A$1:$I$88,5,0)</f>
        <v>1.0197709343628959E-13</v>
      </c>
      <c r="CA101" s="14">
        <f t="shared" si="93"/>
        <v>1.5284983994279675E-12</v>
      </c>
      <c r="CB101" s="22">
        <f t="shared" si="64"/>
        <v>2.839744816738581E-12</v>
      </c>
      <c r="CC101" s="62">
        <f t="shared" si="65"/>
        <v>293.33333333333616</v>
      </c>
      <c r="CD101" s="62">
        <f ca="1">AVERAGE(OFFSET($CC$3,0,0,'Données projet'!$E$12+1,1))-AVERAGE(OFFSET($H$3,0,0,'Données projet'!$E$12+1,1))</f>
        <v>227.46616726010473</v>
      </c>
      <c r="CE101" s="62">
        <f t="shared" si="94"/>
        <v>314.188568589113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31.296947857662477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8.0915480081819874E-7</v>
      </c>
      <c r="CN101" s="24">
        <f t="shared" si="66"/>
        <v>31.296948666817279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projet'!$B$13,Paramètres!$A$1:$I$88,3,0)*VLOOKUP('Données projet'!$B$13,Paramètres!$A$1:$I$88,5,0)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356.46794174556311</v>
      </c>
      <c r="CZ101" s="62">
        <f t="shared" si="96"/>
        <v>248.47107558211923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0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projet'!$B$14,Paramètres!$A$1:$I$88,3,0)*VLOOKUP('Données projet'!$B$14,Paramètres!$A$1:$I$88,5,0)</f>
        <v>6.3550942286383367E-14</v>
      </c>
      <c r="DQ101" s="14">
        <f t="shared" si="97"/>
        <v>1.0064464192543978E-12</v>
      </c>
      <c r="DR101" s="22">
        <f t="shared" si="70"/>
        <v>1.8635787380168604E-12</v>
      </c>
      <c r="DS101" s="62">
        <f t="shared" si="71"/>
        <v>293.33333333333519</v>
      </c>
      <c r="DT101" s="62">
        <f ca="1">AVERAGE(OFFSET($DS$3,0,0,'Données projet'!$E$14+1,1))-AVERAGE(OFFSET($H$3,0,0,'Données projet'!$E$14+1,1))</f>
        <v>397.04445188588369</v>
      </c>
      <c r="DU101" s="62">
        <f t="shared" si="98"/>
        <v>350.01856672839466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1.3051271738396339</v>
      </c>
      <c r="EB101" s="23">
        <f>EXP(-LN(2)/25)*EB100+(1-EXP(-LN(2)/25))/(LN(2)/25)*Calculateur!DW101*Calculateur!DY101*VLOOKUP('Données projet'!$B$14,Paramètres!$A$1:$I$88,3,0)*0.475*44/12</f>
        <v>0</v>
      </c>
      <c r="EC101" s="23">
        <f>EXP(-LN(2)/2)*EC100+(1-EXP(-LN(2)/2))/(LN(2)/2)*DW101*DZ101*VLOOKUP('Données projet'!$B$14,Paramètres!$A$1:$I$88,3,0)*0.475*44/12</f>
        <v>9.4312109696461968E-10</v>
      </c>
      <c r="ED101" s="24">
        <f t="shared" si="72"/>
        <v>1.3051271747827551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-1.9895196601282805E-13</v>
      </c>
      <c r="EK101" s="18">
        <f>EJ101*VLOOKUP('Données projet'!$B$15,Paramètres!$A$1:$I$88,3,0)*VLOOKUP('Données projet'!$B$15,Paramètres!$A$1:$I$88,5,0)</f>
        <v>-1.738044375088066E-13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202.5548390231225</v>
      </c>
      <c r="EP101" s="62">
        <f t="shared" si="100"/>
        <v>184.62184077734179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projet'!$B$15,Paramètres!$A$1:$I$88,3,0)*0.475*44/12</f>
        <v>0</v>
      </c>
      <c r="EW101" s="23">
        <f>EXP(-LN(2)/25)*EW100+(1-EXP(-LN(2)/25))/(LN(2)/25)*Calculateur!ER101*Calculateur!ET101*VLOOKUP('Données projet'!$B$15,Paramètres!$A$1:$I$88,3,0)*0.475*44/12</f>
        <v>0</v>
      </c>
      <c r="EX101" s="23">
        <f>EXP(-LN(2)/2)*EX100+(1-EXP(-LN(2)/2))/(LN(2)/2)*ER101*EU101*VLOOKUP('Données projet'!$B$15,Paramètres!$A$1:$I$88,3,0)*0.475*44/12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4.7</v>
      </c>
      <c r="FE101" s="13">
        <f>IF('Données projet'!$A$218&gt;35,FE100+FD101-FM100,IF(A101&lt;'Données projet'!$A$218,$FB$205^A101,IF(A101='Données projet'!$A$218,'Données projet'!$B$218,FE100+FD101-FM100)))</f>
        <v>272.09999999999962</v>
      </c>
      <c r="FF101" s="18">
        <f>FE101*VLOOKUP('Données projet'!$B$16,Paramètres!$A$1:$I$88,3,0)*VLOOKUP('Données projet'!$B$16,Paramètres!$A$1:$I$88,5,0)</f>
        <v>263.17511999999965</v>
      </c>
      <c r="FG101" s="14">
        <f t="shared" si="101"/>
        <v>63.398706369770494</v>
      </c>
      <c r="FH101" s="22">
        <f t="shared" si="76"/>
        <v>568.78274759401631</v>
      </c>
      <c r="FI101" s="62">
        <f t="shared" si="77"/>
        <v>862.11608092734969</v>
      </c>
      <c r="FJ101" s="62">
        <f ca="1">AVERAGE(OFFSET($FI$3,0,0,'Données projet'!$E$16+1,1))-AVERAGE(OFFSET($H$3,0,0,'Données projet'!$E$16+1,1))</f>
        <v>456.96274622094955</v>
      </c>
      <c r="FK101" s="62">
        <f t="shared" si="102"/>
        <v>244.45149244446094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projet'!$B$16,Paramètres!$A$1:$I$88,3,0)*0.475*44/12</f>
        <v>0</v>
      </c>
      <c r="FR101" s="23">
        <f>EXP(-LN(2)/25)*FR100+(1-EXP(-LN(2)/25))/(LN(2)/25)*Calculateur!FM101*Calculateur!FO101*VLOOKUP('Données projet'!$B$16,Paramètres!$A$1:$I$88,3,0)*0.475*44/12</f>
        <v>0</v>
      </c>
      <c r="FS101" s="23">
        <f>EXP(-LN(2)/2)*FS100+(1-EXP(-LN(2)/2))/(LN(2)/2)*FM101*FP101*VLOOKUP('Données projet'!$B$16,Paramètres!$A$1:$I$88,3,0)*0.475*44/12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4.7</v>
      </c>
      <c r="FZ101" s="13">
        <f>IF('Données projet'!$A$244&gt;35,FZ100+FY101-GH100,IF(A101&lt;'Données projet'!$A$244,$FW$205^A101,IF(A101='Données projet'!$A$244,'Données projet'!$B$244,FZ100+FY101-GH100)))</f>
        <v>272.09999999999962</v>
      </c>
      <c r="GA101" s="18">
        <f>FZ101*VLOOKUP('Données projet'!$B$17,Paramètres!$A$1:$I$88,3,0)*VLOOKUP('Données projet'!$B$17,Paramètres!$A$1:$I$88,5,0)</f>
        <v>292.8884399999996</v>
      </c>
      <c r="GB101" s="14">
        <f t="shared" si="103"/>
        <v>69.68353211748817</v>
      </c>
      <c r="GC101" s="22">
        <f t="shared" si="79"/>
        <v>631.47951810462462</v>
      </c>
      <c r="GD101" s="62">
        <f t="shared" si="80"/>
        <v>924.81285143795799</v>
      </c>
      <c r="GE101" s="62">
        <f ca="1">AVERAGE(OFFSET($GD$3,0,0,'Données projet'!$E$17+1,1))-AVERAGE(OFFSET($H$3,0,0,'Données projet'!$E$17+1,1))</f>
        <v>503.69304261527651</v>
      </c>
      <c r="GF101" s="62">
        <f t="shared" si="104"/>
        <v>267.2998309535638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projet'!$B$17,Paramètres!$A$1:$I$88,3,0)*0.475*44/12</f>
        <v>0</v>
      </c>
      <c r="GM101" s="23">
        <f>EXP(-LN(2)/25)*GM100+(1-EXP(-LN(2)/25))/(LN(2)/25)*Calculateur!GH101*Calculateur!GJ101*VLOOKUP('Données projet'!$B$17,Paramètres!$A$1:$I$88,3,0)*0.475*44/12</f>
        <v>0</v>
      </c>
      <c r="GN101" s="23">
        <f>EXP(-LN(2)/2)*GN100+(1-EXP(-LN(2)/2))/(LN(2)/2)*GH101*GK101*VLOOKUP('Données projet'!$B$17,Paramètres!$A$1:$I$88,3,0)*0.475*44/12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5.5</v>
      </c>
      <c r="GU101" s="13">
        <f>IF('Données projet'!$A$270&gt;35,GU100+GT101-HC100,IF(A101&lt;'Données projet'!$A$270,$GR$205^A101,IF(A101='Données projet'!$A$270,'Données projet'!$B$270,GU100+GT101-HC100)))</f>
        <v>321.50000000000017</v>
      </c>
      <c r="GV101" s="18">
        <f>GU101*VLOOKUP('Données projet'!$B$18,Paramètres!$A$1:$I$88,3,0)*VLOOKUP('Données projet'!$B$18,Paramètres!$A$1:$I$88,5,0)</f>
        <v>336.0318000000002</v>
      </c>
      <c r="GW101" s="14">
        <f t="shared" si="105"/>
        <v>78.679531847062805</v>
      </c>
      <c r="GX101" s="22">
        <f t="shared" si="82"/>
        <v>722.28890296696807</v>
      </c>
      <c r="GY101" s="62">
        <f t="shared" si="83"/>
        <v>1015.6222363003014</v>
      </c>
      <c r="GZ101" s="62">
        <f ca="1">AVERAGE(OFFSET($GY$3,0,0,'Données projet'!$E$18+1,1))-AVERAGE(OFFSET($H$3,0,0,'Données projet'!$E$18+1,1))</f>
        <v>582.89879210197682</v>
      </c>
      <c r="HA101" s="62">
        <f t="shared" si="106"/>
        <v>314.72094983133326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projet'!$B$18,Paramètres!$A$1:$I$88,3,0)*0.475*44/12</f>
        <v>0</v>
      </c>
      <c r="HH101" s="23">
        <f>EXP(-LN(2)/25)*HH100+(1-EXP(-LN(2)/25))/(LN(2)/25)*Calculateur!HC101*Calculateur!HE101*VLOOKUP('Données projet'!$B$18,Paramètres!$A$1:$I$88,3,0)*0.475*44/12</f>
        <v>0</v>
      </c>
      <c r="HI101" s="23">
        <f>EXP(-LN(2)/2)*HI100+(1-EXP(-LN(2)/2))/(LN(2)/2)*HC101*HF101*VLOOKUP('Données projet'!$B$18,Paramètres!$A$1:$I$88,3,0)*0.475*44/12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15</v>
      </c>
      <c r="N102" s="14">
        <f>IF('Données projet'!$A$36&gt;35,N101+M102-V101,IF(A102&lt;'Données projet'!$A$36,$K$205^A102,IF(A102='Données projet'!$A$36,'Données projet'!$B$36,N101+M102-V101)))</f>
        <v>839.99999999999989</v>
      </c>
      <c r="O102" s="14">
        <f>N102*VLOOKUP('Données projet'!$B$9,Paramètres!$A$1:$I$88,3,0)*VLOOKUP('Données projet'!$B$9,Paramètres!$A$1:$I$88,5,0)</f>
        <v>393.11999999999989</v>
      </c>
      <c r="P102" s="14">
        <f t="shared" si="87"/>
        <v>90.380445521044919</v>
      </c>
      <c r="Q102" s="22">
        <f t="shared" si="107"/>
        <v>842.09660928248638</v>
      </c>
      <c r="R102" s="62">
        <f t="shared" si="55"/>
        <v>1135.4299426158198</v>
      </c>
      <c r="S102" s="62">
        <f ca="1">AVERAGE(OFFSET($R$3,0,0,'Données projet'!$E$9+1,1))-AVERAGE(OFFSET($H$3,0,0,'Données projet'!$E$9+1,1))</f>
        <v>399.92909819003523</v>
      </c>
      <c r="T102" s="62">
        <f t="shared" si="88"/>
        <v>163.7053537268381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5.5</v>
      </c>
      <c r="AI102" s="14">
        <f>IF('Données projet'!$A$62&gt;35,AI101+AH102-AQ101,IF(A102&lt;'Données projet'!$A$62,$AF$205^A102,IF(A102='Données projet'!$A$62,'Données projet'!$B$62,AI101+AH102-AQ101)))</f>
        <v>327.00000000000017</v>
      </c>
      <c r="AJ102" s="14">
        <f>AI102*VLOOKUP('Données projet'!$B$10,Paramètres!$A$1:$I$88,3,0)*VLOOKUP('Données projet'!$B$10,Paramètres!$A$1:$I$88,5,0)</f>
        <v>295.86960000000016</v>
      </c>
      <c r="AK102" s="14">
        <f t="shared" si="89"/>
        <v>70.309875568291275</v>
      </c>
      <c r="AL102" s="22">
        <f t="shared" si="58"/>
        <v>637.76258661477414</v>
      </c>
      <c r="AM102" s="62">
        <f t="shared" si="59"/>
        <v>931.09591994810739</v>
      </c>
      <c r="AN102" s="62">
        <f ca="1">AVERAGE(OFFSET($AM$3,0,0,'Données projet'!$E$10+1,1))-AVERAGE(OFFSET($H$3,0,0,'Données projet'!$E$10+1,1))</f>
        <v>510.56580450928806</v>
      </c>
      <c r="AO102" s="62">
        <f t="shared" si="90"/>
        <v>278.21741231699929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</v>
      </c>
      <c r="BD102" s="13">
        <f>IF('Données projet'!$A$88&gt;35,BD101+BC102-BL101,IF(A102&lt;'Données projet'!$A$88,$BA$205^A102,IF(A102='Données projet'!$A$88,'Données projet'!$B$88,BD101+BC102-BL101)))</f>
        <v>347.99999999999955</v>
      </c>
      <c r="BE102" s="14">
        <f>BD102*VLOOKUP('Données projet'!$B$11,Paramètres!$A$1:$I$88,3,0)*VLOOKUP('Données projet'!$B$11,Paramètres!$A$1:$I$88,5,0)</f>
        <v>331.15679999999958</v>
      </c>
      <c r="BF102" s="14">
        <f t="shared" si="91"/>
        <v>77.670092459063198</v>
      </c>
      <c r="BG102" s="22">
        <f t="shared" si="61"/>
        <v>712.04017103286753</v>
      </c>
      <c r="BH102" s="62">
        <f t="shared" si="62"/>
        <v>1005.3735043662009</v>
      </c>
      <c r="BI102" s="62">
        <f ca="1">AVERAGE(OFFSET($BH$3,0,0,'Données projet'!$E$11+1,1))-AVERAGE(OFFSET($H$3,0,0,'Données projet'!$E$11+1,1))</f>
        <v>525.51330555662139</v>
      </c>
      <c r="BJ102" s="62">
        <f t="shared" si="92"/>
        <v>357.72390083433635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1.7053025658242404E-13</v>
      </c>
      <c r="BZ102" s="14">
        <f>BY102*VLOOKUP('Données projet'!$B$12,Paramètres!$A$1:$I$88,3,0)*VLOOKUP('Données projet'!$B$12,Paramètres!$A$1:$I$88,5,0)</f>
        <v>1.0197709343628959E-13</v>
      </c>
      <c r="CA102" s="14">
        <f t="shared" si="93"/>
        <v>1.5284983994279675E-12</v>
      </c>
      <c r="CB102" s="22">
        <f t="shared" si="64"/>
        <v>2.839744816738581E-12</v>
      </c>
      <c r="CC102" s="62">
        <f t="shared" si="65"/>
        <v>293.33333333333616</v>
      </c>
      <c r="CD102" s="62">
        <f ca="1">AVERAGE(OFFSET($CC$3,0,0,'Données projet'!$E$12+1,1))-AVERAGE(OFFSET($H$3,0,0,'Données projet'!$E$12+1,1))</f>
        <v>227.46616726010473</v>
      </c>
      <c r="CE102" s="62">
        <f t="shared" si="94"/>
        <v>314.188568589113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30.683233799427001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5.721588466881985E-7</v>
      </c>
      <c r="CN102" s="24">
        <f t="shared" si="66"/>
        <v>30.683234371585847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projet'!$B$13,Paramètres!$A$1:$I$88,3,0)*VLOOKUP('Données projet'!$B$13,Paramètres!$A$1:$I$88,5,0)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356.46794174556311</v>
      </c>
      <c r="CZ102" s="62">
        <f t="shared" si="96"/>
        <v>248.47107558211923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0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projet'!$B$14,Paramètres!$A$1:$I$88,3,0)*VLOOKUP('Données projet'!$B$14,Paramètres!$A$1:$I$88,5,0)</f>
        <v>6.3550942286383367E-14</v>
      </c>
      <c r="DQ102" s="14">
        <f t="shared" si="97"/>
        <v>1.0064464192543978E-12</v>
      </c>
      <c r="DR102" s="22">
        <f t="shared" si="70"/>
        <v>1.8635787380168604E-12</v>
      </c>
      <c r="DS102" s="62">
        <f t="shared" si="71"/>
        <v>293.33333333333519</v>
      </c>
      <c r="DT102" s="62">
        <f ca="1">AVERAGE(OFFSET($DS$3,0,0,'Données projet'!$E$14+1,1))-AVERAGE(OFFSET($H$3,0,0,'Données projet'!$E$14+1,1))</f>
        <v>397.04445188588369</v>
      </c>
      <c r="DU102" s="62">
        <f t="shared" si="98"/>
        <v>350.01856672839466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1.2795344260096115</v>
      </c>
      <c r="EB102" s="23">
        <f>EXP(-LN(2)/25)*EB101+(1-EXP(-LN(2)/25))/(LN(2)/25)*Calculateur!DW102*Calculateur!DY102*VLOOKUP('Données projet'!$B$14,Paramètres!$A$1:$I$88,3,0)*0.475*44/12</f>
        <v>0</v>
      </c>
      <c r="EC102" s="23">
        <f>EXP(-LN(2)/2)*EC101+(1-EXP(-LN(2)/2))/(LN(2)/2)*DW102*DZ102*VLOOKUP('Données projet'!$B$14,Paramètres!$A$1:$I$88,3,0)*0.475*44/12</f>
        <v>6.66887323143778E-10</v>
      </c>
      <c r="ED102" s="24">
        <f t="shared" si="72"/>
        <v>1.279534426676499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-1.9895196601282805E-13</v>
      </c>
      <c r="EK102" s="18">
        <f>EJ102*VLOOKUP('Données projet'!$B$15,Paramètres!$A$1:$I$88,3,0)*VLOOKUP('Données projet'!$B$15,Paramètres!$A$1:$I$88,5,0)</f>
        <v>-1.738044375088066E-13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202.5548390231225</v>
      </c>
      <c r="EP102" s="62">
        <f t="shared" si="100"/>
        <v>184.62184077734179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projet'!$B$15,Paramètres!$A$1:$I$88,3,0)*0.475*44/12</f>
        <v>0</v>
      </c>
      <c r="EW102" s="23">
        <f>EXP(-LN(2)/25)*EW101+(1-EXP(-LN(2)/25))/(LN(2)/25)*Calculateur!ER102*Calculateur!ET102*VLOOKUP('Données projet'!$B$15,Paramètres!$A$1:$I$88,3,0)*0.475*44/12</f>
        <v>0</v>
      </c>
      <c r="EX102" s="23">
        <f>EXP(-LN(2)/2)*EX101+(1-EXP(-LN(2)/2))/(LN(2)/2)*ER102*EU102*VLOOKUP('Données projet'!$B$15,Paramètres!$A$1:$I$88,3,0)*0.475*44/12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4.7</v>
      </c>
      <c r="FE102" s="13">
        <f>IF('Données projet'!$A$218&gt;35,FE101+FD102-FM101,IF(A102&lt;'Données projet'!$A$218,$FB$205^A102,IF(A102='Données projet'!$A$218,'Données projet'!$B$218,FE101+FD102-FM101)))</f>
        <v>276.79999999999961</v>
      </c>
      <c r="FF102" s="18">
        <f>FE102*VLOOKUP('Données projet'!$B$16,Paramètres!$A$1:$I$88,3,0)*VLOOKUP('Données projet'!$B$16,Paramètres!$A$1:$I$88,5,0)</f>
        <v>267.72095999999965</v>
      </c>
      <c r="FG102" s="14">
        <f t="shared" si="101"/>
        <v>64.365361123519889</v>
      </c>
      <c r="FH102" s="22">
        <f t="shared" si="76"/>
        <v>578.38367595679654</v>
      </c>
      <c r="FI102" s="62">
        <f t="shared" si="77"/>
        <v>871.71700929012991</v>
      </c>
      <c r="FJ102" s="62">
        <f ca="1">AVERAGE(OFFSET($FI$3,0,0,'Données projet'!$E$16+1,1))-AVERAGE(OFFSET($H$3,0,0,'Données projet'!$E$16+1,1))</f>
        <v>456.96274622094955</v>
      </c>
      <c r="FK102" s="62">
        <f t="shared" si="102"/>
        <v>244.45149244446094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projet'!$B$16,Paramètres!$A$1:$I$88,3,0)*0.475*44/12</f>
        <v>0</v>
      </c>
      <c r="FR102" s="23">
        <f>EXP(-LN(2)/25)*FR101+(1-EXP(-LN(2)/25))/(LN(2)/25)*Calculateur!FM102*Calculateur!FO102*VLOOKUP('Données projet'!$B$16,Paramètres!$A$1:$I$88,3,0)*0.475*44/12</f>
        <v>0</v>
      </c>
      <c r="FS102" s="23">
        <f>EXP(-LN(2)/2)*FS101+(1-EXP(-LN(2)/2))/(LN(2)/2)*FM102*FP102*VLOOKUP('Données projet'!$B$16,Paramètres!$A$1:$I$88,3,0)*0.475*44/12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4.7</v>
      </c>
      <c r="FZ102" s="13">
        <f>IF('Données projet'!$A$244&gt;35,FZ101+FY102-GH101,IF(A102&lt;'Données projet'!$A$244,$FW$205^A102,IF(A102='Données projet'!$A$244,'Données projet'!$B$244,FZ101+FY102-GH101)))</f>
        <v>276.79999999999961</v>
      </c>
      <c r="GA102" s="18">
        <f>FZ102*VLOOKUP('Données projet'!$B$17,Paramètres!$A$1:$I$88,3,0)*VLOOKUP('Données projet'!$B$17,Paramètres!$A$1:$I$88,5,0)</f>
        <v>297.94751999999954</v>
      </c>
      <c r="GB102" s="14">
        <f t="shared" si="103"/>
        <v>70.746013064442209</v>
      </c>
      <c r="GC102" s="22">
        <f t="shared" si="79"/>
        <v>642.14123675390272</v>
      </c>
      <c r="GD102" s="62">
        <f t="shared" si="80"/>
        <v>935.47457008723609</v>
      </c>
      <c r="GE102" s="62">
        <f ca="1">AVERAGE(OFFSET($GD$3,0,0,'Données projet'!$E$17+1,1))-AVERAGE(OFFSET($H$3,0,0,'Données projet'!$E$17+1,1))</f>
        <v>503.69304261527651</v>
      </c>
      <c r="GF102" s="62">
        <f t="shared" si="104"/>
        <v>267.2998309535638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projet'!$B$17,Paramètres!$A$1:$I$88,3,0)*0.475*44/12</f>
        <v>0</v>
      </c>
      <c r="GM102" s="23">
        <f>EXP(-LN(2)/25)*GM101+(1-EXP(-LN(2)/25))/(LN(2)/25)*Calculateur!GH102*Calculateur!GJ102*VLOOKUP('Données projet'!$B$17,Paramètres!$A$1:$I$88,3,0)*0.475*44/12</f>
        <v>0</v>
      </c>
      <c r="GN102" s="23">
        <f>EXP(-LN(2)/2)*GN101+(1-EXP(-LN(2)/2))/(LN(2)/2)*GH102*GK102*VLOOKUP('Données projet'!$B$17,Paramètres!$A$1:$I$88,3,0)*0.475*44/12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5.5</v>
      </c>
      <c r="GU102" s="13">
        <f>IF('Données projet'!$A$270&gt;35,GU101+GT102-HC101,IF(A102&lt;'Données projet'!$A$270,$GR$205^A102,IF(A102='Données projet'!$A$270,'Données projet'!$B$270,GU101+GT102-HC101)))</f>
        <v>327.00000000000017</v>
      </c>
      <c r="GV102" s="18">
        <f>GU102*VLOOKUP('Données projet'!$B$18,Paramètres!$A$1:$I$88,3,0)*VLOOKUP('Données projet'!$B$18,Paramètres!$A$1:$I$88,5,0)</f>
        <v>341.78040000000021</v>
      </c>
      <c r="GW102" s="14">
        <f t="shared" si="105"/>
        <v>79.867676447524858</v>
      </c>
      <c r="GX102" s="22">
        <f t="shared" si="82"/>
        <v>734.37039981277292</v>
      </c>
      <c r="GY102" s="62">
        <f t="shared" si="83"/>
        <v>1027.7037331461063</v>
      </c>
      <c r="GZ102" s="62">
        <f ca="1">AVERAGE(OFFSET($GY$3,0,0,'Données projet'!$E$18+1,1))-AVERAGE(OFFSET($H$3,0,0,'Données projet'!$E$18+1,1))</f>
        <v>582.89879210197682</v>
      </c>
      <c r="HA102" s="62">
        <f t="shared" si="106"/>
        <v>314.72094983133326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projet'!$B$18,Paramètres!$A$1:$I$88,3,0)*0.475*44/12</f>
        <v>0</v>
      </c>
      <c r="HH102" s="23">
        <f>EXP(-LN(2)/25)*HH101+(1-EXP(-LN(2)/25))/(LN(2)/25)*Calculateur!HC102*Calculateur!HE102*VLOOKUP('Données projet'!$B$18,Paramètres!$A$1:$I$88,3,0)*0.475*44/12</f>
        <v>0</v>
      </c>
      <c r="HI102" s="23">
        <f>EXP(-LN(2)/2)*HI101+(1-EXP(-LN(2)/2))/(LN(2)/2)*HC102*HF102*VLOOKUP('Données projet'!$B$18,Paramètres!$A$1:$I$88,3,0)*0.475*44/12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855</v>
      </c>
      <c r="L103" s="13">
        <f>VLOOKUP(A103,'Données projet'!$A$35:$I$55,9,0)</f>
        <v>15</v>
      </c>
      <c r="M103" s="13">
        <f t="array" ref="M103">INDEX(L:L,MIN(IF(ISNUMBER(L103:L299),ROW(L103:L299),"")))</f>
        <v>15</v>
      </c>
      <c r="N103" s="14">
        <f>IF('Données projet'!$A$36&gt;35,N102+M103-V102,IF(A103&lt;'Données projet'!$A$36,$K$205^A103,IF(A103='Données projet'!$A$36,'Données projet'!$B$36,N102+M103-V102)))</f>
        <v>854.99999999999989</v>
      </c>
      <c r="O103" s="14">
        <f>N103*VLOOKUP('Données projet'!$B$9,Paramètres!$A$1:$I$88,3,0)*VLOOKUP('Données projet'!$B$9,Paramètres!$A$1:$I$88,5,0)</f>
        <v>400.13999999999993</v>
      </c>
      <c r="P103" s="14">
        <f t="shared" si="87"/>
        <v>91.805047494648534</v>
      </c>
      <c r="Q103" s="22">
        <f t="shared" si="107"/>
        <v>856.80429105317944</v>
      </c>
      <c r="R103" s="62">
        <f t="shared" si="55"/>
        <v>1150.1376243865127</v>
      </c>
      <c r="S103" s="62">
        <f ca="1">AVERAGE(OFFSET($R$3,0,0,'Données projet'!$E$9+1,1))-AVERAGE(OFFSET($H$3,0,0,'Données projet'!$E$9+1,1))</f>
        <v>399.92909819003523</v>
      </c>
      <c r="T103" s="62">
        <f t="shared" si="88"/>
        <v>163.7053537268381</v>
      </c>
      <c r="U103" s="16">
        <f>IF(ISNA(VLOOKUP(A103,'Données projet'!$A$35:$I$55,3,0)),0,VLOOKUP(A103,'Données projet'!$A$35:$I$55,3,0))</f>
        <v>7</v>
      </c>
      <c r="V103" s="16">
        <f>IF(ISNA(VLOOKUP(A103,'Données projet'!$A$35:$I$55,4,0)),0,VLOOKUP(A103,'Données projet'!$A$35:$I$55,4,0))</f>
        <v>855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5.5</v>
      </c>
      <c r="AI103" s="14">
        <f>IF('Données projet'!$A$62&gt;35,AI102+AH103-AQ102,IF(A103&lt;'Données projet'!$A$62,$AF$205^A103,IF(A103='Données projet'!$A$62,'Données projet'!$B$62,AI102+AH103-AQ102)))</f>
        <v>332.50000000000017</v>
      </c>
      <c r="AJ103" s="14">
        <f>AI103*VLOOKUP('Données projet'!$B$10,Paramètres!$A$1:$I$88,3,0)*VLOOKUP('Données projet'!$B$10,Paramètres!$A$1:$I$88,5,0)</f>
        <v>300.84600000000012</v>
      </c>
      <c r="AK103" s="14">
        <f t="shared" si="89"/>
        <v>71.353788493344268</v>
      </c>
      <c r="AL103" s="22">
        <f t="shared" si="58"/>
        <v>648.24796495924147</v>
      </c>
      <c r="AM103" s="62">
        <f t="shared" si="59"/>
        <v>941.58129829257473</v>
      </c>
      <c r="AN103" s="62">
        <f ca="1">AVERAGE(OFFSET($AM$3,0,0,'Données projet'!$E$10+1,1))-AVERAGE(OFFSET($H$3,0,0,'Données projet'!$E$10+1,1))</f>
        <v>510.56580450928806</v>
      </c>
      <c r="AO103" s="62">
        <f t="shared" si="90"/>
        <v>278.21741231699929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</v>
      </c>
      <c r="BD103" s="13">
        <f>IF('Données projet'!$A$88&gt;35,BD102+BC103-BL102,IF(A103&lt;'Données projet'!$A$88,$BA$205^A103,IF(A103='Données projet'!$A$88,'Données projet'!$B$88,BD102+BC103-BL102)))</f>
        <v>352.99999999999955</v>
      </c>
      <c r="BE103" s="14">
        <f>BD103*VLOOKUP('Données projet'!$B$11,Paramètres!$A$1:$I$88,3,0)*VLOOKUP('Données projet'!$B$11,Paramètres!$A$1:$I$88,5,0)</f>
        <v>335.91479999999962</v>
      </c>
      <c r="BF103" s="14">
        <f t="shared" si="91"/>
        <v>78.655325360452053</v>
      </c>
      <c r="BG103" s="22">
        <f t="shared" si="61"/>
        <v>722.04296833612</v>
      </c>
      <c r="BH103" s="62">
        <f t="shared" si="62"/>
        <v>1015.3763016694534</v>
      </c>
      <c r="BI103" s="62">
        <f ca="1">AVERAGE(OFFSET($BH$3,0,0,'Données projet'!$E$11+1,1))-AVERAGE(OFFSET($H$3,0,0,'Données projet'!$E$11+1,1))</f>
        <v>525.51330555662139</v>
      </c>
      <c r="BJ103" s="62">
        <f t="shared" si="92"/>
        <v>357.72390083433635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1.7053025658242404E-13</v>
      </c>
      <c r="BZ103" s="14">
        <f>BY103*VLOOKUP('Données projet'!$B$12,Paramètres!$A$1:$I$88,3,0)*VLOOKUP('Données projet'!$B$12,Paramètres!$A$1:$I$88,5,0)</f>
        <v>1.0197709343628959E-13</v>
      </c>
      <c r="CA103" s="14">
        <f t="shared" si="93"/>
        <v>1.5284983994279675E-12</v>
      </c>
      <c r="CB103" s="22">
        <f t="shared" si="64"/>
        <v>2.839744816738581E-12</v>
      </c>
      <c r="CC103" s="62">
        <f t="shared" si="65"/>
        <v>293.33333333333616</v>
      </c>
      <c r="CD103" s="62">
        <f ca="1">AVERAGE(OFFSET($CC$3,0,0,'Données projet'!$E$12+1,1))-AVERAGE(OFFSET($H$3,0,0,'Données projet'!$E$12+1,1))</f>
        <v>227.46616726010473</v>
      </c>
      <c r="CE103" s="62">
        <f t="shared" si="94"/>
        <v>314.188568589113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30.081554299544909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4.0457740040909937E-7</v>
      </c>
      <c r="CN103" s="24">
        <f t="shared" si="66"/>
        <v>30.081554704122308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projet'!$B$13,Paramètres!$A$1:$I$88,3,0)*VLOOKUP('Données projet'!$B$13,Paramètres!$A$1:$I$88,5,0)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356.46794174556311</v>
      </c>
      <c r="CZ103" s="62">
        <f t="shared" si="96"/>
        <v>248.47107558211923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0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projet'!$B$14,Paramètres!$A$1:$I$88,3,0)*VLOOKUP('Données projet'!$B$14,Paramètres!$A$1:$I$88,5,0)</f>
        <v>6.3550942286383367E-14</v>
      </c>
      <c r="DQ103" s="14">
        <f t="shared" si="97"/>
        <v>1.0064464192543978E-12</v>
      </c>
      <c r="DR103" s="22">
        <f t="shared" si="70"/>
        <v>1.8635787380168604E-12</v>
      </c>
      <c r="DS103" s="62">
        <f t="shared" si="71"/>
        <v>293.33333333333519</v>
      </c>
      <c r="DT103" s="62">
        <f ca="1">AVERAGE(OFFSET($DS$3,0,0,'Données projet'!$E$14+1,1))-AVERAGE(OFFSET($H$3,0,0,'Données projet'!$E$14+1,1))</f>
        <v>397.04445188588369</v>
      </c>
      <c r="DU103" s="62">
        <f t="shared" si="98"/>
        <v>350.01856672839466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1.254443536354501</v>
      </c>
      <c r="EB103" s="23">
        <f>EXP(-LN(2)/25)*EB102+(1-EXP(-LN(2)/25))/(LN(2)/25)*Calculateur!DW103*Calculateur!DY103*VLOOKUP('Données projet'!$B$14,Paramètres!$A$1:$I$88,3,0)*0.475*44/12</f>
        <v>0</v>
      </c>
      <c r="EC103" s="23">
        <f>EXP(-LN(2)/2)*EC102+(1-EXP(-LN(2)/2))/(LN(2)/2)*DW103*DZ103*VLOOKUP('Données projet'!$B$14,Paramètres!$A$1:$I$88,3,0)*0.475*44/12</f>
        <v>4.7156054848230984E-10</v>
      </c>
      <c r="ED103" s="24">
        <f t="shared" si="72"/>
        <v>1.2544435368260616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-1.9895196601282805E-13</v>
      </c>
      <c r="EK103" s="18">
        <f>EJ103*VLOOKUP('Données projet'!$B$15,Paramètres!$A$1:$I$88,3,0)*VLOOKUP('Données projet'!$B$15,Paramètres!$A$1:$I$88,5,0)</f>
        <v>-1.738044375088066E-13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202.5548390231225</v>
      </c>
      <c r="EP103" s="62">
        <f t="shared" si="100"/>
        <v>184.62184077734179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projet'!$B$15,Paramètres!$A$1:$I$88,3,0)*0.475*44/12</f>
        <v>0</v>
      </c>
      <c r="EW103" s="23">
        <f>EXP(-LN(2)/25)*EW102+(1-EXP(-LN(2)/25))/(LN(2)/25)*Calculateur!ER103*Calculateur!ET103*VLOOKUP('Données projet'!$B$15,Paramètres!$A$1:$I$88,3,0)*0.475*44/12</f>
        <v>0</v>
      </c>
      <c r="EX103" s="23">
        <f>EXP(-LN(2)/2)*EX102+(1-EXP(-LN(2)/2))/(LN(2)/2)*ER103*EU103*VLOOKUP('Données projet'!$B$15,Paramètres!$A$1:$I$88,3,0)*0.475*44/12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4.7</v>
      </c>
      <c r="FE103" s="13">
        <f>IF('Données projet'!$A$218&gt;35,FE102+FD103-FM102,IF(A103&lt;'Données projet'!$A$218,$FB$205^A103,IF(A103='Données projet'!$A$218,'Données projet'!$B$218,FE102+FD103-FM102)))</f>
        <v>281.4999999999996</v>
      </c>
      <c r="FF103" s="18">
        <f>FE103*VLOOKUP('Données projet'!$B$16,Paramètres!$A$1:$I$88,3,0)*VLOOKUP('Données projet'!$B$16,Paramètres!$A$1:$I$88,5,0)</f>
        <v>272.26679999999959</v>
      </c>
      <c r="FG103" s="14">
        <f t="shared" si="101"/>
        <v>65.33010712705773</v>
      </c>
      <c r="FH103" s="22">
        <f t="shared" si="76"/>
        <v>587.98127991295814</v>
      </c>
      <c r="FI103" s="62">
        <f t="shared" si="77"/>
        <v>881.3146132462914</v>
      </c>
      <c r="FJ103" s="62">
        <f ca="1">AVERAGE(OFFSET($FI$3,0,0,'Données projet'!$E$16+1,1))-AVERAGE(OFFSET($H$3,0,0,'Données projet'!$E$16+1,1))</f>
        <v>456.96274622094955</v>
      </c>
      <c r="FK103" s="62">
        <f t="shared" si="102"/>
        <v>244.45149244446094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projet'!$B$16,Paramètres!$A$1:$I$88,3,0)*0.475*44/12</f>
        <v>0</v>
      </c>
      <c r="FR103" s="23">
        <f>EXP(-LN(2)/25)*FR102+(1-EXP(-LN(2)/25))/(LN(2)/25)*Calculateur!FM103*Calculateur!FO103*VLOOKUP('Données projet'!$B$16,Paramètres!$A$1:$I$88,3,0)*0.475*44/12</f>
        <v>0</v>
      </c>
      <c r="FS103" s="23">
        <f>EXP(-LN(2)/2)*FS102+(1-EXP(-LN(2)/2))/(LN(2)/2)*FM103*FP103*VLOOKUP('Données projet'!$B$16,Paramètres!$A$1:$I$88,3,0)*0.475*44/12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4.7</v>
      </c>
      <c r="FZ103" s="13">
        <f>IF('Données projet'!$A$244&gt;35,FZ102+FY103-GH102,IF(A103&lt;'Données projet'!$A$244,$FW$205^A103,IF(A103='Données projet'!$A$244,'Données projet'!$B$244,FZ102+FY103-GH102)))</f>
        <v>281.4999999999996</v>
      </c>
      <c r="GA103" s="18">
        <f>FZ103*VLOOKUP('Données projet'!$B$17,Paramètres!$A$1:$I$88,3,0)*VLOOKUP('Données projet'!$B$17,Paramètres!$A$1:$I$88,5,0)</f>
        <v>303.00659999999954</v>
      </c>
      <c r="GB103" s="14">
        <f t="shared" si="103"/>
        <v>71.806396043404845</v>
      </c>
      <c r="GC103" s="22">
        <f t="shared" si="79"/>
        <v>652.79930144226262</v>
      </c>
      <c r="GD103" s="62">
        <f t="shared" si="80"/>
        <v>946.13263477559599</v>
      </c>
      <c r="GE103" s="62">
        <f ca="1">AVERAGE(OFFSET($GD$3,0,0,'Données projet'!$E$17+1,1))-AVERAGE(OFFSET($H$3,0,0,'Données projet'!$E$17+1,1))</f>
        <v>503.69304261527651</v>
      </c>
      <c r="GF103" s="62">
        <f t="shared" si="104"/>
        <v>267.2998309535638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projet'!$B$17,Paramètres!$A$1:$I$88,3,0)*0.475*44/12</f>
        <v>0</v>
      </c>
      <c r="GM103" s="23">
        <f>EXP(-LN(2)/25)*GM102+(1-EXP(-LN(2)/25))/(LN(2)/25)*Calculateur!GH103*Calculateur!GJ103*VLOOKUP('Données projet'!$B$17,Paramètres!$A$1:$I$88,3,0)*0.475*44/12</f>
        <v>0</v>
      </c>
      <c r="GN103" s="23">
        <f>EXP(-LN(2)/2)*GN102+(1-EXP(-LN(2)/2))/(LN(2)/2)*GH103*GK103*VLOOKUP('Données projet'!$B$17,Paramètres!$A$1:$I$88,3,0)*0.475*44/12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5.5</v>
      </c>
      <c r="GU103" s="13">
        <f>IF('Données projet'!$A$270&gt;35,GU102+GT103-HC102,IF(A103&lt;'Données projet'!$A$270,$GR$205^A103,IF(A103='Données projet'!$A$270,'Données projet'!$B$270,GU102+GT103-HC102)))</f>
        <v>332.50000000000017</v>
      </c>
      <c r="GV103" s="18">
        <f>GU103*VLOOKUP('Données projet'!$B$18,Paramètres!$A$1:$I$88,3,0)*VLOOKUP('Données projet'!$B$18,Paramètres!$A$1:$I$88,5,0)</f>
        <v>347.52900000000022</v>
      </c>
      <c r="GW103" s="14">
        <f t="shared" si="105"/>
        <v>81.053497060399366</v>
      </c>
      <c r="GX103" s="22">
        <f t="shared" si="82"/>
        <v>746.44784904686264</v>
      </c>
      <c r="GY103" s="62">
        <f t="shared" si="83"/>
        <v>1039.781182380196</v>
      </c>
      <c r="GZ103" s="62">
        <f ca="1">AVERAGE(OFFSET($GY$3,0,0,'Données projet'!$E$18+1,1))-AVERAGE(OFFSET($H$3,0,0,'Données projet'!$E$18+1,1))</f>
        <v>582.89879210197682</v>
      </c>
      <c r="HA103" s="62">
        <f t="shared" si="106"/>
        <v>314.72094983133326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projet'!$B$18,Paramètres!$A$1:$I$88,3,0)*0.475*44/12</f>
        <v>0</v>
      </c>
      <c r="HH103" s="23">
        <f>EXP(-LN(2)/25)*HH102+(1-EXP(-LN(2)/25))/(LN(2)/25)*Calculateur!HC103*Calculateur!HE103*VLOOKUP('Données projet'!$B$18,Paramètres!$A$1:$I$88,3,0)*0.475*44/12</f>
        <v>0</v>
      </c>
      <c r="HI103" s="23">
        <f>EXP(-LN(2)/2)*HI102+(1-EXP(-LN(2)/2))/(LN(2)/2)*HC103*HF103*VLOOKUP('Données projet'!$B$18,Paramètres!$A$1:$I$88,3,0)*0.475*44/12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projet'!$B$9,Paramètres!$A$1:$I$88,3,0)*VLOOKUP('Données projet'!$B$9,Paramètres!$A$1:$I$88,5,0)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399.92909819003523</v>
      </c>
      <c r="T104" s="62">
        <f t="shared" si="88"/>
        <v>163.7053537268381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5.5</v>
      </c>
      <c r="AI104" s="14">
        <f>IF('Données projet'!$A$62&gt;35,AI103+AH104-AQ103,IF(A104&lt;'Données projet'!$A$62,$AF$205^A104,IF(A104='Données projet'!$A$62,'Données projet'!$B$62,AI103+AH104-AQ103)))</f>
        <v>338.00000000000017</v>
      </c>
      <c r="AJ104" s="14">
        <f>AI104*VLOOKUP('Données projet'!$B$10,Paramètres!$A$1:$I$88,3,0)*VLOOKUP('Données projet'!$B$10,Paramètres!$A$1:$I$88,5,0)</f>
        <v>305.82240000000013</v>
      </c>
      <c r="AK104" s="14">
        <f t="shared" si="89"/>
        <v>72.395693291268998</v>
      </c>
      <c r="AL104" s="22">
        <f t="shared" si="58"/>
        <v>658.72984581562707</v>
      </c>
      <c r="AM104" s="62">
        <f t="shared" si="59"/>
        <v>952.06317914896044</v>
      </c>
      <c r="AN104" s="62">
        <f ca="1">AVERAGE(OFFSET($AM$3,0,0,'Données projet'!$E$10+1,1))-AVERAGE(OFFSET($H$3,0,0,'Données projet'!$E$10+1,1))</f>
        <v>510.56580450928806</v>
      </c>
      <c r="AO104" s="62">
        <f t="shared" si="90"/>
        <v>278.21741231699929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</v>
      </c>
      <c r="BD104" s="13">
        <f>IF('Données projet'!$A$88&gt;35,BD103+BC104-BL103,IF(A104&lt;'Données projet'!$A$88,$BA$205^A104,IF(A104='Données projet'!$A$88,'Données projet'!$B$88,BD103+BC104-BL103)))</f>
        <v>357.99999999999955</v>
      </c>
      <c r="BE104" s="14">
        <f>BD104*VLOOKUP('Données projet'!$B$11,Paramètres!$A$1:$I$88,3,0)*VLOOKUP('Données projet'!$B$11,Paramètres!$A$1:$I$88,5,0)</f>
        <v>340.67279999999954</v>
      </c>
      <c r="BF104" s="14">
        <f t="shared" si="91"/>
        <v>79.638935164470141</v>
      </c>
      <c r="BG104" s="22">
        <f t="shared" si="61"/>
        <v>732.04293874478469</v>
      </c>
      <c r="BH104" s="62">
        <f t="shared" si="62"/>
        <v>1025.3762720781181</v>
      </c>
      <c r="BI104" s="62">
        <f ca="1">AVERAGE(OFFSET($BH$3,0,0,'Données projet'!$E$11+1,1))-AVERAGE(OFFSET($H$3,0,0,'Données projet'!$E$11+1,1))</f>
        <v>525.51330555662139</v>
      </c>
      <c r="BJ104" s="62">
        <f t="shared" si="92"/>
        <v>357.72390083433635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1.7053025658242404E-13</v>
      </c>
      <c r="BZ104" s="14">
        <f>BY104*VLOOKUP('Données projet'!$B$12,Paramètres!$A$1:$I$88,3,0)*VLOOKUP('Données projet'!$B$12,Paramètres!$A$1:$I$88,5,0)</f>
        <v>1.0197709343628959E-13</v>
      </c>
      <c r="CA104" s="14">
        <f t="shared" si="93"/>
        <v>1.5284983994279675E-12</v>
      </c>
      <c r="CB104" s="22">
        <f t="shared" si="64"/>
        <v>2.839744816738581E-12</v>
      </c>
      <c r="CC104" s="62">
        <f t="shared" si="65"/>
        <v>293.33333333333616</v>
      </c>
      <c r="CD104" s="62">
        <f ca="1">AVERAGE(OFFSET($CC$3,0,0,'Données projet'!$E$12+1,1))-AVERAGE(OFFSET($H$3,0,0,'Données projet'!$E$12+1,1))</f>
        <v>227.46616726010473</v>
      </c>
      <c r="CE104" s="62">
        <f t="shared" si="94"/>
        <v>314.188568589113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29.491673367667246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2.8607942334409925E-7</v>
      </c>
      <c r="CN104" s="24">
        <f t="shared" si="66"/>
        <v>29.49167365374667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projet'!$B$13,Paramètres!$A$1:$I$88,3,0)*VLOOKUP('Données projet'!$B$13,Paramètres!$A$1:$I$88,5,0)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356.46794174556311</v>
      </c>
      <c r="CZ104" s="62">
        <f t="shared" si="96"/>
        <v>248.47107558211923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0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projet'!$B$14,Paramètres!$A$1:$I$88,3,0)*VLOOKUP('Données projet'!$B$14,Paramètres!$A$1:$I$88,5,0)</f>
        <v>6.3550942286383367E-14</v>
      </c>
      <c r="DQ104" s="14">
        <f t="shared" si="97"/>
        <v>1.0064464192543978E-12</v>
      </c>
      <c r="DR104" s="22">
        <f t="shared" si="70"/>
        <v>1.8635787380168604E-12</v>
      </c>
      <c r="DS104" s="62">
        <f t="shared" si="71"/>
        <v>293.33333333333519</v>
      </c>
      <c r="DT104" s="62">
        <f ca="1">AVERAGE(OFFSET($DS$3,0,0,'Données projet'!$E$14+1,1))-AVERAGE(OFFSET($H$3,0,0,'Données projet'!$E$14+1,1))</f>
        <v>397.04445188588369</v>
      </c>
      <c r="DU104" s="62">
        <f t="shared" si="98"/>
        <v>350.01856672839466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1.2298446637415956</v>
      </c>
      <c r="EB104" s="23">
        <f>EXP(-LN(2)/25)*EB103+(1-EXP(-LN(2)/25))/(LN(2)/25)*Calculateur!DW104*Calculateur!DY104*VLOOKUP('Données projet'!$B$14,Paramètres!$A$1:$I$88,3,0)*0.475*44/12</f>
        <v>0</v>
      </c>
      <c r="EC104" s="23">
        <f>EXP(-LN(2)/2)*EC103+(1-EXP(-LN(2)/2))/(LN(2)/2)*DW104*DZ104*VLOOKUP('Données projet'!$B$14,Paramètres!$A$1:$I$88,3,0)*0.475*44/12</f>
        <v>3.33443661571889E-10</v>
      </c>
      <c r="ED104" s="24">
        <f t="shared" si="72"/>
        <v>1.2298446640750393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-1.9895196601282805E-13</v>
      </c>
      <c r="EK104" s="18">
        <f>EJ104*VLOOKUP('Données projet'!$B$15,Paramètres!$A$1:$I$88,3,0)*VLOOKUP('Données projet'!$B$15,Paramètres!$A$1:$I$88,5,0)</f>
        <v>-1.738044375088066E-13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202.5548390231225</v>
      </c>
      <c r="EP104" s="62">
        <f t="shared" si="100"/>
        <v>184.62184077734179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projet'!$B$15,Paramètres!$A$1:$I$88,3,0)*0.475*44/12</f>
        <v>0</v>
      </c>
      <c r="EW104" s="23">
        <f>EXP(-LN(2)/25)*EW103+(1-EXP(-LN(2)/25))/(LN(2)/25)*Calculateur!ER104*Calculateur!ET104*VLOOKUP('Données projet'!$B$15,Paramètres!$A$1:$I$88,3,0)*0.475*44/12</f>
        <v>0</v>
      </c>
      <c r="EX104" s="23">
        <f>EXP(-LN(2)/2)*EX103+(1-EXP(-LN(2)/2))/(LN(2)/2)*ER104*EU104*VLOOKUP('Données projet'!$B$15,Paramètres!$A$1:$I$88,3,0)*0.475*44/12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4.7</v>
      </c>
      <c r="FE104" s="13">
        <f>IF('Données projet'!$A$218&gt;35,FE103+FD104-FM103,IF(A104&lt;'Données projet'!$A$218,$FB$205^A104,IF(A104='Données projet'!$A$218,'Données projet'!$B$218,FE103+FD104-FM103)))</f>
        <v>286.19999999999959</v>
      </c>
      <c r="FF104" s="18">
        <f>FE104*VLOOKUP('Données projet'!$B$16,Paramètres!$A$1:$I$88,3,0)*VLOOKUP('Données projet'!$B$16,Paramètres!$A$1:$I$88,5,0)</f>
        <v>276.81263999999959</v>
      </c>
      <c r="FG104" s="14">
        <f t="shared" si="101"/>
        <v>66.292979927723621</v>
      </c>
      <c r="FH104" s="22">
        <f t="shared" si="76"/>
        <v>597.57562137411787</v>
      </c>
      <c r="FI104" s="62">
        <f t="shared" si="77"/>
        <v>890.90895470745113</v>
      </c>
      <c r="FJ104" s="62">
        <f ca="1">AVERAGE(OFFSET($FI$3,0,0,'Données projet'!$E$16+1,1))-AVERAGE(OFFSET($H$3,0,0,'Données projet'!$E$16+1,1))</f>
        <v>456.96274622094955</v>
      </c>
      <c r="FK104" s="62">
        <f t="shared" si="102"/>
        <v>244.45149244446094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projet'!$B$16,Paramètres!$A$1:$I$88,3,0)*0.475*44/12</f>
        <v>0</v>
      </c>
      <c r="FR104" s="23">
        <f>EXP(-LN(2)/25)*FR103+(1-EXP(-LN(2)/25))/(LN(2)/25)*Calculateur!FM104*Calculateur!FO104*VLOOKUP('Données projet'!$B$16,Paramètres!$A$1:$I$88,3,0)*0.475*44/12</f>
        <v>0</v>
      </c>
      <c r="FS104" s="23">
        <f>EXP(-LN(2)/2)*FS103+(1-EXP(-LN(2)/2))/(LN(2)/2)*FM104*FP104*VLOOKUP('Données projet'!$B$16,Paramètres!$A$1:$I$88,3,0)*0.475*44/12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4.7</v>
      </c>
      <c r="FZ104" s="13">
        <f>IF('Données projet'!$A$244&gt;35,FZ103+FY104-GH103,IF(A104&lt;'Données projet'!$A$244,$FW$205^A104,IF(A104='Données projet'!$A$244,'Données projet'!$B$244,FZ103+FY104-GH103)))</f>
        <v>286.19999999999959</v>
      </c>
      <c r="GA104" s="18">
        <f>FZ104*VLOOKUP('Données projet'!$B$17,Paramètres!$A$1:$I$88,3,0)*VLOOKUP('Données projet'!$B$17,Paramètres!$A$1:$I$88,5,0)</f>
        <v>308.06567999999953</v>
      </c>
      <c r="GB104" s="14">
        <f t="shared" si="103"/>
        <v>72.864720125585904</v>
      </c>
      <c r="GC104" s="22">
        <f t="shared" si="79"/>
        <v>663.45378021872796</v>
      </c>
      <c r="GD104" s="62">
        <f t="shared" si="80"/>
        <v>956.78711355206133</v>
      </c>
      <c r="GE104" s="62">
        <f ca="1">AVERAGE(OFFSET($GD$3,0,0,'Données projet'!$E$17+1,1))-AVERAGE(OFFSET($H$3,0,0,'Données projet'!$E$17+1,1))</f>
        <v>503.69304261527651</v>
      </c>
      <c r="GF104" s="62">
        <f t="shared" si="104"/>
        <v>267.2998309535638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projet'!$B$17,Paramètres!$A$1:$I$88,3,0)*0.475*44/12</f>
        <v>0</v>
      </c>
      <c r="GM104" s="23">
        <f>EXP(-LN(2)/25)*GM103+(1-EXP(-LN(2)/25))/(LN(2)/25)*Calculateur!GH104*Calculateur!GJ104*VLOOKUP('Données projet'!$B$17,Paramètres!$A$1:$I$88,3,0)*0.475*44/12</f>
        <v>0</v>
      </c>
      <c r="GN104" s="23">
        <f>EXP(-LN(2)/2)*GN103+(1-EXP(-LN(2)/2))/(LN(2)/2)*GH104*GK104*VLOOKUP('Données projet'!$B$17,Paramètres!$A$1:$I$88,3,0)*0.475*44/12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5.5</v>
      </c>
      <c r="GU104" s="13">
        <f>IF('Données projet'!$A$270&gt;35,GU103+GT104-HC103,IF(A104&lt;'Données projet'!$A$270,$GR$205^A104,IF(A104='Données projet'!$A$270,'Données projet'!$B$270,GU103+GT104-HC103)))</f>
        <v>338.00000000000017</v>
      </c>
      <c r="GV104" s="18">
        <f>GU104*VLOOKUP('Données projet'!$B$18,Paramètres!$A$1:$I$88,3,0)*VLOOKUP('Données projet'!$B$18,Paramètres!$A$1:$I$88,5,0)</f>
        <v>353.27760000000018</v>
      </c>
      <c r="GW104" s="14">
        <f t="shared" si="105"/>
        <v>82.237036564874117</v>
      </c>
      <c r="GX104" s="22">
        <f t="shared" si="82"/>
        <v>758.52132535048941</v>
      </c>
      <c r="GY104" s="62">
        <f t="shared" si="83"/>
        <v>1051.8546586838227</v>
      </c>
      <c r="GZ104" s="62">
        <f ca="1">AVERAGE(OFFSET($GY$3,0,0,'Données projet'!$E$18+1,1))-AVERAGE(OFFSET($H$3,0,0,'Données projet'!$E$18+1,1))</f>
        <v>582.89879210197682</v>
      </c>
      <c r="HA104" s="62">
        <f t="shared" si="106"/>
        <v>314.72094983133326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projet'!$B$18,Paramètres!$A$1:$I$88,3,0)*0.475*44/12</f>
        <v>0</v>
      </c>
      <c r="HH104" s="23">
        <f>EXP(-LN(2)/25)*HH103+(1-EXP(-LN(2)/25))/(LN(2)/25)*Calculateur!HC104*Calculateur!HE104*VLOOKUP('Données projet'!$B$18,Paramètres!$A$1:$I$88,3,0)*0.475*44/12</f>
        <v>0</v>
      </c>
      <c r="HI104" s="23">
        <f>EXP(-LN(2)/2)*HI103+(1-EXP(-LN(2)/2))/(LN(2)/2)*HC104*HF104*VLOOKUP('Données projet'!$B$18,Paramètres!$A$1:$I$88,3,0)*0.475*44/12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projet'!$B$9,Paramètres!$A$1:$I$88,3,0)*VLOOKUP('Données projet'!$B$9,Paramètres!$A$1:$I$88,5,0)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399.92909819003523</v>
      </c>
      <c r="T105" s="62">
        <f t="shared" si="88"/>
        <v>163.7053537268381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5.5</v>
      </c>
      <c r="AI105" s="14">
        <f>IF('Données projet'!$A$62&gt;35,AI104+AH105-AQ104,IF(A105&lt;'Données projet'!$A$62,$AF$205^A105,IF(A105='Données projet'!$A$62,'Données projet'!$B$62,AI104+AH105-AQ104)))</f>
        <v>343.50000000000017</v>
      </c>
      <c r="AJ105" s="14">
        <f>AI105*VLOOKUP('Données projet'!$B$10,Paramètres!$A$1:$I$88,3,0)*VLOOKUP('Données projet'!$B$10,Paramètres!$A$1:$I$88,5,0)</f>
        <v>310.79880000000014</v>
      </c>
      <c r="AK105" s="14">
        <f t="shared" si="89"/>
        <v>73.435626410963707</v>
      </c>
      <c r="AL105" s="22">
        <f t="shared" si="58"/>
        <v>669.20829266576197</v>
      </c>
      <c r="AM105" s="62">
        <f t="shared" si="59"/>
        <v>962.54162599909523</v>
      </c>
      <c r="AN105" s="62">
        <f ca="1">AVERAGE(OFFSET($AM$3,0,0,'Données projet'!$E$10+1,1))-AVERAGE(OFFSET($H$3,0,0,'Données projet'!$E$10+1,1))</f>
        <v>510.56580450928806</v>
      </c>
      <c r="AO105" s="62">
        <f t="shared" si="90"/>
        <v>278.21741231699929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</v>
      </c>
      <c r="BD105" s="13">
        <f>IF('Données projet'!$A$88&gt;35,BD104+BC105-BL104,IF(A105&lt;'Données projet'!$A$88,$BA$205^A105,IF(A105='Données projet'!$A$88,'Données projet'!$B$88,BD104+BC105-BL104)))</f>
        <v>362.99999999999955</v>
      </c>
      <c r="BE105" s="14">
        <f>BD105*VLOOKUP('Données projet'!$B$11,Paramètres!$A$1:$I$88,3,0)*VLOOKUP('Données projet'!$B$11,Paramètres!$A$1:$I$88,5,0)</f>
        <v>345.43079999999958</v>
      </c>
      <c r="BF105" s="14">
        <f t="shared" si="91"/>
        <v>80.620947159836462</v>
      </c>
      <c r="BG105" s="22">
        <f t="shared" si="61"/>
        <v>742.04012630338104</v>
      </c>
      <c r="BH105" s="62">
        <f t="shared" si="62"/>
        <v>1035.3734596367144</v>
      </c>
      <c r="BI105" s="62">
        <f ca="1">AVERAGE(OFFSET($BH$3,0,0,'Données projet'!$E$11+1,1))-AVERAGE(OFFSET($H$3,0,0,'Données projet'!$E$11+1,1))</f>
        <v>525.51330555662139</v>
      </c>
      <c r="BJ105" s="62">
        <f t="shared" si="92"/>
        <v>357.72390083433635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1.7053025658242404E-13</v>
      </c>
      <c r="BZ105" s="14">
        <f>BY105*VLOOKUP('Données projet'!$B$12,Paramètres!$A$1:$I$88,3,0)*VLOOKUP('Données projet'!$B$12,Paramètres!$A$1:$I$88,5,0)</f>
        <v>1.0197709343628959E-13</v>
      </c>
      <c r="CA105" s="14">
        <f t="shared" si="93"/>
        <v>1.5284983994279675E-12</v>
      </c>
      <c r="CB105" s="22">
        <f t="shared" si="64"/>
        <v>2.839744816738581E-12</v>
      </c>
      <c r="CC105" s="62">
        <f t="shared" si="65"/>
        <v>293.33333333333616</v>
      </c>
      <c r="CD105" s="62">
        <f ca="1">AVERAGE(OFFSET($CC$3,0,0,'Données projet'!$E$12+1,1))-AVERAGE(OFFSET($H$3,0,0,'Données projet'!$E$12+1,1))</f>
        <v>227.46616726010473</v>
      </c>
      <c r="CE105" s="62">
        <f t="shared" si="94"/>
        <v>314.188568589113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28.913359641071864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2.0228870020454968E-7</v>
      </c>
      <c r="CN105" s="24">
        <f t="shared" si="66"/>
        <v>28.913359843360563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projet'!$B$13,Paramètres!$A$1:$I$88,3,0)*VLOOKUP('Données projet'!$B$13,Paramètres!$A$1:$I$88,5,0)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356.46794174556311</v>
      </c>
      <c r="CZ105" s="62">
        <f t="shared" si="96"/>
        <v>248.47107558211923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0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projet'!$B$14,Paramètres!$A$1:$I$88,3,0)*VLOOKUP('Données projet'!$B$14,Paramètres!$A$1:$I$88,5,0)</f>
        <v>6.3550942286383367E-14</v>
      </c>
      <c r="DQ105" s="14">
        <f t="shared" si="97"/>
        <v>1.0064464192543978E-12</v>
      </c>
      <c r="DR105" s="22">
        <f t="shared" si="70"/>
        <v>1.8635787380168604E-12</v>
      </c>
      <c r="DS105" s="62">
        <f t="shared" si="71"/>
        <v>293.33333333333519</v>
      </c>
      <c r="DT105" s="62">
        <f ca="1">AVERAGE(OFFSET($DS$3,0,0,'Données projet'!$E$14+1,1))-AVERAGE(OFFSET($H$3,0,0,'Données projet'!$E$14+1,1))</f>
        <v>397.04445188588369</v>
      </c>
      <c r="DU105" s="62">
        <f t="shared" si="98"/>
        <v>350.01856672839466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1.2057281600167986</v>
      </c>
      <c r="EB105" s="23">
        <f>EXP(-LN(2)/25)*EB104+(1-EXP(-LN(2)/25))/(LN(2)/25)*Calculateur!DW105*Calculateur!DY105*VLOOKUP('Données projet'!$B$14,Paramètres!$A$1:$I$88,3,0)*0.475*44/12</f>
        <v>0</v>
      </c>
      <c r="EC105" s="23">
        <f>EXP(-LN(2)/2)*EC104+(1-EXP(-LN(2)/2))/(LN(2)/2)*DW105*DZ105*VLOOKUP('Données projet'!$B$14,Paramètres!$A$1:$I$88,3,0)*0.475*44/12</f>
        <v>2.3578027424115492E-10</v>
      </c>
      <c r="ED105" s="24">
        <f t="shared" si="72"/>
        <v>1.2057281602525789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-1.9895196601282805E-13</v>
      </c>
      <c r="EK105" s="18">
        <f>EJ105*VLOOKUP('Données projet'!$B$15,Paramètres!$A$1:$I$88,3,0)*VLOOKUP('Données projet'!$B$15,Paramètres!$A$1:$I$88,5,0)</f>
        <v>-1.738044375088066E-13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202.5548390231225</v>
      </c>
      <c r="EP105" s="62">
        <f t="shared" si="100"/>
        <v>184.62184077734179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projet'!$B$15,Paramètres!$A$1:$I$88,3,0)*0.475*44/12</f>
        <v>0</v>
      </c>
      <c r="EW105" s="23">
        <f>EXP(-LN(2)/25)*EW104+(1-EXP(-LN(2)/25))/(LN(2)/25)*Calculateur!ER105*Calculateur!ET105*VLOOKUP('Données projet'!$B$15,Paramètres!$A$1:$I$88,3,0)*0.475*44/12</f>
        <v>0</v>
      </c>
      <c r="EX105" s="23">
        <f>EXP(-LN(2)/2)*EX104+(1-EXP(-LN(2)/2))/(LN(2)/2)*ER105*EU105*VLOOKUP('Données projet'!$B$15,Paramètres!$A$1:$I$88,3,0)*0.475*44/12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4.7</v>
      </c>
      <c r="FE105" s="13">
        <f>IF('Données projet'!$A$218&gt;35,FE104+FD105-FM104,IF(A105&lt;'Données projet'!$A$218,$FB$205^A105,IF(A105='Données projet'!$A$218,'Données projet'!$B$218,FE104+FD105-FM104)))</f>
        <v>290.89999999999958</v>
      </c>
      <c r="FF105" s="18">
        <f>FE105*VLOOKUP('Données projet'!$B$16,Paramètres!$A$1:$I$88,3,0)*VLOOKUP('Données projet'!$B$16,Paramètres!$A$1:$I$88,5,0)</f>
        <v>281.35847999999964</v>
      </c>
      <c r="FG105" s="14">
        <f t="shared" si="101"/>
        <v>67.254013838398677</v>
      </c>
      <c r="FH105" s="22">
        <f t="shared" si="76"/>
        <v>607.166760101877</v>
      </c>
      <c r="FI105" s="62">
        <f t="shared" si="77"/>
        <v>900.50009343521037</v>
      </c>
      <c r="FJ105" s="62">
        <f ca="1">AVERAGE(OFFSET($FI$3,0,0,'Données projet'!$E$16+1,1))-AVERAGE(OFFSET($H$3,0,0,'Données projet'!$E$16+1,1))</f>
        <v>456.96274622094955</v>
      </c>
      <c r="FK105" s="62">
        <f t="shared" si="102"/>
        <v>244.45149244446094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projet'!$B$16,Paramètres!$A$1:$I$88,3,0)*0.475*44/12</f>
        <v>0</v>
      </c>
      <c r="FR105" s="23">
        <f>EXP(-LN(2)/25)*FR104+(1-EXP(-LN(2)/25))/(LN(2)/25)*Calculateur!FM105*Calculateur!FO105*VLOOKUP('Données projet'!$B$16,Paramètres!$A$1:$I$88,3,0)*0.475*44/12</f>
        <v>0</v>
      </c>
      <c r="FS105" s="23">
        <f>EXP(-LN(2)/2)*FS104+(1-EXP(-LN(2)/2))/(LN(2)/2)*FM105*FP105*VLOOKUP('Données projet'!$B$16,Paramètres!$A$1:$I$88,3,0)*0.475*44/12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4.7</v>
      </c>
      <c r="FZ105" s="13">
        <f>IF('Données projet'!$A$244&gt;35,FZ104+FY105-GH104,IF(A105&lt;'Données projet'!$A$244,$FW$205^A105,IF(A105='Données projet'!$A$244,'Données projet'!$B$244,FZ104+FY105-GH104)))</f>
        <v>290.89999999999958</v>
      </c>
      <c r="GA105" s="18">
        <f>FZ105*VLOOKUP('Données projet'!$B$17,Paramètres!$A$1:$I$88,3,0)*VLOOKUP('Données projet'!$B$17,Paramètres!$A$1:$I$88,5,0)</f>
        <v>313.12475999999953</v>
      </c>
      <c r="GB105" s="14">
        <f t="shared" si="103"/>
        <v>73.921023025363311</v>
      </c>
      <c r="GC105" s="22">
        <f t="shared" si="79"/>
        <v>674.10473876917354</v>
      </c>
      <c r="GD105" s="62">
        <f t="shared" si="80"/>
        <v>967.43807210250679</v>
      </c>
      <c r="GE105" s="62">
        <f ca="1">AVERAGE(OFFSET($GD$3,0,0,'Données projet'!$E$17+1,1))-AVERAGE(OFFSET($H$3,0,0,'Données projet'!$E$17+1,1))</f>
        <v>503.69304261527651</v>
      </c>
      <c r="GF105" s="62">
        <f t="shared" si="104"/>
        <v>267.2998309535638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projet'!$B$17,Paramètres!$A$1:$I$88,3,0)*0.475*44/12</f>
        <v>0</v>
      </c>
      <c r="GM105" s="23">
        <f>EXP(-LN(2)/25)*GM104+(1-EXP(-LN(2)/25))/(LN(2)/25)*Calculateur!GH105*Calculateur!GJ105*VLOOKUP('Données projet'!$B$17,Paramètres!$A$1:$I$88,3,0)*0.475*44/12</f>
        <v>0</v>
      </c>
      <c r="GN105" s="23">
        <f>EXP(-LN(2)/2)*GN104+(1-EXP(-LN(2)/2))/(LN(2)/2)*GH105*GK105*VLOOKUP('Données projet'!$B$17,Paramètres!$A$1:$I$88,3,0)*0.475*44/12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5.5</v>
      </c>
      <c r="GU105" s="13">
        <f>IF('Données projet'!$A$270&gt;35,GU104+GT105-HC104,IF(A105&lt;'Données projet'!$A$270,$GR$205^A105,IF(A105='Données projet'!$A$270,'Données projet'!$B$270,GU104+GT105-HC104)))</f>
        <v>343.50000000000017</v>
      </c>
      <c r="GV105" s="18">
        <f>GU105*VLOOKUP('Données projet'!$B$18,Paramètres!$A$1:$I$88,3,0)*VLOOKUP('Données projet'!$B$18,Paramètres!$A$1:$I$88,5,0)</f>
        <v>359.02620000000019</v>
      </c>
      <c r="GW105" s="14">
        <f t="shared" si="105"/>
        <v>83.418336364646464</v>
      </c>
      <c r="GX105" s="22">
        <f t="shared" si="82"/>
        <v>770.59090083509284</v>
      </c>
      <c r="GY105" s="62">
        <f t="shared" si="83"/>
        <v>1063.9242341684262</v>
      </c>
      <c r="GZ105" s="62">
        <f ca="1">AVERAGE(OFFSET($GY$3,0,0,'Données projet'!$E$18+1,1))-AVERAGE(OFFSET($H$3,0,0,'Données projet'!$E$18+1,1))</f>
        <v>582.89879210197682</v>
      </c>
      <c r="HA105" s="62">
        <f t="shared" si="106"/>
        <v>314.72094983133326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projet'!$B$18,Paramètres!$A$1:$I$88,3,0)*0.475*44/12</f>
        <v>0</v>
      </c>
      <c r="HH105" s="23">
        <f>EXP(-LN(2)/25)*HH104+(1-EXP(-LN(2)/25))/(LN(2)/25)*Calculateur!HC105*Calculateur!HE105*VLOOKUP('Données projet'!$B$18,Paramètres!$A$1:$I$88,3,0)*0.475*44/12</f>
        <v>0</v>
      </c>
      <c r="HI105" s="23">
        <f>EXP(-LN(2)/2)*HI104+(1-EXP(-LN(2)/2))/(LN(2)/2)*HC105*HF105*VLOOKUP('Données projet'!$B$18,Paramètres!$A$1:$I$88,3,0)*0.475*44/12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projet'!$B$9,Paramètres!$A$1:$I$88,3,0)*VLOOKUP('Données projet'!$B$9,Paramètres!$A$1:$I$88,5,0)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399.92909819003523</v>
      </c>
      <c r="T106" s="62">
        <f t="shared" si="88"/>
        <v>163.7053537268381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5.5</v>
      </c>
      <c r="AI106" s="14">
        <f>IF('Données projet'!$A$62&gt;35,AI105+AH106-AQ105,IF(A106&lt;'Données projet'!$A$62,$AF$205^A106,IF(A106='Données projet'!$A$62,'Données projet'!$B$62,AI105+AH106-AQ105)))</f>
        <v>349.00000000000017</v>
      </c>
      <c r="AJ106" s="14">
        <f>AI106*VLOOKUP('Données projet'!$B$10,Paramètres!$A$1:$I$88,3,0)*VLOOKUP('Données projet'!$B$10,Paramètres!$A$1:$I$88,5,0)</f>
        <v>315.7752000000001</v>
      </c>
      <c r="AK106" s="14">
        <f t="shared" si="89"/>
        <v>74.473623067174074</v>
      </c>
      <c r="AL106" s="22">
        <f t="shared" si="58"/>
        <v>679.68336684199494</v>
      </c>
      <c r="AM106" s="62">
        <f t="shared" si="59"/>
        <v>973.0167001753282</v>
      </c>
      <c r="AN106" s="62">
        <f ca="1">AVERAGE(OFFSET($AM$3,0,0,'Données projet'!$E$10+1,1))-AVERAGE(OFFSET($H$3,0,0,'Données projet'!$E$10+1,1))</f>
        <v>510.56580450928806</v>
      </c>
      <c r="AO106" s="62">
        <f t="shared" si="90"/>
        <v>278.21741231699929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</v>
      </c>
      <c r="BD106" s="13">
        <f>IF('Données projet'!$A$88&gt;35,BD105+BC106-BL105,IF(A106&lt;'Données projet'!$A$88,$BA$205^A106,IF(A106='Données projet'!$A$88,'Données projet'!$B$88,BD105+BC106-BL105)))</f>
        <v>367.99999999999955</v>
      </c>
      <c r="BE106" s="14">
        <f>BD106*VLOOKUP('Données projet'!$B$11,Paramètres!$A$1:$I$88,3,0)*VLOOKUP('Données projet'!$B$11,Paramètres!$A$1:$I$88,5,0)</f>
        <v>350.18879999999956</v>
      </c>
      <c r="BF106" s="14">
        <f t="shared" si="91"/>
        <v>81.601385898586571</v>
      </c>
      <c r="BG106" s="22">
        <f t="shared" si="61"/>
        <v>752.03457377337088</v>
      </c>
      <c r="BH106" s="62">
        <f t="shared" si="62"/>
        <v>1045.3679071067043</v>
      </c>
      <c r="BI106" s="62">
        <f ca="1">AVERAGE(OFFSET($BH$3,0,0,'Données projet'!$E$11+1,1))-AVERAGE(OFFSET($H$3,0,0,'Données projet'!$E$11+1,1))</f>
        <v>525.51330555662139</v>
      </c>
      <c r="BJ106" s="62">
        <f t="shared" si="92"/>
        <v>357.72390083433635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1.7053025658242404E-13</v>
      </c>
      <c r="BZ106" s="14">
        <f>BY106*VLOOKUP('Données projet'!$B$12,Paramètres!$A$1:$I$88,3,0)*VLOOKUP('Données projet'!$B$12,Paramètres!$A$1:$I$88,5,0)</f>
        <v>1.0197709343628959E-13</v>
      </c>
      <c r="CA106" s="14">
        <f t="shared" si="93"/>
        <v>1.5284983994279675E-12</v>
      </c>
      <c r="CB106" s="22">
        <f t="shared" si="64"/>
        <v>2.839744816738581E-12</v>
      </c>
      <c r="CC106" s="62">
        <f t="shared" si="65"/>
        <v>293.33333333333616</v>
      </c>
      <c r="CD106" s="62">
        <f ca="1">AVERAGE(OFFSET($CC$3,0,0,'Données projet'!$E$12+1,1))-AVERAGE(OFFSET($H$3,0,0,'Données projet'!$E$12+1,1))</f>
        <v>227.46616726010473</v>
      </c>
      <c r="CE106" s="62">
        <f t="shared" si="94"/>
        <v>314.188568589113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28.346386293918474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1.4303971167204962E-7</v>
      </c>
      <c r="CN106" s="24">
        <f t="shared" si="66"/>
        <v>28.346386436958188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projet'!$B$13,Paramètres!$A$1:$I$88,3,0)*VLOOKUP('Données projet'!$B$13,Paramètres!$A$1:$I$88,5,0)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356.46794174556311</v>
      </c>
      <c r="CZ106" s="62">
        <f t="shared" si="96"/>
        <v>248.47107558211923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0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projet'!$B$14,Paramètres!$A$1:$I$88,3,0)*VLOOKUP('Données projet'!$B$14,Paramètres!$A$1:$I$88,5,0)</f>
        <v>6.3550942286383367E-14</v>
      </c>
      <c r="DQ106" s="14">
        <f t="shared" si="97"/>
        <v>1.0064464192543978E-12</v>
      </c>
      <c r="DR106" s="22">
        <f t="shared" si="70"/>
        <v>1.8635787380168604E-12</v>
      </c>
      <c r="DS106" s="62">
        <f t="shared" si="71"/>
        <v>293.33333333333519</v>
      </c>
      <c r="DT106" s="62">
        <f ca="1">AVERAGE(OFFSET($DS$3,0,0,'Données projet'!$E$14+1,1))-AVERAGE(OFFSET($H$3,0,0,'Données projet'!$E$14+1,1))</f>
        <v>397.04445188588369</v>
      </c>
      <c r="DU106" s="62">
        <f t="shared" si="98"/>
        <v>350.01856672839466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1.18208456622043</v>
      </c>
      <c r="EB106" s="23">
        <f>EXP(-LN(2)/25)*EB105+(1-EXP(-LN(2)/25))/(LN(2)/25)*Calculateur!DW106*Calculateur!DY106*VLOOKUP('Données projet'!$B$14,Paramètres!$A$1:$I$88,3,0)*0.475*44/12</f>
        <v>0</v>
      </c>
      <c r="EC106" s="23">
        <f>EXP(-LN(2)/2)*EC105+(1-EXP(-LN(2)/2))/(LN(2)/2)*DW106*DZ106*VLOOKUP('Données projet'!$B$14,Paramètres!$A$1:$I$88,3,0)*0.475*44/12</f>
        <v>1.667218307859445E-10</v>
      </c>
      <c r="ED106" s="24">
        <f t="shared" si="72"/>
        <v>1.1820845663871518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-1.9895196601282805E-13</v>
      </c>
      <c r="EK106" s="18">
        <f>EJ106*VLOOKUP('Données projet'!$B$15,Paramètres!$A$1:$I$88,3,0)*VLOOKUP('Données projet'!$B$15,Paramètres!$A$1:$I$88,5,0)</f>
        <v>-1.738044375088066E-13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202.5548390231225</v>
      </c>
      <c r="EP106" s="62">
        <f t="shared" si="100"/>
        <v>184.62184077734179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projet'!$B$15,Paramètres!$A$1:$I$88,3,0)*0.475*44/12</f>
        <v>0</v>
      </c>
      <c r="EW106" s="23">
        <f>EXP(-LN(2)/25)*EW105+(1-EXP(-LN(2)/25))/(LN(2)/25)*Calculateur!ER106*Calculateur!ET106*VLOOKUP('Données projet'!$B$15,Paramètres!$A$1:$I$88,3,0)*0.475*44/12</f>
        <v>0</v>
      </c>
      <c r="EX106" s="23">
        <f>EXP(-LN(2)/2)*EX105+(1-EXP(-LN(2)/2))/(LN(2)/2)*ER106*EU106*VLOOKUP('Données projet'!$B$15,Paramètres!$A$1:$I$88,3,0)*0.475*44/12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4.7</v>
      </c>
      <c r="FE106" s="13">
        <f>IF('Données projet'!$A$218&gt;35,FE105+FD106-FM105,IF(A106&lt;'Données projet'!$A$218,$FB$205^A106,IF(A106='Données projet'!$A$218,'Données projet'!$B$218,FE105+FD106-FM105)))</f>
        <v>295.59999999999957</v>
      </c>
      <c r="FF106" s="18">
        <f>FE106*VLOOKUP('Données projet'!$B$16,Paramètres!$A$1:$I$88,3,0)*VLOOKUP('Données projet'!$B$16,Paramètres!$A$1:$I$88,5,0)</f>
        <v>285.90431999999959</v>
      </c>
      <c r="FG106" s="14">
        <f t="shared" si="101"/>
        <v>68.21324199961451</v>
      </c>
      <c r="FH106" s="22">
        <f t="shared" si="76"/>
        <v>616.75475381599449</v>
      </c>
      <c r="FI106" s="62">
        <f t="shared" si="77"/>
        <v>910.08808714932775</v>
      </c>
      <c r="FJ106" s="62">
        <f ca="1">AVERAGE(OFFSET($FI$3,0,0,'Données projet'!$E$16+1,1))-AVERAGE(OFFSET($H$3,0,0,'Données projet'!$E$16+1,1))</f>
        <v>456.96274622094955</v>
      </c>
      <c r="FK106" s="62">
        <f t="shared" si="102"/>
        <v>244.45149244446094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projet'!$B$16,Paramètres!$A$1:$I$88,3,0)*0.475*44/12</f>
        <v>0</v>
      </c>
      <c r="FR106" s="23">
        <f>EXP(-LN(2)/25)*FR105+(1-EXP(-LN(2)/25))/(LN(2)/25)*Calculateur!FM106*Calculateur!FO106*VLOOKUP('Données projet'!$B$16,Paramètres!$A$1:$I$88,3,0)*0.475*44/12</f>
        <v>0</v>
      </c>
      <c r="FS106" s="23">
        <f>EXP(-LN(2)/2)*FS105+(1-EXP(-LN(2)/2))/(LN(2)/2)*FM106*FP106*VLOOKUP('Données projet'!$B$16,Paramètres!$A$1:$I$88,3,0)*0.475*44/12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4.7</v>
      </c>
      <c r="FZ106" s="13">
        <f>IF('Données projet'!$A$244&gt;35,FZ105+FY106-GH105,IF(A106&lt;'Données projet'!$A$244,$FW$205^A106,IF(A106='Données projet'!$A$244,'Données projet'!$B$244,FZ105+FY106-GH105)))</f>
        <v>295.59999999999957</v>
      </c>
      <c r="GA106" s="18">
        <f>FZ106*VLOOKUP('Données projet'!$B$17,Paramètres!$A$1:$I$88,3,0)*VLOOKUP('Données projet'!$B$17,Paramètres!$A$1:$I$88,5,0)</f>
        <v>318.18383999999952</v>
      </c>
      <c r="GB106" s="14">
        <f t="shared" si="103"/>
        <v>74.975341168547786</v>
      </c>
      <c r="GC106" s="22">
        <f t="shared" si="79"/>
        <v>684.75224053521981</v>
      </c>
      <c r="GD106" s="62">
        <f t="shared" si="80"/>
        <v>978.08557386855318</v>
      </c>
      <c r="GE106" s="62">
        <f ca="1">AVERAGE(OFFSET($GD$3,0,0,'Données projet'!$E$17+1,1))-AVERAGE(OFFSET($H$3,0,0,'Données projet'!$E$17+1,1))</f>
        <v>503.69304261527651</v>
      </c>
      <c r="GF106" s="62">
        <f t="shared" si="104"/>
        <v>267.2998309535638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projet'!$B$17,Paramètres!$A$1:$I$88,3,0)*0.475*44/12</f>
        <v>0</v>
      </c>
      <c r="GM106" s="23">
        <f>EXP(-LN(2)/25)*GM105+(1-EXP(-LN(2)/25))/(LN(2)/25)*Calculateur!GH106*Calculateur!GJ106*VLOOKUP('Données projet'!$B$17,Paramètres!$A$1:$I$88,3,0)*0.475*44/12</f>
        <v>0</v>
      </c>
      <c r="GN106" s="23">
        <f>EXP(-LN(2)/2)*GN105+(1-EXP(-LN(2)/2))/(LN(2)/2)*GH106*GK106*VLOOKUP('Données projet'!$B$17,Paramètres!$A$1:$I$88,3,0)*0.475*44/12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5.5</v>
      </c>
      <c r="GU106" s="13">
        <f>IF('Données projet'!$A$270&gt;35,GU105+GT106-HC105,IF(A106&lt;'Données projet'!$A$270,$GR$205^A106,IF(A106='Données projet'!$A$270,'Données projet'!$B$270,GU105+GT106-HC105)))</f>
        <v>349.00000000000017</v>
      </c>
      <c r="GV106" s="18">
        <f>GU106*VLOOKUP('Données projet'!$B$18,Paramètres!$A$1:$I$88,3,0)*VLOOKUP('Données projet'!$B$18,Paramètres!$A$1:$I$88,5,0)</f>
        <v>364.7748000000002</v>
      </c>
      <c r="GW106" s="14">
        <f t="shared" si="105"/>
        <v>84.597436461492748</v>
      </c>
      <c r="GX106" s="22">
        <f t="shared" si="82"/>
        <v>782.65664517043342</v>
      </c>
      <c r="GY106" s="62">
        <f t="shared" si="83"/>
        <v>1075.9899785037667</v>
      </c>
      <c r="GZ106" s="62">
        <f ca="1">AVERAGE(OFFSET($GY$3,0,0,'Données projet'!$E$18+1,1))-AVERAGE(OFFSET($H$3,0,0,'Données projet'!$E$18+1,1))</f>
        <v>582.89879210197682</v>
      </c>
      <c r="HA106" s="62">
        <f t="shared" si="106"/>
        <v>314.72094983133326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projet'!$B$18,Paramètres!$A$1:$I$88,3,0)*0.475*44/12</f>
        <v>0</v>
      </c>
      <c r="HH106" s="23">
        <f>EXP(-LN(2)/25)*HH105+(1-EXP(-LN(2)/25))/(LN(2)/25)*Calculateur!HC106*Calculateur!HE106*VLOOKUP('Données projet'!$B$18,Paramètres!$A$1:$I$88,3,0)*0.475*44/12</f>
        <v>0</v>
      </c>
      <c r="HI106" s="23">
        <f>EXP(-LN(2)/2)*HI105+(1-EXP(-LN(2)/2))/(LN(2)/2)*HC106*HF106*VLOOKUP('Données projet'!$B$18,Paramètres!$A$1:$I$88,3,0)*0.475*44/12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projet'!$B$9,Paramètres!$A$1:$I$88,3,0)*VLOOKUP('Données projet'!$B$9,Paramètres!$A$1:$I$88,5,0)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399.92909819003523</v>
      </c>
      <c r="T107" s="62">
        <f t="shared" si="88"/>
        <v>163.7053537268381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5.5</v>
      </c>
      <c r="AI107" s="14">
        <f>IF('Données projet'!$A$62&gt;35,AI106+AH107-AQ106,IF(A107&lt;'Données projet'!$A$62,$AF$205^A107,IF(A107='Données projet'!$A$62,'Données projet'!$B$62,AI106+AH107-AQ106)))</f>
        <v>354.50000000000017</v>
      </c>
      <c r="AJ107" s="14">
        <f>AI107*VLOOKUP('Données projet'!$B$10,Paramètres!$A$1:$I$88,3,0)*VLOOKUP('Données projet'!$B$10,Paramètres!$A$1:$I$88,5,0)</f>
        <v>320.75160000000017</v>
      </c>
      <c r="AK107" s="14">
        <f t="shared" si="89"/>
        <v>75.509717301059425</v>
      </c>
      <c r="AL107" s="22">
        <f t="shared" si="58"/>
        <v>690.15512763267873</v>
      </c>
      <c r="AM107" s="62">
        <f t="shared" si="59"/>
        <v>983.4884609660121</v>
      </c>
      <c r="AN107" s="62">
        <f ca="1">AVERAGE(OFFSET($AM$3,0,0,'Données projet'!$E$10+1,1))-AVERAGE(OFFSET($H$3,0,0,'Données projet'!$E$10+1,1))</f>
        <v>510.56580450928806</v>
      </c>
      <c r="AO107" s="62">
        <f t="shared" si="90"/>
        <v>278.21741231699929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</v>
      </c>
      <c r="BD107" s="13">
        <f>IF('Données projet'!$A$88&gt;35,BD106+BC107-BL106,IF(A107&lt;'Données projet'!$A$88,$BA$205^A107,IF(A107='Données projet'!$A$88,'Données projet'!$B$88,BD106+BC107-BL106)))</f>
        <v>372.99999999999955</v>
      </c>
      <c r="BE107" s="14">
        <f>BD107*VLOOKUP('Données projet'!$B$11,Paramètres!$A$1:$I$88,3,0)*VLOOKUP('Données projet'!$B$11,Paramètres!$A$1:$I$88,5,0)</f>
        <v>354.9467999999996</v>
      </c>
      <c r="BF107" s="14">
        <f t="shared" si="91"/>
        <v>82.580275227244982</v>
      </c>
      <c r="BG107" s="22">
        <f t="shared" si="61"/>
        <v>762.02632268745094</v>
      </c>
      <c r="BH107" s="62">
        <f t="shared" si="62"/>
        <v>1055.3596560207843</v>
      </c>
      <c r="BI107" s="62">
        <f ca="1">AVERAGE(OFFSET($BH$3,0,0,'Données projet'!$E$11+1,1))-AVERAGE(OFFSET($H$3,0,0,'Données projet'!$E$11+1,1))</f>
        <v>525.51330555662139</v>
      </c>
      <c r="BJ107" s="62">
        <f t="shared" si="92"/>
        <v>357.72390083433635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1.7053025658242404E-13</v>
      </c>
      <c r="BZ107" s="14">
        <f>BY107*VLOOKUP('Données projet'!$B$12,Paramètres!$A$1:$I$88,3,0)*VLOOKUP('Données projet'!$B$12,Paramètres!$A$1:$I$88,5,0)</f>
        <v>1.0197709343628959E-13</v>
      </c>
      <c r="CA107" s="14">
        <f t="shared" si="93"/>
        <v>1.5284983994279675E-12</v>
      </c>
      <c r="CB107" s="22">
        <f t="shared" si="64"/>
        <v>2.839744816738581E-12</v>
      </c>
      <c r="CC107" s="62">
        <f t="shared" si="65"/>
        <v>293.33333333333616</v>
      </c>
      <c r="CD107" s="62">
        <f ca="1">AVERAGE(OFFSET($CC$3,0,0,'Données projet'!$E$12+1,1))-AVERAGE(OFFSET($H$3,0,0,'Données projet'!$E$12+1,1))</f>
        <v>227.46616726010473</v>
      </c>
      <c r="CE107" s="62">
        <f t="shared" si="94"/>
        <v>314.188568589113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27.790530948283166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1.0114435010227484E-7</v>
      </c>
      <c r="CN107" s="24">
        <f t="shared" si="66"/>
        <v>27.790531049427518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projet'!$B$13,Paramètres!$A$1:$I$88,3,0)*VLOOKUP('Données projet'!$B$13,Paramètres!$A$1:$I$88,5,0)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356.46794174556311</v>
      </c>
      <c r="CZ107" s="62">
        <f t="shared" si="96"/>
        <v>248.47107558211923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0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projet'!$B$14,Paramètres!$A$1:$I$88,3,0)*VLOOKUP('Données projet'!$B$14,Paramètres!$A$1:$I$88,5,0)</f>
        <v>6.3550942286383367E-14</v>
      </c>
      <c r="DQ107" s="14">
        <f t="shared" si="97"/>
        <v>1.0064464192543978E-12</v>
      </c>
      <c r="DR107" s="22">
        <f t="shared" si="70"/>
        <v>1.8635787380168604E-12</v>
      </c>
      <c r="DS107" s="62">
        <f t="shared" si="71"/>
        <v>293.33333333333519</v>
      </c>
      <c r="DT107" s="62">
        <f ca="1">AVERAGE(OFFSET($DS$3,0,0,'Données projet'!$E$14+1,1))-AVERAGE(OFFSET($H$3,0,0,'Données projet'!$E$14+1,1))</f>
        <v>397.04445188588369</v>
      </c>
      <c r="DU107" s="62">
        <f t="shared" si="98"/>
        <v>350.01856672839466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1.1589046088772399</v>
      </c>
      <c r="EB107" s="23">
        <f>EXP(-LN(2)/25)*EB106+(1-EXP(-LN(2)/25))/(LN(2)/25)*Calculateur!DW107*Calculateur!DY107*VLOOKUP('Données projet'!$B$14,Paramètres!$A$1:$I$88,3,0)*0.475*44/12</f>
        <v>0</v>
      </c>
      <c r="EC107" s="23">
        <f>EXP(-LN(2)/2)*EC106+(1-EXP(-LN(2)/2))/(LN(2)/2)*DW107*DZ107*VLOOKUP('Données projet'!$B$14,Paramètres!$A$1:$I$88,3,0)*0.475*44/12</f>
        <v>1.1789013712057746E-10</v>
      </c>
      <c r="ED107" s="24">
        <f t="shared" si="72"/>
        <v>1.15890460899513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-1.9895196601282805E-13</v>
      </c>
      <c r="EK107" s="18">
        <f>EJ107*VLOOKUP('Données projet'!$B$15,Paramètres!$A$1:$I$88,3,0)*VLOOKUP('Données projet'!$B$15,Paramètres!$A$1:$I$88,5,0)</f>
        <v>-1.738044375088066E-13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202.5548390231225</v>
      </c>
      <c r="EP107" s="62">
        <f t="shared" si="100"/>
        <v>184.62184077734179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projet'!$B$15,Paramètres!$A$1:$I$88,3,0)*0.475*44/12</f>
        <v>0</v>
      </c>
      <c r="EW107" s="23">
        <f>EXP(-LN(2)/25)*EW106+(1-EXP(-LN(2)/25))/(LN(2)/25)*Calculateur!ER107*Calculateur!ET107*VLOOKUP('Données projet'!$B$15,Paramètres!$A$1:$I$88,3,0)*0.475*44/12</f>
        <v>0</v>
      </c>
      <c r="EX107" s="23">
        <f>EXP(-LN(2)/2)*EX106+(1-EXP(-LN(2)/2))/(LN(2)/2)*ER107*EU107*VLOOKUP('Données projet'!$B$15,Paramètres!$A$1:$I$88,3,0)*0.475*44/12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4.7</v>
      </c>
      <c r="FE107" s="13">
        <f>IF('Données projet'!$A$218&gt;35,FE106+FD107-FM106,IF(A107&lt;'Données projet'!$A$218,$FB$205^A107,IF(A107='Données projet'!$A$218,'Données projet'!$B$218,FE106+FD107-FM106)))</f>
        <v>300.29999999999956</v>
      </c>
      <c r="FF107" s="18">
        <f>FE107*VLOOKUP('Données projet'!$B$16,Paramètres!$A$1:$I$88,3,0)*VLOOKUP('Données projet'!$B$16,Paramètres!$A$1:$I$88,5,0)</f>
        <v>290.45015999999958</v>
      </c>
      <c r="FG107" s="14">
        <f t="shared" si="101"/>
        <v>69.170696437598764</v>
      </c>
      <c r="FH107" s="22">
        <f t="shared" si="76"/>
        <v>626.33965829548379</v>
      </c>
      <c r="FI107" s="62">
        <f t="shared" si="77"/>
        <v>919.67299162881704</v>
      </c>
      <c r="FJ107" s="62">
        <f ca="1">AVERAGE(OFFSET($FI$3,0,0,'Données projet'!$E$16+1,1))-AVERAGE(OFFSET($H$3,0,0,'Données projet'!$E$16+1,1))</f>
        <v>456.96274622094955</v>
      </c>
      <c r="FK107" s="62">
        <f t="shared" si="102"/>
        <v>244.45149244446094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projet'!$B$16,Paramètres!$A$1:$I$88,3,0)*0.475*44/12</f>
        <v>0</v>
      </c>
      <c r="FR107" s="23">
        <f>EXP(-LN(2)/25)*FR106+(1-EXP(-LN(2)/25))/(LN(2)/25)*Calculateur!FM107*Calculateur!FO107*VLOOKUP('Données projet'!$B$16,Paramètres!$A$1:$I$88,3,0)*0.475*44/12</f>
        <v>0</v>
      </c>
      <c r="FS107" s="23">
        <f>EXP(-LN(2)/2)*FS106+(1-EXP(-LN(2)/2))/(LN(2)/2)*FM107*FP107*VLOOKUP('Données projet'!$B$16,Paramètres!$A$1:$I$88,3,0)*0.475*44/12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4.7</v>
      </c>
      <c r="FZ107" s="13">
        <f>IF('Données projet'!$A$244&gt;35,FZ106+FY107-GH106,IF(A107&lt;'Données projet'!$A$244,$FW$205^A107,IF(A107='Données projet'!$A$244,'Données projet'!$B$244,FZ106+FY107-GH106)))</f>
        <v>300.29999999999956</v>
      </c>
      <c r="GA107" s="18">
        <f>FZ107*VLOOKUP('Données projet'!$B$17,Paramètres!$A$1:$I$88,3,0)*VLOOKUP('Données projet'!$B$17,Paramètres!$A$1:$I$88,5,0)</f>
        <v>323.24291999999951</v>
      </c>
      <c r="GB107" s="14">
        <f t="shared" si="103"/>
        <v>76.027709756183881</v>
      </c>
      <c r="GC107" s="22">
        <f t="shared" si="79"/>
        <v>695.39634682535268</v>
      </c>
      <c r="GD107" s="62">
        <f t="shared" si="80"/>
        <v>988.72968015868605</v>
      </c>
      <c r="GE107" s="62">
        <f ca="1">AVERAGE(OFFSET($GD$3,0,0,'Données projet'!$E$17+1,1))-AVERAGE(OFFSET($H$3,0,0,'Données projet'!$E$17+1,1))</f>
        <v>503.69304261527651</v>
      </c>
      <c r="GF107" s="62">
        <f t="shared" si="104"/>
        <v>267.2998309535638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projet'!$B$17,Paramètres!$A$1:$I$88,3,0)*0.475*44/12</f>
        <v>0</v>
      </c>
      <c r="GM107" s="23">
        <f>EXP(-LN(2)/25)*GM106+(1-EXP(-LN(2)/25))/(LN(2)/25)*Calculateur!GH107*Calculateur!GJ107*VLOOKUP('Données projet'!$B$17,Paramètres!$A$1:$I$88,3,0)*0.475*44/12</f>
        <v>0</v>
      </c>
      <c r="GN107" s="23">
        <f>EXP(-LN(2)/2)*GN106+(1-EXP(-LN(2)/2))/(LN(2)/2)*GH107*GK107*VLOOKUP('Données projet'!$B$17,Paramètres!$A$1:$I$88,3,0)*0.475*44/12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5.5</v>
      </c>
      <c r="GU107" s="13">
        <f>IF('Données projet'!$A$270&gt;35,GU106+GT107-HC106,IF(A107&lt;'Données projet'!$A$270,$GR$205^A107,IF(A107='Données projet'!$A$270,'Données projet'!$B$270,GU106+GT107-HC106)))</f>
        <v>354.50000000000017</v>
      </c>
      <c r="GV107" s="18">
        <f>GU107*VLOOKUP('Données projet'!$B$18,Paramètres!$A$1:$I$88,3,0)*VLOOKUP('Données projet'!$B$18,Paramètres!$A$1:$I$88,5,0)</f>
        <v>370.52340000000021</v>
      </c>
      <c r="GW107" s="14">
        <f t="shared" si="105"/>
        <v>85.774375524067707</v>
      </c>
      <c r="GX107" s="22">
        <f t="shared" si="82"/>
        <v>794.71862570441817</v>
      </c>
      <c r="GY107" s="62">
        <f t="shared" si="83"/>
        <v>1088.0519590377514</v>
      </c>
      <c r="GZ107" s="62">
        <f ca="1">AVERAGE(OFFSET($GY$3,0,0,'Données projet'!$E$18+1,1))-AVERAGE(OFFSET($H$3,0,0,'Données projet'!$E$18+1,1))</f>
        <v>582.89879210197682</v>
      </c>
      <c r="HA107" s="62">
        <f t="shared" si="106"/>
        <v>314.72094983133326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projet'!$B$18,Paramètres!$A$1:$I$88,3,0)*0.475*44/12</f>
        <v>0</v>
      </c>
      <c r="HH107" s="23">
        <f>EXP(-LN(2)/25)*HH106+(1-EXP(-LN(2)/25))/(LN(2)/25)*Calculateur!HC107*Calculateur!HE107*VLOOKUP('Données projet'!$B$18,Paramètres!$A$1:$I$88,3,0)*0.475*44/12</f>
        <v>0</v>
      </c>
      <c r="HI107" s="23">
        <f>EXP(-LN(2)/2)*HI106+(1-EXP(-LN(2)/2))/(LN(2)/2)*HC107*HF107*VLOOKUP('Données projet'!$B$18,Paramètres!$A$1:$I$88,3,0)*0.475*44/12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projet'!$B$9,Paramètres!$A$1:$I$88,3,0)*VLOOKUP('Données projet'!$B$9,Paramètres!$A$1:$I$88,5,0)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399.92909819003523</v>
      </c>
      <c r="T108" s="62">
        <f t="shared" si="88"/>
        <v>163.7053537268381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360</v>
      </c>
      <c r="AG108" s="13">
        <f>VLOOKUP(A108,'Données projet'!$A$61:$I$81,9,0)</f>
        <v>5.5</v>
      </c>
      <c r="AH108" s="13">
        <f t="array" ref="AH108">INDEX(AG:AG,MIN(IF(ISNUMBER(AG108:AG304),ROW(AG108:AG304),"")))</f>
        <v>5.5</v>
      </c>
      <c r="AI108" s="14">
        <f>IF('Données projet'!$A$62&gt;35,AI107+AH108-AQ107,IF(A108&lt;'Données projet'!$A$62,$AF$205^A108,IF(A108='Données projet'!$A$62,'Données projet'!$B$62,AI107+AH108-AQ107)))</f>
        <v>360.00000000000017</v>
      </c>
      <c r="AJ108" s="14">
        <f>AI108*VLOOKUP('Données projet'!$B$10,Paramètres!$A$1:$I$88,3,0)*VLOOKUP('Données projet'!$B$10,Paramètres!$A$1:$I$88,5,0)</f>
        <v>325.72800000000018</v>
      </c>
      <c r="AK108" s="14">
        <f t="shared" si="89"/>
        <v>76.543942036894109</v>
      </c>
      <c r="AL108" s="22">
        <f t="shared" si="58"/>
        <v>700.62363238092428</v>
      </c>
      <c r="AM108" s="62">
        <f t="shared" si="59"/>
        <v>993.95696571425765</v>
      </c>
      <c r="AN108" s="62">
        <f ca="1">AVERAGE(OFFSET($AM$3,0,0,'Données projet'!$E$10+1,1))-AVERAGE(OFFSET($H$3,0,0,'Données projet'!$E$10+1,1))</f>
        <v>510.56580450928806</v>
      </c>
      <c r="AO108" s="62">
        <f t="shared" si="90"/>
        <v>278.21741231699929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53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378</v>
      </c>
      <c r="BB108" s="13">
        <f>VLOOKUP(A108,'Données projet'!$A$87:$I$107,9,0)</f>
        <v>5</v>
      </c>
      <c r="BC108" s="13">
        <f t="array" ref="BC108">INDEX(BB:BB,MIN(IF(ISNUMBER(BB108:BB304),ROW(BB108:BB304),"")))</f>
        <v>5</v>
      </c>
      <c r="BD108" s="13">
        <f>IF('Données projet'!$A$88&gt;35,BD107+BC108-BL107,IF(A108&lt;'Données projet'!$A$88,$BA$205^A108,IF(A108='Données projet'!$A$88,'Données projet'!$B$88,BD107+BC108-BL107)))</f>
        <v>377.99999999999955</v>
      </c>
      <c r="BE108" s="14">
        <f>BD108*VLOOKUP('Données projet'!$B$11,Paramètres!$A$1:$I$88,3,0)*VLOOKUP('Données projet'!$B$11,Paramètres!$A$1:$I$88,5,0)</f>
        <v>359.70479999999958</v>
      </c>
      <c r="BF108" s="14">
        <f t="shared" si="91"/>
        <v>83.557638316278158</v>
      </c>
      <c r="BG108" s="22">
        <f t="shared" si="61"/>
        <v>772.01541340085032</v>
      </c>
      <c r="BH108" s="62">
        <f t="shared" si="62"/>
        <v>1065.3487467341836</v>
      </c>
      <c r="BI108" s="62">
        <f ca="1">AVERAGE(OFFSET($BH$3,0,0,'Données projet'!$E$11+1,1))-AVERAGE(OFFSET($H$3,0,0,'Données projet'!$E$11+1,1))</f>
        <v>525.51330555662139</v>
      </c>
      <c r="BJ108" s="62">
        <f t="shared" si="92"/>
        <v>357.72390083433635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35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1.7053025658242404E-13</v>
      </c>
      <c r="BZ108" s="14">
        <f>BY108*VLOOKUP('Données projet'!$B$12,Paramètres!$A$1:$I$88,3,0)*VLOOKUP('Données projet'!$B$12,Paramètres!$A$1:$I$88,5,0)</f>
        <v>1.0197709343628959E-13</v>
      </c>
      <c r="CA108" s="14">
        <f t="shared" si="93"/>
        <v>1.5284983994279675E-12</v>
      </c>
      <c r="CB108" s="22">
        <f t="shared" si="64"/>
        <v>2.839744816738581E-12</v>
      </c>
      <c r="CC108" s="62">
        <f t="shared" si="65"/>
        <v>293.33333333333616</v>
      </c>
      <c r="CD108" s="62">
        <f ca="1">AVERAGE(OFFSET($CC$3,0,0,'Données projet'!$E$12+1,1))-AVERAGE(OFFSET($H$3,0,0,'Données projet'!$E$12+1,1))</f>
        <v>227.46616726010473</v>
      </c>
      <c r="CE108" s="62">
        <f t="shared" si="94"/>
        <v>314.188568589113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27.245575586937484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7.1519855836024812E-8</v>
      </c>
      <c r="CN108" s="24">
        <f t="shared" si="66"/>
        <v>27.245575658457341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projet'!$B$13,Paramètres!$A$1:$I$88,3,0)*VLOOKUP('Données projet'!$B$13,Paramètres!$A$1:$I$88,5,0)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356.46794174556311</v>
      </c>
      <c r="CZ108" s="62">
        <f t="shared" si="96"/>
        <v>248.47107558211923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0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projet'!$B$14,Paramètres!$A$1:$I$88,3,0)*VLOOKUP('Données projet'!$B$14,Paramètres!$A$1:$I$88,5,0)</f>
        <v>6.3550942286383367E-14</v>
      </c>
      <c r="DQ108" s="14">
        <f t="shared" si="97"/>
        <v>1.0064464192543978E-12</v>
      </c>
      <c r="DR108" s="22">
        <f t="shared" si="70"/>
        <v>1.8635787380168604E-12</v>
      </c>
      <c r="DS108" s="62">
        <f t="shared" si="71"/>
        <v>293.33333333333519</v>
      </c>
      <c r="DT108" s="62">
        <f ca="1">AVERAGE(OFFSET($DS$3,0,0,'Données projet'!$E$14+1,1))-AVERAGE(OFFSET($H$3,0,0,'Données projet'!$E$14+1,1))</f>
        <v>397.04445188588369</v>
      </c>
      <c r="DU108" s="62">
        <f t="shared" si="98"/>
        <v>350.01856672839466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1.1361791963591719</v>
      </c>
      <c r="EB108" s="23">
        <f>EXP(-LN(2)/25)*EB107+(1-EXP(-LN(2)/25))/(LN(2)/25)*Calculateur!DW108*Calculateur!DY108*VLOOKUP('Données projet'!$B$14,Paramètres!$A$1:$I$88,3,0)*0.475*44/12</f>
        <v>0</v>
      </c>
      <c r="EC108" s="23">
        <f>EXP(-LN(2)/2)*EC107+(1-EXP(-LN(2)/2))/(LN(2)/2)*DW108*DZ108*VLOOKUP('Données projet'!$B$14,Paramètres!$A$1:$I$88,3,0)*0.475*44/12</f>
        <v>8.336091539297225E-11</v>
      </c>
      <c r="ED108" s="24">
        <f t="shared" si="72"/>
        <v>1.1361791964425327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-1.9895196601282805E-13</v>
      </c>
      <c r="EK108" s="18">
        <f>EJ108*VLOOKUP('Données projet'!$B$15,Paramètres!$A$1:$I$88,3,0)*VLOOKUP('Données projet'!$B$15,Paramètres!$A$1:$I$88,5,0)</f>
        <v>-1.738044375088066E-13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202.5548390231225</v>
      </c>
      <c r="EP108" s="62">
        <f t="shared" si="100"/>
        <v>184.62184077734179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projet'!$B$15,Paramètres!$A$1:$I$88,3,0)*0.475*44/12</f>
        <v>0</v>
      </c>
      <c r="EW108" s="23">
        <f>EXP(-LN(2)/25)*EW107+(1-EXP(-LN(2)/25))/(LN(2)/25)*Calculateur!ER108*Calculateur!ET108*VLOOKUP('Données projet'!$B$15,Paramètres!$A$1:$I$88,3,0)*0.475*44/12</f>
        <v>0</v>
      </c>
      <c r="EX108" s="23">
        <f>EXP(-LN(2)/2)*EX107+(1-EXP(-LN(2)/2))/(LN(2)/2)*ER108*EU108*VLOOKUP('Données projet'!$B$15,Paramètres!$A$1:$I$88,3,0)*0.475*44/12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305</v>
      </c>
      <c r="FC108" s="13">
        <f>VLOOKUP(A108,'Données projet'!$A$217:$I$237,9,0)</f>
        <v>4.7</v>
      </c>
      <c r="FD108" s="13">
        <f t="array" ref="FD108">INDEX(FC:FC,MIN(IF(ISNUMBER(FC108:FC304),ROW(FC108:FC304),"")))</f>
        <v>4.7</v>
      </c>
      <c r="FE108" s="13">
        <f>IF('Données projet'!$A$218&gt;35,FE107+FD108-FM107,IF(A108&lt;'Données projet'!$A$218,$FB$205^A108,IF(A108='Données projet'!$A$218,'Données projet'!$B$218,FE107+FD108-FM107)))</f>
        <v>304.99999999999955</v>
      </c>
      <c r="FF108" s="18">
        <f>FE108*VLOOKUP('Données projet'!$B$16,Paramètres!$A$1:$I$88,3,0)*VLOOKUP('Données projet'!$B$16,Paramètres!$A$1:$I$88,5,0)</f>
        <v>294.99599999999958</v>
      </c>
      <c r="FG108" s="14">
        <f t="shared" si="101"/>
        <v>70.126408118585317</v>
      </c>
      <c r="FH108" s="22">
        <f t="shared" si="76"/>
        <v>635.92152747320199</v>
      </c>
      <c r="FI108" s="62">
        <f t="shared" si="77"/>
        <v>929.25486080653536</v>
      </c>
      <c r="FJ108" s="62">
        <f ca="1">AVERAGE(OFFSET($FI$3,0,0,'Données projet'!$E$16+1,1))-AVERAGE(OFFSET($H$3,0,0,'Données projet'!$E$16+1,1))</f>
        <v>456.96274622094955</v>
      </c>
      <c r="FK108" s="62">
        <f t="shared" si="102"/>
        <v>244.45149244446094</v>
      </c>
      <c r="FL108" s="16">
        <f>IF(ISNA(VLOOKUP(A108,'Données projet'!$A$217:$I$237,3,0)),0,VLOOKUP(A108,'Données projet'!$A$217:$I$237,3,0))</f>
        <v>9</v>
      </c>
      <c r="FM108" s="16">
        <f>IF(ISNA(VLOOKUP(A108,'Données projet'!$A$217:$I$237,4,0)),0,VLOOKUP(A108,'Données projet'!$A$217:$I$237,4,0))</f>
        <v>41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projet'!$B$16,Paramètres!$A$1:$I$88,3,0)*0.475*44/12</f>
        <v>0</v>
      </c>
      <c r="FR108" s="23">
        <f>EXP(-LN(2)/25)*FR107+(1-EXP(-LN(2)/25))/(LN(2)/25)*Calculateur!FM108*Calculateur!FO108*VLOOKUP('Données projet'!$B$16,Paramètres!$A$1:$I$88,3,0)*0.475*44/12</f>
        <v>0</v>
      </c>
      <c r="FS108" s="23">
        <f>EXP(-LN(2)/2)*FS107+(1-EXP(-LN(2)/2))/(LN(2)/2)*FM108*FP108*VLOOKUP('Données projet'!$B$16,Paramètres!$A$1:$I$88,3,0)*0.475*44/12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305</v>
      </c>
      <c r="FX108" s="13">
        <f>VLOOKUP(A108,'Données projet'!$A$243:$I$263,9,0)</f>
        <v>4.7</v>
      </c>
      <c r="FY108" s="13">
        <f t="array" ref="FY108">INDEX(FX:FX,MIN(IF(ISNUMBER(FX108:FX304),ROW(FX108:FX304),"")))</f>
        <v>4.7</v>
      </c>
      <c r="FZ108" s="13">
        <f>IF('Données projet'!$A$244&gt;35,FZ107+FY108-GH107,IF(A108&lt;'Données projet'!$A$244,$FW$205^A108,IF(A108='Données projet'!$A$244,'Données projet'!$B$244,FZ107+FY108-GH107)))</f>
        <v>304.99999999999955</v>
      </c>
      <c r="GA108" s="18">
        <f>FZ108*VLOOKUP('Données projet'!$B$17,Paramètres!$A$1:$I$88,3,0)*VLOOKUP('Données projet'!$B$17,Paramètres!$A$1:$I$88,5,0)</f>
        <v>328.30199999999951</v>
      </c>
      <c r="GB108" s="14">
        <f t="shared" si="103"/>
        <v>77.078162824242781</v>
      </c>
      <c r="GC108" s="22">
        <f t="shared" si="79"/>
        <v>706.03711691888873</v>
      </c>
      <c r="GD108" s="62">
        <f t="shared" si="80"/>
        <v>999.3704502522221</v>
      </c>
      <c r="GE108" s="62">
        <f ca="1">AVERAGE(OFFSET($GD$3,0,0,'Données projet'!$E$17+1,1))-AVERAGE(OFFSET($H$3,0,0,'Données projet'!$E$17+1,1))</f>
        <v>503.69304261527651</v>
      </c>
      <c r="GF108" s="62">
        <f t="shared" si="104"/>
        <v>267.2998309535638</v>
      </c>
      <c r="GG108" s="16">
        <f>IF(ISNA(VLOOKUP(A108,'Données projet'!$A$243:$I$263,3,0)),0,VLOOKUP(A108,'Données projet'!$A$243:$I$263,3,0))</f>
        <v>9</v>
      </c>
      <c r="GH108" s="16">
        <f>IF(ISNA(VLOOKUP(A108,'Données projet'!$A$243:$I$263,4,0)),0,VLOOKUP(A108,'Données projet'!$A$243:$I$263,4,0))</f>
        <v>41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projet'!$B$17,Paramètres!$A$1:$I$88,3,0)*0.475*44/12</f>
        <v>0</v>
      </c>
      <c r="GM108" s="23">
        <f>EXP(-LN(2)/25)*GM107+(1-EXP(-LN(2)/25))/(LN(2)/25)*Calculateur!GH108*Calculateur!GJ108*VLOOKUP('Données projet'!$B$17,Paramètres!$A$1:$I$88,3,0)*0.475*44/12</f>
        <v>0</v>
      </c>
      <c r="GN108" s="23">
        <f>EXP(-LN(2)/2)*GN107+(1-EXP(-LN(2)/2))/(LN(2)/2)*GH108*GK108*VLOOKUP('Données projet'!$B$17,Paramètres!$A$1:$I$88,3,0)*0.475*44/12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360</v>
      </c>
      <c r="GS108" s="13">
        <f>VLOOKUP(A108,'Données projet'!$A$269:$I$289,9,0)</f>
        <v>5.5</v>
      </c>
      <c r="GT108" s="13">
        <f t="array" ref="GT108">INDEX(GS:GS,MIN(IF(ISNUMBER(GS108:GS304),ROW(GS108:GS304),"")))</f>
        <v>5.5</v>
      </c>
      <c r="GU108" s="13">
        <f>IF('Données projet'!$A$270&gt;35,GU107+GT108-HC107,IF(A108&lt;'Données projet'!$A$270,$GR$205^A108,IF(A108='Données projet'!$A$270,'Données projet'!$B$270,GU107+GT108-HC107)))</f>
        <v>360.00000000000017</v>
      </c>
      <c r="GV108" s="18">
        <f>GU108*VLOOKUP('Données projet'!$B$18,Paramètres!$A$1:$I$88,3,0)*VLOOKUP('Données projet'!$B$18,Paramètres!$A$1:$I$88,5,0)</f>
        <v>376.27200000000022</v>
      </c>
      <c r="GW108" s="14">
        <f t="shared" si="105"/>
        <v>86.949190952313529</v>
      </c>
      <c r="GX108" s="22">
        <f t="shared" si="82"/>
        <v>806.77690757527978</v>
      </c>
      <c r="GY108" s="62">
        <f t="shared" si="83"/>
        <v>1100.1102409086132</v>
      </c>
      <c r="GZ108" s="62">
        <f ca="1">AVERAGE(OFFSET($GY$3,0,0,'Données projet'!$E$18+1,1))-AVERAGE(OFFSET($H$3,0,0,'Données projet'!$E$18+1,1))</f>
        <v>582.89879210197682</v>
      </c>
      <c r="HA108" s="62">
        <f t="shared" si="106"/>
        <v>314.72094983133326</v>
      </c>
      <c r="HB108" s="16">
        <f>IF(ISNA(VLOOKUP(A108,'Données projet'!$A$269:$I$289,3,0)),0,VLOOKUP(A108,'Données projet'!$A$269:$I$289,3,0))</f>
        <v>9</v>
      </c>
      <c r="HC108" s="16">
        <f>IF(ISNA(VLOOKUP(A108,'Données projet'!$A$269:$I$289,4,0)),0,VLOOKUP(A108,'Données projet'!$A$269:$I$289,4,0))</f>
        <v>53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projet'!$B$18,Paramètres!$A$1:$I$88,3,0)*0.475*44/12</f>
        <v>0</v>
      </c>
      <c r="HH108" s="23">
        <f>EXP(-LN(2)/25)*HH107+(1-EXP(-LN(2)/25))/(LN(2)/25)*Calculateur!HC108*Calculateur!HE108*VLOOKUP('Données projet'!$B$18,Paramètres!$A$1:$I$88,3,0)*0.475*44/12</f>
        <v>0</v>
      </c>
      <c r="HI108" s="23">
        <f>EXP(-LN(2)/2)*HI107+(1-EXP(-LN(2)/2))/(LN(2)/2)*HC108*HF108*VLOOKUP('Données projet'!$B$18,Paramètres!$A$1:$I$88,3,0)*0.475*44/12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projet'!$B$9,Paramètres!$A$1:$I$88,3,0)*VLOOKUP('Données projet'!$B$9,Paramètres!$A$1:$I$88,5,0)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399.92909819003523</v>
      </c>
      <c r="T109" s="62">
        <f t="shared" si="88"/>
        <v>163.7053537268381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4.9000000000000004</v>
      </c>
      <c r="AI109" s="14">
        <f>IF('Données projet'!$A$62&gt;35,AI108+AH109-AQ108,IF(A109&lt;'Données projet'!$A$62,$AF$205^A109,IF(A109='Données projet'!$A$62,'Données projet'!$B$62,AI108+AH109-AQ108)))</f>
        <v>311.90000000000015</v>
      </c>
      <c r="AJ109" s="14">
        <f>AI109*VLOOKUP('Données projet'!$B$10,Paramètres!$A$1:$I$88,3,0)*VLOOKUP('Données projet'!$B$10,Paramètres!$A$1:$I$88,5,0)</f>
        <v>282.20712000000015</v>
      </c>
      <c r="AK109" s="14">
        <f t="shared" si="89"/>
        <v>67.433223428275326</v>
      </c>
      <c r="AL109" s="22">
        <f t="shared" si="58"/>
        <v>608.95693147091299</v>
      </c>
      <c r="AM109" s="62">
        <f t="shared" si="59"/>
        <v>902.29026480424636</v>
      </c>
      <c r="AN109" s="62">
        <f ca="1">AVERAGE(OFFSET($AM$3,0,0,'Données projet'!$E$10+1,1))-AVERAGE(OFFSET($H$3,0,0,'Données projet'!$E$10+1,1))</f>
        <v>510.56580450928806</v>
      </c>
      <c r="AO109" s="62">
        <f t="shared" si="90"/>
        <v>278.21741231699929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4.5</v>
      </c>
      <c r="BD109" s="13">
        <f>IF('Données projet'!$A$88&gt;35,BD108+BC109-BL108,IF(A109&lt;'Données projet'!$A$88,$BA$205^A109,IF(A109='Données projet'!$A$88,'Données projet'!$B$88,BD108+BC109-BL108)))</f>
        <v>347.49999999999955</v>
      </c>
      <c r="BE109" s="14">
        <f>BD109*VLOOKUP('Données projet'!$B$11,Paramètres!$A$1:$I$88,3,0)*VLOOKUP('Données projet'!$B$11,Paramètres!$A$1:$I$88,5,0)</f>
        <v>330.68099999999959</v>
      </c>
      <c r="BF109" s="14">
        <f t="shared" si="91"/>
        <v>77.571478902171805</v>
      </c>
      <c r="BG109" s="22">
        <f t="shared" si="61"/>
        <v>711.03973408794855</v>
      </c>
      <c r="BH109" s="62">
        <f t="shared" si="62"/>
        <v>1004.3730674212818</v>
      </c>
      <c r="BI109" s="62">
        <f ca="1">AVERAGE(OFFSET($BH$3,0,0,'Données projet'!$E$11+1,1))-AVERAGE(OFFSET($H$3,0,0,'Données projet'!$E$11+1,1))</f>
        <v>525.51330555662139</v>
      </c>
      <c r="BJ109" s="62">
        <f t="shared" si="92"/>
        <v>357.72390083433635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1.7053025658242404E-13</v>
      </c>
      <c r="BZ109" s="14">
        <f>BY109*VLOOKUP('Données projet'!$B$12,Paramètres!$A$1:$I$88,3,0)*VLOOKUP('Données projet'!$B$12,Paramètres!$A$1:$I$88,5,0)</f>
        <v>1.0197709343628959E-13</v>
      </c>
      <c r="CA109" s="14">
        <f t="shared" si="93"/>
        <v>1.5284983994279675E-12</v>
      </c>
      <c r="CB109" s="22">
        <f t="shared" si="64"/>
        <v>2.839744816738581E-12</v>
      </c>
      <c r="CC109" s="62">
        <f t="shared" si="65"/>
        <v>293.33333333333616</v>
      </c>
      <c r="CD109" s="62">
        <f ca="1">AVERAGE(OFFSET($CC$3,0,0,'Données projet'!$E$12+1,1))-AVERAGE(OFFSET($H$3,0,0,'Données projet'!$E$12+1,1))</f>
        <v>227.46616726010473</v>
      </c>
      <c r="CE109" s="62">
        <f t="shared" si="94"/>
        <v>314.188568589113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26.71130646783784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5.0572175051137421E-8</v>
      </c>
      <c r="CN109" s="24">
        <f t="shared" si="66"/>
        <v>26.711306518410016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projet'!$B$13,Paramètres!$A$1:$I$88,3,0)*VLOOKUP('Données projet'!$B$13,Paramètres!$A$1:$I$88,5,0)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356.46794174556311</v>
      </c>
      <c r="CZ109" s="62">
        <f t="shared" si="96"/>
        <v>248.47107558211923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0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projet'!$B$14,Paramètres!$A$1:$I$88,3,0)*VLOOKUP('Données projet'!$B$14,Paramètres!$A$1:$I$88,5,0)</f>
        <v>6.3550942286383367E-14</v>
      </c>
      <c r="DQ109" s="14">
        <f t="shared" si="97"/>
        <v>1.0064464192543978E-12</v>
      </c>
      <c r="DR109" s="22">
        <f t="shared" si="70"/>
        <v>1.8635787380168604E-12</v>
      </c>
      <c r="DS109" s="62">
        <f t="shared" si="71"/>
        <v>293.33333333333519</v>
      </c>
      <c r="DT109" s="62">
        <f ca="1">AVERAGE(OFFSET($DS$3,0,0,'Données projet'!$E$14+1,1))-AVERAGE(OFFSET($H$3,0,0,'Données projet'!$E$14+1,1))</f>
        <v>397.04445188588369</v>
      </c>
      <c r="DU109" s="62">
        <f t="shared" si="98"/>
        <v>350.01856672839466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1.1138994153194501</v>
      </c>
      <c r="EB109" s="23">
        <f>EXP(-LN(2)/25)*EB108+(1-EXP(-LN(2)/25))/(LN(2)/25)*Calculateur!DW109*Calculateur!DY109*VLOOKUP('Données projet'!$B$14,Paramètres!$A$1:$I$88,3,0)*0.475*44/12</f>
        <v>0</v>
      </c>
      <c r="EC109" s="23">
        <f>EXP(-LN(2)/2)*EC108+(1-EXP(-LN(2)/2))/(LN(2)/2)*DW109*DZ109*VLOOKUP('Données projet'!$B$14,Paramètres!$A$1:$I$88,3,0)*0.475*44/12</f>
        <v>5.894506856028873E-11</v>
      </c>
      <c r="ED109" s="24">
        <f t="shared" si="72"/>
        <v>1.1138994153783952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-1.9895196601282805E-13</v>
      </c>
      <c r="EK109" s="18">
        <f>EJ109*VLOOKUP('Données projet'!$B$15,Paramètres!$A$1:$I$88,3,0)*VLOOKUP('Données projet'!$B$15,Paramètres!$A$1:$I$88,5,0)</f>
        <v>-1.738044375088066E-13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202.5548390231225</v>
      </c>
      <c r="EP109" s="62">
        <f t="shared" si="100"/>
        <v>184.62184077734179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projet'!$B$15,Paramètres!$A$1:$I$88,3,0)*0.475*44/12</f>
        <v>0</v>
      </c>
      <c r="EW109" s="23">
        <f>EXP(-LN(2)/25)*EW108+(1-EXP(-LN(2)/25))/(LN(2)/25)*Calculateur!ER109*Calculateur!ET109*VLOOKUP('Données projet'!$B$15,Paramètres!$A$1:$I$88,3,0)*0.475*44/12</f>
        <v>0</v>
      </c>
      <c r="EX109" s="23">
        <f>EXP(-LN(2)/2)*EX108+(1-EXP(-LN(2)/2))/(LN(2)/2)*ER109*EU109*VLOOKUP('Données projet'!$B$15,Paramètres!$A$1:$I$88,3,0)*0.475*44/12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</v>
      </c>
      <c r="FE109" s="13">
        <f>IF('Données projet'!$A$218&gt;35,FE108+FD109-FM108,IF(A109&lt;'Données projet'!$A$218,$FB$205^A109,IF(A109='Données projet'!$A$218,'Données projet'!$B$218,FE108+FD109-FM108)))</f>
        <v>267.99999999999955</v>
      </c>
      <c r="FF109" s="18">
        <f>FE109*VLOOKUP('Données projet'!$B$16,Paramètres!$A$1:$I$88,3,0)*VLOOKUP('Données projet'!$B$16,Paramètres!$A$1:$I$88,5,0)</f>
        <v>259.20959999999957</v>
      </c>
      <c r="FG109" s="14">
        <f t="shared" si="101"/>
        <v>62.553866774106652</v>
      </c>
      <c r="FH109" s="22">
        <f t="shared" si="76"/>
        <v>560.40470463156839</v>
      </c>
      <c r="FI109" s="62">
        <f t="shared" si="77"/>
        <v>853.73803796490165</v>
      </c>
      <c r="FJ109" s="62">
        <f ca="1">AVERAGE(OFFSET($FI$3,0,0,'Données projet'!$E$16+1,1))-AVERAGE(OFFSET($H$3,0,0,'Données projet'!$E$16+1,1))</f>
        <v>456.96274622094955</v>
      </c>
      <c r="FK109" s="62">
        <f t="shared" si="102"/>
        <v>244.45149244446094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projet'!$B$16,Paramètres!$A$1:$I$88,3,0)*0.475*44/12</f>
        <v>0</v>
      </c>
      <c r="FR109" s="23">
        <f>EXP(-LN(2)/25)*FR108+(1-EXP(-LN(2)/25))/(LN(2)/25)*Calculateur!FM109*Calculateur!FO109*VLOOKUP('Données projet'!$B$16,Paramètres!$A$1:$I$88,3,0)*0.475*44/12</f>
        <v>0</v>
      </c>
      <c r="FS109" s="23">
        <f>EXP(-LN(2)/2)*FS108+(1-EXP(-LN(2)/2))/(LN(2)/2)*FM109*FP109*VLOOKUP('Données projet'!$B$16,Paramètres!$A$1:$I$88,3,0)*0.475*44/12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</v>
      </c>
      <c r="FZ109" s="13">
        <f>IF('Données projet'!$A$244&gt;35,FZ108+FY109-GH108,IF(A109&lt;'Données projet'!$A$244,$FW$205^A109,IF(A109='Données projet'!$A$244,'Données projet'!$B$244,FZ108+FY109-GH108)))</f>
        <v>267.99999999999955</v>
      </c>
      <c r="GA109" s="18">
        <f>FZ109*VLOOKUP('Données projet'!$B$17,Paramètres!$A$1:$I$88,3,0)*VLOOKUP('Données projet'!$B$17,Paramètres!$A$1:$I$88,5,0)</f>
        <v>288.47519999999952</v>
      </c>
      <c r="GB109" s="14">
        <f t="shared" si="103"/>
        <v>68.754942080410729</v>
      </c>
      <c r="GC109" s="22">
        <f t="shared" si="79"/>
        <v>622.17583079004783</v>
      </c>
      <c r="GD109" s="62">
        <f t="shared" si="80"/>
        <v>915.5091641233812</v>
      </c>
      <c r="GE109" s="62">
        <f ca="1">AVERAGE(OFFSET($GD$3,0,0,'Données projet'!$E$17+1,1))-AVERAGE(OFFSET($H$3,0,0,'Données projet'!$E$17+1,1))</f>
        <v>503.69304261527651</v>
      </c>
      <c r="GF109" s="62">
        <f t="shared" si="104"/>
        <v>267.2998309535638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projet'!$B$17,Paramètres!$A$1:$I$88,3,0)*0.475*44/12</f>
        <v>0</v>
      </c>
      <c r="GM109" s="23">
        <f>EXP(-LN(2)/25)*GM108+(1-EXP(-LN(2)/25))/(LN(2)/25)*Calculateur!GH109*Calculateur!GJ109*VLOOKUP('Données projet'!$B$17,Paramètres!$A$1:$I$88,3,0)*0.475*44/12</f>
        <v>0</v>
      </c>
      <c r="GN109" s="23">
        <f>EXP(-LN(2)/2)*GN108+(1-EXP(-LN(2)/2))/(LN(2)/2)*GH109*GK109*VLOOKUP('Données projet'!$B$17,Paramètres!$A$1:$I$88,3,0)*0.475*44/12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4.9000000000000004</v>
      </c>
      <c r="GU109" s="13">
        <f>IF('Données projet'!$A$270&gt;35,GU108+GT109-HC108,IF(A109&lt;'Données projet'!$A$270,$GR$205^A109,IF(A109='Données projet'!$A$270,'Données projet'!$B$270,GU108+GT109-HC108)))</f>
        <v>311.90000000000015</v>
      </c>
      <c r="GV109" s="18">
        <f>GU109*VLOOKUP('Données projet'!$B$18,Paramètres!$A$1:$I$88,3,0)*VLOOKUP('Données projet'!$B$18,Paramètres!$A$1:$I$88,5,0)</f>
        <v>325.99788000000018</v>
      </c>
      <c r="GW109" s="14">
        <f t="shared" si="105"/>
        <v>76.599977272780635</v>
      </c>
      <c r="GX109" s="22">
        <f t="shared" si="82"/>
        <v>701.19126808342662</v>
      </c>
      <c r="GY109" s="62">
        <f t="shared" si="83"/>
        <v>994.52460141675988</v>
      </c>
      <c r="GZ109" s="62">
        <f ca="1">AVERAGE(OFFSET($GY$3,0,0,'Données projet'!$E$18+1,1))-AVERAGE(OFFSET($H$3,0,0,'Données projet'!$E$18+1,1))</f>
        <v>582.89879210197682</v>
      </c>
      <c r="HA109" s="62">
        <f t="shared" si="106"/>
        <v>314.72094983133326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projet'!$B$18,Paramètres!$A$1:$I$88,3,0)*0.475*44/12</f>
        <v>0</v>
      </c>
      <c r="HH109" s="23">
        <f>EXP(-LN(2)/25)*HH108+(1-EXP(-LN(2)/25))/(LN(2)/25)*Calculateur!HC109*Calculateur!HE109*VLOOKUP('Données projet'!$B$18,Paramètres!$A$1:$I$88,3,0)*0.475*44/12</f>
        <v>0</v>
      </c>
      <c r="HI109" s="23">
        <f>EXP(-LN(2)/2)*HI108+(1-EXP(-LN(2)/2))/(LN(2)/2)*HC109*HF109*VLOOKUP('Données projet'!$B$18,Paramètres!$A$1:$I$88,3,0)*0.475*44/12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projet'!$B$9,Paramètres!$A$1:$I$88,3,0)*VLOOKUP('Données projet'!$B$9,Paramètres!$A$1:$I$88,5,0)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399.92909819003523</v>
      </c>
      <c r="T110" s="62">
        <f t="shared" si="88"/>
        <v>163.7053537268381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4.9000000000000004</v>
      </c>
      <c r="AI110" s="14">
        <f>IF('Données projet'!$A$62&gt;35,AI109+AH110-AQ109,IF(A110&lt;'Données projet'!$A$62,$AF$205^A110,IF(A110='Données projet'!$A$62,'Données projet'!$B$62,AI109+AH110-AQ109)))</f>
        <v>316.80000000000013</v>
      </c>
      <c r="AJ110" s="14">
        <f>AI110*VLOOKUP('Données projet'!$B$10,Paramètres!$A$1:$I$88,3,0)*VLOOKUP('Données projet'!$B$10,Paramètres!$A$1:$I$88,5,0)</f>
        <v>286.64064000000008</v>
      </c>
      <c r="AK110" s="14">
        <f t="shared" si="89"/>
        <v>68.368446832003599</v>
      </c>
      <c r="AL110" s="22">
        <f t="shared" si="58"/>
        <v>618.30749289907305</v>
      </c>
      <c r="AM110" s="62">
        <f t="shared" si="59"/>
        <v>911.64082623240643</v>
      </c>
      <c r="AN110" s="62">
        <f ca="1">AVERAGE(OFFSET($AM$3,0,0,'Données projet'!$E$10+1,1))-AVERAGE(OFFSET($H$3,0,0,'Données projet'!$E$10+1,1))</f>
        <v>510.56580450928806</v>
      </c>
      <c r="AO110" s="62">
        <f t="shared" si="90"/>
        <v>278.21741231699929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4.5</v>
      </c>
      <c r="BD110" s="13">
        <f>IF('Données projet'!$A$88&gt;35,BD109+BC110-BL109,IF(A110&lt;'Données projet'!$A$88,$BA$205^A110,IF(A110='Données projet'!$A$88,'Données projet'!$B$88,BD109+BC110-BL109)))</f>
        <v>351.99999999999955</v>
      </c>
      <c r="BE110" s="14">
        <f>BD110*VLOOKUP('Données projet'!$B$11,Paramètres!$A$1:$I$88,3,0)*VLOOKUP('Données projet'!$B$11,Paramètres!$A$1:$I$88,5,0)</f>
        <v>334.96319999999957</v>
      </c>
      <c r="BF110" s="14">
        <f t="shared" si="91"/>
        <v>78.458409450533949</v>
      </c>
      <c r="BG110" s="22">
        <f t="shared" si="61"/>
        <v>720.04263645967922</v>
      </c>
      <c r="BH110" s="62">
        <f t="shared" si="62"/>
        <v>1013.3759697930125</v>
      </c>
      <c r="BI110" s="62">
        <f ca="1">AVERAGE(OFFSET($BH$3,0,0,'Données projet'!$E$11+1,1))-AVERAGE(OFFSET($H$3,0,0,'Données projet'!$E$11+1,1))</f>
        <v>525.51330555662139</v>
      </c>
      <c r="BJ110" s="62">
        <f t="shared" si="92"/>
        <v>357.72390083433635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1.7053025658242404E-13</v>
      </c>
      <c r="BZ110" s="14">
        <f>BY110*VLOOKUP('Données projet'!$B$12,Paramètres!$A$1:$I$88,3,0)*VLOOKUP('Données projet'!$B$12,Paramètres!$A$1:$I$88,5,0)</f>
        <v>1.0197709343628959E-13</v>
      </c>
      <c r="CA110" s="14">
        <f t="shared" si="93"/>
        <v>1.5284983994279675E-12</v>
      </c>
      <c r="CB110" s="22">
        <f t="shared" si="64"/>
        <v>2.839744816738581E-12</v>
      </c>
      <c r="CC110" s="62">
        <f t="shared" si="65"/>
        <v>293.33333333333616</v>
      </c>
      <c r="CD110" s="62">
        <f ca="1">AVERAGE(OFFSET($CC$3,0,0,'Données projet'!$E$12+1,1))-AVERAGE(OFFSET($H$3,0,0,'Données projet'!$E$12+1,1))</f>
        <v>227.46616726010473</v>
      </c>
      <c r="CE110" s="62">
        <f t="shared" si="94"/>
        <v>314.188568589113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26.187514040291756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3.5759927918012406E-8</v>
      </c>
      <c r="CN110" s="24">
        <f t="shared" si="66"/>
        <v>26.187514076051684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projet'!$B$13,Paramètres!$A$1:$I$88,3,0)*VLOOKUP('Données projet'!$B$13,Paramètres!$A$1:$I$88,5,0)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356.46794174556311</v>
      </c>
      <c r="CZ110" s="62">
        <f t="shared" si="96"/>
        <v>248.47107558211923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0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projet'!$B$14,Paramètres!$A$1:$I$88,3,0)*VLOOKUP('Données projet'!$B$14,Paramètres!$A$1:$I$88,5,0)</f>
        <v>6.3550942286383367E-14</v>
      </c>
      <c r="DQ110" s="14">
        <f t="shared" si="97"/>
        <v>1.0064464192543978E-12</v>
      </c>
      <c r="DR110" s="22">
        <f t="shared" si="70"/>
        <v>1.8635787380168604E-12</v>
      </c>
      <c r="DS110" s="62">
        <f t="shared" si="71"/>
        <v>293.33333333333519</v>
      </c>
      <c r="DT110" s="62">
        <f ca="1">AVERAGE(OFFSET($DS$3,0,0,'Données projet'!$E$14+1,1))-AVERAGE(OFFSET($H$3,0,0,'Données projet'!$E$14+1,1))</f>
        <v>397.04445188588369</v>
      </c>
      <c r="DU110" s="62">
        <f t="shared" si="98"/>
        <v>350.01856672839466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1.0920565271965927</v>
      </c>
      <c r="EB110" s="23">
        <f>EXP(-LN(2)/25)*EB109+(1-EXP(-LN(2)/25))/(LN(2)/25)*Calculateur!DW110*Calculateur!DY110*VLOOKUP('Données projet'!$B$14,Paramètres!$A$1:$I$88,3,0)*0.475*44/12</f>
        <v>0</v>
      </c>
      <c r="EC110" s="23">
        <f>EXP(-LN(2)/2)*EC109+(1-EXP(-LN(2)/2))/(LN(2)/2)*DW110*DZ110*VLOOKUP('Données projet'!$B$14,Paramètres!$A$1:$I$88,3,0)*0.475*44/12</f>
        <v>4.1680457696486125E-11</v>
      </c>
      <c r="ED110" s="24">
        <f t="shared" si="72"/>
        <v>1.0920565272382732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-1.9895196601282805E-13</v>
      </c>
      <c r="EK110" s="18">
        <f>EJ110*VLOOKUP('Données projet'!$B$15,Paramètres!$A$1:$I$88,3,0)*VLOOKUP('Données projet'!$B$15,Paramètres!$A$1:$I$88,5,0)</f>
        <v>-1.738044375088066E-13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202.5548390231225</v>
      </c>
      <c r="EP110" s="62">
        <f t="shared" si="100"/>
        <v>184.62184077734179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projet'!$B$15,Paramètres!$A$1:$I$88,3,0)*0.475*44/12</f>
        <v>0</v>
      </c>
      <c r="EW110" s="23">
        <f>EXP(-LN(2)/25)*EW109+(1-EXP(-LN(2)/25))/(LN(2)/25)*Calculateur!ER110*Calculateur!ET110*VLOOKUP('Données projet'!$B$15,Paramètres!$A$1:$I$88,3,0)*0.475*44/12</f>
        <v>0</v>
      </c>
      <c r="EX110" s="23">
        <f>EXP(-LN(2)/2)*EX109+(1-EXP(-LN(2)/2))/(LN(2)/2)*ER110*EU110*VLOOKUP('Données projet'!$B$15,Paramètres!$A$1:$I$88,3,0)*0.475*44/12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</v>
      </c>
      <c r="FE110" s="13">
        <f>IF('Données projet'!$A$218&gt;35,FE109+FD110-FM109,IF(A110&lt;'Données projet'!$A$218,$FB$205^A110,IF(A110='Données projet'!$A$218,'Données projet'!$B$218,FE109+FD110-FM109)))</f>
        <v>271.99999999999955</v>
      </c>
      <c r="FF110" s="18">
        <f>FE110*VLOOKUP('Données projet'!$B$16,Paramètres!$A$1:$I$88,3,0)*VLOOKUP('Données projet'!$B$16,Paramètres!$A$1:$I$88,5,0)</f>
        <v>263.07839999999959</v>
      </c>
      <c r="FG110" s="14">
        <f t="shared" si="101"/>
        <v>63.378118242127854</v>
      </c>
      <c r="FH110" s="22">
        <f t="shared" si="76"/>
        <v>568.57843593837197</v>
      </c>
      <c r="FI110" s="62">
        <f t="shared" si="77"/>
        <v>861.91176927170523</v>
      </c>
      <c r="FJ110" s="62">
        <f ca="1">AVERAGE(OFFSET($FI$3,0,0,'Données projet'!$E$16+1,1))-AVERAGE(OFFSET($H$3,0,0,'Données projet'!$E$16+1,1))</f>
        <v>456.96274622094955</v>
      </c>
      <c r="FK110" s="62">
        <f t="shared" si="102"/>
        <v>244.45149244446094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projet'!$B$16,Paramètres!$A$1:$I$88,3,0)*0.475*44/12</f>
        <v>0</v>
      </c>
      <c r="FR110" s="23">
        <f>EXP(-LN(2)/25)*FR109+(1-EXP(-LN(2)/25))/(LN(2)/25)*Calculateur!FM110*Calculateur!FO110*VLOOKUP('Données projet'!$B$16,Paramètres!$A$1:$I$88,3,0)*0.475*44/12</f>
        <v>0</v>
      </c>
      <c r="FS110" s="23">
        <f>EXP(-LN(2)/2)*FS109+(1-EXP(-LN(2)/2))/(LN(2)/2)*FM110*FP110*VLOOKUP('Données projet'!$B$16,Paramètres!$A$1:$I$88,3,0)*0.475*44/12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</v>
      </c>
      <c r="FZ110" s="13">
        <f>IF('Données projet'!$A$244&gt;35,FZ109+FY110-GH109,IF(A110&lt;'Données projet'!$A$244,$FW$205^A110,IF(A110='Données projet'!$A$244,'Données projet'!$B$244,FZ109+FY110-GH109)))</f>
        <v>271.99999999999955</v>
      </c>
      <c r="GA110" s="18">
        <f>FZ110*VLOOKUP('Données projet'!$B$17,Paramètres!$A$1:$I$88,3,0)*VLOOKUP('Données projet'!$B$17,Paramètres!$A$1:$I$88,5,0)</f>
        <v>292.78079999999949</v>
      </c>
      <c r="GB110" s="14">
        <f t="shared" si="103"/>
        <v>69.660903052386161</v>
      </c>
      <c r="GC110" s="22">
        <f t="shared" si="79"/>
        <v>631.25263281623836</v>
      </c>
      <c r="GD110" s="62">
        <f t="shared" si="80"/>
        <v>924.58596614957173</v>
      </c>
      <c r="GE110" s="62">
        <f ca="1">AVERAGE(OFFSET($GD$3,0,0,'Données projet'!$E$17+1,1))-AVERAGE(OFFSET($H$3,0,0,'Données projet'!$E$17+1,1))</f>
        <v>503.69304261527651</v>
      </c>
      <c r="GF110" s="62">
        <f t="shared" si="104"/>
        <v>267.2998309535638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projet'!$B$17,Paramètres!$A$1:$I$88,3,0)*0.475*44/12</f>
        <v>0</v>
      </c>
      <c r="GM110" s="23">
        <f>EXP(-LN(2)/25)*GM109+(1-EXP(-LN(2)/25))/(LN(2)/25)*Calculateur!GH110*Calculateur!GJ110*VLOOKUP('Données projet'!$B$17,Paramètres!$A$1:$I$88,3,0)*0.475*44/12</f>
        <v>0</v>
      </c>
      <c r="GN110" s="23">
        <f>EXP(-LN(2)/2)*GN109+(1-EXP(-LN(2)/2))/(LN(2)/2)*GH110*GK110*VLOOKUP('Données projet'!$B$17,Paramètres!$A$1:$I$88,3,0)*0.475*44/12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4.9000000000000004</v>
      </c>
      <c r="GU110" s="13">
        <f>IF('Données projet'!$A$270&gt;35,GU109+GT110-HC109,IF(A110&lt;'Données projet'!$A$270,$GR$205^A110,IF(A110='Données projet'!$A$270,'Données projet'!$B$270,GU109+GT110-HC109)))</f>
        <v>316.80000000000013</v>
      </c>
      <c r="GV110" s="18">
        <f>GU110*VLOOKUP('Données projet'!$B$18,Paramètres!$A$1:$I$88,3,0)*VLOOKUP('Données projet'!$B$18,Paramètres!$A$1:$I$88,5,0)</f>
        <v>331.11936000000014</v>
      </c>
      <c r="GW110" s="14">
        <f t="shared" si="105"/>
        <v>77.662333301878974</v>
      </c>
      <c r="GX110" s="22">
        <f t="shared" si="82"/>
        <v>711.96144916743935</v>
      </c>
      <c r="GY110" s="62">
        <f t="shared" si="83"/>
        <v>1005.2947825007727</v>
      </c>
      <c r="GZ110" s="62">
        <f ca="1">AVERAGE(OFFSET($GY$3,0,0,'Données projet'!$E$18+1,1))-AVERAGE(OFFSET($H$3,0,0,'Données projet'!$E$18+1,1))</f>
        <v>582.89879210197682</v>
      </c>
      <c r="HA110" s="62">
        <f t="shared" si="106"/>
        <v>314.72094983133326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projet'!$B$18,Paramètres!$A$1:$I$88,3,0)*0.475*44/12</f>
        <v>0</v>
      </c>
      <c r="HH110" s="23">
        <f>EXP(-LN(2)/25)*HH109+(1-EXP(-LN(2)/25))/(LN(2)/25)*Calculateur!HC110*Calculateur!HE110*VLOOKUP('Données projet'!$B$18,Paramètres!$A$1:$I$88,3,0)*0.475*44/12</f>
        <v>0</v>
      </c>
      <c r="HI110" s="23">
        <f>EXP(-LN(2)/2)*HI109+(1-EXP(-LN(2)/2))/(LN(2)/2)*HC110*HF110*VLOOKUP('Données projet'!$B$18,Paramètres!$A$1:$I$88,3,0)*0.475*44/12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projet'!$B$9,Paramètres!$A$1:$I$88,3,0)*VLOOKUP('Données projet'!$B$9,Paramètres!$A$1:$I$88,5,0)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399.92909819003523</v>
      </c>
      <c r="T111" s="62">
        <f t="shared" si="88"/>
        <v>163.7053537268381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4.9000000000000004</v>
      </c>
      <c r="AI111" s="14">
        <f>IF('Données projet'!$A$62&gt;35,AI110+AH111-AQ110,IF(A111&lt;'Données projet'!$A$62,$AF$205^A111,IF(A111='Données projet'!$A$62,'Données projet'!$B$62,AI110+AH111-AQ110)))</f>
        <v>321.7000000000001</v>
      </c>
      <c r="AJ111" s="14">
        <f>AI111*VLOOKUP('Données projet'!$B$10,Paramètres!$A$1:$I$88,3,0)*VLOOKUP('Données projet'!$B$10,Paramètres!$A$1:$I$88,5,0)</f>
        <v>291.07416000000006</v>
      </c>
      <c r="AK111" s="14">
        <f t="shared" si="89"/>
        <v>69.301987923222626</v>
      </c>
      <c r="AL111" s="22">
        <f t="shared" si="58"/>
        <v>627.65512429961279</v>
      </c>
      <c r="AM111" s="62">
        <f t="shared" si="59"/>
        <v>920.98845763294617</v>
      </c>
      <c r="AN111" s="62">
        <f ca="1">AVERAGE(OFFSET($AM$3,0,0,'Données projet'!$E$10+1,1))-AVERAGE(OFFSET($H$3,0,0,'Données projet'!$E$10+1,1))</f>
        <v>510.56580450928806</v>
      </c>
      <c r="AO111" s="62">
        <f t="shared" si="90"/>
        <v>278.21741231699929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4.5</v>
      </c>
      <c r="BD111" s="13">
        <f>IF('Données projet'!$A$88&gt;35,BD110+BC111-BL110,IF(A111&lt;'Données projet'!$A$88,$BA$205^A111,IF(A111='Données projet'!$A$88,'Données projet'!$B$88,BD110+BC111-BL110)))</f>
        <v>356.49999999999955</v>
      </c>
      <c r="BE111" s="14">
        <f>BD111*VLOOKUP('Données projet'!$B$11,Paramètres!$A$1:$I$88,3,0)*VLOOKUP('Données projet'!$B$11,Paramètres!$A$1:$I$88,5,0)</f>
        <v>339.24539999999956</v>
      </c>
      <c r="BF111" s="14">
        <f t="shared" si="91"/>
        <v>79.344021129278133</v>
      </c>
      <c r="BG111" s="22">
        <f t="shared" si="61"/>
        <v>729.04324180015863</v>
      </c>
      <c r="BH111" s="62">
        <f t="shared" si="62"/>
        <v>1022.376575133492</v>
      </c>
      <c r="BI111" s="62">
        <f ca="1">AVERAGE(OFFSET($BH$3,0,0,'Données projet'!$E$11+1,1))-AVERAGE(OFFSET($H$3,0,0,'Données projet'!$E$11+1,1))</f>
        <v>525.51330555662139</v>
      </c>
      <c r="BJ111" s="62">
        <f t="shared" si="92"/>
        <v>357.72390083433635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1.7053025658242404E-13</v>
      </c>
      <c r="BZ111" s="14">
        <f>BY111*VLOOKUP('Données projet'!$B$12,Paramètres!$A$1:$I$88,3,0)*VLOOKUP('Données projet'!$B$12,Paramètres!$A$1:$I$88,5,0)</f>
        <v>1.0197709343628959E-13</v>
      </c>
      <c r="CA111" s="14">
        <f t="shared" si="93"/>
        <v>1.5284983994279675E-12</v>
      </c>
      <c r="CB111" s="22">
        <f t="shared" si="64"/>
        <v>2.839744816738581E-12</v>
      </c>
      <c r="CC111" s="62">
        <f t="shared" si="65"/>
        <v>293.33333333333616</v>
      </c>
      <c r="CD111" s="62">
        <f ca="1">AVERAGE(OFFSET($CC$3,0,0,'Données projet'!$E$12+1,1))-AVERAGE(OFFSET($H$3,0,0,'Données projet'!$E$12+1,1))</f>
        <v>227.46616726010473</v>
      </c>
      <c r="CE111" s="62">
        <f t="shared" si="94"/>
        <v>314.188568589113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25.673992862768017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2.5286087525568711E-8</v>
      </c>
      <c r="CN111" s="24">
        <f t="shared" si="66"/>
        <v>25.673992888054105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projet'!$B$13,Paramètres!$A$1:$I$88,3,0)*VLOOKUP('Données projet'!$B$13,Paramètres!$A$1:$I$88,5,0)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356.46794174556311</v>
      </c>
      <c r="CZ111" s="62">
        <f t="shared" si="96"/>
        <v>248.47107558211923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0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projet'!$B$14,Paramètres!$A$1:$I$88,3,0)*VLOOKUP('Données projet'!$B$14,Paramètres!$A$1:$I$88,5,0)</f>
        <v>6.3550942286383367E-14</v>
      </c>
      <c r="DQ111" s="14">
        <f t="shared" si="97"/>
        <v>1.0064464192543978E-12</v>
      </c>
      <c r="DR111" s="22">
        <f t="shared" si="70"/>
        <v>1.8635787380168604E-12</v>
      </c>
      <c r="DS111" s="62">
        <f t="shared" si="71"/>
        <v>293.33333333333519</v>
      </c>
      <c r="DT111" s="62">
        <f ca="1">AVERAGE(OFFSET($DS$3,0,0,'Données projet'!$E$14+1,1))-AVERAGE(OFFSET($H$3,0,0,'Données projet'!$E$14+1,1))</f>
        <v>397.04445188588369</v>
      </c>
      <c r="DU111" s="62">
        <f t="shared" si="98"/>
        <v>350.01856672839466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1.0706419647869783</v>
      </c>
      <c r="EB111" s="23">
        <f>EXP(-LN(2)/25)*EB110+(1-EXP(-LN(2)/25))/(LN(2)/25)*Calculateur!DW111*Calculateur!DY111*VLOOKUP('Données projet'!$B$14,Paramètres!$A$1:$I$88,3,0)*0.475*44/12</f>
        <v>0</v>
      </c>
      <c r="EC111" s="23">
        <f>EXP(-LN(2)/2)*EC110+(1-EXP(-LN(2)/2))/(LN(2)/2)*DW111*DZ111*VLOOKUP('Données projet'!$B$14,Paramètres!$A$1:$I$88,3,0)*0.475*44/12</f>
        <v>2.9472534280144365E-11</v>
      </c>
      <c r="ED111" s="24">
        <f t="shared" si="72"/>
        <v>1.0706419648164507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-1.9895196601282805E-13</v>
      </c>
      <c r="EK111" s="18">
        <f>EJ111*VLOOKUP('Données projet'!$B$15,Paramètres!$A$1:$I$88,3,0)*VLOOKUP('Données projet'!$B$15,Paramètres!$A$1:$I$88,5,0)</f>
        <v>-1.738044375088066E-13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202.5548390231225</v>
      </c>
      <c r="EP111" s="62">
        <f t="shared" si="100"/>
        <v>184.62184077734179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projet'!$B$15,Paramètres!$A$1:$I$88,3,0)*0.475*44/12</f>
        <v>0</v>
      </c>
      <c r="EW111" s="23">
        <f>EXP(-LN(2)/25)*EW110+(1-EXP(-LN(2)/25))/(LN(2)/25)*Calculateur!ER111*Calculateur!ET111*VLOOKUP('Données projet'!$B$15,Paramètres!$A$1:$I$88,3,0)*0.475*44/12</f>
        <v>0</v>
      </c>
      <c r="EX111" s="23">
        <f>EXP(-LN(2)/2)*EX110+(1-EXP(-LN(2)/2))/(LN(2)/2)*ER111*EU111*VLOOKUP('Données projet'!$B$15,Paramètres!$A$1:$I$88,3,0)*0.475*44/12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</v>
      </c>
      <c r="FE111" s="13">
        <f>IF('Données projet'!$A$218&gt;35,FE110+FD111-FM110,IF(A111&lt;'Données projet'!$A$218,$FB$205^A111,IF(A111='Données projet'!$A$218,'Données projet'!$B$218,FE110+FD111-FM110)))</f>
        <v>275.99999999999955</v>
      </c>
      <c r="FF111" s="18">
        <f>FE111*VLOOKUP('Données projet'!$B$16,Paramètres!$A$1:$I$88,3,0)*VLOOKUP('Données projet'!$B$16,Paramètres!$A$1:$I$88,5,0)</f>
        <v>266.94719999999955</v>
      </c>
      <c r="FG111" s="14">
        <f t="shared" si="101"/>
        <v>64.200959938746266</v>
      </c>
      <c r="FH111" s="22">
        <f t="shared" si="76"/>
        <v>576.74971189331563</v>
      </c>
      <c r="FI111" s="62">
        <f t="shared" si="77"/>
        <v>870.08304522664889</v>
      </c>
      <c r="FJ111" s="62">
        <f ca="1">AVERAGE(OFFSET($FI$3,0,0,'Données projet'!$E$16+1,1))-AVERAGE(OFFSET($H$3,0,0,'Données projet'!$E$16+1,1))</f>
        <v>456.96274622094955</v>
      </c>
      <c r="FK111" s="62">
        <f t="shared" si="102"/>
        <v>244.45149244446094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projet'!$B$16,Paramètres!$A$1:$I$88,3,0)*0.475*44/12</f>
        <v>0</v>
      </c>
      <c r="FR111" s="23">
        <f>EXP(-LN(2)/25)*FR110+(1-EXP(-LN(2)/25))/(LN(2)/25)*Calculateur!FM111*Calculateur!FO111*VLOOKUP('Données projet'!$B$16,Paramètres!$A$1:$I$88,3,0)*0.475*44/12</f>
        <v>0</v>
      </c>
      <c r="FS111" s="23">
        <f>EXP(-LN(2)/2)*FS110+(1-EXP(-LN(2)/2))/(LN(2)/2)*FM111*FP111*VLOOKUP('Données projet'!$B$16,Paramètres!$A$1:$I$88,3,0)*0.475*44/12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</v>
      </c>
      <c r="FZ111" s="13">
        <f>IF('Données projet'!$A$244&gt;35,FZ110+FY111-GH110,IF(A111&lt;'Données projet'!$A$244,$FW$205^A111,IF(A111='Données projet'!$A$244,'Données projet'!$B$244,FZ110+FY111-GH110)))</f>
        <v>275.99999999999955</v>
      </c>
      <c r="GA111" s="18">
        <f>FZ111*VLOOKUP('Données projet'!$B$17,Paramètres!$A$1:$I$88,3,0)*VLOOKUP('Données projet'!$B$17,Paramètres!$A$1:$I$88,5,0)</f>
        <v>297.08639999999951</v>
      </c>
      <c r="GB111" s="14">
        <f t="shared" si="103"/>
        <v>70.565314499829526</v>
      </c>
      <c r="GC111" s="22">
        <f t="shared" si="79"/>
        <v>640.32673608720222</v>
      </c>
      <c r="GD111" s="62">
        <f t="shared" si="80"/>
        <v>933.66006942053559</v>
      </c>
      <c r="GE111" s="62">
        <f ca="1">AVERAGE(OFFSET($GD$3,0,0,'Données projet'!$E$17+1,1))-AVERAGE(OFFSET($H$3,0,0,'Données projet'!$E$17+1,1))</f>
        <v>503.69304261527651</v>
      </c>
      <c r="GF111" s="62">
        <f t="shared" si="104"/>
        <v>267.2998309535638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projet'!$B$17,Paramètres!$A$1:$I$88,3,0)*0.475*44/12</f>
        <v>0</v>
      </c>
      <c r="GM111" s="23">
        <f>EXP(-LN(2)/25)*GM110+(1-EXP(-LN(2)/25))/(LN(2)/25)*Calculateur!GH111*Calculateur!GJ111*VLOOKUP('Données projet'!$B$17,Paramètres!$A$1:$I$88,3,0)*0.475*44/12</f>
        <v>0</v>
      </c>
      <c r="GN111" s="23">
        <f>EXP(-LN(2)/2)*GN110+(1-EXP(-LN(2)/2))/(LN(2)/2)*GH111*GK111*VLOOKUP('Données projet'!$B$17,Paramètres!$A$1:$I$88,3,0)*0.475*44/12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4.9000000000000004</v>
      </c>
      <c r="GU111" s="13">
        <f>IF('Données projet'!$A$270&gt;35,GU110+GT111-HC110,IF(A111&lt;'Données projet'!$A$270,$GR$205^A111,IF(A111='Données projet'!$A$270,'Données projet'!$B$270,GU110+GT111-HC110)))</f>
        <v>321.7000000000001</v>
      </c>
      <c r="GV111" s="18">
        <f>GU111*VLOOKUP('Données projet'!$B$18,Paramètres!$A$1:$I$88,3,0)*VLOOKUP('Données projet'!$B$18,Paramètres!$A$1:$I$88,5,0)</f>
        <v>336.24084000000011</v>
      </c>
      <c r="GW111" s="14">
        <f t="shared" si="105"/>
        <v>78.722778327862997</v>
      </c>
      <c r="GX111" s="22">
        <f t="shared" si="82"/>
        <v>722.72830192102822</v>
      </c>
      <c r="GY111" s="62">
        <f t="shared" si="83"/>
        <v>1016.0616352543616</v>
      </c>
      <c r="GZ111" s="62">
        <f ca="1">AVERAGE(OFFSET($GY$3,0,0,'Données projet'!$E$18+1,1))-AVERAGE(OFFSET($H$3,0,0,'Données projet'!$E$18+1,1))</f>
        <v>582.89879210197682</v>
      </c>
      <c r="HA111" s="62">
        <f t="shared" si="106"/>
        <v>314.72094983133326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projet'!$B$18,Paramètres!$A$1:$I$88,3,0)*0.475*44/12</f>
        <v>0</v>
      </c>
      <c r="HH111" s="23">
        <f>EXP(-LN(2)/25)*HH110+(1-EXP(-LN(2)/25))/(LN(2)/25)*Calculateur!HC111*Calculateur!HE111*VLOOKUP('Données projet'!$B$18,Paramètres!$A$1:$I$88,3,0)*0.475*44/12</f>
        <v>0</v>
      </c>
      <c r="HI111" s="23">
        <f>EXP(-LN(2)/2)*HI110+(1-EXP(-LN(2)/2))/(LN(2)/2)*HC111*HF111*VLOOKUP('Données projet'!$B$18,Paramètres!$A$1:$I$88,3,0)*0.475*44/12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projet'!$B$9,Paramètres!$A$1:$I$88,3,0)*VLOOKUP('Données projet'!$B$9,Paramètres!$A$1:$I$88,5,0)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399.92909819003523</v>
      </c>
      <c r="T112" s="62">
        <f t="shared" si="88"/>
        <v>163.7053537268381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4.9000000000000004</v>
      </c>
      <c r="AI112" s="14">
        <f>IF('Données projet'!$A$62&gt;35,AI111+AH112-AQ111,IF(A112&lt;'Données projet'!$A$62,$AF$205^A112,IF(A112='Données projet'!$A$62,'Données projet'!$B$62,AI111+AH112-AQ111)))</f>
        <v>326.60000000000008</v>
      </c>
      <c r="AJ112" s="14">
        <f>AI112*VLOOKUP('Données projet'!$B$10,Paramètres!$A$1:$I$88,3,0)*VLOOKUP('Données projet'!$B$10,Paramètres!$A$1:$I$88,5,0)</f>
        <v>295.50768000000005</v>
      </c>
      <c r="AK112" s="14">
        <f t="shared" si="89"/>
        <v>70.233875285761329</v>
      </c>
      <c r="AL112" s="22">
        <f t="shared" si="58"/>
        <v>636.99987545603437</v>
      </c>
      <c r="AM112" s="62">
        <f t="shared" si="59"/>
        <v>930.33320878936775</v>
      </c>
      <c r="AN112" s="62">
        <f ca="1">AVERAGE(OFFSET($AM$3,0,0,'Données projet'!$E$10+1,1))-AVERAGE(OFFSET($H$3,0,0,'Données projet'!$E$10+1,1))</f>
        <v>510.56580450928806</v>
      </c>
      <c r="AO112" s="62">
        <f t="shared" si="90"/>
        <v>278.21741231699929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4.5</v>
      </c>
      <c r="BD112" s="13">
        <f>IF('Données projet'!$A$88&gt;35,BD111+BC112-BL111,IF(A112&lt;'Données projet'!$A$88,$BA$205^A112,IF(A112='Données projet'!$A$88,'Données projet'!$B$88,BD111+BC112-BL111)))</f>
        <v>360.99999999999955</v>
      </c>
      <c r="BE112" s="14">
        <f>BD112*VLOOKUP('Données projet'!$B$11,Paramètres!$A$1:$I$88,3,0)*VLOOKUP('Données projet'!$B$11,Paramètres!$A$1:$I$88,5,0)</f>
        <v>343.52759999999961</v>
      </c>
      <c r="BF112" s="14">
        <f t="shared" si="91"/>
        <v>80.228332511267553</v>
      </c>
      <c r="BG112" s="22">
        <f t="shared" si="61"/>
        <v>738.04158245712358</v>
      </c>
      <c r="BH112" s="62">
        <f t="shared" si="62"/>
        <v>1031.374915790457</v>
      </c>
      <c r="BI112" s="62">
        <f ca="1">AVERAGE(OFFSET($BH$3,0,0,'Données projet'!$E$11+1,1))-AVERAGE(OFFSET($H$3,0,0,'Données projet'!$E$11+1,1))</f>
        <v>525.51330555662139</v>
      </c>
      <c r="BJ112" s="62">
        <f t="shared" si="92"/>
        <v>357.72390083433635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1.7053025658242404E-13</v>
      </c>
      <c r="BZ112" s="14">
        <f>BY112*VLOOKUP('Données projet'!$B$12,Paramètres!$A$1:$I$88,3,0)*VLOOKUP('Données projet'!$B$12,Paramètres!$A$1:$I$88,5,0)</f>
        <v>1.0197709343628959E-13</v>
      </c>
      <c r="CA112" s="14">
        <f t="shared" si="93"/>
        <v>1.5284983994279675E-12</v>
      </c>
      <c r="CB112" s="22">
        <f t="shared" si="64"/>
        <v>2.839744816738581E-12</v>
      </c>
      <c r="CC112" s="62">
        <f t="shared" si="65"/>
        <v>293.33333333333616</v>
      </c>
      <c r="CD112" s="62">
        <f ca="1">AVERAGE(OFFSET($CC$3,0,0,'Données projet'!$E$12+1,1))-AVERAGE(OFFSET($H$3,0,0,'Données projet'!$E$12+1,1))</f>
        <v>227.46616726010473</v>
      </c>
      <c r="CE112" s="62">
        <f t="shared" si="94"/>
        <v>314.188568589113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25.170541522318526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1.7879963959006203E-8</v>
      </c>
      <c r="CN112" s="24">
        <f t="shared" si="66"/>
        <v>25.170541540198489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projet'!$B$13,Paramètres!$A$1:$I$88,3,0)*VLOOKUP('Données projet'!$B$13,Paramètres!$A$1:$I$88,5,0)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356.46794174556311</v>
      </c>
      <c r="CZ112" s="62">
        <f t="shared" si="96"/>
        <v>248.47107558211923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0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projet'!$B$14,Paramètres!$A$1:$I$88,3,0)*VLOOKUP('Données projet'!$B$14,Paramètres!$A$1:$I$88,5,0)</f>
        <v>6.3550942286383367E-14</v>
      </c>
      <c r="DQ112" s="14">
        <f t="shared" si="97"/>
        <v>1.0064464192543978E-12</v>
      </c>
      <c r="DR112" s="22">
        <f t="shared" si="70"/>
        <v>1.8635787380168604E-12</v>
      </c>
      <c r="DS112" s="62">
        <f t="shared" si="71"/>
        <v>293.33333333333519</v>
      </c>
      <c r="DT112" s="62">
        <f ca="1">AVERAGE(OFFSET($DS$3,0,0,'Données projet'!$E$14+1,1))-AVERAGE(OFFSET($H$3,0,0,'Données projet'!$E$14+1,1))</f>
        <v>397.04445188588369</v>
      </c>
      <c r="DU112" s="62">
        <f t="shared" si="98"/>
        <v>350.01856672839466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1.0496473288846231</v>
      </c>
      <c r="EB112" s="23">
        <f>EXP(-LN(2)/25)*EB111+(1-EXP(-LN(2)/25))/(LN(2)/25)*Calculateur!DW112*Calculateur!DY112*VLOOKUP('Données projet'!$B$14,Paramètres!$A$1:$I$88,3,0)*0.475*44/12</f>
        <v>0</v>
      </c>
      <c r="EC112" s="23">
        <f>EXP(-LN(2)/2)*EC111+(1-EXP(-LN(2)/2))/(LN(2)/2)*DW112*DZ112*VLOOKUP('Données projet'!$B$14,Paramètres!$A$1:$I$88,3,0)*0.475*44/12</f>
        <v>2.0840228848243062E-11</v>
      </c>
      <c r="ED112" s="24">
        <f t="shared" si="72"/>
        <v>1.0496473289054633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-1.9895196601282805E-13</v>
      </c>
      <c r="EK112" s="18">
        <f>EJ112*VLOOKUP('Données projet'!$B$15,Paramètres!$A$1:$I$88,3,0)*VLOOKUP('Données projet'!$B$15,Paramètres!$A$1:$I$88,5,0)</f>
        <v>-1.738044375088066E-13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202.5548390231225</v>
      </c>
      <c r="EP112" s="62">
        <f t="shared" si="100"/>
        <v>184.62184077734179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projet'!$B$15,Paramètres!$A$1:$I$88,3,0)*0.475*44/12</f>
        <v>0</v>
      </c>
      <c r="EW112" s="23">
        <f>EXP(-LN(2)/25)*EW111+(1-EXP(-LN(2)/25))/(LN(2)/25)*Calculateur!ER112*Calculateur!ET112*VLOOKUP('Données projet'!$B$15,Paramètres!$A$1:$I$88,3,0)*0.475*44/12</f>
        <v>0</v>
      </c>
      <c r="EX112" s="23">
        <f>EXP(-LN(2)/2)*EX111+(1-EXP(-LN(2)/2))/(LN(2)/2)*ER112*EU112*VLOOKUP('Données projet'!$B$15,Paramètres!$A$1:$I$88,3,0)*0.475*44/12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</v>
      </c>
      <c r="FE112" s="13">
        <f>IF('Données projet'!$A$218&gt;35,FE111+FD112-FM111,IF(A112&lt;'Données projet'!$A$218,$FB$205^A112,IF(A112='Données projet'!$A$218,'Données projet'!$B$218,FE111+FD112-FM111)))</f>
        <v>279.99999999999955</v>
      </c>
      <c r="FF112" s="18">
        <f>FE112*VLOOKUP('Données projet'!$B$16,Paramètres!$A$1:$I$88,3,0)*VLOOKUP('Données projet'!$B$16,Paramètres!$A$1:$I$88,5,0)</f>
        <v>270.81599999999958</v>
      </c>
      <c r="FG112" s="14">
        <f t="shared" si="101"/>
        <v>65.022414656032197</v>
      </c>
      <c r="FH112" s="22">
        <f t="shared" si="76"/>
        <v>584.91857219258861</v>
      </c>
      <c r="FI112" s="62">
        <f t="shared" si="77"/>
        <v>878.25190552592198</v>
      </c>
      <c r="FJ112" s="62">
        <f ca="1">AVERAGE(OFFSET($FI$3,0,0,'Données projet'!$E$16+1,1))-AVERAGE(OFFSET($H$3,0,0,'Données projet'!$E$16+1,1))</f>
        <v>456.96274622094955</v>
      </c>
      <c r="FK112" s="62">
        <f t="shared" si="102"/>
        <v>244.45149244446094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projet'!$B$16,Paramètres!$A$1:$I$88,3,0)*0.475*44/12</f>
        <v>0</v>
      </c>
      <c r="FR112" s="23">
        <f>EXP(-LN(2)/25)*FR111+(1-EXP(-LN(2)/25))/(LN(2)/25)*Calculateur!FM112*Calculateur!FO112*VLOOKUP('Données projet'!$B$16,Paramètres!$A$1:$I$88,3,0)*0.475*44/12</f>
        <v>0</v>
      </c>
      <c r="FS112" s="23">
        <f>EXP(-LN(2)/2)*FS111+(1-EXP(-LN(2)/2))/(LN(2)/2)*FM112*FP112*VLOOKUP('Données projet'!$B$16,Paramètres!$A$1:$I$88,3,0)*0.475*44/12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</v>
      </c>
      <c r="FZ112" s="13">
        <f>IF('Données projet'!$A$244&gt;35,FZ111+FY112-GH111,IF(A112&lt;'Données projet'!$A$244,$FW$205^A112,IF(A112='Données projet'!$A$244,'Données projet'!$B$244,FZ111+FY112-GH111)))</f>
        <v>279.99999999999955</v>
      </c>
      <c r="GA112" s="18">
        <f>FZ112*VLOOKUP('Données projet'!$B$17,Paramètres!$A$1:$I$88,3,0)*VLOOKUP('Données projet'!$B$17,Paramètres!$A$1:$I$88,5,0)</f>
        <v>301.39199999999948</v>
      </c>
      <c r="GB112" s="14">
        <f t="shared" si="103"/>
        <v>71.468201474229161</v>
      </c>
      <c r="GC112" s="22">
        <f t="shared" si="79"/>
        <v>649.39818423428153</v>
      </c>
      <c r="GD112" s="62">
        <f t="shared" si="80"/>
        <v>942.7315175676149</v>
      </c>
      <c r="GE112" s="62">
        <f ca="1">AVERAGE(OFFSET($GD$3,0,0,'Données projet'!$E$17+1,1))-AVERAGE(OFFSET($H$3,0,0,'Données projet'!$E$17+1,1))</f>
        <v>503.69304261527651</v>
      </c>
      <c r="GF112" s="62">
        <f t="shared" si="104"/>
        <v>267.2998309535638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projet'!$B$17,Paramètres!$A$1:$I$88,3,0)*0.475*44/12</f>
        <v>0</v>
      </c>
      <c r="GM112" s="23">
        <f>EXP(-LN(2)/25)*GM111+(1-EXP(-LN(2)/25))/(LN(2)/25)*Calculateur!GH112*Calculateur!GJ112*VLOOKUP('Données projet'!$B$17,Paramètres!$A$1:$I$88,3,0)*0.475*44/12</f>
        <v>0</v>
      </c>
      <c r="GN112" s="23">
        <f>EXP(-LN(2)/2)*GN111+(1-EXP(-LN(2)/2))/(LN(2)/2)*GH112*GK112*VLOOKUP('Données projet'!$B$17,Paramètres!$A$1:$I$88,3,0)*0.475*44/12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4.9000000000000004</v>
      </c>
      <c r="GU112" s="13">
        <f>IF('Données projet'!$A$270&gt;35,GU111+GT112-HC111,IF(A112&lt;'Données projet'!$A$270,$GR$205^A112,IF(A112='Données projet'!$A$270,'Données projet'!$B$270,GU111+GT112-HC111)))</f>
        <v>326.60000000000008</v>
      </c>
      <c r="GV112" s="18">
        <f>GU112*VLOOKUP('Données projet'!$B$18,Paramètres!$A$1:$I$88,3,0)*VLOOKUP('Données projet'!$B$18,Paramètres!$A$1:$I$88,5,0)</f>
        <v>341.36232000000012</v>
      </c>
      <c r="GW112" s="14">
        <f t="shared" si="105"/>
        <v>79.781344820197106</v>
      </c>
      <c r="GX112" s="22">
        <f t="shared" si="82"/>
        <v>733.49188289517679</v>
      </c>
      <c r="GY112" s="62">
        <f t="shared" si="83"/>
        <v>1026.82521622851</v>
      </c>
      <c r="GZ112" s="62">
        <f ca="1">AVERAGE(OFFSET($GY$3,0,0,'Données projet'!$E$18+1,1))-AVERAGE(OFFSET($H$3,0,0,'Données projet'!$E$18+1,1))</f>
        <v>582.89879210197682</v>
      </c>
      <c r="HA112" s="62">
        <f t="shared" si="106"/>
        <v>314.72094983133326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projet'!$B$18,Paramètres!$A$1:$I$88,3,0)*0.475*44/12</f>
        <v>0</v>
      </c>
      <c r="HH112" s="23">
        <f>EXP(-LN(2)/25)*HH111+(1-EXP(-LN(2)/25))/(LN(2)/25)*Calculateur!HC112*Calculateur!HE112*VLOOKUP('Données projet'!$B$18,Paramètres!$A$1:$I$88,3,0)*0.475*44/12</f>
        <v>0</v>
      </c>
      <c r="HI112" s="23">
        <f>EXP(-LN(2)/2)*HI111+(1-EXP(-LN(2)/2))/(LN(2)/2)*HC112*HF112*VLOOKUP('Données projet'!$B$18,Paramètres!$A$1:$I$88,3,0)*0.475*44/12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projet'!$B$9,Paramètres!$A$1:$I$88,3,0)*VLOOKUP('Données projet'!$B$9,Paramètres!$A$1:$I$88,5,0)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399.92909819003523</v>
      </c>
      <c r="T113" s="62">
        <f t="shared" si="88"/>
        <v>163.7053537268381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4.9000000000000004</v>
      </c>
      <c r="AI113" s="14">
        <f>IF('Données projet'!$A$62&gt;35,AI112+AH113-AQ112,IF(A113&lt;'Données projet'!$A$62,$AF$205^A113,IF(A113='Données projet'!$A$62,'Données projet'!$B$62,AI112+AH113-AQ112)))</f>
        <v>331.50000000000006</v>
      </c>
      <c r="AJ113" s="14">
        <f>AI113*VLOOKUP('Données projet'!$B$10,Paramètres!$A$1:$I$88,3,0)*VLOOKUP('Données projet'!$B$10,Paramètres!$A$1:$I$88,5,0)</f>
        <v>299.94120000000004</v>
      </c>
      <c r="AK113" s="14">
        <f t="shared" si="89"/>
        <v>71.164136596531506</v>
      </c>
      <c r="AL113" s="22">
        <f t="shared" si="58"/>
        <v>646.34179457229243</v>
      </c>
      <c r="AM113" s="62">
        <f t="shared" si="59"/>
        <v>939.67512790562569</v>
      </c>
      <c r="AN113" s="62">
        <f ca="1">AVERAGE(OFFSET($AM$3,0,0,'Données projet'!$E$10+1,1))-AVERAGE(OFFSET($H$3,0,0,'Données projet'!$E$10+1,1))</f>
        <v>510.56580450928806</v>
      </c>
      <c r="AO113" s="62">
        <f t="shared" si="90"/>
        <v>278.21741231699929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4.5</v>
      </c>
      <c r="BD113" s="13">
        <f>IF('Données projet'!$A$88&gt;35,BD112+BC113-BL112,IF(A113&lt;'Données projet'!$A$88,$BA$205^A113,IF(A113='Données projet'!$A$88,'Données projet'!$B$88,BD112+BC113-BL112)))</f>
        <v>365.49999999999955</v>
      </c>
      <c r="BE113" s="14">
        <f>BD113*VLOOKUP('Données projet'!$B$11,Paramètres!$A$1:$I$88,3,0)*VLOOKUP('Données projet'!$B$11,Paramètres!$A$1:$I$88,5,0)</f>
        <v>347.8097999999996</v>
      </c>
      <c r="BF113" s="14">
        <f t="shared" si="91"/>
        <v>81.111361679698589</v>
      </c>
      <c r="BG113" s="22">
        <f t="shared" si="61"/>
        <v>747.0376899254743</v>
      </c>
      <c r="BH113" s="62">
        <f t="shared" si="62"/>
        <v>1040.3710232588076</v>
      </c>
      <c r="BI113" s="62">
        <f ca="1">AVERAGE(OFFSET($BH$3,0,0,'Données projet'!$E$11+1,1))-AVERAGE(OFFSET($H$3,0,0,'Données projet'!$E$11+1,1))</f>
        <v>525.51330555662139</v>
      </c>
      <c r="BJ113" s="62">
        <f t="shared" si="92"/>
        <v>357.72390083433635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1.7053025658242404E-13</v>
      </c>
      <c r="BZ113" s="14">
        <f>BY113*VLOOKUP('Données projet'!$B$12,Paramètres!$A$1:$I$88,3,0)*VLOOKUP('Données projet'!$B$12,Paramètres!$A$1:$I$88,5,0)</f>
        <v>1.0197709343628959E-13</v>
      </c>
      <c r="CA113" s="14">
        <f t="shared" si="93"/>
        <v>1.5284983994279675E-12</v>
      </c>
      <c r="CB113" s="22">
        <f t="shared" si="64"/>
        <v>2.839744816738581E-12</v>
      </c>
      <c r="CC113" s="62">
        <f t="shared" si="65"/>
        <v>293.33333333333616</v>
      </c>
      <c r="CD113" s="62">
        <f ca="1">AVERAGE(OFFSET($CC$3,0,0,'Données projet'!$E$12+1,1))-AVERAGE(OFFSET($H$3,0,0,'Données projet'!$E$12+1,1))</f>
        <v>227.46616726010473</v>
      </c>
      <c r="CE113" s="62">
        <f t="shared" si="94"/>
        <v>314.188568589113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24.676962555580253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1.2643043762784355E-8</v>
      </c>
      <c r="CN113" s="24">
        <f t="shared" si="66"/>
        <v>24.676962568223296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projet'!$B$13,Paramètres!$A$1:$I$88,3,0)*VLOOKUP('Données projet'!$B$13,Paramètres!$A$1:$I$88,5,0)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356.46794174556311</v>
      </c>
      <c r="CZ113" s="62">
        <f t="shared" si="96"/>
        <v>248.47107558211923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0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projet'!$B$14,Paramètres!$A$1:$I$88,3,0)*VLOOKUP('Données projet'!$B$14,Paramètres!$A$1:$I$88,5,0)</f>
        <v>6.3550942286383367E-14</v>
      </c>
      <c r="DQ113" s="14">
        <f t="shared" si="97"/>
        <v>1.0064464192543978E-12</v>
      </c>
      <c r="DR113" s="22">
        <f t="shared" si="70"/>
        <v>1.8635787380168604E-12</v>
      </c>
      <c r="DS113" s="62">
        <f t="shared" si="71"/>
        <v>293.33333333333519</v>
      </c>
      <c r="DT113" s="62">
        <f ca="1">AVERAGE(OFFSET($DS$3,0,0,'Données projet'!$E$14+1,1))-AVERAGE(OFFSET($H$3,0,0,'Données projet'!$E$14+1,1))</f>
        <v>397.04445188588369</v>
      </c>
      <c r="DU113" s="62">
        <f t="shared" si="98"/>
        <v>350.01856672839466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1.0290643849868497</v>
      </c>
      <c r="EB113" s="23">
        <f>EXP(-LN(2)/25)*EB112+(1-EXP(-LN(2)/25))/(LN(2)/25)*Calculateur!DW113*Calculateur!DY113*VLOOKUP('Données projet'!$B$14,Paramètres!$A$1:$I$88,3,0)*0.475*44/12</f>
        <v>0</v>
      </c>
      <c r="EC113" s="23">
        <f>EXP(-LN(2)/2)*EC112+(1-EXP(-LN(2)/2))/(LN(2)/2)*DW113*DZ113*VLOOKUP('Données projet'!$B$14,Paramètres!$A$1:$I$88,3,0)*0.475*44/12</f>
        <v>1.4736267140072182E-11</v>
      </c>
      <c r="ED113" s="24">
        <f t="shared" si="72"/>
        <v>1.0290643850015859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-1.9895196601282805E-13</v>
      </c>
      <c r="EK113" s="18">
        <f>EJ113*VLOOKUP('Données projet'!$B$15,Paramètres!$A$1:$I$88,3,0)*VLOOKUP('Données projet'!$B$15,Paramètres!$A$1:$I$88,5,0)</f>
        <v>-1.738044375088066E-13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202.5548390231225</v>
      </c>
      <c r="EP113" s="62">
        <f t="shared" si="100"/>
        <v>184.62184077734179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projet'!$B$15,Paramètres!$A$1:$I$88,3,0)*0.475*44/12</f>
        <v>0</v>
      </c>
      <c r="EW113" s="23">
        <f>EXP(-LN(2)/25)*EW112+(1-EXP(-LN(2)/25))/(LN(2)/25)*Calculateur!ER113*Calculateur!ET113*VLOOKUP('Données projet'!$B$15,Paramètres!$A$1:$I$88,3,0)*0.475*44/12</f>
        <v>0</v>
      </c>
      <c r="EX113" s="23">
        <f>EXP(-LN(2)/2)*EX112+(1-EXP(-LN(2)/2))/(LN(2)/2)*ER113*EU113*VLOOKUP('Données projet'!$B$15,Paramètres!$A$1:$I$88,3,0)*0.475*44/12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4</v>
      </c>
      <c r="FE113" s="13">
        <f>IF('Données projet'!$A$218&gt;35,FE112+FD113-FM112,IF(A113&lt;'Données projet'!$A$218,$FB$205^A113,IF(A113='Données projet'!$A$218,'Données projet'!$B$218,FE112+FD113-FM112)))</f>
        <v>283.99999999999955</v>
      </c>
      <c r="FF113" s="18">
        <f>FE113*VLOOKUP('Données projet'!$B$16,Paramètres!$A$1:$I$88,3,0)*VLOOKUP('Données projet'!$B$16,Paramètres!$A$1:$I$88,5,0)</f>
        <v>274.6847999999996</v>
      </c>
      <c r="FG113" s="14">
        <f t="shared" si="101"/>
        <v>65.842504497456602</v>
      </c>
      <c r="FH113" s="22">
        <f t="shared" si="76"/>
        <v>593.08505533306948</v>
      </c>
      <c r="FI113" s="62">
        <f t="shared" si="77"/>
        <v>886.41838866640273</v>
      </c>
      <c r="FJ113" s="62">
        <f ca="1">AVERAGE(OFFSET($FI$3,0,0,'Données projet'!$E$16+1,1))-AVERAGE(OFFSET($H$3,0,0,'Données projet'!$E$16+1,1))</f>
        <v>456.96274622094955</v>
      </c>
      <c r="FK113" s="62">
        <f t="shared" si="102"/>
        <v>244.45149244446094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projet'!$B$16,Paramètres!$A$1:$I$88,3,0)*0.475*44/12</f>
        <v>0</v>
      </c>
      <c r="FR113" s="23">
        <f>EXP(-LN(2)/25)*FR112+(1-EXP(-LN(2)/25))/(LN(2)/25)*Calculateur!FM113*Calculateur!FO113*VLOOKUP('Données projet'!$B$16,Paramètres!$A$1:$I$88,3,0)*0.475*44/12</f>
        <v>0</v>
      </c>
      <c r="FS113" s="23">
        <f>EXP(-LN(2)/2)*FS112+(1-EXP(-LN(2)/2))/(LN(2)/2)*FM113*FP113*VLOOKUP('Données projet'!$B$16,Paramètres!$A$1:$I$88,3,0)*0.475*44/12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4</v>
      </c>
      <c r="FZ113" s="13">
        <f>IF('Données projet'!$A$244&gt;35,FZ112+FY113-GH112,IF(A113&lt;'Données projet'!$A$244,$FW$205^A113,IF(A113='Données projet'!$A$244,'Données projet'!$B$244,FZ112+FY113-GH112)))</f>
        <v>283.99999999999955</v>
      </c>
      <c r="GA113" s="18">
        <f>FZ113*VLOOKUP('Données projet'!$B$17,Paramètres!$A$1:$I$88,3,0)*VLOOKUP('Données projet'!$B$17,Paramètres!$A$1:$I$88,5,0)</f>
        <v>305.69759999999951</v>
      </c>
      <c r="GB113" s="14">
        <f t="shared" si="103"/>
        <v>72.36958827021229</v>
      </c>
      <c r="GC113" s="22">
        <f t="shared" si="79"/>
        <v>658.46701957061885</v>
      </c>
      <c r="GD113" s="62">
        <f t="shared" si="80"/>
        <v>951.80035290395222</v>
      </c>
      <c r="GE113" s="62">
        <f ca="1">AVERAGE(OFFSET($GD$3,0,0,'Données projet'!$E$17+1,1))-AVERAGE(OFFSET($H$3,0,0,'Données projet'!$E$17+1,1))</f>
        <v>503.69304261527651</v>
      </c>
      <c r="GF113" s="62">
        <f t="shared" si="104"/>
        <v>267.2998309535638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projet'!$B$17,Paramètres!$A$1:$I$88,3,0)*0.475*44/12</f>
        <v>0</v>
      </c>
      <c r="GM113" s="23">
        <f>EXP(-LN(2)/25)*GM112+(1-EXP(-LN(2)/25))/(LN(2)/25)*Calculateur!GH113*Calculateur!GJ113*VLOOKUP('Données projet'!$B$17,Paramètres!$A$1:$I$88,3,0)*0.475*44/12</f>
        <v>0</v>
      </c>
      <c r="GN113" s="23">
        <f>EXP(-LN(2)/2)*GN112+(1-EXP(-LN(2)/2))/(LN(2)/2)*GH113*GK113*VLOOKUP('Données projet'!$B$17,Paramètres!$A$1:$I$88,3,0)*0.475*44/12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4.9000000000000004</v>
      </c>
      <c r="GU113" s="13">
        <f>IF('Données projet'!$A$270&gt;35,GU112+GT113-HC112,IF(A113&lt;'Données projet'!$A$270,$GR$205^A113,IF(A113='Données projet'!$A$270,'Données projet'!$B$270,GU112+GT113-HC112)))</f>
        <v>331.50000000000006</v>
      </c>
      <c r="GV113" s="18">
        <f>GU113*VLOOKUP('Données projet'!$B$18,Paramètres!$A$1:$I$88,3,0)*VLOOKUP('Données projet'!$B$18,Paramètres!$A$1:$I$88,5,0)</f>
        <v>346.48380000000009</v>
      </c>
      <c r="GW113" s="14">
        <f t="shared" si="105"/>
        <v>80.838064218144112</v>
      </c>
      <c r="GX113" s="22">
        <f t="shared" si="82"/>
        <v>744.252246846601</v>
      </c>
      <c r="GY113" s="62">
        <f t="shared" si="83"/>
        <v>1037.5855801799344</v>
      </c>
      <c r="GZ113" s="62">
        <f ca="1">AVERAGE(OFFSET($GY$3,0,0,'Données projet'!$E$18+1,1))-AVERAGE(OFFSET($H$3,0,0,'Données projet'!$E$18+1,1))</f>
        <v>582.89879210197682</v>
      </c>
      <c r="HA113" s="62">
        <f t="shared" si="106"/>
        <v>314.72094983133326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projet'!$B$18,Paramètres!$A$1:$I$88,3,0)*0.475*44/12</f>
        <v>0</v>
      </c>
      <c r="HH113" s="23">
        <f>EXP(-LN(2)/25)*HH112+(1-EXP(-LN(2)/25))/(LN(2)/25)*Calculateur!HC113*Calculateur!HE113*VLOOKUP('Données projet'!$B$18,Paramètres!$A$1:$I$88,3,0)*0.475*44/12</f>
        <v>0</v>
      </c>
      <c r="HI113" s="23">
        <f>EXP(-LN(2)/2)*HI112+(1-EXP(-LN(2)/2))/(LN(2)/2)*HC113*HF113*VLOOKUP('Données projet'!$B$18,Paramètres!$A$1:$I$88,3,0)*0.475*44/12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projet'!$B$9,Paramètres!$A$1:$I$88,3,0)*VLOOKUP('Données projet'!$B$9,Paramètres!$A$1:$I$88,5,0)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399.92909819003523</v>
      </c>
      <c r="T114" s="62">
        <f t="shared" si="88"/>
        <v>163.7053537268381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4.9000000000000004</v>
      </c>
      <c r="AI114" s="14">
        <f>IF('Données projet'!$A$62&gt;35,AI113+AH114-AQ113,IF(A114&lt;'Données projet'!$A$62,$AF$205^A114,IF(A114='Données projet'!$A$62,'Données projet'!$B$62,AI113+AH114-AQ113)))</f>
        <v>336.40000000000003</v>
      </c>
      <c r="AJ114" s="14">
        <f>AI114*VLOOKUP('Données projet'!$B$10,Paramètres!$A$1:$I$88,3,0)*VLOOKUP('Données projet'!$B$10,Paramètres!$A$1:$I$88,5,0)</f>
        <v>304.37472000000002</v>
      </c>
      <c r="AK114" s="14">
        <f t="shared" si="89"/>
        <v>72.092798667275119</v>
      </c>
      <c r="AL114" s="22">
        <f t="shared" si="58"/>
        <v>655.68092834550419</v>
      </c>
      <c r="AM114" s="62">
        <f t="shared" si="59"/>
        <v>949.01426167883756</v>
      </c>
      <c r="AN114" s="62">
        <f ca="1">AVERAGE(OFFSET($AM$3,0,0,'Données projet'!$E$10+1,1))-AVERAGE(OFFSET($H$3,0,0,'Données projet'!$E$10+1,1))</f>
        <v>510.56580450928806</v>
      </c>
      <c r="AO114" s="62">
        <f t="shared" si="90"/>
        <v>278.21741231699929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369.99999999999955</v>
      </c>
      <c r="BE114" s="14">
        <f>BD114*VLOOKUP('Données projet'!$B$11,Paramètres!$A$1:$I$88,3,0)*VLOOKUP('Données projet'!$B$11,Paramètres!$A$1:$I$88,5,0)</f>
        <v>352.09199999999953</v>
      </c>
      <c r="BF114" s="14">
        <f t="shared" si="91"/>
        <v>81.993126246877836</v>
      </c>
      <c r="BG114" s="22">
        <f t="shared" si="61"/>
        <v>756.03159487997812</v>
      </c>
      <c r="BH114" s="62">
        <f t="shared" si="62"/>
        <v>1049.3649282133115</v>
      </c>
      <c r="BI114" s="62">
        <f ca="1">AVERAGE(OFFSET($BH$3,0,0,'Données projet'!$E$11+1,1))-AVERAGE(OFFSET($H$3,0,0,'Données projet'!$E$11+1,1))</f>
        <v>525.51330555662139</v>
      </c>
      <c r="BJ114" s="62">
        <f t="shared" si="92"/>
        <v>357.72390083433635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1.7053025658242404E-13</v>
      </c>
      <c r="BZ114" s="14">
        <f>BY114*VLOOKUP('Données projet'!$B$12,Paramètres!$A$1:$I$88,3,0)*VLOOKUP('Données projet'!$B$12,Paramètres!$A$1:$I$88,5,0)</f>
        <v>1.0197709343628959E-13</v>
      </c>
      <c r="CA114" s="14">
        <f t="shared" si="93"/>
        <v>1.5284983994279675E-12</v>
      </c>
      <c r="CB114" s="22">
        <f t="shared" si="64"/>
        <v>2.839744816738581E-12</v>
      </c>
      <c r="CC114" s="62">
        <f t="shared" si="65"/>
        <v>293.33333333333616</v>
      </c>
      <c r="CD114" s="62">
        <f ca="1">AVERAGE(OFFSET($CC$3,0,0,'Données projet'!$E$12+1,1))-AVERAGE(OFFSET($H$3,0,0,'Données projet'!$E$12+1,1))</f>
        <v>227.46616726010473</v>
      </c>
      <c r="CE114" s="62">
        <f t="shared" si="94"/>
        <v>314.188568589113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24.193062371326274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8.9399819795031015E-9</v>
      </c>
      <c r="CN114" s="24">
        <f t="shared" si="66"/>
        <v>24.193062380266255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projet'!$B$13,Paramètres!$A$1:$I$88,3,0)*VLOOKUP('Données projet'!$B$13,Paramètres!$A$1:$I$88,5,0)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356.46794174556311</v>
      </c>
      <c r="CZ114" s="62">
        <f t="shared" si="96"/>
        <v>248.47107558211923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0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projet'!$B$14,Paramètres!$A$1:$I$88,3,0)*VLOOKUP('Données projet'!$B$14,Paramètres!$A$1:$I$88,5,0)</f>
        <v>6.3550942286383367E-14</v>
      </c>
      <c r="DQ114" s="14">
        <f t="shared" si="97"/>
        <v>1.0064464192543978E-12</v>
      </c>
      <c r="DR114" s="22">
        <f t="shared" si="70"/>
        <v>1.8635787380168604E-12</v>
      </c>
      <c r="DS114" s="62">
        <f t="shared" si="71"/>
        <v>293.33333333333519</v>
      </c>
      <c r="DT114" s="62">
        <f ca="1">AVERAGE(OFFSET($DS$3,0,0,'Données projet'!$E$14+1,1))-AVERAGE(OFFSET($H$3,0,0,'Données projet'!$E$14+1,1))</f>
        <v>397.04445188588369</v>
      </c>
      <c r="DU114" s="62">
        <f t="shared" si="98"/>
        <v>350.01856672839466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1.0088850600645554</v>
      </c>
      <c r="EB114" s="23">
        <f>EXP(-LN(2)/25)*EB113+(1-EXP(-LN(2)/25))/(LN(2)/25)*Calculateur!DW114*Calculateur!DY114*VLOOKUP('Données projet'!$B$14,Paramètres!$A$1:$I$88,3,0)*0.475*44/12</f>
        <v>0</v>
      </c>
      <c r="EC114" s="23">
        <f>EXP(-LN(2)/2)*EC113+(1-EXP(-LN(2)/2))/(LN(2)/2)*DW114*DZ114*VLOOKUP('Données projet'!$B$14,Paramètres!$A$1:$I$88,3,0)*0.475*44/12</f>
        <v>1.0420114424121531E-11</v>
      </c>
      <c r="ED114" s="24">
        <f t="shared" si="72"/>
        <v>1.0088850600749755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-1.9895196601282805E-13</v>
      </c>
      <c r="EK114" s="18">
        <f>EJ114*VLOOKUP('Données projet'!$B$15,Paramètres!$A$1:$I$88,3,0)*VLOOKUP('Données projet'!$B$15,Paramètres!$A$1:$I$88,5,0)</f>
        <v>-1.738044375088066E-13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202.5548390231225</v>
      </c>
      <c r="EP114" s="62">
        <f t="shared" si="100"/>
        <v>184.62184077734179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projet'!$B$15,Paramètres!$A$1:$I$88,3,0)*0.475*44/12</f>
        <v>0</v>
      </c>
      <c r="EW114" s="23">
        <f>EXP(-LN(2)/25)*EW113+(1-EXP(-LN(2)/25))/(LN(2)/25)*Calculateur!ER114*Calculateur!ET114*VLOOKUP('Données projet'!$B$15,Paramètres!$A$1:$I$88,3,0)*0.475*44/12</f>
        <v>0</v>
      </c>
      <c r="EX114" s="23">
        <f>EXP(-LN(2)/2)*EX113+(1-EXP(-LN(2)/2))/(LN(2)/2)*ER114*EU114*VLOOKUP('Données projet'!$B$15,Paramètres!$A$1:$I$88,3,0)*0.475*44/12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</v>
      </c>
      <c r="FE114" s="13">
        <f>IF('Données projet'!$A$218&gt;35,FE113+FD114-FM113,IF(A114&lt;'Données projet'!$A$218,$FB$205^A114,IF(A114='Données projet'!$A$218,'Données projet'!$B$218,FE113+FD114-FM113)))</f>
        <v>287.99999999999955</v>
      </c>
      <c r="FF114" s="18">
        <f>FE114*VLOOKUP('Données projet'!$B$16,Paramètres!$A$1:$I$88,3,0)*VLOOKUP('Données projet'!$B$16,Paramètres!$A$1:$I$88,5,0)</f>
        <v>278.55359999999956</v>
      </c>
      <c r="FG114" s="14">
        <f t="shared" si="101"/>
        <v>66.661250908095042</v>
      </c>
      <c r="FH114" s="22">
        <f t="shared" si="76"/>
        <v>601.24919866493144</v>
      </c>
      <c r="FI114" s="62">
        <f t="shared" si="77"/>
        <v>894.58253199826481</v>
      </c>
      <c r="FJ114" s="62">
        <f ca="1">AVERAGE(OFFSET($FI$3,0,0,'Données projet'!$E$16+1,1))-AVERAGE(OFFSET($H$3,0,0,'Données projet'!$E$16+1,1))</f>
        <v>456.96274622094955</v>
      </c>
      <c r="FK114" s="62">
        <f t="shared" si="102"/>
        <v>244.45149244446094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projet'!$B$16,Paramètres!$A$1:$I$88,3,0)*0.475*44/12</f>
        <v>0</v>
      </c>
      <c r="FR114" s="23">
        <f>EXP(-LN(2)/25)*FR113+(1-EXP(-LN(2)/25))/(LN(2)/25)*Calculateur!FM114*Calculateur!FO114*VLOOKUP('Données projet'!$B$16,Paramètres!$A$1:$I$88,3,0)*0.475*44/12</f>
        <v>0</v>
      </c>
      <c r="FS114" s="23">
        <f>EXP(-LN(2)/2)*FS113+(1-EXP(-LN(2)/2))/(LN(2)/2)*FM114*FP114*VLOOKUP('Données projet'!$B$16,Paramètres!$A$1:$I$88,3,0)*0.475*44/12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</v>
      </c>
      <c r="FZ114" s="13">
        <f>IF('Données projet'!$A$244&gt;35,FZ113+FY114-GH113,IF(A114&lt;'Données projet'!$A$244,$FW$205^A114,IF(A114='Données projet'!$A$244,'Données projet'!$B$244,FZ113+FY114-GH113)))</f>
        <v>287.99999999999955</v>
      </c>
      <c r="GA114" s="18">
        <f>FZ114*VLOOKUP('Données projet'!$B$17,Paramètres!$A$1:$I$88,3,0)*VLOOKUP('Données projet'!$B$17,Paramètres!$A$1:$I$88,5,0)</f>
        <v>310.00319999999948</v>
      </c>
      <c r="GB114" s="14">
        <f t="shared" si="103"/>
        <v>73.269498458742731</v>
      </c>
      <c r="GC114" s="22">
        <f t="shared" si="79"/>
        <v>667.5332831489759</v>
      </c>
      <c r="GD114" s="62">
        <f t="shared" si="80"/>
        <v>960.86661648230915</v>
      </c>
      <c r="GE114" s="62">
        <f ca="1">AVERAGE(OFFSET($GD$3,0,0,'Données projet'!$E$17+1,1))-AVERAGE(OFFSET($H$3,0,0,'Données projet'!$E$17+1,1))</f>
        <v>503.69304261527651</v>
      </c>
      <c r="GF114" s="62">
        <f t="shared" si="104"/>
        <v>267.2998309535638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projet'!$B$17,Paramètres!$A$1:$I$88,3,0)*0.475*44/12</f>
        <v>0</v>
      </c>
      <c r="GM114" s="23">
        <f>EXP(-LN(2)/25)*GM113+(1-EXP(-LN(2)/25))/(LN(2)/25)*Calculateur!GH114*Calculateur!GJ114*VLOOKUP('Données projet'!$B$17,Paramètres!$A$1:$I$88,3,0)*0.475*44/12</f>
        <v>0</v>
      </c>
      <c r="GN114" s="23">
        <f>EXP(-LN(2)/2)*GN113+(1-EXP(-LN(2)/2))/(LN(2)/2)*GH114*GK114*VLOOKUP('Données projet'!$B$17,Paramètres!$A$1:$I$88,3,0)*0.475*44/12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4.9000000000000004</v>
      </c>
      <c r="GU114" s="13">
        <f>IF('Données projet'!$A$270&gt;35,GU113+GT114-HC113,IF(A114&lt;'Données projet'!$A$270,$GR$205^A114,IF(A114='Données projet'!$A$270,'Données projet'!$B$270,GU113+GT114-HC113)))</f>
        <v>336.40000000000003</v>
      </c>
      <c r="GV114" s="18">
        <f>GU114*VLOOKUP('Données projet'!$B$18,Paramètres!$A$1:$I$88,3,0)*VLOOKUP('Données projet'!$B$18,Paramètres!$A$1:$I$88,5,0)</f>
        <v>351.60528000000005</v>
      </c>
      <c r="GW114" s="14">
        <f t="shared" si="105"/>
        <v>81.892966978186593</v>
      </c>
      <c r="GX114" s="22">
        <f t="shared" si="82"/>
        <v>755.00944682034185</v>
      </c>
      <c r="GY114" s="62">
        <f t="shared" si="83"/>
        <v>1048.3427801536752</v>
      </c>
      <c r="GZ114" s="62">
        <f ca="1">AVERAGE(OFFSET($GY$3,0,0,'Données projet'!$E$18+1,1))-AVERAGE(OFFSET($H$3,0,0,'Données projet'!$E$18+1,1))</f>
        <v>582.89879210197682</v>
      </c>
      <c r="HA114" s="62">
        <f t="shared" si="106"/>
        <v>314.72094983133326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projet'!$B$18,Paramètres!$A$1:$I$88,3,0)*0.475*44/12</f>
        <v>0</v>
      </c>
      <c r="HH114" s="23">
        <f>EXP(-LN(2)/25)*HH113+(1-EXP(-LN(2)/25))/(LN(2)/25)*Calculateur!HC114*Calculateur!HE114*VLOOKUP('Données projet'!$B$18,Paramètres!$A$1:$I$88,3,0)*0.475*44/12</f>
        <v>0</v>
      </c>
      <c r="HI114" s="23">
        <f>EXP(-LN(2)/2)*HI113+(1-EXP(-LN(2)/2))/(LN(2)/2)*HC114*HF114*VLOOKUP('Données projet'!$B$18,Paramètres!$A$1:$I$88,3,0)*0.475*44/12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projet'!$B$9,Paramètres!$A$1:$I$88,3,0)*VLOOKUP('Données projet'!$B$9,Paramètres!$A$1:$I$88,5,0)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399.92909819003523</v>
      </c>
      <c r="T115" s="62">
        <f t="shared" si="88"/>
        <v>163.7053537268381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4.9000000000000004</v>
      </c>
      <c r="AI115" s="14">
        <f>IF('Données projet'!$A$62&gt;35,AI114+AH115-AQ114,IF(A115&lt;'Données projet'!$A$62,$AF$205^A115,IF(A115='Données projet'!$A$62,'Données projet'!$B$62,AI114+AH115-AQ114)))</f>
        <v>341.3</v>
      </c>
      <c r="AJ115" s="14">
        <f>AI115*VLOOKUP('Données projet'!$B$10,Paramètres!$A$1:$I$88,3,0)*VLOOKUP('Données projet'!$B$10,Paramètres!$A$1:$I$88,5,0)</f>
        <v>308.80823999999996</v>
      </c>
      <c r="AK115" s="14">
        <f t="shared" si="89"/>
        <v>73.019887483808844</v>
      </c>
      <c r="AL115" s="22">
        <f t="shared" si="58"/>
        <v>665.01732203430026</v>
      </c>
      <c r="AM115" s="62">
        <f t="shared" si="59"/>
        <v>958.35065536763364</v>
      </c>
      <c r="AN115" s="62">
        <f ca="1">AVERAGE(OFFSET($AM$3,0,0,'Données projet'!$E$10+1,1))-AVERAGE(OFFSET($H$3,0,0,'Données projet'!$E$10+1,1))</f>
        <v>510.56580450928806</v>
      </c>
      <c r="AO115" s="62">
        <f t="shared" si="90"/>
        <v>278.21741231699929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374.49999999999955</v>
      </c>
      <c r="BE115" s="14">
        <f>BD115*VLOOKUP('Données projet'!$B$11,Paramètres!$A$1:$I$88,3,0)*VLOOKUP('Données projet'!$B$11,Paramètres!$A$1:$I$88,5,0)</f>
        <v>356.37419999999958</v>
      </c>
      <c r="BF115" s="14">
        <f t="shared" si="91"/>
        <v>82.873643372058339</v>
      </c>
      <c r="BG115" s="22">
        <f t="shared" si="61"/>
        <v>765.02332720633422</v>
      </c>
      <c r="BH115" s="62">
        <f t="shared" si="62"/>
        <v>1058.3566605396675</v>
      </c>
      <c r="BI115" s="62">
        <f ca="1">AVERAGE(OFFSET($BH$3,0,0,'Données projet'!$E$11+1,1))-AVERAGE(OFFSET($H$3,0,0,'Données projet'!$E$11+1,1))</f>
        <v>525.51330555662139</v>
      </c>
      <c r="BJ115" s="62">
        <f t="shared" si="92"/>
        <v>357.72390083433635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1.7053025658242404E-13</v>
      </c>
      <c r="BZ115" s="14">
        <f>BY115*VLOOKUP('Données projet'!$B$12,Paramètres!$A$1:$I$88,3,0)*VLOOKUP('Données projet'!$B$12,Paramètres!$A$1:$I$88,5,0)</f>
        <v>1.0197709343628959E-13</v>
      </c>
      <c r="CA115" s="14">
        <f t="shared" si="93"/>
        <v>1.5284983994279675E-12</v>
      </c>
      <c r="CB115" s="22">
        <f t="shared" si="64"/>
        <v>2.839744816738581E-12</v>
      </c>
      <c r="CC115" s="62">
        <f t="shared" si="65"/>
        <v>293.33333333333616</v>
      </c>
      <c r="CD115" s="62">
        <f ca="1">AVERAGE(OFFSET($CC$3,0,0,'Données projet'!$E$12+1,1))-AVERAGE(OFFSET($H$3,0,0,'Données projet'!$E$12+1,1))</f>
        <v>227.46616726010473</v>
      </c>
      <c r="CE115" s="62">
        <f t="shared" si="94"/>
        <v>314.188568589113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23.718651174535548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6.3215218813921776E-9</v>
      </c>
      <c r="CN115" s="24">
        <f t="shared" si="66"/>
        <v>23.718651180857069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projet'!$B$13,Paramètres!$A$1:$I$88,3,0)*VLOOKUP('Données projet'!$B$13,Paramètres!$A$1:$I$88,5,0)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356.46794174556311</v>
      </c>
      <c r="CZ115" s="62">
        <f t="shared" si="96"/>
        <v>248.47107558211923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0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projet'!$B$14,Paramètres!$A$1:$I$88,3,0)*VLOOKUP('Données projet'!$B$14,Paramètres!$A$1:$I$88,5,0)</f>
        <v>6.3550942286383367E-14</v>
      </c>
      <c r="DQ115" s="14">
        <f t="shared" si="97"/>
        <v>1.0064464192543978E-12</v>
      </c>
      <c r="DR115" s="22">
        <f t="shared" si="70"/>
        <v>1.8635787380168604E-12</v>
      </c>
      <c r="DS115" s="62">
        <f t="shared" si="71"/>
        <v>293.33333333333519</v>
      </c>
      <c r="DT115" s="62">
        <f ca="1">AVERAGE(OFFSET($DS$3,0,0,'Données projet'!$E$14+1,1))-AVERAGE(OFFSET($H$3,0,0,'Données projet'!$E$14+1,1))</f>
        <v>397.04445188588369</v>
      </c>
      <c r="DU115" s="62">
        <f t="shared" si="98"/>
        <v>350.01856672839466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0.98910143939581441</v>
      </c>
      <c r="EB115" s="23">
        <f>EXP(-LN(2)/25)*EB114+(1-EXP(-LN(2)/25))/(LN(2)/25)*Calculateur!DW115*Calculateur!DY115*VLOOKUP('Données projet'!$B$14,Paramètres!$A$1:$I$88,3,0)*0.475*44/12</f>
        <v>0</v>
      </c>
      <c r="EC115" s="23">
        <f>EXP(-LN(2)/2)*EC114+(1-EXP(-LN(2)/2))/(LN(2)/2)*DW115*DZ115*VLOOKUP('Données projet'!$B$14,Paramètres!$A$1:$I$88,3,0)*0.475*44/12</f>
        <v>7.3681335700360912E-12</v>
      </c>
      <c r="ED115" s="24">
        <f t="shared" si="72"/>
        <v>0.98910143940318251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-1.9895196601282805E-13</v>
      </c>
      <c r="EK115" s="18">
        <f>EJ115*VLOOKUP('Données projet'!$B$15,Paramètres!$A$1:$I$88,3,0)*VLOOKUP('Données projet'!$B$15,Paramètres!$A$1:$I$88,5,0)</f>
        <v>-1.738044375088066E-13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202.5548390231225</v>
      </c>
      <c r="EP115" s="62">
        <f t="shared" si="100"/>
        <v>184.62184077734179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projet'!$B$15,Paramètres!$A$1:$I$88,3,0)*0.475*44/12</f>
        <v>0</v>
      </c>
      <c r="EW115" s="23">
        <f>EXP(-LN(2)/25)*EW114+(1-EXP(-LN(2)/25))/(LN(2)/25)*Calculateur!ER115*Calculateur!ET115*VLOOKUP('Données projet'!$B$15,Paramètres!$A$1:$I$88,3,0)*0.475*44/12</f>
        <v>0</v>
      </c>
      <c r="EX115" s="23">
        <f>EXP(-LN(2)/2)*EX114+(1-EXP(-LN(2)/2))/(LN(2)/2)*ER115*EU115*VLOOKUP('Données projet'!$B$15,Paramètres!$A$1:$I$88,3,0)*0.475*44/12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</v>
      </c>
      <c r="FE115" s="13">
        <f>IF('Données projet'!$A$218&gt;35,FE114+FD115-FM114,IF(A115&lt;'Données projet'!$A$218,$FB$205^A115,IF(A115='Données projet'!$A$218,'Données projet'!$B$218,FE114+FD115-FM114)))</f>
        <v>291.99999999999955</v>
      </c>
      <c r="FF115" s="18">
        <f>FE115*VLOOKUP('Données projet'!$B$16,Paramètres!$A$1:$I$88,3,0)*VLOOKUP('Données projet'!$B$16,Paramètres!$A$1:$I$88,5,0)</f>
        <v>282.42239999999953</v>
      </c>
      <c r="FG115" s="14">
        <f t="shared" si="101"/>
        <v>67.478674703106122</v>
      </c>
      <c r="FH115" s="22">
        <f t="shared" si="76"/>
        <v>609.41103844124234</v>
      </c>
      <c r="FI115" s="62">
        <f t="shared" si="77"/>
        <v>902.74437177457571</v>
      </c>
      <c r="FJ115" s="62">
        <f ca="1">AVERAGE(OFFSET($FI$3,0,0,'Données projet'!$E$16+1,1))-AVERAGE(OFFSET($H$3,0,0,'Données projet'!$E$16+1,1))</f>
        <v>456.96274622094955</v>
      </c>
      <c r="FK115" s="62">
        <f t="shared" si="102"/>
        <v>244.45149244446094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projet'!$B$16,Paramètres!$A$1:$I$88,3,0)*0.475*44/12</f>
        <v>0</v>
      </c>
      <c r="FR115" s="23">
        <f>EXP(-LN(2)/25)*FR114+(1-EXP(-LN(2)/25))/(LN(2)/25)*Calculateur!FM115*Calculateur!FO115*VLOOKUP('Données projet'!$B$16,Paramètres!$A$1:$I$88,3,0)*0.475*44/12</f>
        <v>0</v>
      </c>
      <c r="FS115" s="23">
        <f>EXP(-LN(2)/2)*FS114+(1-EXP(-LN(2)/2))/(LN(2)/2)*FM115*FP115*VLOOKUP('Données projet'!$B$16,Paramètres!$A$1:$I$88,3,0)*0.475*44/12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</v>
      </c>
      <c r="FZ115" s="13">
        <f>IF('Données projet'!$A$244&gt;35,FZ114+FY115-GH114,IF(A115&lt;'Données projet'!$A$244,$FW$205^A115,IF(A115='Données projet'!$A$244,'Données projet'!$B$244,FZ114+FY115-GH114)))</f>
        <v>291.99999999999955</v>
      </c>
      <c r="GA115" s="18">
        <f>FZ115*VLOOKUP('Données projet'!$B$17,Paramètres!$A$1:$I$88,3,0)*VLOOKUP('Données projet'!$B$17,Paramètres!$A$1:$I$88,5,0)</f>
        <v>314.30879999999951</v>
      </c>
      <c r="GB115" s="14">
        <f t="shared" si="103"/>
        <v>74.167954918422311</v>
      </c>
      <c r="GC115" s="22">
        <f t="shared" si="79"/>
        <v>676.59701481625132</v>
      </c>
      <c r="GD115" s="62">
        <f t="shared" si="80"/>
        <v>969.93034814958469</v>
      </c>
      <c r="GE115" s="62">
        <f ca="1">AVERAGE(OFFSET($GD$3,0,0,'Données projet'!$E$17+1,1))-AVERAGE(OFFSET($H$3,0,0,'Données projet'!$E$17+1,1))</f>
        <v>503.69304261527651</v>
      </c>
      <c r="GF115" s="62">
        <f t="shared" si="104"/>
        <v>267.2998309535638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projet'!$B$17,Paramètres!$A$1:$I$88,3,0)*0.475*44/12</f>
        <v>0</v>
      </c>
      <c r="GM115" s="23">
        <f>EXP(-LN(2)/25)*GM114+(1-EXP(-LN(2)/25))/(LN(2)/25)*Calculateur!GH115*Calculateur!GJ115*VLOOKUP('Données projet'!$B$17,Paramètres!$A$1:$I$88,3,0)*0.475*44/12</f>
        <v>0</v>
      </c>
      <c r="GN115" s="23">
        <f>EXP(-LN(2)/2)*GN114+(1-EXP(-LN(2)/2))/(LN(2)/2)*GH115*GK115*VLOOKUP('Données projet'!$B$17,Paramètres!$A$1:$I$88,3,0)*0.475*44/12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4.9000000000000004</v>
      </c>
      <c r="GU115" s="13">
        <f>IF('Données projet'!$A$270&gt;35,GU114+GT115-HC114,IF(A115&lt;'Données projet'!$A$270,$GR$205^A115,IF(A115='Données projet'!$A$270,'Données projet'!$B$270,GU114+GT115-HC114)))</f>
        <v>341.3</v>
      </c>
      <c r="GV115" s="18">
        <f>GU115*VLOOKUP('Données projet'!$B$18,Paramètres!$A$1:$I$88,3,0)*VLOOKUP('Données projet'!$B$18,Paramètres!$A$1:$I$88,5,0)</f>
        <v>356.72676000000007</v>
      </c>
      <c r="GW115" s="14">
        <f t="shared" si="105"/>
        <v>82.946082618607775</v>
      </c>
      <c r="GX115" s="22">
        <f t="shared" si="82"/>
        <v>765.76353422740851</v>
      </c>
      <c r="GY115" s="62">
        <f t="shared" si="83"/>
        <v>1059.0968675607419</v>
      </c>
      <c r="GZ115" s="62">
        <f ca="1">AVERAGE(OFFSET($GY$3,0,0,'Données projet'!$E$18+1,1))-AVERAGE(OFFSET($H$3,0,0,'Données projet'!$E$18+1,1))</f>
        <v>582.89879210197682</v>
      </c>
      <c r="HA115" s="62">
        <f t="shared" si="106"/>
        <v>314.72094983133326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projet'!$B$18,Paramètres!$A$1:$I$88,3,0)*0.475*44/12</f>
        <v>0</v>
      </c>
      <c r="HH115" s="23">
        <f>EXP(-LN(2)/25)*HH114+(1-EXP(-LN(2)/25))/(LN(2)/25)*Calculateur!HC115*Calculateur!HE115*VLOOKUP('Données projet'!$B$18,Paramètres!$A$1:$I$88,3,0)*0.475*44/12</f>
        <v>0</v>
      </c>
      <c r="HI115" s="23">
        <f>EXP(-LN(2)/2)*HI114+(1-EXP(-LN(2)/2))/(LN(2)/2)*HC115*HF115*VLOOKUP('Données projet'!$B$18,Paramètres!$A$1:$I$88,3,0)*0.475*44/12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projet'!$B$9,Paramètres!$A$1:$I$88,3,0)*VLOOKUP('Données projet'!$B$9,Paramètres!$A$1:$I$88,5,0)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399.92909819003523</v>
      </c>
      <c r="T116" s="62">
        <f t="shared" si="88"/>
        <v>163.7053537268381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4.9000000000000004</v>
      </c>
      <c r="AI116" s="14">
        <f>IF('Données projet'!$A$62&gt;35,AI115+AH116-AQ115,IF(A116&lt;'Données projet'!$A$62,$AF$205^A116,IF(A116='Données projet'!$A$62,'Données projet'!$B$62,AI115+AH116-AQ115)))</f>
        <v>346.2</v>
      </c>
      <c r="AJ116" s="14">
        <f>AI116*VLOOKUP('Données projet'!$B$10,Paramètres!$A$1:$I$88,3,0)*VLOOKUP('Données projet'!$B$10,Paramètres!$A$1:$I$88,5,0)</f>
        <v>313.24176</v>
      </c>
      <c r="AK116" s="14">
        <f t="shared" si="89"/>
        <v>73.945428242952033</v>
      </c>
      <c r="AL116" s="22">
        <f t="shared" si="58"/>
        <v>674.35101952314142</v>
      </c>
      <c r="AM116" s="62">
        <f t="shared" si="59"/>
        <v>967.68435285647479</v>
      </c>
      <c r="AN116" s="62">
        <f ca="1">AVERAGE(OFFSET($AM$3,0,0,'Données projet'!$E$10+1,1))-AVERAGE(OFFSET($H$3,0,0,'Données projet'!$E$10+1,1))</f>
        <v>510.56580450928806</v>
      </c>
      <c r="AO116" s="62">
        <f t="shared" si="90"/>
        <v>278.21741231699929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378.99999999999955</v>
      </c>
      <c r="BE116" s="14">
        <f>BD116*VLOOKUP('Données projet'!$B$11,Paramètres!$A$1:$I$88,3,0)*VLOOKUP('Données projet'!$B$11,Paramètres!$A$1:$I$88,5,0)</f>
        <v>360.65639999999956</v>
      </c>
      <c r="BF116" s="14">
        <f t="shared" si="91"/>
        <v>83.752929778395256</v>
      </c>
      <c r="BG116" s="22">
        <f t="shared" si="61"/>
        <v>774.01291603070422</v>
      </c>
      <c r="BH116" s="62">
        <f t="shared" si="62"/>
        <v>1067.3462493640375</v>
      </c>
      <c r="BI116" s="62">
        <f ca="1">AVERAGE(OFFSET($BH$3,0,0,'Données projet'!$E$11+1,1))-AVERAGE(OFFSET($H$3,0,0,'Données projet'!$E$11+1,1))</f>
        <v>525.51330555662139</v>
      </c>
      <c r="BJ116" s="62">
        <f t="shared" si="92"/>
        <v>357.72390083433635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1.7053025658242404E-13</v>
      </c>
      <c r="BZ116" s="14">
        <f>BY116*VLOOKUP('Données projet'!$B$12,Paramètres!$A$1:$I$88,3,0)*VLOOKUP('Données projet'!$B$12,Paramètres!$A$1:$I$88,5,0)</f>
        <v>1.0197709343628959E-13</v>
      </c>
      <c r="CA116" s="14">
        <f t="shared" si="93"/>
        <v>1.5284983994279675E-12</v>
      </c>
      <c r="CB116" s="22">
        <f t="shared" si="64"/>
        <v>2.839744816738581E-12</v>
      </c>
      <c r="CC116" s="62">
        <f t="shared" si="65"/>
        <v>293.33333333333616</v>
      </c>
      <c r="CD116" s="62">
        <f ca="1">AVERAGE(OFFSET($CC$3,0,0,'Données projet'!$E$12+1,1))-AVERAGE(OFFSET($H$3,0,0,'Données projet'!$E$12+1,1))</f>
        <v>227.46616726010473</v>
      </c>
      <c r="CE116" s="62">
        <f t="shared" si="94"/>
        <v>314.188568589113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23.253542891951628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4.4699909897515508E-9</v>
      </c>
      <c r="CN116" s="24">
        <f t="shared" si="66"/>
        <v>23.253542896421621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projet'!$B$13,Paramètres!$A$1:$I$88,3,0)*VLOOKUP('Données projet'!$B$13,Paramètres!$A$1:$I$88,5,0)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356.46794174556311</v>
      </c>
      <c r="CZ116" s="62">
        <f t="shared" si="96"/>
        <v>248.47107558211923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0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projet'!$B$14,Paramètres!$A$1:$I$88,3,0)*VLOOKUP('Données projet'!$B$14,Paramètres!$A$1:$I$88,5,0)</f>
        <v>6.3550942286383367E-14</v>
      </c>
      <c r="DQ116" s="14">
        <f t="shared" si="97"/>
        <v>1.0064464192543978E-12</v>
      </c>
      <c r="DR116" s="22">
        <f t="shared" si="70"/>
        <v>1.8635787380168604E-12</v>
      </c>
      <c r="DS116" s="62">
        <f t="shared" si="71"/>
        <v>293.33333333333519</v>
      </c>
      <c r="DT116" s="62">
        <f ca="1">AVERAGE(OFFSET($DS$3,0,0,'Données projet'!$E$14+1,1))-AVERAGE(OFFSET($H$3,0,0,'Données projet'!$E$14+1,1))</f>
        <v>397.04445188588369</v>
      </c>
      <c r="DU116" s="62">
        <f t="shared" si="98"/>
        <v>350.01856672839466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0.96970576346157034</v>
      </c>
      <c r="EB116" s="23">
        <f>EXP(-LN(2)/25)*EB115+(1-EXP(-LN(2)/25))/(LN(2)/25)*Calculateur!DW116*Calculateur!DY116*VLOOKUP('Données projet'!$B$14,Paramètres!$A$1:$I$88,3,0)*0.475*44/12</f>
        <v>0</v>
      </c>
      <c r="EC116" s="23">
        <f>EXP(-LN(2)/2)*EC115+(1-EXP(-LN(2)/2))/(LN(2)/2)*DW116*DZ116*VLOOKUP('Données projet'!$B$14,Paramètres!$A$1:$I$88,3,0)*0.475*44/12</f>
        <v>5.2100572120607656E-12</v>
      </c>
      <c r="ED116" s="24">
        <f t="shared" si="72"/>
        <v>0.96970576346678039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-1.9895196601282805E-13</v>
      </c>
      <c r="EK116" s="18">
        <f>EJ116*VLOOKUP('Données projet'!$B$15,Paramètres!$A$1:$I$88,3,0)*VLOOKUP('Données projet'!$B$15,Paramètres!$A$1:$I$88,5,0)</f>
        <v>-1.738044375088066E-13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202.5548390231225</v>
      </c>
      <c r="EP116" s="62">
        <f t="shared" si="100"/>
        <v>184.62184077734179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projet'!$B$15,Paramètres!$A$1:$I$88,3,0)*0.475*44/12</f>
        <v>0</v>
      </c>
      <c r="EW116" s="23">
        <f>EXP(-LN(2)/25)*EW115+(1-EXP(-LN(2)/25))/(LN(2)/25)*Calculateur!ER116*Calculateur!ET116*VLOOKUP('Données projet'!$B$15,Paramètres!$A$1:$I$88,3,0)*0.475*44/12</f>
        <v>0</v>
      </c>
      <c r="EX116" s="23">
        <f>EXP(-LN(2)/2)*EX115+(1-EXP(-LN(2)/2))/(LN(2)/2)*ER116*EU116*VLOOKUP('Données projet'!$B$15,Paramètres!$A$1:$I$88,3,0)*0.475*44/12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</v>
      </c>
      <c r="FE116" s="13">
        <f>IF('Données projet'!$A$218&gt;35,FE115+FD116-FM115,IF(A116&lt;'Données projet'!$A$218,$FB$205^A116,IF(A116='Données projet'!$A$218,'Données projet'!$B$218,FE115+FD116-FM115)))</f>
        <v>295.99999999999955</v>
      </c>
      <c r="FF116" s="18">
        <f>FE116*VLOOKUP('Données projet'!$B$16,Paramètres!$A$1:$I$88,3,0)*VLOOKUP('Données projet'!$B$16,Paramètres!$A$1:$I$88,5,0)</f>
        <v>286.29119999999961</v>
      </c>
      <c r="FG116" s="14">
        <f t="shared" si="101"/>
        <v>68.294796094604337</v>
      </c>
      <c r="FH116" s="22">
        <f t="shared" si="76"/>
        <v>617.57060986476847</v>
      </c>
      <c r="FI116" s="62">
        <f t="shared" si="77"/>
        <v>910.90394319810184</v>
      </c>
      <c r="FJ116" s="62">
        <f ca="1">AVERAGE(OFFSET($FI$3,0,0,'Données projet'!$E$16+1,1))-AVERAGE(OFFSET($H$3,0,0,'Données projet'!$E$16+1,1))</f>
        <v>456.96274622094955</v>
      </c>
      <c r="FK116" s="62">
        <f t="shared" si="102"/>
        <v>244.45149244446094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projet'!$B$16,Paramètres!$A$1:$I$88,3,0)*0.475*44/12</f>
        <v>0</v>
      </c>
      <c r="FR116" s="23">
        <f>EXP(-LN(2)/25)*FR115+(1-EXP(-LN(2)/25))/(LN(2)/25)*Calculateur!FM116*Calculateur!FO116*VLOOKUP('Données projet'!$B$16,Paramètres!$A$1:$I$88,3,0)*0.475*44/12</f>
        <v>0</v>
      </c>
      <c r="FS116" s="23">
        <f>EXP(-LN(2)/2)*FS115+(1-EXP(-LN(2)/2))/(LN(2)/2)*FM116*FP116*VLOOKUP('Données projet'!$B$16,Paramètres!$A$1:$I$88,3,0)*0.475*44/12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</v>
      </c>
      <c r="FZ116" s="13">
        <f>IF('Données projet'!$A$244&gt;35,FZ115+FY116-GH115,IF(A116&lt;'Données projet'!$A$244,$FW$205^A116,IF(A116='Données projet'!$A$244,'Données projet'!$B$244,FZ115+FY116-GH115)))</f>
        <v>295.99999999999955</v>
      </c>
      <c r="GA116" s="18">
        <f>FZ116*VLOOKUP('Données projet'!$B$17,Paramètres!$A$1:$I$88,3,0)*VLOOKUP('Données projet'!$B$17,Paramètres!$A$1:$I$88,5,0)</f>
        <v>318.61439999999948</v>
      </c>
      <c r="GB116" s="14">
        <f t="shared" si="103"/>
        <v>75.064979865028363</v>
      </c>
      <c r="GC116" s="22">
        <f t="shared" si="79"/>
        <v>685.65825326492347</v>
      </c>
      <c r="GD116" s="62">
        <f t="shared" si="80"/>
        <v>978.99158659825684</v>
      </c>
      <c r="GE116" s="62">
        <f ca="1">AVERAGE(OFFSET($GD$3,0,0,'Données projet'!$E$17+1,1))-AVERAGE(OFFSET($H$3,0,0,'Données projet'!$E$17+1,1))</f>
        <v>503.69304261527651</v>
      </c>
      <c r="GF116" s="62">
        <f t="shared" si="104"/>
        <v>267.2998309535638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projet'!$B$17,Paramètres!$A$1:$I$88,3,0)*0.475*44/12</f>
        <v>0</v>
      </c>
      <c r="GM116" s="23">
        <f>EXP(-LN(2)/25)*GM115+(1-EXP(-LN(2)/25))/(LN(2)/25)*Calculateur!GH116*Calculateur!GJ116*VLOOKUP('Données projet'!$B$17,Paramètres!$A$1:$I$88,3,0)*0.475*44/12</f>
        <v>0</v>
      </c>
      <c r="GN116" s="23">
        <f>EXP(-LN(2)/2)*GN115+(1-EXP(-LN(2)/2))/(LN(2)/2)*GH116*GK116*VLOOKUP('Données projet'!$B$17,Paramètres!$A$1:$I$88,3,0)*0.475*44/12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4.9000000000000004</v>
      </c>
      <c r="GU116" s="13">
        <f>IF('Données projet'!$A$270&gt;35,GU115+GT116-HC115,IF(A116&lt;'Données projet'!$A$270,$GR$205^A116,IF(A116='Données projet'!$A$270,'Données projet'!$B$270,GU115+GT116-HC115)))</f>
        <v>346.2</v>
      </c>
      <c r="GV116" s="18">
        <f>GU116*VLOOKUP('Données projet'!$B$18,Paramètres!$A$1:$I$88,3,0)*VLOOKUP('Données projet'!$B$18,Paramètres!$A$1:$I$88,5,0)</f>
        <v>361.84824000000003</v>
      </c>
      <c r="GW116" s="14">
        <f t="shared" si="105"/>
        <v>83.997439761438244</v>
      </c>
      <c r="GX116" s="22">
        <f t="shared" si="82"/>
        <v>776.51455891783837</v>
      </c>
      <c r="GY116" s="62">
        <f t="shared" si="83"/>
        <v>1069.8478922511717</v>
      </c>
      <c r="GZ116" s="62">
        <f ca="1">AVERAGE(OFFSET($GY$3,0,0,'Données projet'!$E$18+1,1))-AVERAGE(OFFSET($H$3,0,0,'Données projet'!$E$18+1,1))</f>
        <v>582.89879210197682</v>
      </c>
      <c r="HA116" s="62">
        <f t="shared" si="106"/>
        <v>314.72094983133326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projet'!$B$18,Paramètres!$A$1:$I$88,3,0)*0.475*44/12</f>
        <v>0</v>
      </c>
      <c r="HH116" s="23">
        <f>EXP(-LN(2)/25)*HH115+(1-EXP(-LN(2)/25))/(LN(2)/25)*Calculateur!HC116*Calculateur!HE116*VLOOKUP('Données projet'!$B$18,Paramètres!$A$1:$I$88,3,0)*0.475*44/12</f>
        <v>0</v>
      </c>
      <c r="HI116" s="23">
        <f>EXP(-LN(2)/2)*HI115+(1-EXP(-LN(2)/2))/(LN(2)/2)*HC116*HF116*VLOOKUP('Données projet'!$B$18,Paramètres!$A$1:$I$88,3,0)*0.475*44/12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projet'!$B$9,Paramètres!$A$1:$I$88,3,0)*VLOOKUP('Données projet'!$B$9,Paramètres!$A$1:$I$88,5,0)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399.92909819003523</v>
      </c>
      <c r="T117" s="62">
        <f t="shared" si="88"/>
        <v>163.7053537268381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4.9000000000000004</v>
      </c>
      <c r="AI117" s="14">
        <f>IF('Données projet'!$A$62&gt;35,AI116+AH117-AQ116,IF(A117&lt;'Données projet'!$A$62,$AF$205^A117,IF(A117='Données projet'!$A$62,'Données projet'!$B$62,AI116+AH117-AQ116)))</f>
        <v>351.09999999999997</v>
      </c>
      <c r="AJ117" s="14">
        <f>AI117*VLOOKUP('Données projet'!$B$10,Paramètres!$A$1:$I$88,3,0)*VLOOKUP('Données projet'!$B$10,Paramètres!$A$1:$I$88,5,0)</f>
        <v>317.67527999999999</v>
      </c>
      <c r="AK117" s="14">
        <f t="shared" si="89"/>
        <v>74.869445387304125</v>
      </c>
      <c r="AL117" s="22">
        <f t="shared" si="58"/>
        <v>683.68206338288792</v>
      </c>
      <c r="AM117" s="62">
        <f t="shared" si="59"/>
        <v>977.01539671622118</v>
      </c>
      <c r="AN117" s="62">
        <f ca="1">AVERAGE(OFFSET($AM$3,0,0,'Données projet'!$E$10+1,1))-AVERAGE(OFFSET($H$3,0,0,'Données projet'!$E$10+1,1))</f>
        <v>510.56580450928806</v>
      </c>
      <c r="AO117" s="62">
        <f t="shared" si="90"/>
        <v>278.21741231699929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383.49999999999955</v>
      </c>
      <c r="BE117" s="14">
        <f>BD117*VLOOKUP('Données projet'!$B$11,Paramètres!$A$1:$I$88,3,0)*VLOOKUP('Données projet'!$B$11,Paramètres!$A$1:$I$88,5,0)</f>
        <v>364.93859999999955</v>
      </c>
      <c r="BF117" s="14">
        <f t="shared" si="91"/>
        <v>84.631001769072284</v>
      </c>
      <c r="BG117" s="22">
        <f t="shared" si="61"/>
        <v>783.0003897478</v>
      </c>
      <c r="BH117" s="62">
        <f t="shared" si="62"/>
        <v>1076.3337230811333</v>
      </c>
      <c r="BI117" s="62">
        <f ca="1">AVERAGE(OFFSET($BH$3,0,0,'Données projet'!$E$11+1,1))-AVERAGE(OFFSET($H$3,0,0,'Données projet'!$E$11+1,1))</f>
        <v>525.51330555662139</v>
      </c>
      <c r="BJ117" s="62">
        <f t="shared" si="92"/>
        <v>357.72390083433635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1.7053025658242404E-13</v>
      </c>
      <c r="BZ117" s="14">
        <f>BY117*VLOOKUP('Données projet'!$B$12,Paramètres!$A$1:$I$88,3,0)*VLOOKUP('Données projet'!$B$12,Paramètres!$A$1:$I$88,5,0)</f>
        <v>1.0197709343628959E-13</v>
      </c>
      <c r="CA117" s="14">
        <f t="shared" si="93"/>
        <v>1.5284983994279675E-12</v>
      </c>
      <c r="CB117" s="22">
        <f t="shared" si="64"/>
        <v>2.839744816738581E-12</v>
      </c>
      <c r="CC117" s="62">
        <f t="shared" si="65"/>
        <v>293.33333333333616</v>
      </c>
      <c r="CD117" s="62">
        <f ca="1">AVERAGE(OFFSET($CC$3,0,0,'Données projet'!$E$12+1,1))-AVERAGE(OFFSET($H$3,0,0,'Données projet'!$E$12+1,1))</f>
        <v>227.46616726010473</v>
      </c>
      <c r="CE117" s="62">
        <f t="shared" si="94"/>
        <v>314.188568589113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22.797555099101139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3.1607609406960888E-9</v>
      </c>
      <c r="CN117" s="24">
        <f t="shared" si="66"/>
        <v>22.797555102261899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projet'!$B$13,Paramètres!$A$1:$I$88,3,0)*VLOOKUP('Données projet'!$B$13,Paramètres!$A$1:$I$88,5,0)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356.46794174556311</v>
      </c>
      <c r="CZ117" s="62">
        <f t="shared" si="96"/>
        <v>248.47107558211923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0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projet'!$B$14,Paramètres!$A$1:$I$88,3,0)*VLOOKUP('Données projet'!$B$14,Paramètres!$A$1:$I$88,5,0)</f>
        <v>6.3550942286383367E-14</v>
      </c>
      <c r="DQ117" s="14">
        <f t="shared" si="97"/>
        <v>1.0064464192543978E-12</v>
      </c>
      <c r="DR117" s="22">
        <f t="shared" si="70"/>
        <v>1.8635787380168604E-12</v>
      </c>
      <c r="DS117" s="62">
        <f t="shared" si="71"/>
        <v>293.33333333333519</v>
      </c>
      <c r="DT117" s="62">
        <f ca="1">AVERAGE(OFFSET($DS$3,0,0,'Données projet'!$E$14+1,1))-AVERAGE(OFFSET($H$3,0,0,'Données projet'!$E$14+1,1))</f>
        <v>397.04445188588369</v>
      </c>
      <c r="DU117" s="62">
        <f t="shared" si="98"/>
        <v>350.01856672839466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0.95069042490220257</v>
      </c>
      <c r="EB117" s="23">
        <f>EXP(-LN(2)/25)*EB116+(1-EXP(-LN(2)/25))/(LN(2)/25)*Calculateur!DW117*Calculateur!DY117*VLOOKUP('Données projet'!$B$14,Paramètres!$A$1:$I$88,3,0)*0.475*44/12</f>
        <v>0</v>
      </c>
      <c r="EC117" s="23">
        <f>EXP(-LN(2)/2)*EC116+(1-EXP(-LN(2)/2))/(LN(2)/2)*DW117*DZ117*VLOOKUP('Données projet'!$B$14,Paramètres!$A$1:$I$88,3,0)*0.475*44/12</f>
        <v>3.6840667850180456E-12</v>
      </c>
      <c r="ED117" s="24">
        <f t="shared" si="72"/>
        <v>0.95069042490588662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-1.9895196601282805E-13</v>
      </c>
      <c r="EK117" s="18">
        <f>EJ117*VLOOKUP('Données projet'!$B$15,Paramètres!$A$1:$I$88,3,0)*VLOOKUP('Données projet'!$B$15,Paramètres!$A$1:$I$88,5,0)</f>
        <v>-1.738044375088066E-13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202.5548390231225</v>
      </c>
      <c r="EP117" s="62">
        <f t="shared" si="100"/>
        <v>184.62184077734179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projet'!$B$15,Paramètres!$A$1:$I$88,3,0)*0.475*44/12</f>
        <v>0</v>
      </c>
      <c r="EW117" s="23">
        <f>EXP(-LN(2)/25)*EW116+(1-EXP(-LN(2)/25))/(LN(2)/25)*Calculateur!ER117*Calculateur!ET117*VLOOKUP('Données projet'!$B$15,Paramètres!$A$1:$I$88,3,0)*0.475*44/12</f>
        <v>0</v>
      </c>
      <c r="EX117" s="23">
        <f>EXP(-LN(2)/2)*EX116+(1-EXP(-LN(2)/2))/(LN(2)/2)*ER117*EU117*VLOOKUP('Données projet'!$B$15,Paramètres!$A$1:$I$88,3,0)*0.475*44/12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</v>
      </c>
      <c r="FE117" s="13">
        <f>IF('Données projet'!$A$218&gt;35,FE116+FD117-FM116,IF(A117&lt;'Données projet'!$A$218,$FB$205^A117,IF(A117='Données projet'!$A$218,'Données projet'!$B$218,FE116+FD117-FM116)))</f>
        <v>299.99999999999955</v>
      </c>
      <c r="FF117" s="18">
        <f>FE117*VLOOKUP('Données projet'!$B$16,Paramètres!$A$1:$I$88,3,0)*VLOOKUP('Données projet'!$B$16,Paramètres!$A$1:$I$88,5,0)</f>
        <v>290.15999999999957</v>
      </c>
      <c r="FG117" s="14">
        <f t="shared" si="101"/>
        <v>69.10963471703981</v>
      </c>
      <c r="FH117" s="22">
        <f t="shared" si="76"/>
        <v>625.72794713217684</v>
      </c>
      <c r="FI117" s="62">
        <f t="shared" si="77"/>
        <v>919.06128046551021</v>
      </c>
      <c r="FJ117" s="62">
        <f ca="1">AVERAGE(OFFSET($FI$3,0,0,'Données projet'!$E$16+1,1))-AVERAGE(OFFSET($H$3,0,0,'Données projet'!$E$16+1,1))</f>
        <v>456.96274622094955</v>
      </c>
      <c r="FK117" s="62">
        <f t="shared" si="102"/>
        <v>244.45149244446094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projet'!$B$16,Paramètres!$A$1:$I$88,3,0)*0.475*44/12</f>
        <v>0</v>
      </c>
      <c r="FR117" s="23">
        <f>EXP(-LN(2)/25)*FR116+(1-EXP(-LN(2)/25))/(LN(2)/25)*Calculateur!FM117*Calculateur!FO117*VLOOKUP('Données projet'!$B$16,Paramètres!$A$1:$I$88,3,0)*0.475*44/12</f>
        <v>0</v>
      </c>
      <c r="FS117" s="23">
        <f>EXP(-LN(2)/2)*FS116+(1-EXP(-LN(2)/2))/(LN(2)/2)*FM117*FP117*VLOOKUP('Données projet'!$B$16,Paramètres!$A$1:$I$88,3,0)*0.475*44/12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</v>
      </c>
      <c r="FZ117" s="13">
        <f>IF('Données projet'!$A$244&gt;35,FZ116+FY117-GH116,IF(A117&lt;'Données projet'!$A$244,$FW$205^A117,IF(A117='Données projet'!$A$244,'Données projet'!$B$244,FZ116+FY117-GH116)))</f>
        <v>299.99999999999955</v>
      </c>
      <c r="GA117" s="18">
        <f>FZ117*VLOOKUP('Données projet'!$B$17,Paramètres!$A$1:$I$88,3,0)*VLOOKUP('Données projet'!$B$17,Paramètres!$A$1:$I$88,5,0)</f>
        <v>322.9199999999995</v>
      </c>
      <c r="GB117" s="14">
        <f t="shared" si="103"/>
        <v>75.960594879408688</v>
      </c>
      <c r="GC117" s="22">
        <f t="shared" si="79"/>
        <v>694.71703608163591</v>
      </c>
      <c r="GD117" s="62">
        <f t="shared" si="80"/>
        <v>988.05036941496928</v>
      </c>
      <c r="GE117" s="62">
        <f ca="1">AVERAGE(OFFSET($GD$3,0,0,'Données projet'!$E$17+1,1))-AVERAGE(OFFSET($H$3,0,0,'Données projet'!$E$17+1,1))</f>
        <v>503.69304261527651</v>
      </c>
      <c r="GF117" s="62">
        <f t="shared" si="104"/>
        <v>267.2998309535638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projet'!$B$17,Paramètres!$A$1:$I$88,3,0)*0.475*44/12</f>
        <v>0</v>
      </c>
      <c r="GM117" s="23">
        <f>EXP(-LN(2)/25)*GM116+(1-EXP(-LN(2)/25))/(LN(2)/25)*Calculateur!GH117*Calculateur!GJ117*VLOOKUP('Données projet'!$B$17,Paramètres!$A$1:$I$88,3,0)*0.475*44/12</f>
        <v>0</v>
      </c>
      <c r="GN117" s="23">
        <f>EXP(-LN(2)/2)*GN116+(1-EXP(-LN(2)/2))/(LN(2)/2)*GH117*GK117*VLOOKUP('Données projet'!$B$17,Paramètres!$A$1:$I$88,3,0)*0.475*44/12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4.9000000000000004</v>
      </c>
      <c r="GU117" s="13">
        <f>IF('Données projet'!$A$270&gt;35,GU116+GT117-HC116,IF(A117&lt;'Données projet'!$A$270,$GR$205^A117,IF(A117='Données projet'!$A$270,'Données projet'!$B$270,GU116+GT117-HC116)))</f>
        <v>351.09999999999997</v>
      </c>
      <c r="GV117" s="18">
        <f>GU117*VLOOKUP('Données projet'!$B$18,Paramètres!$A$1:$I$88,3,0)*VLOOKUP('Données projet'!$B$18,Paramètres!$A$1:$I$88,5,0)</f>
        <v>366.96972</v>
      </c>
      <c r="GW117" s="14">
        <f t="shared" si="105"/>
        <v>85.047066171961362</v>
      </c>
      <c r="GX117" s="22">
        <f t="shared" si="82"/>
        <v>787.26256924949939</v>
      </c>
      <c r="GY117" s="62">
        <f t="shared" si="83"/>
        <v>1080.5959025828327</v>
      </c>
      <c r="GZ117" s="62">
        <f ca="1">AVERAGE(OFFSET($GY$3,0,0,'Données projet'!$E$18+1,1))-AVERAGE(OFFSET($H$3,0,0,'Données projet'!$E$18+1,1))</f>
        <v>582.89879210197682</v>
      </c>
      <c r="HA117" s="62">
        <f t="shared" si="106"/>
        <v>314.72094983133326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projet'!$B$18,Paramètres!$A$1:$I$88,3,0)*0.475*44/12</f>
        <v>0</v>
      </c>
      <c r="HH117" s="23">
        <f>EXP(-LN(2)/25)*HH116+(1-EXP(-LN(2)/25))/(LN(2)/25)*Calculateur!HC117*Calculateur!HE117*VLOOKUP('Données projet'!$B$18,Paramètres!$A$1:$I$88,3,0)*0.475*44/12</f>
        <v>0</v>
      </c>
      <c r="HI117" s="23">
        <f>EXP(-LN(2)/2)*HI116+(1-EXP(-LN(2)/2))/(LN(2)/2)*HC117*HF117*VLOOKUP('Données projet'!$B$18,Paramètres!$A$1:$I$88,3,0)*0.475*44/12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projet'!$B$9,Paramètres!$A$1:$I$88,3,0)*VLOOKUP('Données projet'!$B$9,Paramètres!$A$1:$I$88,5,0)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399.92909819003523</v>
      </c>
      <c r="T118" s="62">
        <f t="shared" si="88"/>
        <v>163.7053537268381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356</v>
      </c>
      <c r="AG118" s="13">
        <f>VLOOKUP(A118,'Données projet'!$A$61:$I$81,9,0)</f>
        <v>4.9000000000000004</v>
      </c>
      <c r="AH118" s="13">
        <f t="array" ref="AH118">INDEX(AG:AG,MIN(IF(ISNUMBER(AG118:AG314),ROW(AG118:AG314),"")))</f>
        <v>4.9000000000000004</v>
      </c>
      <c r="AI118" s="14">
        <f>IF('Données projet'!$A$62&gt;35,AI117+AH118-AQ117,IF(A118&lt;'Données projet'!$A$62,$AF$205^A118,IF(A118='Données projet'!$A$62,'Données projet'!$B$62,AI117+AH118-AQ117)))</f>
        <v>355.99999999999994</v>
      </c>
      <c r="AJ118" s="14">
        <f>AI118*VLOOKUP('Données projet'!$B$10,Paramètres!$A$1:$I$88,3,0)*VLOOKUP('Données projet'!$B$10,Paramètres!$A$1:$I$88,5,0)</f>
        <v>322.10879999999997</v>
      </c>
      <c r="AK118" s="14">
        <f t="shared" si="89"/>
        <v>75.791962638025268</v>
      </c>
      <c r="AL118" s="22">
        <f t="shared" si="58"/>
        <v>693.01049492789389</v>
      </c>
      <c r="AM118" s="62">
        <f t="shared" si="59"/>
        <v>986.34382826122715</v>
      </c>
      <c r="AN118" s="62">
        <f ca="1">AVERAGE(OFFSET($AM$3,0,0,'Données projet'!$E$10+1,1))-AVERAGE(OFFSET($H$3,0,0,'Données projet'!$E$10+1,1))</f>
        <v>510.56580450928806</v>
      </c>
      <c r="AO118" s="62">
        <f t="shared" si="90"/>
        <v>278.21741231699929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49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388</v>
      </c>
      <c r="BB118" s="13">
        <f>VLOOKUP(A118,'Données projet'!$A$87:$I$107,9,0)</f>
        <v>4.5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387.99999999999955</v>
      </c>
      <c r="BE118" s="14">
        <f>BD118*VLOOKUP('Données projet'!$B$11,Paramètres!$A$1:$I$88,3,0)*VLOOKUP('Données projet'!$B$11,Paramètres!$A$1:$I$88,5,0)</f>
        <v>369.2207999999996</v>
      </c>
      <c r="BF118" s="14">
        <f t="shared" si="91"/>
        <v>85.507875242650329</v>
      </c>
      <c r="BG118" s="22">
        <f t="shared" si="61"/>
        <v>791.98577604761533</v>
      </c>
      <c r="BH118" s="62">
        <f t="shared" si="62"/>
        <v>1085.3191093809487</v>
      </c>
      <c r="BI118" s="62">
        <f ca="1">AVERAGE(OFFSET($BH$3,0,0,'Données projet'!$E$11+1,1))-AVERAGE(OFFSET($H$3,0,0,'Données projet'!$E$11+1,1))</f>
        <v>525.51330555662139</v>
      </c>
      <c r="BJ118" s="62">
        <f t="shared" si="92"/>
        <v>357.72390083433635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1.7053025658242404E-13</v>
      </c>
      <c r="BZ118" s="14">
        <f>BY118*VLOOKUP('Données projet'!$B$12,Paramètres!$A$1:$I$88,3,0)*VLOOKUP('Données projet'!$B$12,Paramètres!$A$1:$I$88,5,0)</f>
        <v>1.0197709343628959E-13</v>
      </c>
      <c r="CA118" s="14">
        <f t="shared" si="93"/>
        <v>1.5284983994279675E-12</v>
      </c>
      <c r="CB118" s="22">
        <f t="shared" si="64"/>
        <v>2.839744816738581E-12</v>
      </c>
      <c r="CC118" s="62">
        <f t="shared" si="65"/>
        <v>293.33333333333616</v>
      </c>
      <c r="CD118" s="62">
        <f ca="1">AVERAGE(OFFSET($CC$3,0,0,'Données projet'!$E$12+1,1))-AVERAGE(OFFSET($H$3,0,0,'Données projet'!$E$12+1,1))</f>
        <v>227.46616726010473</v>
      </c>
      <c r="CE118" s="62">
        <f t="shared" si="94"/>
        <v>314.188568589113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22.350508948743357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2.2349954948757754E-9</v>
      </c>
      <c r="CN118" s="24">
        <f t="shared" si="66"/>
        <v>22.350508950978352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projet'!$B$13,Paramètres!$A$1:$I$88,3,0)*VLOOKUP('Données projet'!$B$13,Paramètres!$A$1:$I$88,5,0)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356.46794174556311</v>
      </c>
      <c r="CZ118" s="62">
        <f t="shared" si="96"/>
        <v>248.47107558211923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0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projet'!$B$14,Paramètres!$A$1:$I$88,3,0)*VLOOKUP('Données projet'!$B$14,Paramètres!$A$1:$I$88,5,0)</f>
        <v>6.3550942286383367E-14</v>
      </c>
      <c r="DQ118" s="14">
        <f t="shared" si="97"/>
        <v>1.0064464192543978E-12</v>
      </c>
      <c r="DR118" s="22">
        <f t="shared" si="70"/>
        <v>1.8635787380168604E-12</v>
      </c>
      <c r="DS118" s="62">
        <f t="shared" si="71"/>
        <v>293.33333333333519</v>
      </c>
      <c r="DT118" s="62">
        <f ca="1">AVERAGE(OFFSET($DS$3,0,0,'Données projet'!$E$14+1,1))-AVERAGE(OFFSET($H$3,0,0,'Données projet'!$E$14+1,1))</f>
        <v>397.04445188588369</v>
      </c>
      <c r="DU118" s="62">
        <f t="shared" si="98"/>
        <v>350.01856672839466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0.93204796553377278</v>
      </c>
      <c r="EB118" s="23">
        <f>EXP(-LN(2)/25)*EB117+(1-EXP(-LN(2)/25))/(LN(2)/25)*Calculateur!DW118*Calculateur!DY118*VLOOKUP('Données projet'!$B$14,Paramètres!$A$1:$I$88,3,0)*0.475*44/12</f>
        <v>0</v>
      </c>
      <c r="EC118" s="23">
        <f>EXP(-LN(2)/2)*EC117+(1-EXP(-LN(2)/2))/(LN(2)/2)*DW118*DZ118*VLOOKUP('Données projet'!$B$14,Paramètres!$A$1:$I$88,3,0)*0.475*44/12</f>
        <v>2.6050286060303828E-12</v>
      </c>
      <c r="ED118" s="24">
        <f t="shared" si="72"/>
        <v>0.93204796553637781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-1.9895196601282805E-13</v>
      </c>
      <c r="EK118" s="18">
        <f>EJ118*VLOOKUP('Données projet'!$B$15,Paramètres!$A$1:$I$88,3,0)*VLOOKUP('Données projet'!$B$15,Paramètres!$A$1:$I$88,5,0)</f>
        <v>-1.738044375088066E-13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202.5548390231225</v>
      </c>
      <c r="EP118" s="62">
        <f t="shared" si="100"/>
        <v>184.62184077734179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projet'!$B$15,Paramètres!$A$1:$I$88,3,0)*0.475*44/12</f>
        <v>0</v>
      </c>
      <c r="EW118" s="23">
        <f>EXP(-LN(2)/25)*EW117+(1-EXP(-LN(2)/25))/(LN(2)/25)*Calculateur!ER118*Calculateur!ET118*VLOOKUP('Données projet'!$B$15,Paramètres!$A$1:$I$88,3,0)*0.475*44/12</f>
        <v>0</v>
      </c>
      <c r="EX118" s="23">
        <f>EXP(-LN(2)/2)*EX117+(1-EXP(-LN(2)/2))/(LN(2)/2)*ER118*EU118*VLOOKUP('Données projet'!$B$15,Paramètres!$A$1:$I$88,3,0)*0.475*44/12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304</v>
      </c>
      <c r="FC118" s="13">
        <f>VLOOKUP(A118,'Données projet'!$A$217:$I$237,9,0)</f>
        <v>4</v>
      </c>
      <c r="FD118" s="13">
        <f t="array" ref="FD118">INDEX(FC:FC,MIN(IF(ISNUMBER(FC118:FC314),ROW(FC118:FC314),"")))</f>
        <v>4</v>
      </c>
      <c r="FE118" s="13">
        <f>IF('Données projet'!$A$218&gt;35,FE117+FD118-FM117,IF(A118&lt;'Données projet'!$A$218,$FB$205^A118,IF(A118='Données projet'!$A$218,'Données projet'!$B$218,FE117+FD118-FM117)))</f>
        <v>303.99999999999955</v>
      </c>
      <c r="FF118" s="18">
        <f>FE118*VLOOKUP('Données projet'!$B$16,Paramètres!$A$1:$I$88,3,0)*VLOOKUP('Données projet'!$B$16,Paramètres!$A$1:$I$88,5,0)</f>
        <v>294.02879999999953</v>
      </c>
      <c r="FG118" s="14">
        <f t="shared" si="101"/>
        <v>69.923209651185601</v>
      </c>
      <c r="FH118" s="22">
        <f t="shared" si="76"/>
        <v>633.88308347581403</v>
      </c>
      <c r="FI118" s="62">
        <f t="shared" si="77"/>
        <v>927.2164168091474</v>
      </c>
      <c r="FJ118" s="62">
        <f ca="1">AVERAGE(OFFSET($FI$3,0,0,'Données projet'!$E$16+1,1))-AVERAGE(OFFSET($H$3,0,0,'Données projet'!$E$16+1,1))</f>
        <v>456.96274622094955</v>
      </c>
      <c r="FK118" s="62">
        <f t="shared" si="102"/>
        <v>244.45149244446094</v>
      </c>
      <c r="FL118" s="16">
        <f>IF(ISNA(VLOOKUP(A118,'Données projet'!$A$217:$I$237,3,0)),0,VLOOKUP(A118,'Données projet'!$A$217:$I$237,3,0))</f>
        <v>10</v>
      </c>
      <c r="FM118" s="16">
        <f>IF(ISNA(VLOOKUP(A118,'Données projet'!$A$217:$I$237,4,0)),0,VLOOKUP(A118,'Données projet'!$A$217:$I$237,4,0))</f>
        <v>37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projet'!$B$16,Paramètres!$A$1:$I$88,3,0)*0.475*44/12</f>
        <v>0</v>
      </c>
      <c r="FR118" s="23">
        <f>EXP(-LN(2)/25)*FR117+(1-EXP(-LN(2)/25))/(LN(2)/25)*Calculateur!FM118*Calculateur!FO118*VLOOKUP('Données projet'!$B$16,Paramètres!$A$1:$I$88,3,0)*0.475*44/12</f>
        <v>0</v>
      </c>
      <c r="FS118" s="23">
        <f>EXP(-LN(2)/2)*FS117+(1-EXP(-LN(2)/2))/(LN(2)/2)*FM118*FP118*VLOOKUP('Données projet'!$B$16,Paramètres!$A$1:$I$88,3,0)*0.475*44/12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>
        <f>VLOOKUP(A118,'Données projet'!$A$243:$I$263,2,0)</f>
        <v>304</v>
      </c>
      <c r="FX118" s="13">
        <f>VLOOKUP(A118,'Données projet'!$A$243:$I$263,9,0)</f>
        <v>4</v>
      </c>
      <c r="FY118" s="13">
        <f t="array" ref="FY118">INDEX(FX:FX,MIN(IF(ISNUMBER(FX118:FX314),ROW(FX118:FX314),"")))</f>
        <v>4</v>
      </c>
      <c r="FZ118" s="13">
        <f>IF('Données projet'!$A$244&gt;35,FZ117+FY118-GH117,IF(A118&lt;'Données projet'!$A$244,$FW$205^A118,IF(A118='Données projet'!$A$244,'Données projet'!$B$244,FZ117+FY118-GH117)))</f>
        <v>303.99999999999955</v>
      </c>
      <c r="GA118" s="18">
        <f>FZ118*VLOOKUP('Données projet'!$B$17,Paramètres!$A$1:$I$88,3,0)*VLOOKUP('Données projet'!$B$17,Paramètres!$A$1:$I$88,5,0)</f>
        <v>327.22559999999953</v>
      </c>
      <c r="GB118" s="14">
        <f t="shared" si="103"/>
        <v>76.85482093384698</v>
      </c>
      <c r="GC118" s="22">
        <f t="shared" si="79"/>
        <v>703.77339979311603</v>
      </c>
      <c r="GD118" s="62">
        <f t="shared" si="80"/>
        <v>997.1067331264494</v>
      </c>
      <c r="GE118" s="62">
        <f ca="1">AVERAGE(OFFSET($GD$3,0,0,'Données projet'!$E$17+1,1))-AVERAGE(OFFSET($H$3,0,0,'Données projet'!$E$17+1,1))</f>
        <v>503.69304261527651</v>
      </c>
      <c r="GF118" s="62">
        <f t="shared" si="104"/>
        <v>267.2998309535638</v>
      </c>
      <c r="GG118" s="16">
        <f>IF(ISNA(VLOOKUP(A118,'Données projet'!$A$243:$I$263,3,0)),0,VLOOKUP(A118,'Données projet'!$A$243:$I$263,3,0))</f>
        <v>10</v>
      </c>
      <c r="GH118" s="16">
        <f>IF(ISNA(VLOOKUP(A118,'Données projet'!$A$243:$I$263,4,0)),0,VLOOKUP(A118,'Données projet'!$A$243:$I$263,4,0))</f>
        <v>37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projet'!$B$17,Paramètres!$A$1:$I$88,3,0)*0.475*44/12</f>
        <v>0</v>
      </c>
      <c r="GM118" s="23">
        <f>EXP(-LN(2)/25)*GM117+(1-EXP(-LN(2)/25))/(LN(2)/25)*Calculateur!GH118*Calculateur!GJ118*VLOOKUP('Données projet'!$B$17,Paramètres!$A$1:$I$88,3,0)*0.475*44/12</f>
        <v>0</v>
      </c>
      <c r="GN118" s="23">
        <f>EXP(-LN(2)/2)*GN117+(1-EXP(-LN(2)/2))/(LN(2)/2)*GH118*GK118*VLOOKUP('Données projet'!$B$17,Paramètres!$A$1:$I$88,3,0)*0.475*44/12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>
        <f>VLOOKUP(A118,'Données projet'!$A$269:$I$289,2,0)</f>
        <v>356</v>
      </c>
      <c r="GS118" s="13">
        <f>VLOOKUP(A118,'Données projet'!$A$269:$I$289,9,0)</f>
        <v>4.9000000000000004</v>
      </c>
      <c r="GT118" s="13">
        <f t="array" ref="GT118">INDEX(GS:GS,MIN(IF(ISNUMBER(GS118:GS314),ROW(GS118:GS314),"")))</f>
        <v>4.9000000000000004</v>
      </c>
      <c r="GU118" s="13">
        <f>IF('Données projet'!$A$270&gt;35,GU117+GT118-HC117,IF(A118&lt;'Données projet'!$A$270,$GR$205^A118,IF(A118='Données projet'!$A$270,'Données projet'!$B$270,GU117+GT118-HC117)))</f>
        <v>355.99999999999994</v>
      </c>
      <c r="GV118" s="18">
        <f>GU118*VLOOKUP('Données projet'!$B$18,Paramètres!$A$1:$I$88,3,0)*VLOOKUP('Données projet'!$B$18,Paramètres!$A$1:$I$88,5,0)</f>
        <v>372.09119999999996</v>
      </c>
      <c r="GW118" s="14">
        <f t="shared" si="105"/>
        <v>86.094988795950272</v>
      </c>
      <c r="GX118" s="22">
        <f t="shared" si="82"/>
        <v>798.00761215294654</v>
      </c>
      <c r="GY118" s="62">
        <f t="shared" si="83"/>
        <v>1091.3409454862799</v>
      </c>
      <c r="GZ118" s="62">
        <f ca="1">AVERAGE(OFFSET($GY$3,0,0,'Données projet'!$E$18+1,1))-AVERAGE(OFFSET($H$3,0,0,'Données projet'!$E$18+1,1))</f>
        <v>582.89879210197682</v>
      </c>
      <c r="HA118" s="62">
        <f t="shared" si="106"/>
        <v>314.72094983133326</v>
      </c>
      <c r="HB118" s="16">
        <f>IF(ISNA(VLOOKUP(A118,'Données projet'!$A$269:$I$289,3,0)),0,VLOOKUP(A118,'Données projet'!$A$269:$I$289,3,0))</f>
        <v>10</v>
      </c>
      <c r="HC118" s="16">
        <f>IF(ISNA(VLOOKUP(A118,'Données projet'!$A$269:$I$289,4,0)),0,VLOOKUP(A118,'Données projet'!$A$269:$I$289,4,0))</f>
        <v>49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projet'!$B$18,Paramètres!$A$1:$I$88,3,0)*0.475*44/12</f>
        <v>0</v>
      </c>
      <c r="HH118" s="23">
        <f>EXP(-LN(2)/25)*HH117+(1-EXP(-LN(2)/25))/(LN(2)/25)*Calculateur!HC118*Calculateur!HE118*VLOOKUP('Données projet'!$B$18,Paramètres!$A$1:$I$88,3,0)*0.475*44/12</f>
        <v>0</v>
      </c>
      <c r="HI118" s="23">
        <f>EXP(-LN(2)/2)*HI117+(1-EXP(-LN(2)/2))/(LN(2)/2)*HC118*HF118*VLOOKUP('Données projet'!$B$18,Paramètres!$A$1:$I$88,3,0)*0.475*44/12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projet'!$B$9,Paramètres!$A$1:$I$88,3,0)*VLOOKUP('Données projet'!$B$9,Paramètres!$A$1:$I$88,5,0)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399.92909819003523</v>
      </c>
      <c r="T119" s="62">
        <f t="shared" si="88"/>
        <v>163.7053537268381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4.2</v>
      </c>
      <c r="AI119" s="14">
        <f>IF('Données projet'!$A$62&gt;35,AI118+AH119-AQ118,IF(A119&lt;'Données projet'!$A$62,$AF$205^A119,IF(A119='Données projet'!$A$62,'Données projet'!$B$62,AI118+AH119-AQ118)))</f>
        <v>311.19999999999993</v>
      </c>
      <c r="AJ119" s="14">
        <f>AI119*VLOOKUP('Données projet'!$B$10,Paramètres!$A$1:$I$88,3,0)*VLOOKUP('Données projet'!$B$10,Paramètres!$A$1:$I$88,5,0)</f>
        <v>281.57375999999994</v>
      </c>
      <c r="AK119" s="14">
        <f t="shared" si="89"/>
        <v>67.299481043334993</v>
      </c>
      <c r="AL119" s="22">
        <f t="shared" si="58"/>
        <v>607.62089481714168</v>
      </c>
      <c r="AM119" s="62">
        <f t="shared" si="59"/>
        <v>900.95422815047505</v>
      </c>
      <c r="AN119" s="62">
        <f ca="1">AVERAGE(OFFSET($AM$3,0,0,'Données projet'!$E$10+1,1))-AVERAGE(OFFSET($H$3,0,0,'Données projet'!$E$10+1,1))</f>
        <v>510.56580450928806</v>
      </c>
      <c r="AO119" s="62">
        <f t="shared" si="90"/>
        <v>278.21741231699929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4.2</v>
      </c>
      <c r="BD119" s="13">
        <f>IF('Données projet'!$A$88&gt;35,BD118+BC119-BL118,IF(A119&lt;'Données projet'!$A$88,$BA$205^A119,IF(A119='Données projet'!$A$88,'Données projet'!$B$88,BD118+BC119-BL118)))</f>
        <v>392.19999999999953</v>
      </c>
      <c r="BE119" s="14">
        <f>BD119*VLOOKUP('Données projet'!$B$11,Paramètres!$A$1:$I$88,3,0)*VLOOKUP('Données projet'!$B$11,Paramètres!$A$1:$I$88,5,0)</f>
        <v>373.21751999999958</v>
      </c>
      <c r="BF119" s="14">
        <f t="shared" si="91"/>
        <v>86.325222842693151</v>
      </c>
      <c r="BG119" s="22">
        <f t="shared" si="61"/>
        <v>800.37027711768985</v>
      </c>
      <c r="BH119" s="62">
        <f t="shared" si="62"/>
        <v>1093.7036104510232</v>
      </c>
      <c r="BI119" s="62">
        <f ca="1">AVERAGE(OFFSET($BH$3,0,0,'Données projet'!$E$11+1,1))-AVERAGE(OFFSET($H$3,0,0,'Données projet'!$E$11+1,1))</f>
        <v>525.51330555662139</v>
      </c>
      <c r="BJ119" s="62">
        <f t="shared" si="92"/>
        <v>357.72390083433635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1.7053025658242404E-13</v>
      </c>
      <c r="BZ119" s="14">
        <f>BY119*VLOOKUP('Données projet'!$B$12,Paramètres!$A$1:$I$88,3,0)*VLOOKUP('Données projet'!$B$12,Paramètres!$A$1:$I$88,5,0)</f>
        <v>1.0197709343628959E-13</v>
      </c>
      <c r="CA119" s="14">
        <f t="shared" si="93"/>
        <v>1.5284983994279675E-12</v>
      </c>
      <c r="CB119" s="22">
        <f t="shared" si="64"/>
        <v>2.839744816738581E-12</v>
      </c>
      <c r="CC119" s="62">
        <f t="shared" si="65"/>
        <v>293.33333333333616</v>
      </c>
      <c r="CD119" s="62">
        <f ca="1">AVERAGE(OFFSET($CC$3,0,0,'Données projet'!$E$12+1,1))-AVERAGE(OFFSET($H$3,0,0,'Données projet'!$E$12+1,1))</f>
        <v>227.46616726010473</v>
      </c>
      <c r="CE119" s="62">
        <f t="shared" si="94"/>
        <v>314.188568589113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21.912229100722865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1.5803804703480444E-9</v>
      </c>
      <c r="CN119" s="24">
        <f t="shared" si="66"/>
        <v>21.912229102303247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projet'!$B$13,Paramètres!$A$1:$I$88,3,0)*VLOOKUP('Données projet'!$B$13,Paramètres!$A$1:$I$88,5,0)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356.46794174556311</v>
      </c>
      <c r="CZ119" s="62">
        <f t="shared" si="96"/>
        <v>248.47107558211923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0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projet'!$B$14,Paramètres!$A$1:$I$88,3,0)*VLOOKUP('Données projet'!$B$14,Paramètres!$A$1:$I$88,5,0)</f>
        <v>6.3550942286383367E-14</v>
      </c>
      <c r="DQ119" s="14">
        <f t="shared" si="97"/>
        <v>1.0064464192543978E-12</v>
      </c>
      <c r="DR119" s="22">
        <f t="shared" si="70"/>
        <v>1.8635787380168604E-12</v>
      </c>
      <c r="DS119" s="62">
        <f t="shared" si="71"/>
        <v>293.33333333333519</v>
      </c>
      <c r="DT119" s="62">
        <f ca="1">AVERAGE(OFFSET($DS$3,0,0,'Données projet'!$E$14+1,1))-AVERAGE(OFFSET($H$3,0,0,'Données projet'!$E$14+1,1))</f>
        <v>397.04445188588369</v>
      </c>
      <c r="DU119" s="62">
        <f t="shared" si="98"/>
        <v>350.01856672839466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0.91377107342278041</v>
      </c>
      <c r="EB119" s="23">
        <f>EXP(-LN(2)/25)*EB118+(1-EXP(-LN(2)/25))/(LN(2)/25)*Calculateur!DW119*Calculateur!DY119*VLOOKUP('Données projet'!$B$14,Paramètres!$A$1:$I$88,3,0)*0.475*44/12</f>
        <v>0</v>
      </c>
      <c r="EC119" s="23">
        <f>EXP(-LN(2)/2)*EC118+(1-EXP(-LN(2)/2))/(LN(2)/2)*DW119*DZ119*VLOOKUP('Données projet'!$B$14,Paramètres!$A$1:$I$88,3,0)*0.475*44/12</f>
        <v>1.8420333925090228E-12</v>
      </c>
      <c r="ED119" s="24">
        <f t="shared" si="72"/>
        <v>0.91377107342462249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-1.9895196601282805E-13</v>
      </c>
      <c r="EK119" s="18">
        <f>EJ119*VLOOKUP('Données projet'!$B$15,Paramètres!$A$1:$I$88,3,0)*VLOOKUP('Données projet'!$B$15,Paramètres!$A$1:$I$88,5,0)</f>
        <v>-1.738044375088066E-13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202.5548390231225</v>
      </c>
      <c r="EP119" s="62">
        <f t="shared" si="100"/>
        <v>184.62184077734179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projet'!$B$15,Paramètres!$A$1:$I$88,3,0)*0.475*44/12</f>
        <v>0</v>
      </c>
      <c r="EW119" s="23">
        <f>EXP(-LN(2)/25)*EW118+(1-EXP(-LN(2)/25))/(LN(2)/25)*Calculateur!ER119*Calculateur!ET119*VLOOKUP('Données projet'!$B$15,Paramètres!$A$1:$I$88,3,0)*0.475*44/12</f>
        <v>0</v>
      </c>
      <c r="EX119" s="23">
        <f>EXP(-LN(2)/2)*EX118+(1-EXP(-LN(2)/2))/(LN(2)/2)*ER119*EU119*VLOOKUP('Données projet'!$B$15,Paramètres!$A$1:$I$88,3,0)*0.475*44/12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3.4</v>
      </c>
      <c r="FE119" s="13">
        <f>IF('Données projet'!$A$218&gt;35,FE118+FD119-FM118,IF(A119&lt;'Données projet'!$A$218,$FB$205^A119,IF(A119='Données projet'!$A$218,'Données projet'!$B$218,FE118+FD119-FM118)))</f>
        <v>270.39999999999952</v>
      </c>
      <c r="FF119" s="18">
        <f>FE119*VLOOKUP('Données projet'!$B$16,Paramètres!$A$1:$I$88,3,0)*VLOOKUP('Données projet'!$B$16,Paramètres!$A$1:$I$88,5,0)</f>
        <v>261.53087999999957</v>
      </c>
      <c r="FG119" s="14">
        <f t="shared" si="101"/>
        <v>63.048588127701258</v>
      </c>
      <c r="FH119" s="22">
        <f t="shared" si="76"/>
        <v>565.30924032241217</v>
      </c>
      <c r="FI119" s="62">
        <f t="shared" si="77"/>
        <v>858.64257365574554</v>
      </c>
      <c r="FJ119" s="62">
        <f ca="1">AVERAGE(OFFSET($FI$3,0,0,'Données projet'!$E$16+1,1))-AVERAGE(OFFSET($H$3,0,0,'Données projet'!$E$16+1,1))</f>
        <v>456.96274622094955</v>
      </c>
      <c r="FK119" s="62">
        <f t="shared" si="102"/>
        <v>244.45149244446094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projet'!$B$16,Paramètres!$A$1:$I$88,3,0)*0.475*44/12</f>
        <v>0</v>
      </c>
      <c r="FR119" s="23">
        <f>EXP(-LN(2)/25)*FR118+(1-EXP(-LN(2)/25))/(LN(2)/25)*Calculateur!FM119*Calculateur!FO119*VLOOKUP('Données projet'!$B$16,Paramètres!$A$1:$I$88,3,0)*0.475*44/12</f>
        <v>0</v>
      </c>
      <c r="FS119" s="23">
        <f>EXP(-LN(2)/2)*FS118+(1-EXP(-LN(2)/2))/(LN(2)/2)*FM119*FP119*VLOOKUP('Données projet'!$B$16,Paramètres!$A$1:$I$88,3,0)*0.475*44/12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3.4</v>
      </c>
      <c r="FZ119" s="13">
        <f>IF('Données projet'!$A$244&gt;35,FZ118+FY119-GH118,IF(A119&lt;'Données projet'!$A$244,$FW$205^A119,IF(A119='Données projet'!$A$244,'Données projet'!$B$244,FZ118+FY119-GH118)))</f>
        <v>270.39999999999952</v>
      </c>
      <c r="GA119" s="18">
        <f>FZ119*VLOOKUP('Données projet'!$B$17,Paramètres!$A$1:$I$88,3,0)*VLOOKUP('Données projet'!$B$17,Paramètres!$A$1:$I$88,5,0)</f>
        <v>291.05855999999949</v>
      </c>
      <c r="GB119" s="14">
        <f t="shared" si="103"/>
        <v>69.298706035645793</v>
      </c>
      <c r="GC119" s="22">
        <f t="shared" si="79"/>
        <v>627.62223834541555</v>
      </c>
      <c r="GD119" s="62">
        <f t="shared" si="80"/>
        <v>920.95557167874881</v>
      </c>
      <c r="GE119" s="62">
        <f ca="1">AVERAGE(OFFSET($GD$3,0,0,'Données projet'!$E$17+1,1))-AVERAGE(OFFSET($H$3,0,0,'Données projet'!$E$17+1,1))</f>
        <v>503.69304261527651</v>
      </c>
      <c r="GF119" s="62">
        <f t="shared" si="104"/>
        <v>267.2998309535638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projet'!$B$17,Paramètres!$A$1:$I$88,3,0)*0.475*44/12</f>
        <v>0</v>
      </c>
      <c r="GM119" s="23">
        <f>EXP(-LN(2)/25)*GM118+(1-EXP(-LN(2)/25))/(LN(2)/25)*Calculateur!GH119*Calculateur!GJ119*VLOOKUP('Données projet'!$B$17,Paramètres!$A$1:$I$88,3,0)*0.475*44/12</f>
        <v>0</v>
      </c>
      <c r="GN119" s="23">
        <f>EXP(-LN(2)/2)*GN118+(1-EXP(-LN(2)/2))/(LN(2)/2)*GH119*GK119*VLOOKUP('Données projet'!$B$17,Paramètres!$A$1:$I$88,3,0)*0.475*44/12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4.2</v>
      </c>
      <c r="GU119" s="13">
        <f>IF('Données projet'!$A$270&gt;35,GU118+GT119-HC118,IF(A119&lt;'Données projet'!$A$270,$GR$205^A119,IF(A119='Données projet'!$A$270,'Données projet'!$B$270,GU118+GT119-HC118)))</f>
        <v>311.19999999999993</v>
      </c>
      <c r="GV119" s="18">
        <f>GU119*VLOOKUP('Données projet'!$B$18,Paramètres!$A$1:$I$88,3,0)*VLOOKUP('Données projet'!$B$18,Paramètres!$A$1:$I$88,5,0)</f>
        <v>325.26623999999993</v>
      </c>
      <c r="GW119" s="14">
        <f t="shared" si="105"/>
        <v>76.448054183152152</v>
      </c>
      <c r="GX119" s="22">
        <f t="shared" si="82"/>
        <v>699.65239570232325</v>
      </c>
      <c r="GY119" s="62">
        <f t="shared" si="83"/>
        <v>992.9857290356565</v>
      </c>
      <c r="GZ119" s="62">
        <f ca="1">AVERAGE(OFFSET($GY$3,0,0,'Données projet'!$E$18+1,1))-AVERAGE(OFFSET($H$3,0,0,'Données projet'!$E$18+1,1))</f>
        <v>582.89879210197682</v>
      </c>
      <c r="HA119" s="62">
        <f t="shared" si="106"/>
        <v>314.72094983133326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projet'!$B$18,Paramètres!$A$1:$I$88,3,0)*0.475*44/12</f>
        <v>0</v>
      </c>
      <c r="HH119" s="23">
        <f>EXP(-LN(2)/25)*HH118+(1-EXP(-LN(2)/25))/(LN(2)/25)*Calculateur!HC119*Calculateur!HE119*VLOOKUP('Données projet'!$B$18,Paramètres!$A$1:$I$88,3,0)*0.475*44/12</f>
        <v>0</v>
      </c>
      <c r="HI119" s="23">
        <f>EXP(-LN(2)/2)*HI118+(1-EXP(-LN(2)/2))/(LN(2)/2)*HC119*HF119*VLOOKUP('Données projet'!$B$18,Paramètres!$A$1:$I$88,3,0)*0.475*44/12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projet'!$B$9,Paramètres!$A$1:$I$88,3,0)*VLOOKUP('Données projet'!$B$9,Paramètres!$A$1:$I$88,5,0)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399.92909819003523</v>
      </c>
      <c r="T120" s="62">
        <f t="shared" si="88"/>
        <v>163.7053537268381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4.2</v>
      </c>
      <c r="AI120" s="14">
        <f>IF('Données projet'!$A$62&gt;35,AI119+AH120-AQ119,IF(A120&lt;'Données projet'!$A$62,$AF$205^A120,IF(A120='Données projet'!$A$62,'Données projet'!$B$62,AI119+AH120-AQ119)))</f>
        <v>315.39999999999992</v>
      </c>
      <c r="AJ120" s="14">
        <f>AI120*VLOOKUP('Données projet'!$B$10,Paramètres!$A$1:$I$88,3,0)*VLOOKUP('Données projet'!$B$10,Paramètres!$A$1:$I$88,5,0)</f>
        <v>285.37391999999988</v>
      </c>
      <c r="AK120" s="14">
        <f t="shared" si="89"/>
        <v>68.101413083167643</v>
      </c>
      <c r="AL120" s="22">
        <f t="shared" si="58"/>
        <v>615.63620511985016</v>
      </c>
      <c r="AM120" s="62">
        <f t="shared" si="59"/>
        <v>908.96953845318353</v>
      </c>
      <c r="AN120" s="62">
        <f ca="1">AVERAGE(OFFSET($AM$3,0,0,'Données projet'!$E$10+1,1))-AVERAGE(OFFSET($H$3,0,0,'Données projet'!$E$10+1,1))</f>
        <v>510.56580450928806</v>
      </c>
      <c r="AO120" s="62">
        <f t="shared" si="90"/>
        <v>278.21741231699929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4.2</v>
      </c>
      <c r="BD120" s="13">
        <f>IF('Données projet'!$A$88&gt;35,BD119+BC120-BL119,IF(A120&lt;'Données projet'!$A$88,$BA$205^A120,IF(A120='Données projet'!$A$88,'Données projet'!$B$88,BD119+BC120-BL119)))</f>
        <v>396.39999999999952</v>
      </c>
      <c r="BE120" s="14">
        <f>BD120*VLOOKUP('Données projet'!$B$11,Paramètres!$A$1:$I$88,3,0)*VLOOKUP('Données projet'!$B$11,Paramètres!$A$1:$I$88,5,0)</f>
        <v>377.21423999999951</v>
      </c>
      <c r="BF120" s="14">
        <f t="shared" si="91"/>
        <v>87.141552227469091</v>
      </c>
      <c r="BG120" s="22">
        <f t="shared" si="61"/>
        <v>808.75300479617442</v>
      </c>
      <c r="BH120" s="62">
        <f t="shared" si="62"/>
        <v>1102.0863381295078</v>
      </c>
      <c r="BI120" s="62">
        <f ca="1">AVERAGE(OFFSET($BH$3,0,0,'Données projet'!$E$11+1,1))-AVERAGE(OFFSET($H$3,0,0,'Données projet'!$E$11+1,1))</f>
        <v>525.51330555662139</v>
      </c>
      <c r="BJ120" s="62">
        <f t="shared" si="92"/>
        <v>357.72390083433635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1.7053025658242404E-13</v>
      </c>
      <c r="BZ120" s="14">
        <f>BY120*VLOOKUP('Données projet'!$B$12,Paramètres!$A$1:$I$88,3,0)*VLOOKUP('Données projet'!$B$12,Paramètres!$A$1:$I$88,5,0)</f>
        <v>1.0197709343628959E-13</v>
      </c>
      <c r="CA120" s="14">
        <f t="shared" si="93"/>
        <v>1.5284983994279675E-12</v>
      </c>
      <c r="CB120" s="22">
        <f t="shared" si="64"/>
        <v>2.839744816738581E-12</v>
      </c>
      <c r="CC120" s="62">
        <f t="shared" si="65"/>
        <v>293.33333333333616</v>
      </c>
      <c r="CD120" s="62">
        <f ca="1">AVERAGE(OFFSET($CC$3,0,0,'Données projet'!$E$12+1,1))-AVERAGE(OFFSET($H$3,0,0,'Données projet'!$E$12+1,1))</f>
        <v>227.46616726010473</v>
      </c>
      <c r="CE120" s="62">
        <f t="shared" si="94"/>
        <v>314.188568589113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21.482543653197745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1.1174977474378877E-9</v>
      </c>
      <c r="CN120" s="24">
        <f t="shared" si="66"/>
        <v>21.482543654315243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projet'!$B$13,Paramètres!$A$1:$I$88,3,0)*VLOOKUP('Données projet'!$B$13,Paramètres!$A$1:$I$88,5,0)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356.46794174556311</v>
      </c>
      <c r="CZ120" s="62">
        <f t="shared" si="96"/>
        <v>248.47107558211923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0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projet'!$B$14,Paramètres!$A$1:$I$88,3,0)*VLOOKUP('Données projet'!$B$14,Paramètres!$A$1:$I$88,5,0)</f>
        <v>6.3550942286383367E-14</v>
      </c>
      <c r="DQ120" s="14">
        <f t="shared" si="97"/>
        <v>1.0064464192543978E-12</v>
      </c>
      <c r="DR120" s="22">
        <f t="shared" si="70"/>
        <v>1.8635787380168604E-12</v>
      </c>
      <c r="DS120" s="62">
        <f t="shared" si="71"/>
        <v>293.33333333333519</v>
      </c>
      <c r="DT120" s="62">
        <f ca="1">AVERAGE(OFFSET($DS$3,0,0,'Données projet'!$E$14+1,1))-AVERAGE(OFFSET($H$3,0,0,'Données projet'!$E$14+1,1))</f>
        <v>397.04445188588369</v>
      </c>
      <c r="DU120" s="62">
        <f t="shared" si="98"/>
        <v>350.01856672839466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0.89585258001828116</v>
      </c>
      <c r="EB120" s="23">
        <f>EXP(-LN(2)/25)*EB119+(1-EXP(-LN(2)/25))/(LN(2)/25)*Calculateur!DW120*Calculateur!DY120*VLOOKUP('Données projet'!$B$14,Paramètres!$A$1:$I$88,3,0)*0.475*44/12</f>
        <v>0</v>
      </c>
      <c r="EC120" s="23">
        <f>EXP(-LN(2)/2)*EC119+(1-EXP(-LN(2)/2))/(LN(2)/2)*DW120*DZ120*VLOOKUP('Données projet'!$B$14,Paramètres!$A$1:$I$88,3,0)*0.475*44/12</f>
        <v>1.3025143030151914E-12</v>
      </c>
      <c r="ED120" s="24">
        <f t="shared" si="72"/>
        <v>0.89585258001958368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-1.9895196601282805E-13</v>
      </c>
      <c r="EK120" s="18">
        <f>EJ120*VLOOKUP('Données projet'!$B$15,Paramètres!$A$1:$I$88,3,0)*VLOOKUP('Données projet'!$B$15,Paramètres!$A$1:$I$88,5,0)</f>
        <v>-1.738044375088066E-13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202.5548390231225</v>
      </c>
      <c r="EP120" s="62">
        <f t="shared" si="100"/>
        <v>184.62184077734179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projet'!$B$15,Paramètres!$A$1:$I$88,3,0)*0.475*44/12</f>
        <v>0</v>
      </c>
      <c r="EW120" s="23">
        <f>EXP(-LN(2)/25)*EW119+(1-EXP(-LN(2)/25))/(LN(2)/25)*Calculateur!ER120*Calculateur!ET120*VLOOKUP('Données projet'!$B$15,Paramètres!$A$1:$I$88,3,0)*0.475*44/12</f>
        <v>0</v>
      </c>
      <c r="EX120" s="23">
        <f>EXP(-LN(2)/2)*EX119+(1-EXP(-LN(2)/2))/(LN(2)/2)*ER120*EU120*VLOOKUP('Données projet'!$B$15,Paramètres!$A$1:$I$88,3,0)*0.475*44/12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3.4</v>
      </c>
      <c r="FE120" s="13">
        <f>IF('Données projet'!$A$218&gt;35,FE119+FD120-FM119,IF(A120&lt;'Données projet'!$A$218,$FB$205^A120,IF(A120='Données projet'!$A$218,'Données projet'!$B$218,FE119+FD120-FM119)))</f>
        <v>273.7999999999995</v>
      </c>
      <c r="FF120" s="18">
        <f>FE120*VLOOKUP('Données projet'!$B$16,Paramètres!$A$1:$I$88,3,0)*VLOOKUP('Données projet'!$B$16,Paramètres!$A$1:$I$88,5,0)</f>
        <v>264.81935999999951</v>
      </c>
      <c r="FG120" s="14">
        <f t="shared" si="101"/>
        <v>63.748570085236949</v>
      </c>
      <c r="FH120" s="22">
        <f t="shared" si="76"/>
        <v>572.2558115651201</v>
      </c>
      <c r="FI120" s="62">
        <f t="shared" si="77"/>
        <v>865.58914489845347</v>
      </c>
      <c r="FJ120" s="62">
        <f ca="1">AVERAGE(OFFSET($FI$3,0,0,'Données projet'!$E$16+1,1))-AVERAGE(OFFSET($H$3,0,0,'Données projet'!$E$16+1,1))</f>
        <v>456.96274622094955</v>
      </c>
      <c r="FK120" s="62">
        <f t="shared" si="102"/>
        <v>244.45149244446094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projet'!$B$16,Paramètres!$A$1:$I$88,3,0)*0.475*44/12</f>
        <v>0</v>
      </c>
      <c r="FR120" s="23">
        <f>EXP(-LN(2)/25)*FR119+(1-EXP(-LN(2)/25))/(LN(2)/25)*Calculateur!FM120*Calculateur!FO120*VLOOKUP('Données projet'!$B$16,Paramètres!$A$1:$I$88,3,0)*0.475*44/12</f>
        <v>0</v>
      </c>
      <c r="FS120" s="23">
        <f>EXP(-LN(2)/2)*FS119+(1-EXP(-LN(2)/2))/(LN(2)/2)*FM120*FP120*VLOOKUP('Données projet'!$B$16,Paramètres!$A$1:$I$88,3,0)*0.475*44/12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3.4</v>
      </c>
      <c r="FZ120" s="13">
        <f>IF('Données projet'!$A$244&gt;35,FZ119+FY120-GH119,IF(A120&lt;'Données projet'!$A$244,$FW$205^A120,IF(A120='Données projet'!$A$244,'Données projet'!$B$244,FZ119+FY120-GH119)))</f>
        <v>273.7999999999995</v>
      </c>
      <c r="GA120" s="18">
        <f>FZ120*VLOOKUP('Données projet'!$B$17,Paramètres!$A$1:$I$88,3,0)*VLOOKUP('Données projet'!$B$17,Paramètres!$A$1:$I$88,5,0)</f>
        <v>294.71831999999944</v>
      </c>
      <c r="GB120" s="14">
        <f t="shared" si="103"/>
        <v>70.068078441055988</v>
      </c>
      <c r="GC120" s="22">
        <f t="shared" si="79"/>
        <v>635.33631061817152</v>
      </c>
      <c r="GD120" s="62">
        <f t="shared" si="80"/>
        <v>928.6696439515049</v>
      </c>
      <c r="GE120" s="62">
        <f ca="1">AVERAGE(OFFSET($GD$3,0,0,'Données projet'!$E$17+1,1))-AVERAGE(OFFSET($H$3,0,0,'Données projet'!$E$17+1,1))</f>
        <v>503.69304261527651</v>
      </c>
      <c r="GF120" s="62">
        <f t="shared" si="104"/>
        <v>267.2998309535638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projet'!$B$17,Paramètres!$A$1:$I$88,3,0)*0.475*44/12</f>
        <v>0</v>
      </c>
      <c r="GM120" s="23">
        <f>EXP(-LN(2)/25)*GM119+(1-EXP(-LN(2)/25))/(LN(2)/25)*Calculateur!GH120*Calculateur!GJ120*VLOOKUP('Données projet'!$B$17,Paramètres!$A$1:$I$88,3,0)*0.475*44/12</f>
        <v>0</v>
      </c>
      <c r="GN120" s="23">
        <f>EXP(-LN(2)/2)*GN119+(1-EXP(-LN(2)/2))/(LN(2)/2)*GH120*GK120*VLOOKUP('Données projet'!$B$17,Paramètres!$A$1:$I$88,3,0)*0.475*44/12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4.2</v>
      </c>
      <c r="GU120" s="13">
        <f>IF('Données projet'!$A$270&gt;35,GU119+GT120-HC119,IF(A120&lt;'Données projet'!$A$270,$GR$205^A120,IF(A120='Données projet'!$A$270,'Données projet'!$B$270,GU119+GT120-HC119)))</f>
        <v>315.39999999999992</v>
      </c>
      <c r="GV120" s="18">
        <f>GU120*VLOOKUP('Données projet'!$B$18,Paramètres!$A$1:$I$88,3,0)*VLOOKUP('Données projet'!$B$18,Paramètres!$A$1:$I$88,5,0)</f>
        <v>329.65607999999992</v>
      </c>
      <c r="GW120" s="14">
        <f t="shared" si="105"/>
        <v>77.358999454674404</v>
      </c>
      <c r="GX120" s="22">
        <f t="shared" si="82"/>
        <v>708.884596716891</v>
      </c>
      <c r="GY120" s="62">
        <f t="shared" si="83"/>
        <v>1002.2179300502244</v>
      </c>
      <c r="GZ120" s="62">
        <f ca="1">AVERAGE(OFFSET($GY$3,0,0,'Données projet'!$E$18+1,1))-AVERAGE(OFFSET($H$3,0,0,'Données projet'!$E$18+1,1))</f>
        <v>582.89879210197682</v>
      </c>
      <c r="HA120" s="62">
        <f t="shared" si="106"/>
        <v>314.72094983133326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projet'!$B$18,Paramètres!$A$1:$I$88,3,0)*0.475*44/12</f>
        <v>0</v>
      </c>
      <c r="HH120" s="23">
        <f>EXP(-LN(2)/25)*HH119+(1-EXP(-LN(2)/25))/(LN(2)/25)*Calculateur!HC120*Calculateur!HE120*VLOOKUP('Données projet'!$B$18,Paramètres!$A$1:$I$88,3,0)*0.475*44/12</f>
        <v>0</v>
      </c>
      <c r="HI120" s="23">
        <f>EXP(-LN(2)/2)*HI119+(1-EXP(-LN(2)/2))/(LN(2)/2)*HC120*HF120*VLOOKUP('Données projet'!$B$18,Paramètres!$A$1:$I$88,3,0)*0.475*44/12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projet'!$B$9,Paramètres!$A$1:$I$88,3,0)*VLOOKUP('Données projet'!$B$9,Paramètres!$A$1:$I$88,5,0)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399.92909819003523</v>
      </c>
      <c r="T121" s="62">
        <f t="shared" si="88"/>
        <v>163.7053537268381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4.2</v>
      </c>
      <c r="AI121" s="14">
        <f>IF('Données projet'!$A$62&gt;35,AI120+AH121-AQ120,IF(A121&lt;'Données projet'!$A$62,$AF$205^A121,IF(A121='Données projet'!$A$62,'Données projet'!$B$62,AI120+AH121-AQ120)))</f>
        <v>319.59999999999991</v>
      </c>
      <c r="AJ121" s="14">
        <f>AI121*VLOOKUP('Données projet'!$B$10,Paramètres!$A$1:$I$88,3,0)*VLOOKUP('Données projet'!$B$10,Paramètres!$A$1:$I$88,5,0)</f>
        <v>289.17407999999989</v>
      </c>
      <c r="AK121" s="14">
        <f t="shared" si="89"/>
        <v>68.902103026957676</v>
      </c>
      <c r="AL121" s="22">
        <f t="shared" si="58"/>
        <v>623.64935210528438</v>
      </c>
      <c r="AM121" s="62">
        <f t="shared" si="59"/>
        <v>916.98268543861764</v>
      </c>
      <c r="AN121" s="62">
        <f ca="1">AVERAGE(OFFSET($AM$3,0,0,'Données projet'!$E$10+1,1))-AVERAGE(OFFSET($H$3,0,0,'Données projet'!$E$10+1,1))</f>
        <v>510.56580450928806</v>
      </c>
      <c r="AO121" s="62">
        <f t="shared" si="90"/>
        <v>278.21741231699929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4.2</v>
      </c>
      <c r="BD121" s="13">
        <f>IF('Données projet'!$A$88&gt;35,BD120+BC121-BL120,IF(A121&lt;'Données projet'!$A$88,$BA$205^A121,IF(A121='Données projet'!$A$88,'Données projet'!$B$88,BD120+BC121-BL120)))</f>
        <v>400.59999999999951</v>
      </c>
      <c r="BE121" s="14">
        <f>BD121*VLOOKUP('Données projet'!$B$11,Paramètres!$A$1:$I$88,3,0)*VLOOKUP('Données projet'!$B$11,Paramètres!$A$1:$I$88,5,0)</f>
        <v>381.21095999999955</v>
      </c>
      <c r="BF121" s="14">
        <f t="shared" si="91"/>
        <v>87.956875434127085</v>
      </c>
      <c r="BG121" s="22">
        <f t="shared" si="61"/>
        <v>817.13398004777048</v>
      </c>
      <c r="BH121" s="62">
        <f t="shared" si="62"/>
        <v>1110.4673133811038</v>
      </c>
      <c r="BI121" s="62">
        <f ca="1">AVERAGE(OFFSET($BH$3,0,0,'Données projet'!$E$11+1,1))-AVERAGE(OFFSET($H$3,0,0,'Données projet'!$E$11+1,1))</f>
        <v>525.51330555662139</v>
      </c>
      <c r="BJ121" s="62">
        <f t="shared" si="92"/>
        <v>357.72390083433635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1.7053025658242404E-13</v>
      </c>
      <c r="BZ121" s="14">
        <f>BY121*VLOOKUP('Données projet'!$B$12,Paramètres!$A$1:$I$88,3,0)*VLOOKUP('Données projet'!$B$12,Paramètres!$A$1:$I$88,5,0)</f>
        <v>1.0197709343628959E-13</v>
      </c>
      <c r="CA121" s="14">
        <f t="shared" si="93"/>
        <v>1.5284983994279675E-12</v>
      </c>
      <c r="CB121" s="22">
        <f t="shared" si="64"/>
        <v>2.839744816738581E-12</v>
      </c>
      <c r="CC121" s="62">
        <f t="shared" si="65"/>
        <v>293.33333333333616</v>
      </c>
      <c r="CD121" s="62">
        <f ca="1">AVERAGE(OFFSET($CC$3,0,0,'Données projet'!$E$12+1,1))-AVERAGE(OFFSET($H$3,0,0,'Données projet'!$E$12+1,1))</f>
        <v>227.46616726010473</v>
      </c>
      <c r="CE121" s="62">
        <f t="shared" si="94"/>
        <v>314.188568589113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21.061284075216346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7.9019023517402221E-10</v>
      </c>
      <c r="CN121" s="24">
        <f t="shared" si="66"/>
        <v>21.061284076006537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projet'!$B$13,Paramètres!$A$1:$I$88,3,0)*VLOOKUP('Données projet'!$B$13,Paramètres!$A$1:$I$88,5,0)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356.46794174556311</v>
      </c>
      <c r="CZ121" s="62">
        <f t="shared" si="96"/>
        <v>248.47107558211923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0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projet'!$B$14,Paramètres!$A$1:$I$88,3,0)*VLOOKUP('Données projet'!$B$14,Paramètres!$A$1:$I$88,5,0)</f>
        <v>6.3550942286383367E-14</v>
      </c>
      <c r="DQ121" s="14">
        <f t="shared" si="97"/>
        <v>1.0064464192543978E-12</v>
      </c>
      <c r="DR121" s="22">
        <f t="shared" si="70"/>
        <v>1.8635787380168604E-12</v>
      </c>
      <c r="DS121" s="62">
        <f t="shared" si="71"/>
        <v>293.33333333333519</v>
      </c>
      <c r="DT121" s="62">
        <f ca="1">AVERAGE(OFFSET($DS$3,0,0,'Données projet'!$E$14+1,1))-AVERAGE(OFFSET($H$3,0,0,'Données projet'!$E$14+1,1))</f>
        <v>397.04445188588369</v>
      </c>
      <c r="DU121" s="62">
        <f t="shared" si="98"/>
        <v>350.01856672839466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0.87828545734024233</v>
      </c>
      <c r="EB121" s="23">
        <f>EXP(-LN(2)/25)*EB120+(1-EXP(-LN(2)/25))/(LN(2)/25)*Calculateur!DW121*Calculateur!DY121*VLOOKUP('Données projet'!$B$14,Paramètres!$A$1:$I$88,3,0)*0.475*44/12</f>
        <v>0</v>
      </c>
      <c r="EC121" s="23">
        <f>EXP(-LN(2)/2)*EC120+(1-EXP(-LN(2)/2))/(LN(2)/2)*DW121*DZ121*VLOOKUP('Données projet'!$B$14,Paramètres!$A$1:$I$88,3,0)*0.475*44/12</f>
        <v>9.210166962545114E-13</v>
      </c>
      <c r="ED121" s="24">
        <f t="shared" si="72"/>
        <v>0.87828545734116337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-1.9895196601282805E-13</v>
      </c>
      <c r="EK121" s="18">
        <f>EJ121*VLOOKUP('Données projet'!$B$15,Paramètres!$A$1:$I$88,3,0)*VLOOKUP('Données projet'!$B$15,Paramètres!$A$1:$I$88,5,0)</f>
        <v>-1.738044375088066E-13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202.5548390231225</v>
      </c>
      <c r="EP121" s="62">
        <f t="shared" si="100"/>
        <v>184.62184077734179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projet'!$B$15,Paramètres!$A$1:$I$88,3,0)*0.475*44/12</f>
        <v>0</v>
      </c>
      <c r="EW121" s="23">
        <f>EXP(-LN(2)/25)*EW120+(1-EXP(-LN(2)/25))/(LN(2)/25)*Calculateur!ER121*Calculateur!ET121*VLOOKUP('Données projet'!$B$15,Paramètres!$A$1:$I$88,3,0)*0.475*44/12</f>
        <v>0</v>
      </c>
      <c r="EX121" s="23">
        <f>EXP(-LN(2)/2)*EX120+(1-EXP(-LN(2)/2))/(LN(2)/2)*ER121*EU121*VLOOKUP('Données projet'!$B$15,Paramètres!$A$1:$I$88,3,0)*0.475*44/12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3.4</v>
      </c>
      <c r="FE121" s="13">
        <f>IF('Données projet'!$A$218&gt;35,FE120+FD121-FM120,IF(A121&lt;'Données projet'!$A$218,$FB$205^A121,IF(A121='Données projet'!$A$218,'Données projet'!$B$218,FE120+FD121-FM120)))</f>
        <v>277.19999999999948</v>
      </c>
      <c r="FF121" s="18">
        <f>FE121*VLOOKUP('Données projet'!$B$16,Paramètres!$A$1:$I$88,3,0)*VLOOKUP('Données projet'!$B$16,Paramètres!$A$1:$I$88,5,0)</f>
        <v>268.1078399999995</v>
      </c>
      <c r="FG121" s="14">
        <f t="shared" si="101"/>
        <v>64.447540968014124</v>
      </c>
      <c r="FH121" s="22">
        <f t="shared" si="76"/>
        <v>579.20062185262373</v>
      </c>
      <c r="FI121" s="62">
        <f t="shared" si="77"/>
        <v>872.53395518595698</v>
      </c>
      <c r="FJ121" s="62">
        <f ca="1">AVERAGE(OFFSET($FI$3,0,0,'Données projet'!$E$16+1,1))-AVERAGE(OFFSET($H$3,0,0,'Données projet'!$E$16+1,1))</f>
        <v>456.96274622094955</v>
      </c>
      <c r="FK121" s="62">
        <f t="shared" si="102"/>
        <v>244.45149244446094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projet'!$B$16,Paramètres!$A$1:$I$88,3,0)*0.475*44/12</f>
        <v>0</v>
      </c>
      <c r="FR121" s="23">
        <f>EXP(-LN(2)/25)*FR120+(1-EXP(-LN(2)/25))/(LN(2)/25)*Calculateur!FM121*Calculateur!FO121*VLOOKUP('Données projet'!$B$16,Paramètres!$A$1:$I$88,3,0)*0.475*44/12</f>
        <v>0</v>
      </c>
      <c r="FS121" s="23">
        <f>EXP(-LN(2)/2)*FS120+(1-EXP(-LN(2)/2))/(LN(2)/2)*FM121*FP121*VLOOKUP('Données projet'!$B$16,Paramètres!$A$1:$I$88,3,0)*0.475*44/12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3.4</v>
      </c>
      <c r="FZ121" s="13">
        <f>IF('Données projet'!$A$244&gt;35,FZ120+FY121-GH120,IF(A121&lt;'Données projet'!$A$244,$FW$205^A121,IF(A121='Données projet'!$A$244,'Données projet'!$B$244,FZ120+FY121-GH120)))</f>
        <v>277.19999999999948</v>
      </c>
      <c r="GA121" s="18">
        <f>FZ121*VLOOKUP('Données projet'!$B$17,Paramètres!$A$1:$I$88,3,0)*VLOOKUP('Données projet'!$B$17,Paramètres!$A$1:$I$88,5,0)</f>
        <v>298.37807999999944</v>
      </c>
      <c r="GB121" s="14">
        <f t="shared" si="103"/>
        <v>70.83633954208085</v>
      </c>
      <c r="GC121" s="22">
        <f t="shared" si="79"/>
        <v>643.04844736912321</v>
      </c>
      <c r="GD121" s="62">
        <f t="shared" si="80"/>
        <v>936.38178070245658</v>
      </c>
      <c r="GE121" s="62">
        <f ca="1">AVERAGE(OFFSET($GD$3,0,0,'Données projet'!$E$17+1,1))-AVERAGE(OFFSET($H$3,0,0,'Données projet'!$E$17+1,1))</f>
        <v>503.69304261527651</v>
      </c>
      <c r="GF121" s="62">
        <f t="shared" si="104"/>
        <v>267.2998309535638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projet'!$B$17,Paramètres!$A$1:$I$88,3,0)*0.475*44/12</f>
        <v>0</v>
      </c>
      <c r="GM121" s="23">
        <f>EXP(-LN(2)/25)*GM120+(1-EXP(-LN(2)/25))/(LN(2)/25)*Calculateur!GH121*Calculateur!GJ121*VLOOKUP('Données projet'!$B$17,Paramètres!$A$1:$I$88,3,0)*0.475*44/12</f>
        <v>0</v>
      </c>
      <c r="GN121" s="23">
        <f>EXP(-LN(2)/2)*GN120+(1-EXP(-LN(2)/2))/(LN(2)/2)*GH121*GK121*VLOOKUP('Données projet'!$B$17,Paramètres!$A$1:$I$88,3,0)*0.475*44/12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4.2</v>
      </c>
      <c r="GU121" s="13">
        <f>IF('Données projet'!$A$270&gt;35,GU120+GT121-HC120,IF(A121&lt;'Données projet'!$A$270,$GR$205^A121,IF(A121='Données projet'!$A$270,'Données projet'!$B$270,GU120+GT121-HC120)))</f>
        <v>319.59999999999991</v>
      </c>
      <c r="GV121" s="18">
        <f>GU121*VLOOKUP('Données projet'!$B$18,Paramètres!$A$1:$I$88,3,0)*VLOOKUP('Données projet'!$B$18,Paramètres!$A$1:$I$88,5,0)</f>
        <v>334.04591999999991</v>
      </c>
      <c r="GW121" s="14">
        <f t="shared" si="105"/>
        <v>78.26853378180175</v>
      </c>
      <c r="GX121" s="22">
        <f t="shared" si="82"/>
        <v>718.11434033663784</v>
      </c>
      <c r="GY121" s="62">
        <f t="shared" si="83"/>
        <v>1011.4476736699712</v>
      </c>
      <c r="GZ121" s="62">
        <f ca="1">AVERAGE(OFFSET($GY$3,0,0,'Données projet'!$E$18+1,1))-AVERAGE(OFFSET($H$3,0,0,'Données projet'!$E$18+1,1))</f>
        <v>582.89879210197682</v>
      </c>
      <c r="HA121" s="62">
        <f t="shared" si="106"/>
        <v>314.72094983133326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projet'!$B$18,Paramètres!$A$1:$I$88,3,0)*0.475*44/12</f>
        <v>0</v>
      </c>
      <c r="HH121" s="23">
        <f>EXP(-LN(2)/25)*HH120+(1-EXP(-LN(2)/25))/(LN(2)/25)*Calculateur!HC121*Calculateur!HE121*VLOOKUP('Données projet'!$B$18,Paramètres!$A$1:$I$88,3,0)*0.475*44/12</f>
        <v>0</v>
      </c>
      <c r="HI121" s="23">
        <f>EXP(-LN(2)/2)*HI120+(1-EXP(-LN(2)/2))/(LN(2)/2)*HC121*HF121*VLOOKUP('Données projet'!$B$18,Paramètres!$A$1:$I$88,3,0)*0.475*44/12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projet'!$B$9,Paramètres!$A$1:$I$88,3,0)*VLOOKUP('Données projet'!$B$9,Paramètres!$A$1:$I$88,5,0)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399.92909819003523</v>
      </c>
      <c r="T122" s="62">
        <f t="shared" si="88"/>
        <v>163.7053537268381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4.2</v>
      </c>
      <c r="AI122" s="14">
        <f>IF('Données projet'!$A$62&gt;35,AI121+AH122-AQ121,IF(A122&lt;'Données projet'!$A$62,$AF$205^A122,IF(A122='Données projet'!$A$62,'Données projet'!$B$62,AI121+AH122-AQ121)))</f>
        <v>323.7999999999999</v>
      </c>
      <c r="AJ122" s="14">
        <f>AI122*VLOOKUP('Données projet'!$B$10,Paramètres!$A$1:$I$88,3,0)*VLOOKUP('Données projet'!$B$10,Paramètres!$A$1:$I$88,5,0)</f>
        <v>292.9742399999999</v>
      </c>
      <c r="AK122" s="14">
        <f t="shared" si="89"/>
        <v>69.701569084730806</v>
      </c>
      <c r="AL122" s="22">
        <f t="shared" si="58"/>
        <v>631.66036748923932</v>
      </c>
      <c r="AM122" s="62">
        <f t="shared" si="59"/>
        <v>924.99370082257269</v>
      </c>
      <c r="AN122" s="62">
        <f ca="1">AVERAGE(OFFSET($AM$3,0,0,'Données projet'!$E$10+1,1))-AVERAGE(OFFSET($H$3,0,0,'Données projet'!$E$10+1,1))</f>
        <v>510.56580450928806</v>
      </c>
      <c r="AO122" s="62">
        <f t="shared" si="90"/>
        <v>278.21741231699929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4.2</v>
      </c>
      <c r="BD122" s="13">
        <f>IF('Données projet'!$A$88&gt;35,BD121+BC122-BL121,IF(A122&lt;'Données projet'!$A$88,$BA$205^A122,IF(A122='Données projet'!$A$88,'Données projet'!$B$88,BD121+BC122-BL121)))</f>
        <v>404.7999999999995</v>
      </c>
      <c r="BE122" s="14">
        <f>BD122*VLOOKUP('Données projet'!$B$11,Paramètres!$A$1:$I$88,3,0)*VLOOKUP('Données projet'!$B$11,Paramètres!$A$1:$I$88,5,0)</f>
        <v>385.20767999999953</v>
      </c>
      <c r="BF122" s="14">
        <f t="shared" si="91"/>
        <v>88.771204232872705</v>
      </c>
      <c r="BG122" s="22">
        <f t="shared" si="61"/>
        <v>825.51322337225247</v>
      </c>
      <c r="BH122" s="62">
        <f t="shared" si="62"/>
        <v>1118.8465567055857</v>
      </c>
      <c r="BI122" s="62">
        <f ca="1">AVERAGE(OFFSET($BH$3,0,0,'Données projet'!$E$11+1,1))-AVERAGE(OFFSET($H$3,0,0,'Données projet'!$E$11+1,1))</f>
        <v>525.51330555662139</v>
      </c>
      <c r="BJ122" s="62">
        <f t="shared" si="92"/>
        <v>357.72390083433635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1.7053025658242404E-13</v>
      </c>
      <c r="BZ122" s="14">
        <f>BY122*VLOOKUP('Données projet'!$B$12,Paramètres!$A$1:$I$88,3,0)*VLOOKUP('Données projet'!$B$12,Paramètres!$A$1:$I$88,5,0)</f>
        <v>1.0197709343628959E-13</v>
      </c>
      <c r="CA122" s="14">
        <f t="shared" si="93"/>
        <v>1.5284983994279675E-12</v>
      </c>
      <c r="CB122" s="22">
        <f t="shared" si="64"/>
        <v>2.839744816738581E-12</v>
      </c>
      <c r="CC122" s="62">
        <f t="shared" si="65"/>
        <v>293.33333333333616</v>
      </c>
      <c r="CD122" s="62">
        <f ca="1">AVERAGE(OFFSET($CC$3,0,0,'Données projet'!$E$12+1,1))-AVERAGE(OFFSET($H$3,0,0,'Données projet'!$E$12+1,1))</f>
        <v>227.46616726010473</v>
      </c>
      <c r="CE122" s="62">
        <f t="shared" si="94"/>
        <v>314.188568589113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20.648285140616192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5.5874887371894385E-10</v>
      </c>
      <c r="CN122" s="24">
        <f t="shared" si="66"/>
        <v>20.648285141174942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projet'!$B$13,Paramètres!$A$1:$I$88,3,0)*VLOOKUP('Données projet'!$B$13,Paramètres!$A$1:$I$88,5,0)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356.46794174556311</v>
      </c>
      <c r="CZ122" s="62">
        <f t="shared" si="96"/>
        <v>248.47107558211923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0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projet'!$B$14,Paramètres!$A$1:$I$88,3,0)*VLOOKUP('Données projet'!$B$14,Paramètres!$A$1:$I$88,5,0)</f>
        <v>6.3550942286383367E-14</v>
      </c>
      <c r="DQ122" s="14">
        <f t="shared" si="97"/>
        <v>1.0064464192543978E-12</v>
      </c>
      <c r="DR122" s="22">
        <f t="shared" si="70"/>
        <v>1.8635787380168604E-12</v>
      </c>
      <c r="DS122" s="62">
        <f t="shared" si="71"/>
        <v>293.33333333333519</v>
      </c>
      <c r="DT122" s="62">
        <f ca="1">AVERAGE(OFFSET($DS$3,0,0,'Données projet'!$E$14+1,1))-AVERAGE(OFFSET($H$3,0,0,'Données projet'!$E$14+1,1))</f>
        <v>397.04445188588369</v>
      </c>
      <c r="DU122" s="62">
        <f t="shared" si="98"/>
        <v>350.01856672839466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0.86106281522303307</v>
      </c>
      <c r="EB122" s="23">
        <f>EXP(-LN(2)/25)*EB121+(1-EXP(-LN(2)/25))/(LN(2)/25)*Calculateur!DW122*Calculateur!DY122*VLOOKUP('Données projet'!$B$14,Paramètres!$A$1:$I$88,3,0)*0.475*44/12</f>
        <v>0</v>
      </c>
      <c r="EC122" s="23">
        <f>EXP(-LN(2)/2)*EC121+(1-EXP(-LN(2)/2))/(LN(2)/2)*DW122*DZ122*VLOOKUP('Données projet'!$B$14,Paramètres!$A$1:$I$88,3,0)*0.475*44/12</f>
        <v>6.512571515075957E-13</v>
      </c>
      <c r="ED122" s="24">
        <f t="shared" si="72"/>
        <v>0.86106281522368433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-1.9895196601282805E-13</v>
      </c>
      <c r="EK122" s="18">
        <f>EJ122*VLOOKUP('Données projet'!$B$15,Paramètres!$A$1:$I$88,3,0)*VLOOKUP('Données projet'!$B$15,Paramètres!$A$1:$I$88,5,0)</f>
        <v>-1.738044375088066E-13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202.5548390231225</v>
      </c>
      <c r="EP122" s="62">
        <f t="shared" si="100"/>
        <v>184.62184077734179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projet'!$B$15,Paramètres!$A$1:$I$88,3,0)*0.475*44/12</f>
        <v>0</v>
      </c>
      <c r="EW122" s="23">
        <f>EXP(-LN(2)/25)*EW121+(1-EXP(-LN(2)/25))/(LN(2)/25)*Calculateur!ER122*Calculateur!ET122*VLOOKUP('Données projet'!$B$15,Paramètres!$A$1:$I$88,3,0)*0.475*44/12</f>
        <v>0</v>
      </c>
      <c r="EX122" s="23">
        <f>EXP(-LN(2)/2)*EX121+(1-EXP(-LN(2)/2))/(LN(2)/2)*ER122*EU122*VLOOKUP('Données projet'!$B$15,Paramètres!$A$1:$I$88,3,0)*0.475*44/12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3.4</v>
      </c>
      <c r="FE122" s="13">
        <f>IF('Données projet'!$A$218&gt;35,FE121+FD122-FM121,IF(A122&lt;'Données projet'!$A$218,$FB$205^A122,IF(A122='Données projet'!$A$218,'Données projet'!$B$218,FE121+FD122-FM121)))</f>
        <v>280.59999999999945</v>
      </c>
      <c r="FF122" s="18">
        <f>FE122*VLOOKUP('Données projet'!$B$16,Paramètres!$A$1:$I$88,3,0)*VLOOKUP('Données projet'!$B$16,Paramètres!$A$1:$I$88,5,0)</f>
        <v>271.39631999999949</v>
      </c>
      <c r="FG122" s="14">
        <f t="shared" si="101"/>
        <v>65.145514611718866</v>
      </c>
      <c r="FH122" s="22">
        <f t="shared" si="76"/>
        <v>586.14369528207601</v>
      </c>
      <c r="FI122" s="62">
        <f t="shared" si="77"/>
        <v>879.47702861540938</v>
      </c>
      <c r="FJ122" s="62">
        <f ca="1">AVERAGE(OFFSET($FI$3,0,0,'Données projet'!$E$16+1,1))-AVERAGE(OFFSET($H$3,0,0,'Données projet'!$E$16+1,1))</f>
        <v>456.96274622094955</v>
      </c>
      <c r="FK122" s="62">
        <f t="shared" si="102"/>
        <v>244.45149244446094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projet'!$B$16,Paramètres!$A$1:$I$88,3,0)*0.475*44/12</f>
        <v>0</v>
      </c>
      <c r="FR122" s="23">
        <f>EXP(-LN(2)/25)*FR121+(1-EXP(-LN(2)/25))/(LN(2)/25)*Calculateur!FM122*Calculateur!FO122*VLOOKUP('Données projet'!$B$16,Paramètres!$A$1:$I$88,3,0)*0.475*44/12</f>
        <v>0</v>
      </c>
      <c r="FS122" s="23">
        <f>EXP(-LN(2)/2)*FS121+(1-EXP(-LN(2)/2))/(LN(2)/2)*FM122*FP122*VLOOKUP('Données projet'!$B$16,Paramètres!$A$1:$I$88,3,0)*0.475*44/12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3.4</v>
      </c>
      <c r="FZ122" s="13">
        <f>IF('Données projet'!$A$244&gt;35,FZ121+FY122-GH121,IF(A122&lt;'Données projet'!$A$244,$FW$205^A122,IF(A122='Données projet'!$A$244,'Données projet'!$B$244,FZ121+FY122-GH121)))</f>
        <v>280.59999999999945</v>
      </c>
      <c r="GA122" s="18">
        <f>FZ122*VLOOKUP('Données projet'!$B$17,Paramètres!$A$1:$I$88,3,0)*VLOOKUP('Données projet'!$B$17,Paramètres!$A$1:$I$88,5,0)</f>
        <v>302.03783999999939</v>
      </c>
      <c r="GB122" s="14">
        <f t="shared" si="103"/>
        <v>71.603504545962494</v>
      </c>
      <c r="GC122" s="22">
        <f t="shared" si="79"/>
        <v>650.75867508421697</v>
      </c>
      <c r="GD122" s="62">
        <f t="shared" si="80"/>
        <v>944.09200841755023</v>
      </c>
      <c r="GE122" s="62">
        <f ca="1">AVERAGE(OFFSET($GD$3,0,0,'Données projet'!$E$17+1,1))-AVERAGE(OFFSET($H$3,0,0,'Données projet'!$E$17+1,1))</f>
        <v>503.69304261527651</v>
      </c>
      <c r="GF122" s="62">
        <f t="shared" si="104"/>
        <v>267.2998309535638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projet'!$B$17,Paramètres!$A$1:$I$88,3,0)*0.475*44/12</f>
        <v>0</v>
      </c>
      <c r="GM122" s="23">
        <f>EXP(-LN(2)/25)*GM121+(1-EXP(-LN(2)/25))/(LN(2)/25)*Calculateur!GH122*Calculateur!GJ122*VLOOKUP('Données projet'!$B$17,Paramètres!$A$1:$I$88,3,0)*0.475*44/12</f>
        <v>0</v>
      </c>
      <c r="GN122" s="23">
        <f>EXP(-LN(2)/2)*GN121+(1-EXP(-LN(2)/2))/(LN(2)/2)*GH122*GK122*VLOOKUP('Données projet'!$B$17,Paramètres!$A$1:$I$88,3,0)*0.475*44/12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4.2</v>
      </c>
      <c r="GU122" s="13">
        <f>IF('Données projet'!$A$270&gt;35,GU121+GT122-HC121,IF(A122&lt;'Données projet'!$A$270,$GR$205^A122,IF(A122='Données projet'!$A$270,'Données projet'!$B$270,GU121+GT122-HC121)))</f>
        <v>323.7999999999999</v>
      </c>
      <c r="GV122" s="18">
        <f>GU122*VLOOKUP('Données projet'!$B$18,Paramètres!$A$1:$I$88,3,0)*VLOOKUP('Données projet'!$B$18,Paramètres!$A$1:$I$88,5,0)</f>
        <v>338.4357599999999</v>
      </c>
      <c r="GW122" s="14">
        <f t="shared" si="105"/>
        <v>79.176677849998555</v>
      </c>
      <c r="GX122" s="22">
        <f t="shared" si="82"/>
        <v>727.34166258874723</v>
      </c>
      <c r="GY122" s="62">
        <f t="shared" si="83"/>
        <v>1020.6749959220806</v>
      </c>
      <c r="GZ122" s="62">
        <f ca="1">AVERAGE(OFFSET($GY$3,0,0,'Données projet'!$E$18+1,1))-AVERAGE(OFFSET($H$3,0,0,'Données projet'!$E$18+1,1))</f>
        <v>582.89879210197682</v>
      </c>
      <c r="HA122" s="62">
        <f t="shared" si="106"/>
        <v>314.72094983133326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projet'!$B$18,Paramètres!$A$1:$I$88,3,0)*0.475*44/12</f>
        <v>0</v>
      </c>
      <c r="HH122" s="23">
        <f>EXP(-LN(2)/25)*HH121+(1-EXP(-LN(2)/25))/(LN(2)/25)*Calculateur!HC122*Calculateur!HE122*VLOOKUP('Données projet'!$B$18,Paramètres!$A$1:$I$88,3,0)*0.475*44/12</f>
        <v>0</v>
      </c>
      <c r="HI122" s="23">
        <f>EXP(-LN(2)/2)*HI121+(1-EXP(-LN(2)/2))/(LN(2)/2)*HC122*HF122*VLOOKUP('Données projet'!$B$18,Paramètres!$A$1:$I$88,3,0)*0.475*44/12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projet'!$B$9,Paramètres!$A$1:$I$88,3,0)*VLOOKUP('Données projet'!$B$9,Paramètres!$A$1:$I$88,5,0)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399.92909819003523</v>
      </c>
      <c r="T123" s="62">
        <f t="shared" si="88"/>
        <v>163.7053537268381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4.2</v>
      </c>
      <c r="AI123" s="14">
        <f>IF('Données projet'!$A$62&gt;35,AI122+AH123-AQ122,IF(A123&lt;'Données projet'!$A$62,$AF$205^A123,IF(A123='Données projet'!$A$62,'Données projet'!$B$62,AI122+AH123-AQ122)))</f>
        <v>327.99999999999989</v>
      </c>
      <c r="AJ123" s="14">
        <f>AI123*VLOOKUP('Données projet'!$B$10,Paramètres!$A$1:$I$88,3,0)*VLOOKUP('Données projet'!$B$10,Paramètres!$A$1:$I$88,5,0)</f>
        <v>296.7743999999999</v>
      </c>
      <c r="AK123" s="14">
        <f t="shared" si="89"/>
        <v>70.499828966950673</v>
      </c>
      <c r="AL123" s="22">
        <f t="shared" si="58"/>
        <v>639.6692821174388</v>
      </c>
      <c r="AM123" s="62">
        <f t="shared" si="59"/>
        <v>933.00261545077205</v>
      </c>
      <c r="AN123" s="62">
        <f ca="1">AVERAGE(OFFSET($AM$3,0,0,'Données projet'!$E$10+1,1))-AVERAGE(OFFSET($H$3,0,0,'Données projet'!$E$10+1,1))</f>
        <v>510.56580450928806</v>
      </c>
      <c r="AO123" s="62">
        <f t="shared" si="90"/>
        <v>278.21741231699929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409</v>
      </c>
      <c r="BB123" s="13">
        <f>VLOOKUP(A123,'Données projet'!$A$87:$I$107,9,0)</f>
        <v>4.2</v>
      </c>
      <c r="BC123" s="13">
        <f t="array" ref="BC123">INDEX(BB:BB,MIN(IF(ISNUMBER(BB123:BB319),ROW(BB123:BB319),"")))</f>
        <v>4.2</v>
      </c>
      <c r="BD123" s="13">
        <f>IF('Données projet'!$A$88&gt;35,BD122+BC123-BL122,IF(A123&lt;'Données projet'!$A$88,$BA$205^A123,IF(A123='Données projet'!$A$88,'Données projet'!$B$88,BD122+BC123-BL122)))</f>
        <v>408.99999999999949</v>
      </c>
      <c r="BE123" s="14">
        <f>BD123*VLOOKUP('Données projet'!$B$11,Paramètres!$A$1:$I$88,3,0)*VLOOKUP('Données projet'!$B$11,Paramètres!$A$1:$I$88,5,0)</f>
        <v>389.20439999999957</v>
      </c>
      <c r="BF123" s="14">
        <f t="shared" si="91"/>
        <v>89.584550135595777</v>
      </c>
      <c r="BG123" s="22">
        <f t="shared" si="61"/>
        <v>833.8907548194951</v>
      </c>
      <c r="BH123" s="62">
        <f t="shared" si="62"/>
        <v>1127.2240881528285</v>
      </c>
      <c r="BI123" s="62">
        <f ca="1">AVERAGE(OFFSET($BH$3,0,0,'Données projet'!$E$11+1,1))-AVERAGE(OFFSET($H$3,0,0,'Données projet'!$E$11+1,1))</f>
        <v>525.51330555662139</v>
      </c>
      <c r="BJ123" s="62">
        <f t="shared" si="92"/>
        <v>357.72390083433635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409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1.7053025658242404E-13</v>
      </c>
      <c r="BZ123" s="14">
        <f>BY123*VLOOKUP('Données projet'!$B$12,Paramètres!$A$1:$I$88,3,0)*VLOOKUP('Données projet'!$B$12,Paramètres!$A$1:$I$88,5,0)</f>
        <v>1.0197709343628959E-13</v>
      </c>
      <c r="CA123" s="14">
        <f t="shared" si="93"/>
        <v>1.5284983994279675E-12</v>
      </c>
      <c r="CB123" s="22">
        <f t="shared" si="64"/>
        <v>2.839744816738581E-12</v>
      </c>
      <c r="CC123" s="62">
        <f t="shared" si="65"/>
        <v>293.33333333333616</v>
      </c>
      <c r="CD123" s="62">
        <f ca="1">AVERAGE(OFFSET($CC$3,0,0,'Données projet'!$E$12+1,1))-AVERAGE(OFFSET($H$3,0,0,'Données projet'!$E$12+1,1))</f>
        <v>227.46616726010473</v>
      </c>
      <c r="CE123" s="62">
        <f t="shared" si="94"/>
        <v>314.188568589113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20.24338486321907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3.950951175870111E-10</v>
      </c>
      <c r="CN123" s="24">
        <f t="shared" si="66"/>
        <v>20.243384863614164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projet'!$B$13,Paramètres!$A$1:$I$88,3,0)*VLOOKUP('Données projet'!$B$13,Paramètres!$A$1:$I$88,5,0)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356.46794174556311</v>
      </c>
      <c r="CZ123" s="62">
        <f t="shared" si="96"/>
        <v>248.47107558211923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0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projet'!$B$14,Paramètres!$A$1:$I$88,3,0)*VLOOKUP('Données projet'!$B$14,Paramètres!$A$1:$I$88,5,0)</f>
        <v>6.3550942286383367E-14</v>
      </c>
      <c r="DQ123" s="14">
        <f t="shared" si="97"/>
        <v>1.0064464192543978E-12</v>
      </c>
      <c r="DR123" s="22">
        <f t="shared" si="70"/>
        <v>1.8635787380168604E-12</v>
      </c>
      <c r="DS123" s="62">
        <f t="shared" si="71"/>
        <v>293.33333333333519</v>
      </c>
      <c r="DT123" s="62">
        <f ca="1">AVERAGE(OFFSET($DS$3,0,0,'Données projet'!$E$14+1,1))-AVERAGE(OFFSET($H$3,0,0,'Données projet'!$E$14+1,1))</f>
        <v>397.04445188588369</v>
      </c>
      <c r="DU123" s="62">
        <f t="shared" si="98"/>
        <v>350.01856672839466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0.84417789861296788</v>
      </c>
      <c r="EB123" s="23">
        <f>EXP(-LN(2)/25)*EB122+(1-EXP(-LN(2)/25))/(LN(2)/25)*Calculateur!DW123*Calculateur!DY123*VLOOKUP('Données projet'!$B$14,Paramètres!$A$1:$I$88,3,0)*0.475*44/12</f>
        <v>0</v>
      </c>
      <c r="EC123" s="23">
        <f>EXP(-LN(2)/2)*EC122+(1-EXP(-LN(2)/2))/(LN(2)/2)*DW123*DZ123*VLOOKUP('Données projet'!$B$14,Paramètres!$A$1:$I$88,3,0)*0.475*44/12</f>
        <v>4.605083481272557E-13</v>
      </c>
      <c r="ED123" s="24">
        <f t="shared" si="72"/>
        <v>0.8441778986134284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-1.9895196601282805E-13</v>
      </c>
      <c r="EK123" s="18">
        <f>EJ123*VLOOKUP('Données projet'!$B$15,Paramètres!$A$1:$I$88,3,0)*VLOOKUP('Données projet'!$B$15,Paramètres!$A$1:$I$88,5,0)</f>
        <v>-1.738044375088066E-13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202.5548390231225</v>
      </c>
      <c r="EP123" s="62">
        <f t="shared" si="100"/>
        <v>184.62184077734179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projet'!$B$15,Paramètres!$A$1:$I$88,3,0)*0.475*44/12</f>
        <v>0</v>
      </c>
      <c r="EW123" s="23">
        <f>EXP(-LN(2)/25)*EW122+(1-EXP(-LN(2)/25))/(LN(2)/25)*Calculateur!ER123*Calculateur!ET123*VLOOKUP('Données projet'!$B$15,Paramètres!$A$1:$I$88,3,0)*0.475*44/12</f>
        <v>0</v>
      </c>
      <c r="EX123" s="23">
        <f>EXP(-LN(2)/2)*EX122+(1-EXP(-LN(2)/2))/(LN(2)/2)*ER123*EU123*VLOOKUP('Données projet'!$B$15,Paramètres!$A$1:$I$88,3,0)*0.475*44/12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3.4</v>
      </c>
      <c r="FE123" s="13">
        <f>IF('Données projet'!$A$218&gt;35,FE122+FD123-FM122,IF(A123&lt;'Données projet'!$A$218,$FB$205^A123,IF(A123='Données projet'!$A$218,'Données projet'!$B$218,FE122+FD123-FM122)))</f>
        <v>283.99999999999943</v>
      </c>
      <c r="FF123" s="18">
        <f>FE123*VLOOKUP('Données projet'!$B$16,Paramètres!$A$1:$I$88,3,0)*VLOOKUP('Données projet'!$B$16,Paramètres!$A$1:$I$88,5,0)</f>
        <v>274.68479999999943</v>
      </c>
      <c r="FG123" s="14">
        <f t="shared" si="101"/>
        <v>65.842504497456545</v>
      </c>
      <c r="FH123" s="22">
        <f t="shared" si="76"/>
        <v>593.08505533306914</v>
      </c>
      <c r="FI123" s="62">
        <f t="shared" si="77"/>
        <v>886.41838866640251</v>
      </c>
      <c r="FJ123" s="62">
        <f ca="1">AVERAGE(OFFSET($FI$3,0,0,'Données projet'!$E$16+1,1))-AVERAGE(OFFSET($H$3,0,0,'Données projet'!$E$16+1,1))</f>
        <v>456.96274622094955</v>
      </c>
      <c r="FK123" s="62">
        <f t="shared" si="102"/>
        <v>244.45149244446094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projet'!$B$16,Paramètres!$A$1:$I$88,3,0)*0.475*44/12</f>
        <v>0</v>
      </c>
      <c r="FR123" s="23">
        <f>EXP(-LN(2)/25)*FR122+(1-EXP(-LN(2)/25))/(LN(2)/25)*Calculateur!FM123*Calculateur!FO123*VLOOKUP('Données projet'!$B$16,Paramètres!$A$1:$I$88,3,0)*0.475*44/12</f>
        <v>0</v>
      </c>
      <c r="FS123" s="23">
        <f>EXP(-LN(2)/2)*FS122+(1-EXP(-LN(2)/2))/(LN(2)/2)*FM123*FP123*VLOOKUP('Données projet'!$B$16,Paramètres!$A$1:$I$88,3,0)*0.475*44/12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3.4</v>
      </c>
      <c r="FZ123" s="13">
        <f>IF('Données projet'!$A$244&gt;35,FZ122+FY123-GH122,IF(A123&lt;'Données projet'!$A$244,$FW$205^A123,IF(A123='Données projet'!$A$244,'Données projet'!$B$244,FZ122+FY123-GH122)))</f>
        <v>283.99999999999943</v>
      </c>
      <c r="GA123" s="18">
        <f>FZ123*VLOOKUP('Données projet'!$B$17,Paramètres!$A$1:$I$88,3,0)*VLOOKUP('Données projet'!$B$17,Paramètres!$A$1:$I$88,5,0)</f>
        <v>305.69759999999934</v>
      </c>
      <c r="GB123" s="14">
        <f t="shared" si="103"/>
        <v>72.369588270212233</v>
      </c>
      <c r="GC123" s="22">
        <f t="shared" si="79"/>
        <v>658.46701957061839</v>
      </c>
      <c r="GD123" s="62">
        <f t="shared" si="80"/>
        <v>951.80035290395176</v>
      </c>
      <c r="GE123" s="62">
        <f ca="1">AVERAGE(OFFSET($GD$3,0,0,'Données projet'!$E$17+1,1))-AVERAGE(OFFSET($H$3,0,0,'Données projet'!$E$17+1,1))</f>
        <v>503.69304261527651</v>
      </c>
      <c r="GF123" s="62">
        <f t="shared" si="104"/>
        <v>267.2998309535638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projet'!$B$17,Paramètres!$A$1:$I$88,3,0)*0.475*44/12</f>
        <v>0</v>
      </c>
      <c r="GM123" s="23">
        <f>EXP(-LN(2)/25)*GM122+(1-EXP(-LN(2)/25))/(LN(2)/25)*Calculateur!GH123*Calculateur!GJ123*VLOOKUP('Données projet'!$B$17,Paramètres!$A$1:$I$88,3,0)*0.475*44/12</f>
        <v>0</v>
      </c>
      <c r="GN123" s="23">
        <f>EXP(-LN(2)/2)*GN122+(1-EXP(-LN(2)/2))/(LN(2)/2)*GH123*GK123*VLOOKUP('Données projet'!$B$17,Paramètres!$A$1:$I$88,3,0)*0.475*44/12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4.2</v>
      </c>
      <c r="GU123" s="13">
        <f>IF('Données projet'!$A$270&gt;35,GU122+GT123-HC122,IF(A123&lt;'Données projet'!$A$270,$GR$205^A123,IF(A123='Données projet'!$A$270,'Données projet'!$B$270,GU122+GT123-HC122)))</f>
        <v>327.99999999999989</v>
      </c>
      <c r="GV123" s="18">
        <f>GU123*VLOOKUP('Données projet'!$B$18,Paramètres!$A$1:$I$88,3,0)*VLOOKUP('Données projet'!$B$18,Paramètres!$A$1:$I$88,5,0)</f>
        <v>342.82559999999989</v>
      </c>
      <c r="GW123" s="14">
        <f t="shared" si="105"/>
        <v>80.083451777257963</v>
      </c>
      <c r="GX123" s="22">
        <f t="shared" si="82"/>
        <v>736.56659851205734</v>
      </c>
      <c r="GY123" s="62">
        <f t="shared" si="83"/>
        <v>1029.8999318453907</v>
      </c>
      <c r="GZ123" s="62">
        <f ca="1">AVERAGE(OFFSET($GY$3,0,0,'Données projet'!$E$18+1,1))-AVERAGE(OFFSET($H$3,0,0,'Données projet'!$E$18+1,1))</f>
        <v>582.89879210197682</v>
      </c>
      <c r="HA123" s="62">
        <f t="shared" si="106"/>
        <v>314.72094983133326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projet'!$B$18,Paramètres!$A$1:$I$88,3,0)*0.475*44/12</f>
        <v>0</v>
      </c>
      <c r="HH123" s="23">
        <f>EXP(-LN(2)/25)*HH122+(1-EXP(-LN(2)/25))/(LN(2)/25)*Calculateur!HC123*Calculateur!HE123*VLOOKUP('Données projet'!$B$18,Paramètres!$A$1:$I$88,3,0)*0.475*44/12</f>
        <v>0</v>
      </c>
      <c r="HI123" s="23">
        <f>EXP(-LN(2)/2)*HI122+(1-EXP(-LN(2)/2))/(LN(2)/2)*HC123*HF123*VLOOKUP('Données projet'!$B$18,Paramètres!$A$1:$I$88,3,0)*0.475*44/12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projet'!$B$9,Paramètres!$A$1:$I$88,3,0)*VLOOKUP('Données projet'!$B$9,Paramètres!$A$1:$I$88,5,0)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399.92909819003523</v>
      </c>
      <c r="T124" s="62">
        <f t="shared" si="88"/>
        <v>163.7053537268381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332.19999999999987</v>
      </c>
      <c r="AJ124" s="14">
        <f>AI124*VLOOKUP('Données projet'!$B$10,Paramètres!$A$1:$I$88,3,0)*VLOOKUP('Données projet'!$B$10,Paramètres!$A$1:$I$88,5,0)</f>
        <v>300.57455999999985</v>
      </c>
      <c r="AK124" s="14">
        <f t="shared" si="89"/>
        <v>71.296899904441815</v>
      </c>
      <c r="AL124" s="22">
        <f t="shared" si="58"/>
        <v>647.67612600023597</v>
      </c>
      <c r="AM124" s="62">
        <f t="shared" si="59"/>
        <v>941.00945933356934</v>
      </c>
      <c r="AN124" s="62">
        <f ca="1">AVERAGE(OFFSET($AM$3,0,0,'Données projet'!$E$10+1,1))-AVERAGE(OFFSET($H$3,0,0,'Données projet'!$E$10+1,1))</f>
        <v>510.56580450928806</v>
      </c>
      <c r="AO124" s="62">
        <f t="shared" si="90"/>
        <v>278.21741231699929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-5.1159076974727213E-13</v>
      </c>
      <c r="BE124" s="14">
        <f>BD124*VLOOKUP('Données projet'!$B$11,Paramètres!$A$1:$I$88,3,0)*VLOOKUP('Données projet'!$B$11,Paramètres!$A$1:$I$88,5,0)</f>
        <v>-4.8682977649150421E-13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525.51330555662139</v>
      </c>
      <c r="BJ124" s="62">
        <f t="shared" si="92"/>
        <v>357.72390083433635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1.7053025658242404E-13</v>
      </c>
      <c r="BZ124" s="14">
        <f>BY124*VLOOKUP('Données projet'!$B$12,Paramètres!$A$1:$I$88,3,0)*VLOOKUP('Données projet'!$B$12,Paramètres!$A$1:$I$88,5,0)</f>
        <v>1.0197709343628959E-13</v>
      </c>
      <c r="CA124" s="14">
        <f t="shared" si="93"/>
        <v>1.5284983994279675E-12</v>
      </c>
      <c r="CB124" s="22">
        <f t="shared" si="64"/>
        <v>2.839744816738581E-12</v>
      </c>
      <c r="CC124" s="62">
        <f t="shared" si="65"/>
        <v>293.33333333333616</v>
      </c>
      <c r="CD124" s="62">
        <f ca="1">AVERAGE(OFFSET($CC$3,0,0,'Données projet'!$E$12+1,1))-AVERAGE(OFFSET($H$3,0,0,'Données projet'!$E$12+1,1))</f>
        <v>227.46616726010473</v>
      </c>
      <c r="CE124" s="62">
        <f t="shared" si="94"/>
        <v>314.188568589113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19.846424433296921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2.7937443685947192E-10</v>
      </c>
      <c r="CN124" s="24">
        <f t="shared" si="66"/>
        <v>19.846424433576296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projet'!$B$13,Paramètres!$A$1:$I$88,3,0)*VLOOKUP('Données projet'!$B$13,Paramètres!$A$1:$I$88,5,0)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356.46794174556311</v>
      </c>
      <c r="CZ124" s="62">
        <f t="shared" si="96"/>
        <v>248.47107558211923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0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projet'!$B$14,Paramètres!$A$1:$I$88,3,0)*VLOOKUP('Données projet'!$B$14,Paramètres!$A$1:$I$88,5,0)</f>
        <v>6.3550942286383367E-14</v>
      </c>
      <c r="DQ124" s="14">
        <f t="shared" si="97"/>
        <v>1.0064464192543978E-12</v>
      </c>
      <c r="DR124" s="22">
        <f t="shared" si="70"/>
        <v>1.8635787380168604E-12</v>
      </c>
      <c r="DS124" s="62">
        <f t="shared" si="71"/>
        <v>293.33333333333519</v>
      </c>
      <c r="DT124" s="62">
        <f ca="1">AVERAGE(OFFSET($DS$3,0,0,'Données projet'!$E$14+1,1))-AVERAGE(OFFSET($H$3,0,0,'Données projet'!$E$14+1,1))</f>
        <v>397.04445188588369</v>
      </c>
      <c r="DU124" s="62">
        <f t="shared" si="98"/>
        <v>350.01856672839466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0.82762408491884376</v>
      </c>
      <c r="EB124" s="23">
        <f>EXP(-LN(2)/25)*EB123+(1-EXP(-LN(2)/25))/(LN(2)/25)*Calculateur!DW124*Calculateur!DY124*VLOOKUP('Données projet'!$B$14,Paramètres!$A$1:$I$88,3,0)*0.475*44/12</f>
        <v>0</v>
      </c>
      <c r="EC124" s="23">
        <f>EXP(-LN(2)/2)*EC123+(1-EXP(-LN(2)/2))/(LN(2)/2)*DW124*DZ124*VLOOKUP('Données projet'!$B$14,Paramètres!$A$1:$I$88,3,0)*0.475*44/12</f>
        <v>3.2562857575379785E-13</v>
      </c>
      <c r="ED124" s="24">
        <f t="shared" si="72"/>
        <v>0.82762408491916939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-1.9895196601282805E-13</v>
      </c>
      <c r="EK124" s="18">
        <f>EJ124*VLOOKUP('Données projet'!$B$15,Paramètres!$A$1:$I$88,3,0)*VLOOKUP('Données projet'!$B$15,Paramètres!$A$1:$I$88,5,0)</f>
        <v>-1.738044375088066E-13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202.5548390231225</v>
      </c>
      <c r="EP124" s="62">
        <f t="shared" si="100"/>
        <v>184.62184077734179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projet'!$B$15,Paramètres!$A$1:$I$88,3,0)*0.475*44/12</f>
        <v>0</v>
      </c>
      <c r="EW124" s="23">
        <f>EXP(-LN(2)/25)*EW123+(1-EXP(-LN(2)/25))/(LN(2)/25)*Calculateur!ER124*Calculateur!ET124*VLOOKUP('Données projet'!$B$15,Paramètres!$A$1:$I$88,3,0)*0.475*44/12</f>
        <v>0</v>
      </c>
      <c r="EX124" s="23">
        <f>EXP(-LN(2)/2)*EX123+(1-EXP(-LN(2)/2))/(LN(2)/2)*ER124*EU124*VLOOKUP('Données projet'!$B$15,Paramètres!$A$1:$I$88,3,0)*0.475*44/12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3.4</v>
      </c>
      <c r="FE124" s="13">
        <f>IF('Données projet'!$A$218&gt;35,FE123+FD124-FM123,IF(A124&lt;'Données projet'!$A$218,$FB$205^A124,IF(A124='Données projet'!$A$218,'Données projet'!$B$218,FE123+FD124-FM123)))</f>
        <v>287.39999999999941</v>
      </c>
      <c r="FF124" s="18">
        <f>FE124*VLOOKUP('Données projet'!$B$16,Paramètres!$A$1:$I$88,3,0)*VLOOKUP('Données projet'!$B$16,Paramètres!$A$1:$I$88,5,0)</f>
        <v>277.97327999999942</v>
      </c>
      <c r="FG124" s="14">
        <f t="shared" si="101"/>
        <v>66.538523764973078</v>
      </c>
      <c r="FH124" s="22">
        <f t="shared" si="76"/>
        <v>600.02472489066042</v>
      </c>
      <c r="FI124" s="62">
        <f t="shared" si="77"/>
        <v>893.35805822399379</v>
      </c>
      <c r="FJ124" s="62">
        <f ca="1">AVERAGE(OFFSET($FI$3,0,0,'Données projet'!$E$16+1,1))-AVERAGE(OFFSET($H$3,0,0,'Données projet'!$E$16+1,1))</f>
        <v>456.96274622094955</v>
      </c>
      <c r="FK124" s="62">
        <f t="shared" si="102"/>
        <v>244.45149244446094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projet'!$B$16,Paramètres!$A$1:$I$88,3,0)*0.475*44/12</f>
        <v>0</v>
      </c>
      <c r="FR124" s="23">
        <f>EXP(-LN(2)/25)*FR123+(1-EXP(-LN(2)/25))/(LN(2)/25)*Calculateur!FM124*Calculateur!FO124*VLOOKUP('Données projet'!$B$16,Paramètres!$A$1:$I$88,3,0)*0.475*44/12</f>
        <v>0</v>
      </c>
      <c r="FS124" s="23">
        <f>EXP(-LN(2)/2)*FS123+(1-EXP(-LN(2)/2))/(LN(2)/2)*FM124*FP124*VLOOKUP('Données projet'!$B$16,Paramètres!$A$1:$I$88,3,0)*0.475*44/12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3.4</v>
      </c>
      <c r="FZ124" s="13">
        <f>IF('Données projet'!$A$244&gt;35,FZ123+FY124-GH123,IF(A124&lt;'Données projet'!$A$244,$FW$205^A124,IF(A124='Données projet'!$A$244,'Données projet'!$B$244,FZ123+FY124-GH123)))</f>
        <v>287.39999999999941</v>
      </c>
      <c r="GA124" s="18">
        <f>FZ124*VLOOKUP('Données projet'!$B$17,Paramètres!$A$1:$I$88,3,0)*VLOOKUP('Données projet'!$B$17,Paramètres!$A$1:$I$88,5,0)</f>
        <v>309.35735999999935</v>
      </c>
      <c r="GB124" s="14">
        <f t="shared" si="103"/>
        <v>73.134605157142033</v>
      </c>
      <c r="GC124" s="22">
        <f t="shared" si="79"/>
        <v>666.17350598202131</v>
      </c>
      <c r="GD124" s="62">
        <f t="shared" si="80"/>
        <v>959.50683931535468</v>
      </c>
      <c r="GE124" s="62">
        <f ca="1">AVERAGE(OFFSET($GD$3,0,0,'Données projet'!$E$17+1,1))-AVERAGE(OFFSET($H$3,0,0,'Données projet'!$E$17+1,1))</f>
        <v>503.69304261527651</v>
      </c>
      <c r="GF124" s="62">
        <f t="shared" si="104"/>
        <v>267.2998309535638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projet'!$B$17,Paramètres!$A$1:$I$88,3,0)*0.475*44/12</f>
        <v>0</v>
      </c>
      <c r="GM124" s="23">
        <f>EXP(-LN(2)/25)*GM123+(1-EXP(-LN(2)/25))/(LN(2)/25)*Calculateur!GH124*Calculateur!GJ124*VLOOKUP('Données projet'!$B$17,Paramètres!$A$1:$I$88,3,0)*0.475*44/12</f>
        <v>0</v>
      </c>
      <c r="GN124" s="23">
        <f>EXP(-LN(2)/2)*GN123+(1-EXP(-LN(2)/2))/(LN(2)/2)*GH124*GK124*VLOOKUP('Données projet'!$B$17,Paramètres!$A$1:$I$88,3,0)*0.475*44/12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4.2</v>
      </c>
      <c r="GU124" s="13">
        <f>IF('Données projet'!$A$270&gt;35,GU123+GT124-HC123,IF(A124&lt;'Données projet'!$A$270,$GR$205^A124,IF(A124='Données projet'!$A$270,'Données projet'!$B$270,GU123+GT124-HC123)))</f>
        <v>332.19999999999987</v>
      </c>
      <c r="GV124" s="18">
        <f>GU124*VLOOKUP('Données projet'!$B$18,Paramètres!$A$1:$I$88,3,0)*VLOOKUP('Données projet'!$B$18,Paramètres!$A$1:$I$88,5,0)</f>
        <v>347.21543999999989</v>
      </c>
      <c r="GW124" s="14">
        <f t="shared" si="105"/>
        <v>80.988875136732261</v>
      </c>
      <c r="GX124" s="22">
        <f t="shared" si="82"/>
        <v>745.78918219647505</v>
      </c>
      <c r="GY124" s="62">
        <f t="shared" si="83"/>
        <v>1039.1225155298084</v>
      </c>
      <c r="GZ124" s="62">
        <f ca="1">AVERAGE(OFFSET($GY$3,0,0,'Données projet'!$E$18+1,1))-AVERAGE(OFFSET($H$3,0,0,'Données projet'!$E$18+1,1))</f>
        <v>582.89879210197682</v>
      </c>
      <c r="HA124" s="62">
        <f t="shared" si="106"/>
        <v>314.72094983133326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projet'!$B$18,Paramètres!$A$1:$I$88,3,0)*0.475*44/12</f>
        <v>0</v>
      </c>
      <c r="HH124" s="23">
        <f>EXP(-LN(2)/25)*HH123+(1-EXP(-LN(2)/25))/(LN(2)/25)*Calculateur!HC124*Calculateur!HE124*VLOOKUP('Données projet'!$B$18,Paramètres!$A$1:$I$88,3,0)*0.475*44/12</f>
        <v>0</v>
      </c>
      <c r="HI124" s="23">
        <f>EXP(-LN(2)/2)*HI123+(1-EXP(-LN(2)/2))/(LN(2)/2)*HC124*HF124*VLOOKUP('Données projet'!$B$18,Paramètres!$A$1:$I$88,3,0)*0.475*44/12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projet'!$B$9,Paramètres!$A$1:$I$88,3,0)*VLOOKUP('Données projet'!$B$9,Paramètres!$A$1:$I$88,5,0)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399.92909819003523</v>
      </c>
      <c r="T125" s="62">
        <f t="shared" si="88"/>
        <v>163.7053537268381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336.39999999999986</v>
      </c>
      <c r="AJ125" s="14">
        <f>AI125*VLOOKUP('Données projet'!$B$10,Paramètres!$A$1:$I$88,3,0)*VLOOKUP('Données projet'!$B$10,Paramètres!$A$1:$I$88,5,0)</f>
        <v>304.37471999999985</v>
      </c>
      <c r="AK125" s="14">
        <f t="shared" si="89"/>
        <v>72.092798667275062</v>
      </c>
      <c r="AL125" s="22">
        <f t="shared" si="58"/>
        <v>655.68092834550373</v>
      </c>
      <c r="AM125" s="62">
        <f t="shared" si="59"/>
        <v>949.0142616788371</v>
      </c>
      <c r="AN125" s="62">
        <f ca="1">AVERAGE(OFFSET($AM$3,0,0,'Données projet'!$E$10+1,1))-AVERAGE(OFFSET($H$3,0,0,'Données projet'!$E$10+1,1))</f>
        <v>510.56580450928806</v>
      </c>
      <c r="AO125" s="62">
        <f t="shared" si="90"/>
        <v>278.21741231699929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-5.1159076974727213E-13</v>
      </c>
      <c r="BE125" s="14">
        <f>BD125*VLOOKUP('Données projet'!$B$11,Paramètres!$A$1:$I$88,3,0)*VLOOKUP('Données projet'!$B$11,Paramètres!$A$1:$I$88,5,0)</f>
        <v>-4.8682977649150421E-13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525.51330555662139</v>
      </c>
      <c r="BJ125" s="62">
        <f t="shared" si="92"/>
        <v>357.72390083433635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1.7053025658242404E-13</v>
      </c>
      <c r="BZ125" s="14">
        <f>BY125*VLOOKUP('Données projet'!$B$12,Paramètres!$A$1:$I$88,3,0)*VLOOKUP('Données projet'!$B$12,Paramètres!$A$1:$I$88,5,0)</f>
        <v>1.0197709343628959E-13</v>
      </c>
      <c r="CA125" s="14">
        <f t="shared" si="93"/>
        <v>1.5284983994279675E-12</v>
      </c>
      <c r="CB125" s="22">
        <f t="shared" si="64"/>
        <v>2.839744816738581E-12</v>
      </c>
      <c r="CC125" s="62">
        <f t="shared" si="65"/>
        <v>293.33333333333616</v>
      </c>
      <c r="CD125" s="62">
        <f ca="1">AVERAGE(OFFSET($CC$3,0,0,'Données projet'!$E$12+1,1))-AVERAGE(OFFSET($H$3,0,0,'Données projet'!$E$12+1,1))</f>
        <v>227.46616726010473</v>
      </c>
      <c r="CE125" s="62">
        <f t="shared" si="94"/>
        <v>314.188568589113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19.45724815528359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1.9754755879350555E-10</v>
      </c>
      <c r="CN125" s="24">
        <f t="shared" si="66"/>
        <v>19.457248155481139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projet'!$B$13,Paramètres!$A$1:$I$88,3,0)*VLOOKUP('Données projet'!$B$13,Paramètres!$A$1:$I$88,5,0)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356.46794174556311</v>
      </c>
      <c r="CZ125" s="62">
        <f t="shared" si="96"/>
        <v>248.47107558211923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0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projet'!$B$14,Paramètres!$A$1:$I$88,3,0)*VLOOKUP('Données projet'!$B$14,Paramètres!$A$1:$I$88,5,0)</f>
        <v>6.3550942286383367E-14</v>
      </c>
      <c r="DQ125" s="14">
        <f t="shared" si="97"/>
        <v>1.0064464192543978E-12</v>
      </c>
      <c r="DR125" s="22">
        <f t="shared" si="70"/>
        <v>1.8635787380168604E-12</v>
      </c>
      <c r="DS125" s="62">
        <f t="shared" si="71"/>
        <v>293.33333333333519</v>
      </c>
      <c r="DT125" s="62">
        <f ca="1">AVERAGE(OFFSET($DS$3,0,0,'Données projet'!$E$14+1,1))-AVERAGE(OFFSET($H$3,0,0,'Données projet'!$E$14+1,1))</f>
        <v>397.04445188588369</v>
      </c>
      <c r="DU125" s="62">
        <f t="shared" si="98"/>
        <v>350.01856672839466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0.81139488141443206</v>
      </c>
      <c r="EB125" s="23">
        <f>EXP(-LN(2)/25)*EB124+(1-EXP(-LN(2)/25))/(LN(2)/25)*Calculateur!DW125*Calculateur!DY125*VLOOKUP('Données projet'!$B$14,Paramètres!$A$1:$I$88,3,0)*0.475*44/12</f>
        <v>0</v>
      </c>
      <c r="EC125" s="23">
        <f>EXP(-LN(2)/2)*EC124+(1-EXP(-LN(2)/2))/(LN(2)/2)*DW125*DZ125*VLOOKUP('Données projet'!$B$14,Paramètres!$A$1:$I$88,3,0)*0.475*44/12</f>
        <v>2.3025417406362785E-13</v>
      </c>
      <c r="ED125" s="24">
        <f t="shared" si="72"/>
        <v>0.81139488141466232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-1.9895196601282805E-13</v>
      </c>
      <c r="EK125" s="18">
        <f>EJ125*VLOOKUP('Données projet'!$B$15,Paramètres!$A$1:$I$88,3,0)*VLOOKUP('Données projet'!$B$15,Paramètres!$A$1:$I$88,5,0)</f>
        <v>-1.738044375088066E-13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202.5548390231225</v>
      </c>
      <c r="EP125" s="62">
        <f t="shared" si="100"/>
        <v>184.62184077734179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projet'!$B$15,Paramètres!$A$1:$I$88,3,0)*0.475*44/12</f>
        <v>0</v>
      </c>
      <c r="EW125" s="23">
        <f>EXP(-LN(2)/25)*EW124+(1-EXP(-LN(2)/25))/(LN(2)/25)*Calculateur!ER125*Calculateur!ET125*VLOOKUP('Données projet'!$B$15,Paramètres!$A$1:$I$88,3,0)*0.475*44/12</f>
        <v>0</v>
      </c>
      <c r="EX125" s="23">
        <f>EXP(-LN(2)/2)*EX124+(1-EXP(-LN(2)/2))/(LN(2)/2)*ER125*EU125*VLOOKUP('Données projet'!$B$15,Paramètres!$A$1:$I$88,3,0)*0.475*44/12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3.4</v>
      </c>
      <c r="FE125" s="13">
        <f>IF('Données projet'!$A$218&gt;35,FE124+FD125-FM124,IF(A125&lt;'Données projet'!$A$218,$FB$205^A125,IF(A125='Données projet'!$A$218,'Données projet'!$B$218,FE124+FD125-FM124)))</f>
        <v>290.79999999999939</v>
      </c>
      <c r="FF125" s="18">
        <f>FE125*VLOOKUP('Données projet'!$B$16,Paramètres!$A$1:$I$88,3,0)*VLOOKUP('Données projet'!$B$16,Paramètres!$A$1:$I$88,5,0)</f>
        <v>281.26175999999941</v>
      </c>
      <c r="FG125" s="14">
        <f t="shared" si="101"/>
        <v>67.233585225232218</v>
      </c>
      <c r="FH125" s="22">
        <f t="shared" si="76"/>
        <v>606.96272626727841</v>
      </c>
      <c r="FI125" s="62">
        <f t="shared" si="77"/>
        <v>900.29605960061167</v>
      </c>
      <c r="FJ125" s="62">
        <f ca="1">AVERAGE(OFFSET($FI$3,0,0,'Données projet'!$E$16+1,1))-AVERAGE(OFFSET($H$3,0,0,'Données projet'!$E$16+1,1))</f>
        <v>456.96274622094955</v>
      </c>
      <c r="FK125" s="62">
        <f t="shared" si="102"/>
        <v>244.45149244446094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projet'!$B$16,Paramètres!$A$1:$I$88,3,0)*0.475*44/12</f>
        <v>0</v>
      </c>
      <c r="FR125" s="23">
        <f>EXP(-LN(2)/25)*FR124+(1-EXP(-LN(2)/25))/(LN(2)/25)*Calculateur!FM125*Calculateur!FO125*VLOOKUP('Données projet'!$B$16,Paramètres!$A$1:$I$88,3,0)*0.475*44/12</f>
        <v>0</v>
      </c>
      <c r="FS125" s="23">
        <f>EXP(-LN(2)/2)*FS124+(1-EXP(-LN(2)/2))/(LN(2)/2)*FM125*FP125*VLOOKUP('Données projet'!$B$16,Paramètres!$A$1:$I$88,3,0)*0.475*44/12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3.4</v>
      </c>
      <c r="FZ125" s="13">
        <f>IF('Données projet'!$A$244&gt;35,FZ124+FY125-GH124,IF(A125&lt;'Données projet'!$A$244,$FW$205^A125,IF(A125='Données projet'!$A$244,'Données projet'!$B$244,FZ124+FY125-GH124)))</f>
        <v>290.79999999999939</v>
      </c>
      <c r="GA125" s="18">
        <f>FZ125*VLOOKUP('Données projet'!$B$17,Paramètres!$A$1:$I$88,3,0)*VLOOKUP('Données projet'!$B$17,Paramètres!$A$1:$I$88,5,0)</f>
        <v>313.01711999999935</v>
      </c>
      <c r="GB125" s="14">
        <f t="shared" si="103"/>
        <v>73.898569287689199</v>
      </c>
      <c r="GC125" s="22">
        <f t="shared" si="79"/>
        <v>673.87815884272425</v>
      </c>
      <c r="GD125" s="62">
        <f t="shared" si="80"/>
        <v>967.21149217605762</v>
      </c>
      <c r="GE125" s="62">
        <f ca="1">AVERAGE(OFFSET($GD$3,0,0,'Données projet'!$E$17+1,1))-AVERAGE(OFFSET($H$3,0,0,'Données projet'!$E$17+1,1))</f>
        <v>503.69304261527651</v>
      </c>
      <c r="GF125" s="62">
        <f t="shared" si="104"/>
        <v>267.2998309535638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projet'!$B$17,Paramètres!$A$1:$I$88,3,0)*0.475*44/12</f>
        <v>0</v>
      </c>
      <c r="GM125" s="23">
        <f>EXP(-LN(2)/25)*GM124+(1-EXP(-LN(2)/25))/(LN(2)/25)*Calculateur!GH125*Calculateur!GJ125*VLOOKUP('Données projet'!$B$17,Paramètres!$A$1:$I$88,3,0)*0.475*44/12</f>
        <v>0</v>
      </c>
      <c r="GN125" s="23">
        <f>EXP(-LN(2)/2)*GN124+(1-EXP(-LN(2)/2))/(LN(2)/2)*GH125*GK125*VLOOKUP('Données projet'!$B$17,Paramètres!$A$1:$I$88,3,0)*0.475*44/12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4.2</v>
      </c>
      <c r="GU125" s="13">
        <f>IF('Données projet'!$A$270&gt;35,GU124+GT125-HC124,IF(A125&lt;'Données projet'!$A$270,$GR$205^A125,IF(A125='Données projet'!$A$270,'Données projet'!$B$270,GU124+GT125-HC124)))</f>
        <v>336.39999999999986</v>
      </c>
      <c r="GV125" s="18">
        <f>GU125*VLOOKUP('Données projet'!$B$18,Paramètres!$A$1:$I$88,3,0)*VLOOKUP('Données projet'!$B$18,Paramètres!$A$1:$I$88,5,0)</f>
        <v>351.60527999999988</v>
      </c>
      <c r="GW125" s="14">
        <f t="shared" si="105"/>
        <v>81.892966978186593</v>
      </c>
      <c r="GX125" s="22">
        <f t="shared" si="82"/>
        <v>755.0094468203414</v>
      </c>
      <c r="GY125" s="62">
        <f t="shared" si="83"/>
        <v>1048.3427801536748</v>
      </c>
      <c r="GZ125" s="62">
        <f ca="1">AVERAGE(OFFSET($GY$3,0,0,'Données projet'!$E$18+1,1))-AVERAGE(OFFSET($H$3,0,0,'Données projet'!$E$18+1,1))</f>
        <v>582.89879210197682</v>
      </c>
      <c r="HA125" s="62">
        <f t="shared" si="106"/>
        <v>314.72094983133326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projet'!$B$18,Paramètres!$A$1:$I$88,3,0)*0.475*44/12</f>
        <v>0</v>
      </c>
      <c r="HH125" s="23">
        <f>EXP(-LN(2)/25)*HH124+(1-EXP(-LN(2)/25))/(LN(2)/25)*Calculateur!HC125*Calculateur!HE125*VLOOKUP('Données projet'!$B$18,Paramètres!$A$1:$I$88,3,0)*0.475*44/12</f>
        <v>0</v>
      </c>
      <c r="HI125" s="23">
        <f>EXP(-LN(2)/2)*HI124+(1-EXP(-LN(2)/2))/(LN(2)/2)*HC125*HF125*VLOOKUP('Données projet'!$B$18,Paramètres!$A$1:$I$88,3,0)*0.475*44/12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projet'!$B$9,Paramètres!$A$1:$I$88,3,0)*VLOOKUP('Données projet'!$B$9,Paramètres!$A$1:$I$88,5,0)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399.92909819003523</v>
      </c>
      <c r="T126" s="62">
        <f t="shared" si="88"/>
        <v>163.7053537268381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340.59999999999985</v>
      </c>
      <c r="AJ126" s="14">
        <f>AI126*VLOOKUP('Données projet'!$B$10,Paramètres!$A$1:$I$88,3,0)*VLOOKUP('Données projet'!$B$10,Paramètres!$A$1:$I$88,5,0)</f>
        <v>308.17487999999986</v>
      </c>
      <c r="AK126" s="14">
        <f t="shared" si="89"/>
        <v>72.887541582684676</v>
      </c>
      <c r="AL126" s="22">
        <f t="shared" si="58"/>
        <v>663.6837175898421</v>
      </c>
      <c r="AM126" s="62">
        <f t="shared" si="59"/>
        <v>957.01705092317547</v>
      </c>
      <c r="AN126" s="62">
        <f ca="1">AVERAGE(OFFSET($AM$3,0,0,'Données projet'!$E$10+1,1))-AVERAGE(OFFSET($H$3,0,0,'Données projet'!$E$10+1,1))</f>
        <v>510.56580450928806</v>
      </c>
      <c r="AO126" s="62">
        <f t="shared" si="90"/>
        <v>278.21741231699929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-5.1159076974727213E-13</v>
      </c>
      <c r="BE126" s="14">
        <f>BD126*VLOOKUP('Données projet'!$B$11,Paramètres!$A$1:$I$88,3,0)*VLOOKUP('Données projet'!$B$11,Paramètres!$A$1:$I$88,5,0)</f>
        <v>-4.8682977649150421E-13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525.51330555662139</v>
      </c>
      <c r="BJ126" s="62">
        <f t="shared" si="92"/>
        <v>357.72390083433635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1.7053025658242404E-13</v>
      </c>
      <c r="BZ126" s="14">
        <f>BY126*VLOOKUP('Données projet'!$B$12,Paramètres!$A$1:$I$88,3,0)*VLOOKUP('Données projet'!$B$12,Paramètres!$A$1:$I$88,5,0)</f>
        <v>1.0197709343628959E-13</v>
      </c>
      <c r="CA126" s="14">
        <f t="shared" si="93"/>
        <v>1.5284983994279675E-12</v>
      </c>
      <c r="CB126" s="22">
        <f t="shared" si="64"/>
        <v>2.839744816738581E-12</v>
      </c>
      <c r="CC126" s="62">
        <f t="shared" si="65"/>
        <v>293.33333333333616</v>
      </c>
      <c r="CD126" s="62">
        <f ca="1">AVERAGE(OFFSET($CC$3,0,0,'Données projet'!$E$12+1,1))-AVERAGE(OFFSET($H$3,0,0,'Données projet'!$E$12+1,1))</f>
        <v>227.46616726010473</v>
      </c>
      <c r="CE126" s="62">
        <f t="shared" si="94"/>
        <v>314.188568589113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19.07570338670801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1.3968721842973596E-10</v>
      </c>
      <c r="CN126" s="24">
        <f t="shared" si="66"/>
        <v>19.075703386847696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projet'!$B$13,Paramètres!$A$1:$I$88,3,0)*VLOOKUP('Données projet'!$B$13,Paramètres!$A$1:$I$88,5,0)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356.46794174556311</v>
      </c>
      <c r="CZ126" s="62">
        <f t="shared" si="96"/>
        <v>248.47107558211923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0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projet'!$B$14,Paramètres!$A$1:$I$88,3,0)*VLOOKUP('Données projet'!$B$14,Paramètres!$A$1:$I$88,5,0)</f>
        <v>6.3550942286383367E-14</v>
      </c>
      <c r="DQ126" s="14">
        <f t="shared" si="97"/>
        <v>1.0064464192543978E-12</v>
      </c>
      <c r="DR126" s="22">
        <f t="shared" si="70"/>
        <v>1.8635787380168604E-12</v>
      </c>
      <c r="DS126" s="62">
        <f t="shared" si="71"/>
        <v>293.33333333333519</v>
      </c>
      <c r="DT126" s="62">
        <f ca="1">AVERAGE(OFFSET($DS$3,0,0,'Données projet'!$E$14+1,1))-AVERAGE(OFFSET($H$3,0,0,'Données projet'!$E$14+1,1))</f>
        <v>397.04445188588369</v>
      </c>
      <c r="DU126" s="62">
        <f t="shared" si="98"/>
        <v>350.01856672839466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0.79548392269190515</v>
      </c>
      <c r="EB126" s="23">
        <f>EXP(-LN(2)/25)*EB125+(1-EXP(-LN(2)/25))/(LN(2)/25)*Calculateur!DW126*Calculateur!DY126*VLOOKUP('Données projet'!$B$14,Paramètres!$A$1:$I$88,3,0)*0.475*44/12</f>
        <v>0</v>
      </c>
      <c r="EC126" s="23">
        <f>EXP(-LN(2)/2)*EC125+(1-EXP(-LN(2)/2))/(LN(2)/2)*DW126*DZ126*VLOOKUP('Données projet'!$B$14,Paramètres!$A$1:$I$88,3,0)*0.475*44/12</f>
        <v>1.6281428787689893E-13</v>
      </c>
      <c r="ED126" s="24">
        <f t="shared" si="72"/>
        <v>0.79548392269206802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-1.9895196601282805E-13</v>
      </c>
      <c r="EK126" s="18">
        <f>EJ126*VLOOKUP('Données projet'!$B$15,Paramètres!$A$1:$I$88,3,0)*VLOOKUP('Données projet'!$B$15,Paramètres!$A$1:$I$88,5,0)</f>
        <v>-1.738044375088066E-13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202.5548390231225</v>
      </c>
      <c r="EP126" s="62">
        <f t="shared" si="100"/>
        <v>184.62184077734179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projet'!$B$15,Paramètres!$A$1:$I$88,3,0)*0.475*44/12</f>
        <v>0</v>
      </c>
      <c r="EW126" s="23">
        <f>EXP(-LN(2)/25)*EW125+(1-EXP(-LN(2)/25))/(LN(2)/25)*Calculateur!ER126*Calculateur!ET126*VLOOKUP('Données projet'!$B$15,Paramètres!$A$1:$I$88,3,0)*0.475*44/12</f>
        <v>0</v>
      </c>
      <c r="EX126" s="23">
        <f>EXP(-LN(2)/2)*EX125+(1-EXP(-LN(2)/2))/(LN(2)/2)*ER126*EU126*VLOOKUP('Données projet'!$B$15,Paramètres!$A$1:$I$88,3,0)*0.475*44/12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3.4</v>
      </c>
      <c r="FE126" s="13">
        <f>IF('Données projet'!$A$218&gt;35,FE125+FD126-FM125,IF(A126&lt;'Données projet'!$A$218,$FB$205^A126,IF(A126='Données projet'!$A$218,'Données projet'!$B$218,FE125+FD126-FM125)))</f>
        <v>294.19999999999936</v>
      </c>
      <c r="FF126" s="18">
        <f>FE126*VLOOKUP('Données projet'!$B$16,Paramètres!$A$1:$I$88,3,0)*VLOOKUP('Données projet'!$B$16,Paramètres!$A$1:$I$88,5,0)</f>
        <v>284.55023999999941</v>
      </c>
      <c r="FG126" s="14">
        <f t="shared" si="101"/>
        <v>67.927701372388441</v>
      </c>
      <c r="FH126" s="22">
        <f t="shared" si="76"/>
        <v>613.89908122357554</v>
      </c>
      <c r="FI126" s="62">
        <f t="shared" si="77"/>
        <v>907.23241455690891</v>
      </c>
      <c r="FJ126" s="62">
        <f ca="1">AVERAGE(OFFSET($FI$3,0,0,'Données projet'!$E$16+1,1))-AVERAGE(OFFSET($H$3,0,0,'Données projet'!$E$16+1,1))</f>
        <v>456.96274622094955</v>
      </c>
      <c r="FK126" s="62">
        <f t="shared" si="102"/>
        <v>244.45149244446094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projet'!$B$16,Paramètres!$A$1:$I$88,3,0)*0.475*44/12</f>
        <v>0</v>
      </c>
      <c r="FR126" s="23">
        <f>EXP(-LN(2)/25)*FR125+(1-EXP(-LN(2)/25))/(LN(2)/25)*Calculateur!FM126*Calculateur!FO126*VLOOKUP('Données projet'!$B$16,Paramètres!$A$1:$I$88,3,0)*0.475*44/12</f>
        <v>0</v>
      </c>
      <c r="FS126" s="23">
        <f>EXP(-LN(2)/2)*FS125+(1-EXP(-LN(2)/2))/(LN(2)/2)*FM126*FP126*VLOOKUP('Données projet'!$B$16,Paramètres!$A$1:$I$88,3,0)*0.475*44/12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3.4</v>
      </c>
      <c r="FZ126" s="13">
        <f>IF('Données projet'!$A$244&gt;35,FZ125+FY126-GH125,IF(A126&lt;'Données projet'!$A$244,$FW$205^A126,IF(A126='Données projet'!$A$244,'Données projet'!$B$244,FZ125+FY126-GH125)))</f>
        <v>294.19999999999936</v>
      </c>
      <c r="GA126" s="18">
        <f>FZ126*VLOOKUP('Données projet'!$B$17,Paramètres!$A$1:$I$88,3,0)*VLOOKUP('Données projet'!$B$17,Paramètres!$A$1:$I$88,5,0)</f>
        <v>316.6768799999993</v>
      </c>
      <c r="GB126" s="14">
        <f t="shared" si="103"/>
        <v>74.661494394575769</v>
      </c>
      <c r="GC126" s="22">
        <f t="shared" si="79"/>
        <v>681.58100207055156</v>
      </c>
      <c r="GD126" s="62">
        <f t="shared" si="80"/>
        <v>974.91433540388493</v>
      </c>
      <c r="GE126" s="62">
        <f ca="1">AVERAGE(OFFSET($GD$3,0,0,'Données projet'!$E$17+1,1))-AVERAGE(OFFSET($H$3,0,0,'Données projet'!$E$17+1,1))</f>
        <v>503.69304261527651</v>
      </c>
      <c r="GF126" s="62">
        <f t="shared" si="104"/>
        <v>267.2998309535638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projet'!$B$17,Paramètres!$A$1:$I$88,3,0)*0.475*44/12</f>
        <v>0</v>
      </c>
      <c r="GM126" s="23">
        <f>EXP(-LN(2)/25)*GM125+(1-EXP(-LN(2)/25))/(LN(2)/25)*Calculateur!GH126*Calculateur!GJ126*VLOOKUP('Données projet'!$B$17,Paramètres!$A$1:$I$88,3,0)*0.475*44/12</f>
        <v>0</v>
      </c>
      <c r="GN126" s="23">
        <f>EXP(-LN(2)/2)*GN125+(1-EXP(-LN(2)/2))/(LN(2)/2)*GH126*GK126*VLOOKUP('Données projet'!$B$17,Paramètres!$A$1:$I$88,3,0)*0.475*44/12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4.2</v>
      </c>
      <c r="GU126" s="13">
        <f>IF('Données projet'!$A$270&gt;35,GU125+GT126-HC125,IF(A126&lt;'Données projet'!$A$270,$GR$205^A126,IF(A126='Données projet'!$A$270,'Données projet'!$B$270,GU125+GT126-HC125)))</f>
        <v>340.59999999999985</v>
      </c>
      <c r="GV126" s="18">
        <f>GU126*VLOOKUP('Données projet'!$B$18,Paramètres!$A$1:$I$88,3,0)*VLOOKUP('Données projet'!$B$18,Paramètres!$A$1:$I$88,5,0)</f>
        <v>355.99511999999987</v>
      </c>
      <c r="GW126" s="14">
        <f t="shared" si="105"/>
        <v>82.795745848350293</v>
      </c>
      <c r="GX126" s="22">
        <f t="shared" si="82"/>
        <v>764.22742468587649</v>
      </c>
      <c r="GY126" s="62">
        <f t="shared" si="83"/>
        <v>1057.5607580192097</v>
      </c>
      <c r="GZ126" s="62">
        <f ca="1">AVERAGE(OFFSET($GY$3,0,0,'Données projet'!$E$18+1,1))-AVERAGE(OFFSET($H$3,0,0,'Données projet'!$E$18+1,1))</f>
        <v>582.89879210197682</v>
      </c>
      <c r="HA126" s="62">
        <f t="shared" si="106"/>
        <v>314.72094983133326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projet'!$B$18,Paramètres!$A$1:$I$88,3,0)*0.475*44/12</f>
        <v>0</v>
      </c>
      <c r="HH126" s="23">
        <f>EXP(-LN(2)/25)*HH125+(1-EXP(-LN(2)/25))/(LN(2)/25)*Calculateur!HC126*Calculateur!HE126*VLOOKUP('Données projet'!$B$18,Paramètres!$A$1:$I$88,3,0)*0.475*44/12</f>
        <v>0</v>
      </c>
      <c r="HI126" s="23">
        <f>EXP(-LN(2)/2)*HI125+(1-EXP(-LN(2)/2))/(LN(2)/2)*HC126*HF126*VLOOKUP('Données projet'!$B$18,Paramètres!$A$1:$I$88,3,0)*0.475*44/12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projet'!$B$9,Paramètres!$A$1:$I$88,3,0)*VLOOKUP('Données projet'!$B$9,Paramètres!$A$1:$I$88,5,0)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399.92909819003523</v>
      </c>
      <c r="T127" s="62">
        <f t="shared" si="88"/>
        <v>163.7053537268381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344.79999999999984</v>
      </c>
      <c r="AJ127" s="14">
        <f>AI127*VLOOKUP('Données projet'!$B$10,Paramètres!$A$1:$I$88,3,0)*VLOOKUP('Données projet'!$B$10,Paramètres!$A$1:$I$88,5,0)</f>
        <v>311.97503999999986</v>
      </c>
      <c r="AK127" s="14">
        <f t="shared" si="89"/>
        <v>73.681144552074599</v>
      </c>
      <c r="AL127" s="22">
        <f t="shared" si="58"/>
        <v>671.68452142819626</v>
      </c>
      <c r="AM127" s="62">
        <f t="shared" si="59"/>
        <v>965.01785476152963</v>
      </c>
      <c r="AN127" s="62">
        <f ca="1">AVERAGE(OFFSET($AM$3,0,0,'Données projet'!$E$10+1,1))-AVERAGE(OFFSET($H$3,0,0,'Données projet'!$E$10+1,1))</f>
        <v>510.56580450928806</v>
      </c>
      <c r="AO127" s="62">
        <f t="shared" si="90"/>
        <v>278.21741231699929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-5.1159076974727213E-13</v>
      </c>
      <c r="BE127" s="14">
        <f>BD127*VLOOKUP('Données projet'!$B$11,Paramètres!$A$1:$I$88,3,0)*VLOOKUP('Données projet'!$B$11,Paramètres!$A$1:$I$88,5,0)</f>
        <v>-4.8682977649150421E-13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525.51330555662139</v>
      </c>
      <c r="BJ127" s="62">
        <f t="shared" si="92"/>
        <v>357.72390083433635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1.7053025658242404E-13</v>
      </c>
      <c r="BZ127" s="14">
        <f>BY127*VLOOKUP('Données projet'!$B$12,Paramètres!$A$1:$I$88,3,0)*VLOOKUP('Données projet'!$B$12,Paramètres!$A$1:$I$88,5,0)</f>
        <v>1.0197709343628959E-13</v>
      </c>
      <c r="CA127" s="14">
        <f t="shared" si="93"/>
        <v>1.5284983994279675E-12</v>
      </c>
      <c r="CB127" s="22">
        <f t="shared" si="64"/>
        <v>2.839744816738581E-12</v>
      </c>
      <c r="CC127" s="62">
        <f t="shared" si="65"/>
        <v>293.33333333333616</v>
      </c>
      <c r="CD127" s="62">
        <f ca="1">AVERAGE(OFFSET($CC$3,0,0,'Données projet'!$E$12+1,1))-AVERAGE(OFFSET($H$3,0,0,'Données projet'!$E$12+1,1))</f>
        <v>227.46616726010473</v>
      </c>
      <c r="CE127" s="62">
        <f t="shared" si="94"/>
        <v>314.188568589113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18.701640478324869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9.8773779396752776E-11</v>
      </c>
      <c r="CN127" s="24">
        <f t="shared" si="66"/>
        <v>18.701640478423641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projet'!$B$13,Paramètres!$A$1:$I$88,3,0)*VLOOKUP('Données projet'!$B$13,Paramètres!$A$1:$I$88,5,0)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356.46794174556311</v>
      </c>
      <c r="CZ127" s="62">
        <f t="shared" si="96"/>
        <v>248.47107558211923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0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projet'!$B$14,Paramètres!$A$1:$I$88,3,0)*VLOOKUP('Données projet'!$B$14,Paramètres!$A$1:$I$88,5,0)</f>
        <v>6.3550942286383367E-14</v>
      </c>
      <c r="DQ127" s="14">
        <f t="shared" si="97"/>
        <v>1.0064464192543978E-12</v>
      </c>
      <c r="DR127" s="22">
        <f t="shared" si="70"/>
        <v>1.8635787380168604E-12</v>
      </c>
      <c r="DS127" s="62">
        <f t="shared" si="71"/>
        <v>293.33333333333519</v>
      </c>
      <c r="DT127" s="62">
        <f ca="1">AVERAGE(OFFSET($DS$3,0,0,'Données projet'!$E$14+1,1))-AVERAGE(OFFSET($H$3,0,0,'Données projet'!$E$14+1,1))</f>
        <v>397.04445188588369</v>
      </c>
      <c r="DU127" s="62">
        <f t="shared" si="98"/>
        <v>350.01856672839466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0.77988496816520048</v>
      </c>
      <c r="EB127" s="23">
        <f>EXP(-LN(2)/25)*EB126+(1-EXP(-LN(2)/25))/(LN(2)/25)*Calculateur!DW127*Calculateur!DY127*VLOOKUP('Données projet'!$B$14,Paramètres!$A$1:$I$88,3,0)*0.475*44/12</f>
        <v>0</v>
      </c>
      <c r="EC127" s="23">
        <f>EXP(-LN(2)/2)*EC126+(1-EXP(-LN(2)/2))/(LN(2)/2)*DW127*DZ127*VLOOKUP('Données projet'!$B$14,Paramètres!$A$1:$I$88,3,0)*0.475*44/12</f>
        <v>1.1512708703181393E-13</v>
      </c>
      <c r="ED127" s="24">
        <f t="shared" si="72"/>
        <v>0.77988496816531561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-1.9895196601282805E-13</v>
      </c>
      <c r="EK127" s="18">
        <f>EJ127*VLOOKUP('Données projet'!$B$15,Paramètres!$A$1:$I$88,3,0)*VLOOKUP('Données projet'!$B$15,Paramètres!$A$1:$I$88,5,0)</f>
        <v>-1.738044375088066E-13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202.5548390231225</v>
      </c>
      <c r="EP127" s="62">
        <f t="shared" si="100"/>
        <v>184.62184077734179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projet'!$B$15,Paramètres!$A$1:$I$88,3,0)*0.475*44/12</f>
        <v>0</v>
      </c>
      <c r="EW127" s="23">
        <f>EXP(-LN(2)/25)*EW126+(1-EXP(-LN(2)/25))/(LN(2)/25)*Calculateur!ER127*Calculateur!ET127*VLOOKUP('Données projet'!$B$15,Paramètres!$A$1:$I$88,3,0)*0.475*44/12</f>
        <v>0</v>
      </c>
      <c r="EX127" s="23">
        <f>EXP(-LN(2)/2)*EX126+(1-EXP(-LN(2)/2))/(LN(2)/2)*ER127*EU127*VLOOKUP('Données projet'!$B$15,Paramètres!$A$1:$I$88,3,0)*0.475*44/12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3.4</v>
      </c>
      <c r="FE127" s="13">
        <f>IF('Données projet'!$A$218&gt;35,FE126+FD127-FM126,IF(A127&lt;'Données projet'!$A$218,$FB$205^A127,IF(A127='Données projet'!$A$218,'Données projet'!$B$218,FE126+FD127-FM126)))</f>
        <v>297.59999999999934</v>
      </c>
      <c r="FF127" s="18">
        <f>FE127*VLOOKUP('Données projet'!$B$16,Paramètres!$A$1:$I$88,3,0)*VLOOKUP('Données projet'!$B$16,Paramètres!$A$1:$I$88,5,0)</f>
        <v>287.8387199999994</v>
      </c>
      <c r="FG127" s="14">
        <f t="shared" si="101"/>
        <v>68.620884395190174</v>
      </c>
      <c r="FH127" s="22">
        <f t="shared" si="76"/>
        <v>620.83381098828852</v>
      </c>
      <c r="FI127" s="62">
        <f t="shared" si="77"/>
        <v>914.16714432162189</v>
      </c>
      <c r="FJ127" s="62">
        <f ca="1">AVERAGE(OFFSET($FI$3,0,0,'Données projet'!$E$16+1,1))-AVERAGE(OFFSET($H$3,0,0,'Données projet'!$E$16+1,1))</f>
        <v>456.96274622094955</v>
      </c>
      <c r="FK127" s="62">
        <f t="shared" si="102"/>
        <v>244.45149244446094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projet'!$B$16,Paramètres!$A$1:$I$88,3,0)*0.475*44/12</f>
        <v>0</v>
      </c>
      <c r="FR127" s="23">
        <f>EXP(-LN(2)/25)*FR126+(1-EXP(-LN(2)/25))/(LN(2)/25)*Calculateur!FM127*Calculateur!FO127*VLOOKUP('Données projet'!$B$16,Paramètres!$A$1:$I$88,3,0)*0.475*44/12</f>
        <v>0</v>
      </c>
      <c r="FS127" s="23">
        <f>EXP(-LN(2)/2)*FS126+(1-EXP(-LN(2)/2))/(LN(2)/2)*FM127*FP127*VLOOKUP('Données projet'!$B$16,Paramètres!$A$1:$I$88,3,0)*0.475*44/12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3.4</v>
      </c>
      <c r="FZ127" s="13">
        <f>IF('Données projet'!$A$244&gt;35,FZ126+FY127-GH126,IF(A127&lt;'Données projet'!$A$244,$FW$205^A127,IF(A127='Données projet'!$A$244,'Données projet'!$B$244,FZ126+FY127-GH126)))</f>
        <v>297.59999999999934</v>
      </c>
      <c r="GA127" s="18">
        <f>FZ127*VLOOKUP('Données projet'!$B$17,Paramètres!$A$1:$I$88,3,0)*VLOOKUP('Données projet'!$B$17,Paramètres!$A$1:$I$88,5,0)</f>
        <v>320.33663999999931</v>
      </c>
      <c r="GB127" s="14">
        <f t="shared" si="103"/>
        <v>75.423393874842361</v>
      </c>
      <c r="GC127" s="22">
        <f t="shared" si="79"/>
        <v>689.2820589986826</v>
      </c>
      <c r="GD127" s="62">
        <f t="shared" si="80"/>
        <v>982.61539233201597</v>
      </c>
      <c r="GE127" s="62">
        <f ca="1">AVERAGE(OFFSET($GD$3,0,0,'Données projet'!$E$17+1,1))-AVERAGE(OFFSET($H$3,0,0,'Données projet'!$E$17+1,1))</f>
        <v>503.69304261527651</v>
      </c>
      <c r="GF127" s="62">
        <f t="shared" si="104"/>
        <v>267.2998309535638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projet'!$B$17,Paramètres!$A$1:$I$88,3,0)*0.475*44/12</f>
        <v>0</v>
      </c>
      <c r="GM127" s="23">
        <f>EXP(-LN(2)/25)*GM126+(1-EXP(-LN(2)/25))/(LN(2)/25)*Calculateur!GH127*Calculateur!GJ127*VLOOKUP('Données projet'!$B$17,Paramètres!$A$1:$I$88,3,0)*0.475*44/12</f>
        <v>0</v>
      </c>
      <c r="GN127" s="23">
        <f>EXP(-LN(2)/2)*GN126+(1-EXP(-LN(2)/2))/(LN(2)/2)*GH127*GK127*VLOOKUP('Données projet'!$B$17,Paramètres!$A$1:$I$88,3,0)*0.475*44/12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4.2</v>
      </c>
      <c r="GU127" s="13">
        <f>IF('Données projet'!$A$270&gt;35,GU126+GT127-HC126,IF(A127&lt;'Données projet'!$A$270,$GR$205^A127,IF(A127='Données projet'!$A$270,'Données projet'!$B$270,GU126+GT127-HC126)))</f>
        <v>344.79999999999984</v>
      </c>
      <c r="GV127" s="18">
        <f>GU127*VLOOKUP('Données projet'!$B$18,Paramètres!$A$1:$I$88,3,0)*VLOOKUP('Données projet'!$B$18,Paramètres!$A$1:$I$88,5,0)</f>
        <v>360.38495999999986</v>
      </c>
      <c r="GW127" s="14">
        <f t="shared" si="105"/>
        <v>83.697229810236436</v>
      </c>
      <c r="GX127" s="22">
        <f t="shared" si="82"/>
        <v>773.44314725282811</v>
      </c>
      <c r="GY127" s="62">
        <f t="shared" si="83"/>
        <v>1066.7764805861614</v>
      </c>
      <c r="GZ127" s="62">
        <f ca="1">AVERAGE(OFFSET($GY$3,0,0,'Données projet'!$E$18+1,1))-AVERAGE(OFFSET($H$3,0,0,'Données projet'!$E$18+1,1))</f>
        <v>582.89879210197682</v>
      </c>
      <c r="HA127" s="62">
        <f t="shared" si="106"/>
        <v>314.72094983133326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projet'!$B$18,Paramètres!$A$1:$I$88,3,0)*0.475*44/12</f>
        <v>0</v>
      </c>
      <c r="HH127" s="23">
        <f>EXP(-LN(2)/25)*HH126+(1-EXP(-LN(2)/25))/(LN(2)/25)*Calculateur!HC127*Calculateur!HE127*VLOOKUP('Données projet'!$B$18,Paramètres!$A$1:$I$88,3,0)*0.475*44/12</f>
        <v>0</v>
      </c>
      <c r="HI127" s="23">
        <f>EXP(-LN(2)/2)*HI126+(1-EXP(-LN(2)/2))/(LN(2)/2)*HC127*HF127*VLOOKUP('Données projet'!$B$18,Paramètres!$A$1:$I$88,3,0)*0.475*44/12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projet'!$B$9,Paramètres!$A$1:$I$88,3,0)*VLOOKUP('Données projet'!$B$9,Paramètres!$A$1:$I$88,5,0)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399.92909819003523</v>
      </c>
      <c r="T128" s="62">
        <f t="shared" si="88"/>
        <v>163.7053537268381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349</v>
      </c>
      <c r="AG128" s="13">
        <f>VLOOKUP(A128,'Données projet'!$A$61:$I$81,9,0)</f>
        <v>4.2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348.99999999999983</v>
      </c>
      <c r="AJ128" s="14">
        <f>AI128*VLOOKUP('Données projet'!$B$10,Paramètres!$A$1:$I$88,3,0)*VLOOKUP('Données projet'!$B$10,Paramètres!$A$1:$I$88,5,0)</f>
        <v>315.77519999999981</v>
      </c>
      <c r="AK128" s="14">
        <f t="shared" si="89"/>
        <v>74.473623067174003</v>
      </c>
      <c r="AL128" s="22">
        <f t="shared" si="58"/>
        <v>679.68336684199437</v>
      </c>
      <c r="AM128" s="62">
        <f t="shared" si="59"/>
        <v>973.01670017532774</v>
      </c>
      <c r="AN128" s="62">
        <f ca="1">AVERAGE(OFFSET($AM$3,0,0,'Données projet'!$E$10+1,1))-AVERAGE(OFFSET($H$3,0,0,'Données projet'!$E$10+1,1))</f>
        <v>510.56580450928806</v>
      </c>
      <c r="AO128" s="62">
        <f t="shared" si="90"/>
        <v>278.21741231699929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45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-5.1159076974727213E-13</v>
      </c>
      <c r="BE128" s="14">
        <f>BD128*VLOOKUP('Données projet'!$B$11,Paramètres!$A$1:$I$88,3,0)*VLOOKUP('Données projet'!$B$11,Paramètres!$A$1:$I$88,5,0)</f>
        <v>-4.8682977649150421E-13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525.51330555662139</v>
      </c>
      <c r="BJ128" s="62">
        <f t="shared" si="92"/>
        <v>357.72390083433635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1.7053025658242404E-13</v>
      </c>
      <c r="BZ128" s="14">
        <f>BY128*VLOOKUP('Données projet'!$B$12,Paramètres!$A$1:$I$88,3,0)*VLOOKUP('Données projet'!$B$12,Paramètres!$A$1:$I$88,5,0)</f>
        <v>1.0197709343628959E-13</v>
      </c>
      <c r="CA128" s="14">
        <f t="shared" si="93"/>
        <v>1.5284983994279675E-12</v>
      </c>
      <c r="CB128" s="22">
        <f t="shared" si="64"/>
        <v>2.839744816738581E-12</v>
      </c>
      <c r="CC128" s="62">
        <f t="shared" si="65"/>
        <v>293.33333333333616</v>
      </c>
      <c r="CD128" s="62">
        <f ca="1">AVERAGE(OFFSET($CC$3,0,0,'Données projet'!$E$12+1,1))-AVERAGE(OFFSET($H$3,0,0,'Données projet'!$E$12+1,1))</f>
        <v>227.46616726010473</v>
      </c>
      <c r="CE128" s="62">
        <f t="shared" si="94"/>
        <v>314.188568589113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18.334912715419275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6.9843609214867981E-11</v>
      </c>
      <c r="CN128" s="24">
        <f t="shared" si="66"/>
        <v>18.334912715489118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projet'!$B$13,Paramètres!$A$1:$I$88,3,0)*VLOOKUP('Données projet'!$B$13,Paramètres!$A$1:$I$88,5,0)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356.46794174556311</v>
      </c>
      <c r="CZ128" s="62">
        <f t="shared" si="96"/>
        <v>248.47107558211923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0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projet'!$B$14,Paramètres!$A$1:$I$88,3,0)*VLOOKUP('Données projet'!$B$14,Paramètres!$A$1:$I$88,5,0)</f>
        <v>6.3550942286383367E-14</v>
      </c>
      <c r="DQ128" s="14">
        <f t="shared" si="97"/>
        <v>1.0064464192543978E-12</v>
      </c>
      <c r="DR128" s="22">
        <f t="shared" si="70"/>
        <v>1.8635787380168604E-12</v>
      </c>
      <c r="DS128" s="62">
        <f t="shared" si="71"/>
        <v>293.33333333333519</v>
      </c>
      <c r="DT128" s="62">
        <f ca="1">AVERAGE(OFFSET($DS$3,0,0,'Données projet'!$E$14+1,1))-AVERAGE(OFFSET($H$3,0,0,'Données projet'!$E$14+1,1))</f>
        <v>397.04445188588369</v>
      </c>
      <c r="DU128" s="62">
        <f t="shared" si="98"/>
        <v>350.01856672839466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0.76459189962234164</v>
      </c>
      <c r="EB128" s="23">
        <f>EXP(-LN(2)/25)*EB127+(1-EXP(-LN(2)/25))/(LN(2)/25)*Calculateur!DW128*Calculateur!DY128*VLOOKUP('Données projet'!$B$14,Paramètres!$A$1:$I$88,3,0)*0.475*44/12</f>
        <v>0</v>
      </c>
      <c r="EC128" s="23">
        <f>EXP(-LN(2)/2)*EC127+(1-EXP(-LN(2)/2))/(LN(2)/2)*DW128*DZ128*VLOOKUP('Données projet'!$B$14,Paramètres!$A$1:$I$88,3,0)*0.475*44/12</f>
        <v>8.1407143938449463E-14</v>
      </c>
      <c r="ED128" s="24">
        <f t="shared" si="72"/>
        <v>0.76459189962242302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-1.9895196601282805E-13</v>
      </c>
      <c r="EK128" s="18">
        <f>EJ128*VLOOKUP('Données projet'!$B$15,Paramètres!$A$1:$I$88,3,0)*VLOOKUP('Données projet'!$B$15,Paramètres!$A$1:$I$88,5,0)</f>
        <v>-1.738044375088066E-13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202.5548390231225</v>
      </c>
      <c r="EP128" s="62">
        <f t="shared" si="100"/>
        <v>184.62184077734179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projet'!$B$15,Paramètres!$A$1:$I$88,3,0)*0.475*44/12</f>
        <v>0</v>
      </c>
      <c r="EW128" s="23">
        <f>EXP(-LN(2)/25)*EW127+(1-EXP(-LN(2)/25))/(LN(2)/25)*Calculateur!ER128*Calculateur!ET128*VLOOKUP('Données projet'!$B$15,Paramètres!$A$1:$I$88,3,0)*0.475*44/12</f>
        <v>0</v>
      </c>
      <c r="EX128" s="23">
        <f>EXP(-LN(2)/2)*EX127+(1-EXP(-LN(2)/2))/(LN(2)/2)*ER128*EU128*VLOOKUP('Données projet'!$B$15,Paramètres!$A$1:$I$88,3,0)*0.475*44/12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>
        <f>VLOOKUP(A128,'Données projet'!$A$217:$I$237,2,0)</f>
        <v>301</v>
      </c>
      <c r="FC128" s="13">
        <f>VLOOKUP(A128,'Données projet'!$A$217:$I$237,9,0)</f>
        <v>3.4</v>
      </c>
      <c r="FD128" s="13">
        <f t="array" ref="FD128">INDEX(FC:FC,MIN(IF(ISNUMBER(FC128:FC324),ROW(FC128:FC324),"")))</f>
        <v>3.4</v>
      </c>
      <c r="FE128" s="13">
        <f>IF('Données projet'!$A$218&gt;35,FE127+FD128-FM127,IF(A128&lt;'Données projet'!$A$218,$FB$205^A128,IF(A128='Données projet'!$A$218,'Données projet'!$B$218,FE127+FD128-FM127)))</f>
        <v>300.99999999999932</v>
      </c>
      <c r="FF128" s="18">
        <f>FE128*VLOOKUP('Données projet'!$B$16,Paramètres!$A$1:$I$88,3,0)*VLOOKUP('Données projet'!$B$16,Paramètres!$A$1:$I$88,5,0)</f>
        <v>291.12719999999933</v>
      </c>
      <c r="FG128" s="14">
        <f t="shared" si="101"/>
        <v>69.313146187847238</v>
      </c>
      <c r="FH128" s="22">
        <f t="shared" si="76"/>
        <v>627.766936277166</v>
      </c>
      <c r="FI128" s="62">
        <f t="shared" si="77"/>
        <v>921.10026961049925</v>
      </c>
      <c r="FJ128" s="62">
        <f ca="1">AVERAGE(OFFSET($FI$3,0,0,'Données projet'!$E$16+1,1))-AVERAGE(OFFSET($H$3,0,0,'Données projet'!$E$16+1,1))</f>
        <v>456.96274622094955</v>
      </c>
      <c r="FK128" s="62">
        <f t="shared" si="102"/>
        <v>244.45149244446094</v>
      </c>
      <c r="FL128" s="16">
        <f>IF(ISNA(VLOOKUP(A128,'Données projet'!$A$217:$I$237,3,0)),0,VLOOKUP(A128,'Données projet'!$A$217:$I$237,3,0))</f>
        <v>11</v>
      </c>
      <c r="FM128" s="16">
        <f>IF(ISNA(VLOOKUP(A128,'Données projet'!$A$217:$I$237,4,0)),0,VLOOKUP(A128,'Données projet'!$A$217:$I$237,4,0))</f>
        <v>33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projet'!$B$16,Paramètres!$A$1:$I$88,3,0)*0.475*44/12</f>
        <v>0</v>
      </c>
      <c r="FR128" s="23">
        <f>EXP(-LN(2)/25)*FR127+(1-EXP(-LN(2)/25))/(LN(2)/25)*Calculateur!FM128*Calculateur!FO128*VLOOKUP('Données projet'!$B$16,Paramètres!$A$1:$I$88,3,0)*0.475*44/12</f>
        <v>0</v>
      </c>
      <c r="FS128" s="23">
        <f>EXP(-LN(2)/2)*FS127+(1-EXP(-LN(2)/2))/(LN(2)/2)*FM128*FP128*VLOOKUP('Données projet'!$B$16,Paramètres!$A$1:$I$88,3,0)*0.475*44/12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>
        <f>VLOOKUP(A128,'Données projet'!$A$243:$I$263,2,0)</f>
        <v>301</v>
      </c>
      <c r="FX128" s="13">
        <f>VLOOKUP(A128,'Données projet'!$A$243:$I$263,9,0)</f>
        <v>3.4</v>
      </c>
      <c r="FY128" s="13">
        <f t="array" ref="FY128">INDEX(FX:FX,MIN(IF(ISNUMBER(FX128:FX324),ROW(FX128:FX324),"")))</f>
        <v>3.4</v>
      </c>
      <c r="FZ128" s="13">
        <f>IF('Données projet'!$A$244&gt;35,FZ127+FY128-GH127,IF(A128&lt;'Données projet'!$A$244,$FW$205^A128,IF(A128='Données projet'!$A$244,'Données projet'!$B$244,FZ127+FY128-GH127)))</f>
        <v>300.99999999999932</v>
      </c>
      <c r="GA128" s="18">
        <f>FZ128*VLOOKUP('Données projet'!$B$17,Paramètres!$A$1:$I$88,3,0)*VLOOKUP('Données projet'!$B$17,Paramètres!$A$1:$I$88,5,0)</f>
        <v>323.99639999999926</v>
      </c>
      <c r="GB128" s="14">
        <f t="shared" si="103"/>
        <v>76.184280801792809</v>
      </c>
      <c r="GC128" s="22">
        <f t="shared" si="79"/>
        <v>696.98135239645444</v>
      </c>
      <c r="GD128" s="62">
        <f t="shared" si="80"/>
        <v>990.3146857297877</v>
      </c>
      <c r="GE128" s="62">
        <f ca="1">AVERAGE(OFFSET($GD$3,0,0,'Données projet'!$E$17+1,1))-AVERAGE(OFFSET($H$3,0,0,'Données projet'!$E$17+1,1))</f>
        <v>503.69304261527651</v>
      </c>
      <c r="GF128" s="62">
        <f t="shared" si="104"/>
        <v>267.2998309535638</v>
      </c>
      <c r="GG128" s="16">
        <f>IF(ISNA(VLOOKUP(A128,'Données projet'!$A$243:$I$263,3,0)),0,VLOOKUP(A128,'Données projet'!$A$243:$I$263,3,0))</f>
        <v>11</v>
      </c>
      <c r="GH128" s="16">
        <f>IF(ISNA(VLOOKUP(A128,'Données projet'!$A$243:$I$263,4,0)),0,VLOOKUP(A128,'Données projet'!$A$243:$I$263,4,0))</f>
        <v>33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projet'!$B$17,Paramètres!$A$1:$I$88,3,0)*0.475*44/12</f>
        <v>0</v>
      </c>
      <c r="GM128" s="23">
        <f>EXP(-LN(2)/25)*GM127+(1-EXP(-LN(2)/25))/(LN(2)/25)*Calculateur!GH128*Calculateur!GJ128*VLOOKUP('Données projet'!$B$17,Paramètres!$A$1:$I$88,3,0)*0.475*44/12</f>
        <v>0</v>
      </c>
      <c r="GN128" s="23">
        <f>EXP(-LN(2)/2)*GN127+(1-EXP(-LN(2)/2))/(LN(2)/2)*GH128*GK128*VLOOKUP('Données projet'!$B$17,Paramètres!$A$1:$I$88,3,0)*0.475*44/12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>
        <f>VLOOKUP(A128,'Données projet'!$A$269:$I$289,2,0)</f>
        <v>349</v>
      </c>
      <c r="GS128" s="13">
        <f>VLOOKUP(A128,'Données projet'!$A$269:$I$289,9,0)</f>
        <v>4.2</v>
      </c>
      <c r="GT128" s="13">
        <f t="array" ref="GT128">INDEX(GS:GS,MIN(IF(ISNUMBER(GS128:GS324),ROW(GS128:GS324),"")))</f>
        <v>4.2</v>
      </c>
      <c r="GU128" s="13">
        <f>IF('Données projet'!$A$270&gt;35,GU127+GT128-HC127,IF(A128&lt;'Données projet'!$A$270,$GR$205^A128,IF(A128='Données projet'!$A$270,'Données projet'!$B$270,GU127+GT128-HC127)))</f>
        <v>348.99999999999983</v>
      </c>
      <c r="GV128" s="18">
        <f>GU128*VLOOKUP('Données projet'!$B$18,Paramètres!$A$1:$I$88,3,0)*VLOOKUP('Données projet'!$B$18,Paramètres!$A$1:$I$88,5,0)</f>
        <v>364.77479999999986</v>
      </c>
      <c r="GW128" s="14">
        <f t="shared" si="105"/>
        <v>84.597436461492677</v>
      </c>
      <c r="GX128" s="22">
        <f t="shared" si="82"/>
        <v>782.65664517043285</v>
      </c>
      <c r="GY128" s="62">
        <f t="shared" si="83"/>
        <v>1075.9899785037662</v>
      </c>
      <c r="GZ128" s="62">
        <f ca="1">AVERAGE(OFFSET($GY$3,0,0,'Données projet'!$E$18+1,1))-AVERAGE(OFFSET($H$3,0,0,'Données projet'!$E$18+1,1))</f>
        <v>582.89879210197682</v>
      </c>
      <c r="HA128" s="62">
        <f t="shared" si="106"/>
        <v>314.72094983133326</v>
      </c>
      <c r="HB128" s="16">
        <f>IF(ISNA(VLOOKUP(A128,'Données projet'!$A$269:$I$289,3,0)),0,VLOOKUP(A128,'Données projet'!$A$269:$I$289,3,0))</f>
        <v>11</v>
      </c>
      <c r="HC128" s="16">
        <f>IF(ISNA(VLOOKUP(A128,'Données projet'!$A$269:$I$289,4,0)),0,VLOOKUP(A128,'Données projet'!$A$269:$I$289,4,0))</f>
        <v>45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projet'!$B$18,Paramètres!$A$1:$I$88,3,0)*0.475*44/12</f>
        <v>0</v>
      </c>
      <c r="HH128" s="23">
        <f>EXP(-LN(2)/25)*HH127+(1-EXP(-LN(2)/25))/(LN(2)/25)*Calculateur!HC128*Calculateur!HE128*VLOOKUP('Données projet'!$B$18,Paramètres!$A$1:$I$88,3,0)*0.475*44/12</f>
        <v>0</v>
      </c>
      <c r="HI128" s="23">
        <f>EXP(-LN(2)/2)*HI127+(1-EXP(-LN(2)/2))/(LN(2)/2)*HC128*HF128*VLOOKUP('Données projet'!$B$18,Paramètres!$A$1:$I$88,3,0)*0.475*44/12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projet'!$B$9,Paramètres!$A$1:$I$88,3,0)*VLOOKUP('Données projet'!$B$9,Paramètres!$A$1:$I$88,5,0)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399.92909819003523</v>
      </c>
      <c r="T129" s="62">
        <f t="shared" si="88"/>
        <v>163.7053537268381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</v>
      </c>
      <c r="AI129" s="14">
        <f>IF('Données projet'!$A$62&gt;35,AI128+AH129-AQ128,IF(A129&lt;'Données projet'!$A$62,$AF$205^A129,IF(A129='Données projet'!$A$62,'Données projet'!$B$62,AI128+AH129-AQ128)))</f>
        <v>307.99999999999983</v>
      </c>
      <c r="AJ129" s="14">
        <f>AI129*VLOOKUP('Données projet'!$B$10,Paramètres!$A$1:$I$88,3,0)*VLOOKUP('Données projet'!$B$10,Paramètres!$A$1:$I$88,5,0)</f>
        <v>278.67839999999984</v>
      </c>
      <c r="AK129" s="14">
        <f t="shared" si="89"/>
        <v>66.687639951856738</v>
      </c>
      <c r="AL129" s="22">
        <f t="shared" si="58"/>
        <v>601.51251958281682</v>
      </c>
      <c r="AM129" s="62">
        <f t="shared" si="59"/>
        <v>894.84585291615008</v>
      </c>
      <c r="AN129" s="62">
        <f ca="1">AVERAGE(OFFSET($AM$3,0,0,'Données projet'!$E$10+1,1))-AVERAGE(OFFSET($H$3,0,0,'Données projet'!$E$10+1,1))</f>
        <v>510.56580450928806</v>
      </c>
      <c r="AO129" s="62">
        <f t="shared" si="90"/>
        <v>278.21741231699929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-5.1159076974727213E-13</v>
      </c>
      <c r="BE129" s="14">
        <f>BD129*VLOOKUP('Données projet'!$B$11,Paramètres!$A$1:$I$88,3,0)*VLOOKUP('Données projet'!$B$11,Paramètres!$A$1:$I$88,5,0)</f>
        <v>-4.8682977649150421E-13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525.51330555662139</v>
      </c>
      <c r="BJ129" s="62">
        <f t="shared" si="92"/>
        <v>357.72390083433635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1.7053025658242404E-13</v>
      </c>
      <c r="BZ129" s="14">
        <f>BY129*VLOOKUP('Données projet'!$B$12,Paramètres!$A$1:$I$88,3,0)*VLOOKUP('Données projet'!$B$12,Paramètres!$A$1:$I$88,5,0)</f>
        <v>1.0197709343628959E-13</v>
      </c>
      <c r="CA129" s="14">
        <f t="shared" si="93"/>
        <v>1.5284983994279675E-12</v>
      </c>
      <c r="CB129" s="22">
        <f t="shared" si="64"/>
        <v>2.839744816738581E-12</v>
      </c>
      <c r="CC129" s="62">
        <f t="shared" si="65"/>
        <v>293.33333333333616</v>
      </c>
      <c r="CD129" s="62">
        <f ca="1">AVERAGE(OFFSET($CC$3,0,0,'Données projet'!$E$12+1,1))-AVERAGE(OFFSET($H$3,0,0,'Données projet'!$E$12+1,1))</f>
        <v>227.46616726010473</v>
      </c>
      <c r="CE129" s="62">
        <f t="shared" si="94"/>
        <v>314.188568589113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17.975376260262411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4.9386889698376388E-11</v>
      </c>
      <c r="CN129" s="24">
        <f t="shared" si="66"/>
        <v>17.975376260311798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projet'!$B$13,Paramètres!$A$1:$I$88,3,0)*VLOOKUP('Données projet'!$B$13,Paramètres!$A$1:$I$88,5,0)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356.46794174556311</v>
      </c>
      <c r="CZ129" s="62">
        <f t="shared" si="96"/>
        <v>248.47107558211923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0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projet'!$B$14,Paramètres!$A$1:$I$88,3,0)*VLOOKUP('Données projet'!$B$14,Paramètres!$A$1:$I$88,5,0)</f>
        <v>6.3550942286383367E-14</v>
      </c>
      <c r="DQ129" s="14">
        <f t="shared" si="97"/>
        <v>1.0064464192543978E-12</v>
      </c>
      <c r="DR129" s="22">
        <f t="shared" si="70"/>
        <v>1.8635787380168604E-12</v>
      </c>
      <c r="DS129" s="62">
        <f t="shared" si="71"/>
        <v>293.33333333333519</v>
      </c>
      <c r="DT129" s="62">
        <f ca="1">AVERAGE(OFFSET($DS$3,0,0,'Données projet'!$E$14+1,1))-AVERAGE(OFFSET($H$3,0,0,'Données projet'!$E$14+1,1))</f>
        <v>397.04445188588369</v>
      </c>
      <c r="DU129" s="62">
        <f t="shared" si="98"/>
        <v>350.01856672839466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0.74959871882575757</v>
      </c>
      <c r="EB129" s="23">
        <f>EXP(-LN(2)/25)*EB128+(1-EXP(-LN(2)/25))/(LN(2)/25)*Calculateur!DW129*Calculateur!DY129*VLOOKUP('Données projet'!$B$14,Paramètres!$A$1:$I$88,3,0)*0.475*44/12</f>
        <v>0</v>
      </c>
      <c r="EC129" s="23">
        <f>EXP(-LN(2)/2)*EC128+(1-EXP(-LN(2)/2))/(LN(2)/2)*DW129*DZ129*VLOOKUP('Données projet'!$B$14,Paramètres!$A$1:$I$88,3,0)*0.475*44/12</f>
        <v>5.7563543515906963E-14</v>
      </c>
      <c r="ED129" s="24">
        <f t="shared" si="72"/>
        <v>0.74959871882581508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-1.9895196601282805E-13</v>
      </c>
      <c r="EK129" s="18">
        <f>EJ129*VLOOKUP('Données projet'!$B$15,Paramètres!$A$1:$I$88,3,0)*VLOOKUP('Données projet'!$B$15,Paramètres!$A$1:$I$88,5,0)</f>
        <v>-1.738044375088066E-13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202.5548390231225</v>
      </c>
      <c r="EP129" s="62">
        <f t="shared" si="100"/>
        <v>184.62184077734179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projet'!$B$15,Paramètres!$A$1:$I$88,3,0)*0.475*44/12</f>
        <v>0</v>
      </c>
      <c r="EW129" s="23">
        <f>EXP(-LN(2)/25)*EW128+(1-EXP(-LN(2)/25))/(LN(2)/25)*Calculateur!ER129*Calculateur!ET129*VLOOKUP('Données projet'!$B$15,Paramètres!$A$1:$I$88,3,0)*0.475*44/12</f>
        <v>0</v>
      </c>
      <c r="EX129" s="23">
        <f>EXP(-LN(2)/2)*EX128+(1-EXP(-LN(2)/2))/(LN(2)/2)*ER129*EU129*VLOOKUP('Données projet'!$B$15,Paramètres!$A$1:$I$88,3,0)*0.475*44/12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</v>
      </c>
      <c r="FE129" s="13">
        <f>IF('Données projet'!$A$218&gt;35,FE128+FD129-FM128,IF(A129&lt;'Données projet'!$A$218,$FB$205^A129,IF(A129='Données projet'!$A$218,'Données projet'!$B$218,FE128+FD129-FM128)))</f>
        <v>270.99999999999932</v>
      </c>
      <c r="FF129" s="18">
        <f>FE129*VLOOKUP('Données projet'!$B$16,Paramètres!$A$1:$I$88,3,0)*VLOOKUP('Données projet'!$B$16,Paramètres!$A$1:$I$88,5,0)</f>
        <v>262.11119999999937</v>
      </c>
      <c r="FG129" s="14">
        <f t="shared" si="101"/>
        <v>63.172188447086931</v>
      </c>
      <c r="FH129" s="22">
        <f t="shared" si="76"/>
        <v>566.53523487867528</v>
      </c>
      <c r="FI129" s="62">
        <f t="shared" si="77"/>
        <v>859.86856821200854</v>
      </c>
      <c r="FJ129" s="62">
        <f ca="1">AVERAGE(OFFSET($FI$3,0,0,'Données projet'!$E$16+1,1))-AVERAGE(OFFSET($H$3,0,0,'Données projet'!$E$16+1,1))</f>
        <v>456.96274622094955</v>
      </c>
      <c r="FK129" s="62">
        <f t="shared" si="102"/>
        <v>244.45149244446094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projet'!$B$16,Paramètres!$A$1:$I$88,3,0)*0.475*44/12</f>
        <v>0</v>
      </c>
      <c r="FR129" s="23">
        <f>EXP(-LN(2)/25)*FR128+(1-EXP(-LN(2)/25))/(LN(2)/25)*Calculateur!FM129*Calculateur!FO129*VLOOKUP('Données projet'!$B$16,Paramètres!$A$1:$I$88,3,0)*0.475*44/12</f>
        <v>0</v>
      </c>
      <c r="FS129" s="23">
        <f>EXP(-LN(2)/2)*FS128+(1-EXP(-LN(2)/2))/(LN(2)/2)*FM129*FP129*VLOOKUP('Données projet'!$B$16,Paramètres!$A$1:$I$88,3,0)*0.475*44/12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</v>
      </c>
      <c r="FZ129" s="13">
        <f>IF('Données projet'!$A$244&gt;35,FZ128+FY129-GH128,IF(A129&lt;'Données projet'!$A$244,$FW$205^A129,IF(A129='Données projet'!$A$244,'Données projet'!$B$244,FZ128+FY129-GH128)))</f>
        <v>270.99999999999932</v>
      </c>
      <c r="GA129" s="18">
        <f>FZ129*VLOOKUP('Données projet'!$B$17,Paramètres!$A$1:$I$88,3,0)*VLOOKUP('Données projet'!$B$17,Paramètres!$A$1:$I$88,5,0)</f>
        <v>291.70439999999928</v>
      </c>
      <c r="GB129" s="14">
        <f t="shared" si="103"/>
        <v>69.434559073015549</v>
      </c>
      <c r="GC129" s="22">
        <f t="shared" si="79"/>
        <v>628.9836870521674</v>
      </c>
      <c r="GD129" s="62">
        <f t="shared" si="80"/>
        <v>922.31702038550065</v>
      </c>
      <c r="GE129" s="62">
        <f ca="1">AVERAGE(OFFSET($GD$3,0,0,'Données projet'!$E$17+1,1))-AVERAGE(OFFSET($H$3,0,0,'Données projet'!$E$17+1,1))</f>
        <v>503.69304261527651</v>
      </c>
      <c r="GF129" s="62">
        <f t="shared" si="104"/>
        <v>267.2998309535638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projet'!$B$17,Paramètres!$A$1:$I$88,3,0)*0.475*44/12</f>
        <v>0</v>
      </c>
      <c r="GM129" s="23">
        <f>EXP(-LN(2)/25)*GM128+(1-EXP(-LN(2)/25))/(LN(2)/25)*Calculateur!GH129*Calculateur!GJ129*VLOOKUP('Données projet'!$B$17,Paramètres!$A$1:$I$88,3,0)*0.475*44/12</f>
        <v>0</v>
      </c>
      <c r="GN129" s="23">
        <f>EXP(-LN(2)/2)*GN128+(1-EXP(-LN(2)/2))/(LN(2)/2)*GH129*GK129*VLOOKUP('Données projet'!$B$17,Paramètres!$A$1:$I$88,3,0)*0.475*44/12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4</v>
      </c>
      <c r="GU129" s="13">
        <f>IF('Données projet'!$A$270&gt;35,GU128+GT129-HC128,IF(A129&lt;'Données projet'!$A$270,$GR$205^A129,IF(A129='Données projet'!$A$270,'Données projet'!$B$270,GU128+GT129-HC128)))</f>
        <v>307.99999999999983</v>
      </c>
      <c r="GV129" s="18">
        <f>GU129*VLOOKUP('Données projet'!$B$18,Paramètres!$A$1:$I$88,3,0)*VLOOKUP('Données projet'!$B$18,Paramètres!$A$1:$I$88,5,0)</f>
        <v>321.92159999999984</v>
      </c>
      <c r="GW129" s="14">
        <f t="shared" si="105"/>
        <v>75.753040489321577</v>
      </c>
      <c r="GX129" s="22">
        <f t="shared" si="82"/>
        <v>692.61666551890141</v>
      </c>
      <c r="GY129" s="62">
        <f t="shared" si="83"/>
        <v>985.94999885223478</v>
      </c>
      <c r="GZ129" s="62">
        <f ca="1">AVERAGE(OFFSET($GY$3,0,0,'Données projet'!$E$18+1,1))-AVERAGE(OFFSET($H$3,0,0,'Données projet'!$E$18+1,1))</f>
        <v>582.89879210197682</v>
      </c>
      <c r="HA129" s="62">
        <f t="shared" si="106"/>
        <v>314.72094983133326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projet'!$B$18,Paramètres!$A$1:$I$88,3,0)*0.475*44/12</f>
        <v>0</v>
      </c>
      <c r="HH129" s="23">
        <f>EXP(-LN(2)/25)*HH128+(1-EXP(-LN(2)/25))/(LN(2)/25)*Calculateur!HC129*Calculateur!HE129*VLOOKUP('Données projet'!$B$18,Paramètres!$A$1:$I$88,3,0)*0.475*44/12</f>
        <v>0</v>
      </c>
      <c r="HI129" s="23">
        <f>EXP(-LN(2)/2)*HI128+(1-EXP(-LN(2)/2))/(LN(2)/2)*HC129*HF129*VLOOKUP('Données projet'!$B$18,Paramètres!$A$1:$I$88,3,0)*0.475*44/12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projet'!$B$9,Paramètres!$A$1:$I$88,3,0)*VLOOKUP('Données projet'!$B$9,Paramètres!$A$1:$I$88,5,0)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399.92909819003523</v>
      </c>
      <c r="T130" s="62">
        <f t="shared" si="88"/>
        <v>163.7053537268381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</v>
      </c>
      <c r="AI130" s="14">
        <f>IF('Données projet'!$A$62&gt;35,AI129+AH130-AQ129,IF(A130&lt;'Données projet'!$A$62,$AF$205^A130,IF(A130='Données projet'!$A$62,'Données projet'!$B$62,AI129+AH130-AQ129)))</f>
        <v>311.99999999999983</v>
      </c>
      <c r="AJ130" s="14">
        <f>AI130*VLOOKUP('Données projet'!$B$10,Paramètres!$A$1:$I$88,3,0)*VLOOKUP('Données projet'!$B$10,Paramètres!$A$1:$I$88,5,0)</f>
        <v>282.29759999999982</v>
      </c>
      <c r="AK130" s="14">
        <f t="shared" si="89"/>
        <v>67.452326629470107</v>
      </c>
      <c r="AL130" s="22">
        <f t="shared" si="58"/>
        <v>609.1477888796602</v>
      </c>
      <c r="AM130" s="62">
        <f t="shared" si="59"/>
        <v>902.48112221299357</v>
      </c>
      <c r="AN130" s="62">
        <f ca="1">AVERAGE(OFFSET($AM$3,0,0,'Données projet'!$E$10+1,1))-AVERAGE(OFFSET($H$3,0,0,'Données projet'!$E$10+1,1))</f>
        <v>510.56580450928806</v>
      </c>
      <c r="AO130" s="62">
        <f t="shared" si="90"/>
        <v>278.21741231699929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-5.1159076974727213E-13</v>
      </c>
      <c r="BE130" s="14">
        <f>BD130*VLOOKUP('Données projet'!$B$11,Paramètres!$A$1:$I$88,3,0)*VLOOKUP('Données projet'!$B$11,Paramètres!$A$1:$I$88,5,0)</f>
        <v>-4.8682977649150421E-13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525.51330555662139</v>
      </c>
      <c r="BJ130" s="62">
        <f t="shared" si="92"/>
        <v>357.72390083433635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1.7053025658242404E-13</v>
      </c>
      <c r="BZ130" s="14">
        <f>BY130*VLOOKUP('Données projet'!$B$12,Paramètres!$A$1:$I$88,3,0)*VLOOKUP('Données projet'!$B$12,Paramètres!$A$1:$I$88,5,0)</f>
        <v>1.0197709343628959E-13</v>
      </c>
      <c r="CA130" s="14">
        <f t="shared" si="93"/>
        <v>1.5284983994279675E-12</v>
      </c>
      <c r="CB130" s="22">
        <f t="shared" si="64"/>
        <v>2.839744816738581E-12</v>
      </c>
      <c r="CC130" s="62">
        <f t="shared" si="65"/>
        <v>293.33333333333616</v>
      </c>
      <c r="CD130" s="62">
        <f ca="1">AVERAGE(OFFSET($CC$3,0,0,'Données projet'!$E$12+1,1))-AVERAGE(OFFSET($H$3,0,0,'Données projet'!$E$12+1,1))</f>
        <v>227.46616726010473</v>
      </c>
      <c r="CE130" s="62">
        <f t="shared" si="94"/>
        <v>314.188568589113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17.622890095695588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3.492180460743399E-11</v>
      </c>
      <c r="CN130" s="24">
        <f t="shared" si="66"/>
        <v>17.622890095730511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projet'!$B$13,Paramètres!$A$1:$I$88,3,0)*VLOOKUP('Données projet'!$B$13,Paramètres!$A$1:$I$88,5,0)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356.46794174556311</v>
      </c>
      <c r="CZ130" s="62">
        <f t="shared" si="96"/>
        <v>248.47107558211923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0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projet'!$B$14,Paramètres!$A$1:$I$88,3,0)*VLOOKUP('Données projet'!$B$14,Paramètres!$A$1:$I$88,5,0)</f>
        <v>6.3550942286383367E-14</v>
      </c>
      <c r="DQ130" s="14">
        <f t="shared" si="97"/>
        <v>1.0064464192543978E-12</v>
      </c>
      <c r="DR130" s="22">
        <f t="shared" si="70"/>
        <v>1.8635787380168604E-12</v>
      </c>
      <c r="DS130" s="62">
        <f t="shared" si="71"/>
        <v>293.33333333333519</v>
      </c>
      <c r="DT130" s="62">
        <f ca="1">AVERAGE(OFFSET($DS$3,0,0,'Données projet'!$E$14+1,1))-AVERAGE(OFFSET($H$3,0,0,'Données projet'!$E$14+1,1))</f>
        <v>397.04445188588369</v>
      </c>
      <c r="DU130" s="62">
        <f t="shared" si="98"/>
        <v>350.01856672839466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0.73489954515965716</v>
      </c>
      <c r="EB130" s="23">
        <f>EXP(-LN(2)/25)*EB129+(1-EXP(-LN(2)/25))/(LN(2)/25)*Calculateur!DW130*Calculateur!DY130*VLOOKUP('Données projet'!$B$14,Paramètres!$A$1:$I$88,3,0)*0.475*44/12</f>
        <v>0</v>
      </c>
      <c r="EC130" s="23">
        <f>EXP(-LN(2)/2)*EC129+(1-EXP(-LN(2)/2))/(LN(2)/2)*DW130*DZ130*VLOOKUP('Données projet'!$B$14,Paramètres!$A$1:$I$88,3,0)*0.475*44/12</f>
        <v>4.0703571969224731E-14</v>
      </c>
      <c r="ED130" s="24">
        <f t="shared" si="72"/>
        <v>0.73489954515969791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-1.9895196601282805E-13</v>
      </c>
      <c r="EK130" s="18">
        <f>EJ130*VLOOKUP('Données projet'!$B$15,Paramètres!$A$1:$I$88,3,0)*VLOOKUP('Données projet'!$B$15,Paramètres!$A$1:$I$88,5,0)</f>
        <v>-1.738044375088066E-13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202.5548390231225</v>
      </c>
      <c r="EP130" s="62">
        <f t="shared" si="100"/>
        <v>184.62184077734179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projet'!$B$15,Paramètres!$A$1:$I$88,3,0)*0.475*44/12</f>
        <v>0</v>
      </c>
      <c r="EW130" s="23">
        <f>EXP(-LN(2)/25)*EW129+(1-EXP(-LN(2)/25))/(LN(2)/25)*Calculateur!ER130*Calculateur!ET130*VLOOKUP('Données projet'!$B$15,Paramètres!$A$1:$I$88,3,0)*0.475*44/12</f>
        <v>0</v>
      </c>
      <c r="EX130" s="23">
        <f>EXP(-LN(2)/2)*EX129+(1-EXP(-LN(2)/2))/(LN(2)/2)*ER130*EU130*VLOOKUP('Données projet'!$B$15,Paramètres!$A$1:$I$88,3,0)*0.475*44/12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</v>
      </c>
      <c r="FE130" s="13">
        <f>IF('Données projet'!$A$218&gt;35,FE129+FD130-FM129,IF(A130&lt;'Données projet'!$A$218,$FB$205^A130,IF(A130='Données projet'!$A$218,'Données projet'!$B$218,FE129+FD130-FM129)))</f>
        <v>273.99999999999932</v>
      </c>
      <c r="FF130" s="18">
        <f>FE130*VLOOKUP('Données projet'!$B$16,Paramètres!$A$1:$I$88,3,0)*VLOOKUP('Données projet'!$B$16,Paramètres!$A$1:$I$88,5,0)</f>
        <v>265.01279999999934</v>
      </c>
      <c r="FG130" s="14">
        <f t="shared" si="101"/>
        <v>63.789713870852616</v>
      </c>
      <c r="FH130" s="22">
        <f t="shared" si="76"/>
        <v>572.6643783250671</v>
      </c>
      <c r="FI130" s="62">
        <f t="shared" si="77"/>
        <v>865.99771165840048</v>
      </c>
      <c r="FJ130" s="62">
        <f ca="1">AVERAGE(OFFSET($FI$3,0,0,'Données projet'!$E$16+1,1))-AVERAGE(OFFSET($H$3,0,0,'Données projet'!$E$16+1,1))</f>
        <v>456.96274622094955</v>
      </c>
      <c r="FK130" s="62">
        <f t="shared" si="102"/>
        <v>244.45149244446094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projet'!$B$16,Paramètres!$A$1:$I$88,3,0)*0.475*44/12</f>
        <v>0</v>
      </c>
      <c r="FR130" s="23">
        <f>EXP(-LN(2)/25)*FR129+(1-EXP(-LN(2)/25))/(LN(2)/25)*Calculateur!FM130*Calculateur!FO130*VLOOKUP('Données projet'!$B$16,Paramètres!$A$1:$I$88,3,0)*0.475*44/12</f>
        <v>0</v>
      </c>
      <c r="FS130" s="23">
        <f>EXP(-LN(2)/2)*FS129+(1-EXP(-LN(2)/2))/(LN(2)/2)*FM130*FP130*VLOOKUP('Données projet'!$B$16,Paramètres!$A$1:$I$88,3,0)*0.475*44/12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</v>
      </c>
      <c r="FZ130" s="13">
        <f>IF('Données projet'!$A$244&gt;35,FZ129+FY130-GH129,IF(A130&lt;'Données projet'!$A$244,$FW$205^A130,IF(A130='Données projet'!$A$244,'Données projet'!$B$244,FZ129+FY130-GH129)))</f>
        <v>273.99999999999932</v>
      </c>
      <c r="GA130" s="18">
        <f>FZ130*VLOOKUP('Données projet'!$B$17,Paramètres!$A$1:$I$88,3,0)*VLOOKUP('Données projet'!$B$17,Paramètres!$A$1:$I$88,5,0)</f>
        <v>294.93359999999927</v>
      </c>
      <c r="GB130" s="14">
        <f t="shared" si="103"/>
        <v>70.113300882814755</v>
      </c>
      <c r="GC130" s="22">
        <f t="shared" si="79"/>
        <v>635.79001903756773</v>
      </c>
      <c r="GD130" s="62">
        <f t="shared" si="80"/>
        <v>929.1233523709011</v>
      </c>
      <c r="GE130" s="62">
        <f ca="1">AVERAGE(OFFSET($GD$3,0,0,'Données projet'!$E$17+1,1))-AVERAGE(OFFSET($H$3,0,0,'Données projet'!$E$17+1,1))</f>
        <v>503.69304261527651</v>
      </c>
      <c r="GF130" s="62">
        <f t="shared" si="104"/>
        <v>267.2998309535638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projet'!$B$17,Paramètres!$A$1:$I$88,3,0)*0.475*44/12</f>
        <v>0</v>
      </c>
      <c r="GM130" s="23">
        <f>EXP(-LN(2)/25)*GM129+(1-EXP(-LN(2)/25))/(LN(2)/25)*Calculateur!GH130*Calculateur!GJ130*VLOOKUP('Données projet'!$B$17,Paramètres!$A$1:$I$88,3,0)*0.475*44/12</f>
        <v>0</v>
      </c>
      <c r="GN130" s="23">
        <f>EXP(-LN(2)/2)*GN129+(1-EXP(-LN(2)/2))/(LN(2)/2)*GH130*GK130*VLOOKUP('Données projet'!$B$17,Paramètres!$A$1:$I$88,3,0)*0.475*44/12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4</v>
      </c>
      <c r="GU130" s="13">
        <f>IF('Données projet'!$A$270&gt;35,GU129+GT130-HC129,IF(A130&lt;'Données projet'!$A$270,$GR$205^A130,IF(A130='Données projet'!$A$270,'Données projet'!$B$270,GU129+GT130-HC129)))</f>
        <v>311.99999999999983</v>
      </c>
      <c r="GV130" s="18">
        <f>GU130*VLOOKUP('Données projet'!$B$18,Paramètres!$A$1:$I$88,3,0)*VLOOKUP('Données projet'!$B$18,Paramètres!$A$1:$I$88,5,0)</f>
        <v>326.10239999999988</v>
      </c>
      <c r="GW130" s="14">
        <f t="shared" si="105"/>
        <v>76.621677329562289</v>
      </c>
      <c r="GX130" s="22">
        <f t="shared" si="82"/>
        <v>701.41110134898747</v>
      </c>
      <c r="GY130" s="62">
        <f t="shared" si="83"/>
        <v>994.74443468232084</v>
      </c>
      <c r="GZ130" s="62">
        <f ca="1">AVERAGE(OFFSET($GY$3,0,0,'Données projet'!$E$18+1,1))-AVERAGE(OFFSET($H$3,0,0,'Données projet'!$E$18+1,1))</f>
        <v>582.89879210197682</v>
      </c>
      <c r="HA130" s="62">
        <f t="shared" si="106"/>
        <v>314.72094983133326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projet'!$B$18,Paramètres!$A$1:$I$88,3,0)*0.475*44/12</f>
        <v>0</v>
      </c>
      <c r="HH130" s="23">
        <f>EXP(-LN(2)/25)*HH129+(1-EXP(-LN(2)/25))/(LN(2)/25)*Calculateur!HC130*Calculateur!HE130*VLOOKUP('Données projet'!$B$18,Paramètres!$A$1:$I$88,3,0)*0.475*44/12</f>
        <v>0</v>
      </c>
      <c r="HI130" s="23">
        <f>EXP(-LN(2)/2)*HI129+(1-EXP(-LN(2)/2))/(LN(2)/2)*HC130*HF130*VLOOKUP('Données projet'!$B$18,Paramètres!$A$1:$I$88,3,0)*0.475*44/12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projet'!$B$9,Paramètres!$A$1:$I$88,3,0)*VLOOKUP('Données projet'!$B$9,Paramètres!$A$1:$I$88,5,0)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399.92909819003523</v>
      </c>
      <c r="T131" s="62">
        <f t="shared" si="88"/>
        <v>163.7053537268381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</v>
      </c>
      <c r="AI131" s="14">
        <f>IF('Données projet'!$A$62&gt;35,AI130+AH131-AQ130,IF(A131&lt;'Données projet'!$A$62,$AF$205^A131,IF(A131='Données projet'!$A$62,'Données projet'!$B$62,AI130+AH131-AQ130)))</f>
        <v>315.99999999999983</v>
      </c>
      <c r="AJ131" s="14">
        <f>AI131*VLOOKUP('Données projet'!$B$10,Paramètres!$A$1:$I$88,3,0)*VLOOKUP('Données projet'!$B$10,Paramètres!$A$1:$I$88,5,0)</f>
        <v>285.91679999999985</v>
      </c>
      <c r="AK131" s="14">
        <f t="shared" si="89"/>
        <v>68.215872977287475</v>
      </c>
      <c r="AL131" s="22">
        <f t="shared" si="58"/>
        <v>616.78107210210862</v>
      </c>
      <c r="AM131" s="62">
        <f t="shared" si="59"/>
        <v>910.11440543544199</v>
      </c>
      <c r="AN131" s="62">
        <f ca="1">AVERAGE(OFFSET($AM$3,0,0,'Données projet'!$E$10+1,1))-AVERAGE(OFFSET($H$3,0,0,'Données projet'!$E$10+1,1))</f>
        <v>510.56580450928806</v>
      </c>
      <c r="AO131" s="62">
        <f t="shared" si="90"/>
        <v>278.21741231699929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-5.1159076974727213E-13</v>
      </c>
      <c r="BE131" s="14">
        <f>BD131*VLOOKUP('Données projet'!$B$11,Paramètres!$A$1:$I$88,3,0)*VLOOKUP('Données projet'!$B$11,Paramètres!$A$1:$I$88,5,0)</f>
        <v>-4.8682977649150421E-13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525.51330555662139</v>
      </c>
      <c r="BJ131" s="62">
        <f t="shared" si="92"/>
        <v>357.72390083433635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1.7053025658242404E-13</v>
      </c>
      <c r="BZ131" s="14">
        <f>BY131*VLOOKUP('Données projet'!$B$12,Paramètres!$A$1:$I$88,3,0)*VLOOKUP('Données projet'!$B$12,Paramètres!$A$1:$I$88,5,0)</f>
        <v>1.0197709343628959E-13</v>
      </c>
      <c r="CA131" s="14">
        <f t="shared" si="93"/>
        <v>1.5284983994279675E-12</v>
      </c>
      <c r="CB131" s="22">
        <f t="shared" si="64"/>
        <v>2.839744816738581E-12</v>
      </c>
      <c r="CC131" s="62">
        <f t="shared" si="65"/>
        <v>293.33333333333616</v>
      </c>
      <c r="CD131" s="62">
        <f ca="1">AVERAGE(OFFSET($CC$3,0,0,'Données projet'!$E$12+1,1))-AVERAGE(OFFSET($H$3,0,0,'Données projet'!$E$12+1,1))</f>
        <v>227.46616726010473</v>
      </c>
      <c r="CE131" s="62">
        <f t="shared" si="94"/>
        <v>314.188568589113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17.277315969820592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2.4693444849188194E-11</v>
      </c>
      <c r="CN131" s="24">
        <f t="shared" si="66"/>
        <v>17.277315969845287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projet'!$B$13,Paramètres!$A$1:$I$88,3,0)*VLOOKUP('Données projet'!$B$13,Paramètres!$A$1:$I$88,5,0)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356.46794174556311</v>
      </c>
      <c r="CZ131" s="62">
        <f t="shared" si="96"/>
        <v>248.47107558211923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0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projet'!$B$14,Paramètres!$A$1:$I$88,3,0)*VLOOKUP('Données projet'!$B$14,Paramètres!$A$1:$I$88,5,0)</f>
        <v>6.3550942286383367E-14</v>
      </c>
      <c r="DQ131" s="14">
        <f t="shared" si="97"/>
        <v>1.0064464192543978E-12</v>
      </c>
      <c r="DR131" s="22">
        <f t="shared" si="70"/>
        <v>1.8635787380168604E-12</v>
      </c>
      <c r="DS131" s="62">
        <f t="shared" si="71"/>
        <v>293.33333333333519</v>
      </c>
      <c r="DT131" s="62">
        <f ca="1">AVERAGE(OFFSET($DS$3,0,0,'Données projet'!$E$14+1,1))-AVERAGE(OFFSET($H$3,0,0,'Données projet'!$E$14+1,1))</f>
        <v>397.04445188588369</v>
      </c>
      <c r="DU131" s="62">
        <f t="shared" si="98"/>
        <v>350.01856672839466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0.72048861332353842</v>
      </c>
      <c r="EB131" s="23">
        <f>EXP(-LN(2)/25)*EB130+(1-EXP(-LN(2)/25))/(LN(2)/25)*Calculateur!DW131*Calculateur!DY131*VLOOKUP('Données projet'!$B$14,Paramètres!$A$1:$I$88,3,0)*0.475*44/12</f>
        <v>0</v>
      </c>
      <c r="EC131" s="23">
        <f>EXP(-LN(2)/2)*EC130+(1-EXP(-LN(2)/2))/(LN(2)/2)*DW131*DZ131*VLOOKUP('Données projet'!$B$14,Paramètres!$A$1:$I$88,3,0)*0.475*44/12</f>
        <v>2.8781771757953481E-14</v>
      </c>
      <c r="ED131" s="24">
        <f t="shared" si="72"/>
        <v>0.72048861332356717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-1.9895196601282805E-13</v>
      </c>
      <c r="EK131" s="18">
        <f>EJ131*VLOOKUP('Données projet'!$B$15,Paramètres!$A$1:$I$88,3,0)*VLOOKUP('Données projet'!$B$15,Paramètres!$A$1:$I$88,5,0)</f>
        <v>-1.738044375088066E-13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202.5548390231225</v>
      </c>
      <c r="EP131" s="62">
        <f t="shared" si="100"/>
        <v>184.62184077734179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projet'!$B$15,Paramètres!$A$1:$I$88,3,0)*0.475*44/12</f>
        <v>0</v>
      </c>
      <c r="EW131" s="23">
        <f>EXP(-LN(2)/25)*EW130+(1-EXP(-LN(2)/25))/(LN(2)/25)*Calculateur!ER131*Calculateur!ET131*VLOOKUP('Données projet'!$B$15,Paramètres!$A$1:$I$88,3,0)*0.475*44/12</f>
        <v>0</v>
      </c>
      <c r="EX131" s="23">
        <f>EXP(-LN(2)/2)*EX130+(1-EXP(-LN(2)/2))/(LN(2)/2)*ER131*EU131*VLOOKUP('Données projet'!$B$15,Paramètres!$A$1:$I$88,3,0)*0.475*44/12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</v>
      </c>
      <c r="FE131" s="13">
        <f>IF('Données projet'!$A$218&gt;35,FE130+FD131-FM130,IF(A131&lt;'Données projet'!$A$218,$FB$205^A131,IF(A131='Données projet'!$A$218,'Données projet'!$B$218,FE130+FD131-FM130)))</f>
        <v>276.99999999999932</v>
      </c>
      <c r="FF131" s="18">
        <f>FE131*VLOOKUP('Données projet'!$B$16,Paramètres!$A$1:$I$88,3,0)*VLOOKUP('Données projet'!$B$16,Paramètres!$A$1:$I$88,5,0)</f>
        <v>267.91439999999938</v>
      </c>
      <c r="FG131" s="14">
        <f t="shared" si="101"/>
        <v>64.406452772433894</v>
      </c>
      <c r="FH131" s="22">
        <f t="shared" si="76"/>
        <v>578.79215191198784</v>
      </c>
      <c r="FI131" s="62">
        <f t="shared" si="77"/>
        <v>872.12548524532122</v>
      </c>
      <c r="FJ131" s="62">
        <f ca="1">AVERAGE(OFFSET($FI$3,0,0,'Données projet'!$E$16+1,1))-AVERAGE(OFFSET($H$3,0,0,'Données projet'!$E$16+1,1))</f>
        <v>456.96274622094955</v>
      </c>
      <c r="FK131" s="62">
        <f t="shared" si="102"/>
        <v>244.45149244446094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projet'!$B$16,Paramètres!$A$1:$I$88,3,0)*0.475*44/12</f>
        <v>0</v>
      </c>
      <c r="FR131" s="23">
        <f>EXP(-LN(2)/25)*FR130+(1-EXP(-LN(2)/25))/(LN(2)/25)*Calculateur!FM131*Calculateur!FO131*VLOOKUP('Données projet'!$B$16,Paramètres!$A$1:$I$88,3,0)*0.475*44/12</f>
        <v>0</v>
      </c>
      <c r="FS131" s="23">
        <f>EXP(-LN(2)/2)*FS130+(1-EXP(-LN(2)/2))/(LN(2)/2)*FM131*FP131*VLOOKUP('Données projet'!$B$16,Paramètres!$A$1:$I$88,3,0)*0.475*44/12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</v>
      </c>
      <c r="FZ131" s="13">
        <f>IF('Données projet'!$A$244&gt;35,FZ130+FY131-GH130,IF(A131&lt;'Données projet'!$A$244,$FW$205^A131,IF(A131='Données projet'!$A$244,'Données projet'!$B$244,FZ130+FY131-GH130)))</f>
        <v>276.99999999999932</v>
      </c>
      <c r="GA131" s="18">
        <f>FZ131*VLOOKUP('Données projet'!$B$17,Paramètres!$A$1:$I$88,3,0)*VLOOKUP('Données projet'!$B$17,Paramètres!$A$1:$I$88,5,0)</f>
        <v>298.16279999999927</v>
      </c>
      <c r="GB131" s="14">
        <f t="shared" si="103"/>
        <v>70.791178201095988</v>
      </c>
      <c r="GC131" s="22">
        <f t="shared" si="79"/>
        <v>642.59484536690752</v>
      </c>
      <c r="GD131" s="62">
        <f t="shared" si="80"/>
        <v>935.92817870024078</v>
      </c>
      <c r="GE131" s="62">
        <f ca="1">AVERAGE(OFFSET($GD$3,0,0,'Données projet'!$E$17+1,1))-AVERAGE(OFFSET($H$3,0,0,'Données projet'!$E$17+1,1))</f>
        <v>503.69304261527651</v>
      </c>
      <c r="GF131" s="62">
        <f t="shared" si="104"/>
        <v>267.2998309535638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projet'!$B$17,Paramètres!$A$1:$I$88,3,0)*0.475*44/12</f>
        <v>0</v>
      </c>
      <c r="GM131" s="23">
        <f>EXP(-LN(2)/25)*GM130+(1-EXP(-LN(2)/25))/(LN(2)/25)*Calculateur!GH131*Calculateur!GJ131*VLOOKUP('Données projet'!$B$17,Paramètres!$A$1:$I$88,3,0)*0.475*44/12</f>
        <v>0</v>
      </c>
      <c r="GN131" s="23">
        <f>EXP(-LN(2)/2)*GN130+(1-EXP(-LN(2)/2))/(LN(2)/2)*GH131*GK131*VLOOKUP('Données projet'!$B$17,Paramètres!$A$1:$I$88,3,0)*0.475*44/12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4</v>
      </c>
      <c r="GU131" s="13">
        <f>IF('Données projet'!$A$270&gt;35,GU130+GT131-HC130,IF(A131&lt;'Données projet'!$A$270,$GR$205^A131,IF(A131='Données projet'!$A$270,'Données projet'!$B$270,GU130+GT131-HC130)))</f>
        <v>315.99999999999983</v>
      </c>
      <c r="GV131" s="18">
        <f>GU131*VLOOKUP('Données projet'!$B$18,Paramètres!$A$1:$I$88,3,0)*VLOOKUP('Données projet'!$B$18,Paramètres!$A$1:$I$88,5,0)</f>
        <v>330.28319999999985</v>
      </c>
      <c r="GW131" s="14">
        <f t="shared" si="105"/>
        <v>77.489018825579222</v>
      </c>
      <c r="GX131" s="22">
        <f t="shared" si="82"/>
        <v>710.20328112121695</v>
      </c>
      <c r="GY131" s="62">
        <f t="shared" si="83"/>
        <v>1003.5366144545503</v>
      </c>
      <c r="GZ131" s="62">
        <f ca="1">AVERAGE(OFFSET($GY$3,0,0,'Données projet'!$E$18+1,1))-AVERAGE(OFFSET($H$3,0,0,'Données projet'!$E$18+1,1))</f>
        <v>582.89879210197682</v>
      </c>
      <c r="HA131" s="62">
        <f t="shared" si="106"/>
        <v>314.72094983133326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projet'!$B$18,Paramètres!$A$1:$I$88,3,0)*0.475*44/12</f>
        <v>0</v>
      </c>
      <c r="HH131" s="23">
        <f>EXP(-LN(2)/25)*HH130+(1-EXP(-LN(2)/25))/(LN(2)/25)*Calculateur!HC131*Calculateur!HE131*VLOOKUP('Données projet'!$B$18,Paramètres!$A$1:$I$88,3,0)*0.475*44/12</f>
        <v>0</v>
      </c>
      <c r="HI131" s="23">
        <f>EXP(-LN(2)/2)*HI130+(1-EXP(-LN(2)/2))/(LN(2)/2)*HC131*HF131*VLOOKUP('Données projet'!$B$18,Paramètres!$A$1:$I$88,3,0)*0.475*44/12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projet'!$B$9,Paramètres!$A$1:$I$88,3,0)*VLOOKUP('Données projet'!$B$9,Paramètres!$A$1:$I$88,5,0)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399.92909819003523</v>
      </c>
      <c r="T132" s="62">
        <f t="shared" si="88"/>
        <v>163.7053537268381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</v>
      </c>
      <c r="AI132" s="14">
        <f>IF('Données projet'!$A$62&gt;35,AI131+AH132-AQ131,IF(A132&lt;'Données projet'!$A$62,$AF$205^A132,IF(A132='Données projet'!$A$62,'Données projet'!$B$62,AI131+AH132-AQ131)))</f>
        <v>319.99999999999983</v>
      </c>
      <c r="AJ132" s="14">
        <f>AI132*VLOOKUP('Données projet'!$B$10,Paramètres!$A$1:$I$88,3,0)*VLOOKUP('Données projet'!$B$10,Paramètres!$A$1:$I$88,5,0)</f>
        <v>289.53599999999983</v>
      </c>
      <c r="AK132" s="14">
        <f t="shared" si="89"/>
        <v>68.97829509904436</v>
      </c>
      <c r="AL132" s="22">
        <f t="shared" ref="AL132:AL153" si="112">(AJ132+AK132)*0.475*44/12</f>
        <v>624.41239729750191</v>
      </c>
      <c r="AM132" s="62">
        <f t="shared" ref="AM132:AM195" si="113">AL132+(AD132+AE132)*44/12</f>
        <v>917.74573063083517</v>
      </c>
      <c r="AN132" s="62">
        <f ca="1">AVERAGE(OFFSET($AM$3,0,0,'Données projet'!$E$10+1,1))-AVERAGE(OFFSET($H$3,0,0,'Données projet'!$E$10+1,1))</f>
        <v>510.56580450928806</v>
      </c>
      <c r="AO132" s="62">
        <f t="shared" si="90"/>
        <v>278.21741231699929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-5.1159076974727213E-13</v>
      </c>
      <c r="BE132" s="14">
        <f>BD132*VLOOKUP('Données projet'!$B$11,Paramètres!$A$1:$I$88,3,0)*VLOOKUP('Données projet'!$B$11,Paramètres!$A$1:$I$88,5,0)</f>
        <v>-4.8682977649150421E-13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525.51330555662139</v>
      </c>
      <c r="BJ132" s="62">
        <f t="shared" si="92"/>
        <v>357.72390083433635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1.7053025658242404E-13</v>
      </c>
      <c r="BZ132" s="14">
        <f>BY132*VLOOKUP('Données projet'!$B$12,Paramètres!$A$1:$I$88,3,0)*VLOOKUP('Données projet'!$B$12,Paramètres!$A$1:$I$88,5,0)</f>
        <v>1.0197709343628959E-13</v>
      </c>
      <c r="CA132" s="14">
        <f t="shared" si="93"/>
        <v>1.5284983994279675E-12</v>
      </c>
      <c r="CB132" s="22">
        <f t="shared" ref="CB132:CB153" si="118">(BZ132+CA132)*0.475*44/12</f>
        <v>2.839744816738581E-12</v>
      </c>
      <c r="CC132" s="62">
        <f t="shared" ref="CC132:CC195" si="119">CB132+(BT132+BU132)*44/12</f>
        <v>293.33333333333616</v>
      </c>
      <c r="CD132" s="62">
        <f ca="1">AVERAGE(OFFSET($CC$3,0,0,'Données projet'!$E$12+1,1))-AVERAGE(OFFSET($H$3,0,0,'Données projet'!$E$12+1,1))</f>
        <v>227.46616726010473</v>
      </c>
      <c r="CE132" s="62">
        <f t="shared" si="94"/>
        <v>314.188568589113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16.9385183417746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1.7460902303716995E-11</v>
      </c>
      <c r="CN132" s="24">
        <f t="shared" ref="CN132:CN153" si="120">SUM(CK132:CM132)</f>
        <v>16.938518341792062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projet'!$B$13,Paramètres!$A$1:$I$88,3,0)*VLOOKUP('Données projet'!$B$13,Paramètres!$A$1:$I$88,5,0)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356.46794174556311</v>
      </c>
      <c r="CZ132" s="62">
        <f t="shared" si="96"/>
        <v>248.47107558211923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0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projet'!$B$14,Paramètres!$A$1:$I$88,3,0)*VLOOKUP('Données projet'!$B$14,Paramètres!$A$1:$I$88,5,0)</f>
        <v>6.3550942286383367E-14</v>
      </c>
      <c r="DQ132" s="14">
        <f t="shared" si="97"/>
        <v>1.0064464192543978E-12</v>
      </c>
      <c r="DR132" s="22">
        <f t="shared" ref="DR132:DR153" si="124">(DP132+DQ132)*0.475*44/12</f>
        <v>1.8635787380168604E-12</v>
      </c>
      <c r="DS132" s="62">
        <f t="shared" ref="DS132:DS195" si="125">DR132+(DJ132+DK132)*44/12</f>
        <v>293.33333333333519</v>
      </c>
      <c r="DT132" s="62">
        <f ca="1">AVERAGE(OFFSET($DS$3,0,0,'Données projet'!$E$14+1,1))-AVERAGE(OFFSET($H$3,0,0,'Données projet'!$E$14+1,1))</f>
        <v>397.04445188588369</v>
      </c>
      <c r="DU132" s="62">
        <f t="shared" si="98"/>
        <v>350.01856672839466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0.70636027107092536</v>
      </c>
      <c r="EB132" s="23">
        <f>EXP(-LN(2)/25)*EB131+(1-EXP(-LN(2)/25))/(LN(2)/25)*Calculateur!DW132*Calculateur!DY132*VLOOKUP('Données projet'!$B$14,Paramètres!$A$1:$I$88,3,0)*0.475*44/12</f>
        <v>0</v>
      </c>
      <c r="EC132" s="23">
        <f>EXP(-LN(2)/2)*EC131+(1-EXP(-LN(2)/2))/(LN(2)/2)*DW132*DZ132*VLOOKUP('Données projet'!$B$14,Paramètres!$A$1:$I$88,3,0)*0.475*44/12</f>
        <v>2.0351785984612366E-14</v>
      </c>
      <c r="ED132" s="24">
        <f t="shared" ref="ED132:ED153" si="126">SUM(EA132:EC132)</f>
        <v>0.70636027107094568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-1.9895196601282805E-13</v>
      </c>
      <c r="EK132" s="18">
        <f>EJ132*VLOOKUP('Données projet'!$B$15,Paramètres!$A$1:$I$88,3,0)*VLOOKUP('Données projet'!$B$15,Paramètres!$A$1:$I$88,5,0)</f>
        <v>-1.738044375088066E-13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202.5548390231225</v>
      </c>
      <c r="EP132" s="62">
        <f t="shared" si="100"/>
        <v>184.62184077734179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projet'!$B$15,Paramètres!$A$1:$I$88,3,0)*0.475*44/12</f>
        <v>0</v>
      </c>
      <c r="EW132" s="23">
        <f>EXP(-LN(2)/25)*EW131+(1-EXP(-LN(2)/25))/(LN(2)/25)*Calculateur!ER132*Calculateur!ET132*VLOOKUP('Données projet'!$B$15,Paramètres!$A$1:$I$88,3,0)*0.475*44/12</f>
        <v>0</v>
      </c>
      <c r="EX132" s="23">
        <f>EXP(-LN(2)/2)*EX131+(1-EXP(-LN(2)/2))/(LN(2)/2)*ER132*EU132*VLOOKUP('Données projet'!$B$15,Paramètres!$A$1:$I$88,3,0)*0.475*44/12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</v>
      </c>
      <c r="FE132" s="13">
        <f>IF('Données projet'!$A$218&gt;35,FE131+FD132-FM131,IF(A132&lt;'Données projet'!$A$218,$FB$205^A132,IF(A132='Données projet'!$A$218,'Données projet'!$B$218,FE131+FD132-FM131)))</f>
        <v>279.99999999999932</v>
      </c>
      <c r="FF132" s="18">
        <f>FE132*VLOOKUP('Données projet'!$B$16,Paramètres!$A$1:$I$88,3,0)*VLOOKUP('Données projet'!$B$16,Paramètres!$A$1:$I$88,5,0)</f>
        <v>270.81599999999935</v>
      </c>
      <c r="FG132" s="14">
        <f t="shared" si="101"/>
        <v>65.02241465603214</v>
      </c>
      <c r="FH132" s="22">
        <f t="shared" ref="FH132:FH153" si="130">(FF132+FG132)*0.475*44/12</f>
        <v>584.91857219258816</v>
      </c>
      <c r="FI132" s="62">
        <f t="shared" ref="FI132:FI195" si="131">FH132+(EZ132+FA132)*44/12</f>
        <v>878.25190552592153</v>
      </c>
      <c r="FJ132" s="62">
        <f ca="1">AVERAGE(OFFSET($FI$3,0,0,'Données projet'!$E$16+1,1))-AVERAGE(OFFSET($H$3,0,0,'Données projet'!$E$16+1,1))</f>
        <v>456.96274622094955</v>
      </c>
      <c r="FK132" s="62">
        <f t="shared" si="102"/>
        <v>244.45149244446094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projet'!$B$16,Paramètres!$A$1:$I$88,3,0)*0.475*44/12</f>
        <v>0</v>
      </c>
      <c r="FR132" s="23">
        <f>EXP(-LN(2)/25)*FR131+(1-EXP(-LN(2)/25))/(LN(2)/25)*Calculateur!FM132*Calculateur!FO132*VLOOKUP('Données projet'!$B$16,Paramètres!$A$1:$I$88,3,0)*0.475*44/12</f>
        <v>0</v>
      </c>
      <c r="FS132" s="23">
        <f>EXP(-LN(2)/2)*FS131+(1-EXP(-LN(2)/2))/(LN(2)/2)*FM132*FP132*VLOOKUP('Données projet'!$B$16,Paramètres!$A$1:$I$88,3,0)*0.475*44/12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</v>
      </c>
      <c r="FZ132" s="13">
        <f>IF('Données projet'!$A$244&gt;35,FZ131+FY132-GH131,IF(A132&lt;'Données projet'!$A$244,$FW$205^A132,IF(A132='Données projet'!$A$244,'Données projet'!$B$244,FZ131+FY132-GH131)))</f>
        <v>279.99999999999932</v>
      </c>
      <c r="GA132" s="18">
        <f>FZ132*VLOOKUP('Données projet'!$B$17,Paramètres!$A$1:$I$88,3,0)*VLOOKUP('Données projet'!$B$17,Paramètres!$A$1:$I$88,5,0)</f>
        <v>301.39199999999926</v>
      </c>
      <c r="GB132" s="14">
        <f t="shared" si="103"/>
        <v>71.46820147422909</v>
      </c>
      <c r="GC132" s="22">
        <f t="shared" ref="GC132:GC153" si="133">(GA132+GB132)*0.475*44/12</f>
        <v>649.39818423428108</v>
      </c>
      <c r="GD132" s="62">
        <f t="shared" ref="GD132:GD195" si="134">GC132+(FU132+FV132)*44/12</f>
        <v>942.73151756761445</v>
      </c>
      <c r="GE132" s="62">
        <f ca="1">AVERAGE(OFFSET($GD$3,0,0,'Données projet'!$E$17+1,1))-AVERAGE(OFFSET($H$3,0,0,'Données projet'!$E$17+1,1))</f>
        <v>503.69304261527651</v>
      </c>
      <c r="GF132" s="62">
        <f t="shared" si="104"/>
        <v>267.2998309535638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projet'!$B$17,Paramètres!$A$1:$I$88,3,0)*0.475*44/12</f>
        <v>0</v>
      </c>
      <c r="GM132" s="23">
        <f>EXP(-LN(2)/25)*GM131+(1-EXP(-LN(2)/25))/(LN(2)/25)*Calculateur!GH132*Calculateur!GJ132*VLOOKUP('Données projet'!$B$17,Paramètres!$A$1:$I$88,3,0)*0.475*44/12</f>
        <v>0</v>
      </c>
      <c r="GN132" s="23">
        <f>EXP(-LN(2)/2)*GN131+(1-EXP(-LN(2)/2))/(LN(2)/2)*GH132*GK132*VLOOKUP('Données projet'!$B$17,Paramètres!$A$1:$I$88,3,0)*0.475*44/12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4</v>
      </c>
      <c r="GU132" s="13">
        <f>IF('Données projet'!$A$270&gt;35,GU131+GT132-HC131,IF(A132&lt;'Données projet'!$A$270,$GR$205^A132,IF(A132='Données projet'!$A$270,'Données projet'!$B$270,GU131+GT132-HC131)))</f>
        <v>319.99999999999983</v>
      </c>
      <c r="GV132" s="18">
        <f>GU132*VLOOKUP('Données projet'!$B$18,Paramètres!$A$1:$I$88,3,0)*VLOOKUP('Données projet'!$B$18,Paramètres!$A$1:$I$88,5,0)</f>
        <v>334.46399999999983</v>
      </c>
      <c r="GW132" s="14">
        <f t="shared" si="105"/>
        <v>78.355083270221343</v>
      </c>
      <c r="GX132" s="22">
        <f t="shared" ref="GX132:GX153" si="136">(GV132+GW132)*0.475*44/12</f>
        <v>718.99323669563512</v>
      </c>
      <c r="GY132" s="62">
        <f t="shared" ref="GY132:GY195" si="137">GX132+(GP132+GQ132)*44/12</f>
        <v>1012.3265700289685</v>
      </c>
      <c r="GZ132" s="62">
        <f ca="1">AVERAGE(OFFSET($GY$3,0,0,'Données projet'!$E$18+1,1))-AVERAGE(OFFSET($H$3,0,0,'Données projet'!$E$18+1,1))</f>
        <v>582.89879210197682</v>
      </c>
      <c r="HA132" s="62">
        <f t="shared" si="106"/>
        <v>314.72094983133326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projet'!$B$18,Paramètres!$A$1:$I$88,3,0)*0.475*44/12</f>
        <v>0</v>
      </c>
      <c r="HH132" s="23">
        <f>EXP(-LN(2)/25)*HH131+(1-EXP(-LN(2)/25))/(LN(2)/25)*Calculateur!HC132*Calculateur!HE132*VLOOKUP('Données projet'!$B$18,Paramètres!$A$1:$I$88,3,0)*0.475*44/12</f>
        <v>0</v>
      </c>
      <c r="HI132" s="23">
        <f>EXP(-LN(2)/2)*HI131+(1-EXP(-LN(2)/2))/(LN(2)/2)*HC132*HF132*VLOOKUP('Données projet'!$B$18,Paramètres!$A$1:$I$88,3,0)*0.475*44/12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projet'!$B$9,Paramètres!$A$1:$I$88,3,0)*VLOOKUP('Données projet'!$B$9,Paramètres!$A$1:$I$88,5,0)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399.92909819003523</v>
      </c>
      <c r="T133" s="62">
        <f t="shared" ref="T133:T196" si="142">$T$3</f>
        <v>163.7053537268381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</v>
      </c>
      <c r="AI133" s="14">
        <f>IF('Données projet'!$A$62&gt;35,AI132+AH133-AQ132,IF(A133&lt;'Données projet'!$A$62,$AF$205^A133,IF(A133='Données projet'!$A$62,'Données projet'!$B$62,AI132+AH133-AQ132)))</f>
        <v>323.99999999999983</v>
      </c>
      <c r="AJ133" s="14">
        <f>AI133*VLOOKUP('Données projet'!$B$10,Paramètres!$A$1:$I$88,3,0)*VLOOKUP('Données projet'!$B$10,Paramètres!$A$1:$I$88,5,0)</f>
        <v>293.15519999999987</v>
      </c>
      <c r="AK133" s="14">
        <f t="shared" ref="AK133:AK153" si="143">EXP(-1.0587+0.8836*LN(AJ133)+0.284)</f>
        <v>69.739608672728551</v>
      </c>
      <c r="AL133" s="22">
        <f t="shared" si="112"/>
        <v>632.0417917716685</v>
      </c>
      <c r="AM133" s="62">
        <f t="shared" si="113"/>
        <v>925.37512510500187</v>
      </c>
      <c r="AN133" s="62">
        <f ca="1">AVERAGE(OFFSET($AM$3,0,0,'Données projet'!$E$10+1,1))-AVERAGE(OFFSET($H$3,0,0,'Données projet'!$E$10+1,1))</f>
        <v>510.56580450928806</v>
      </c>
      <c r="AO133" s="62">
        <f t="shared" ref="AO133:AO196" si="144">$AO$3</f>
        <v>278.21741231699929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-5.1159076974727213E-13</v>
      </c>
      <c r="BE133" s="14">
        <f>BD133*VLOOKUP('Données projet'!$B$11,Paramètres!$A$1:$I$88,3,0)*VLOOKUP('Données projet'!$B$11,Paramètres!$A$1:$I$88,5,0)</f>
        <v>-4.8682977649150421E-13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525.51330555662139</v>
      </c>
      <c r="BJ133" s="62">
        <f t="shared" ref="BJ133:BJ196" si="146">$BJ$3</f>
        <v>357.72390083433635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1.7053025658242404E-13</v>
      </c>
      <c r="BZ133" s="14">
        <f>BY133*VLOOKUP('Données projet'!$B$12,Paramètres!$A$1:$I$88,3,0)*VLOOKUP('Données projet'!$B$12,Paramètres!$A$1:$I$88,5,0)</f>
        <v>1.0197709343628959E-13</v>
      </c>
      <c r="CA133" s="14">
        <f t="shared" ref="CA133:CA153" si="147">EXP(-1.0587+0.8836*LN(BZ133)+0.284)</f>
        <v>1.5284983994279675E-12</v>
      </c>
      <c r="CB133" s="22">
        <f t="shared" si="118"/>
        <v>2.839744816738581E-12</v>
      </c>
      <c r="CC133" s="62">
        <f t="shared" si="119"/>
        <v>293.33333333333616</v>
      </c>
      <c r="CD133" s="62">
        <f ca="1">AVERAGE(OFFSET($CC$3,0,0,'Données projet'!$E$12+1,1))-AVERAGE(OFFSET($H$3,0,0,'Données projet'!$E$12+1,1))</f>
        <v>227.46616726010473</v>
      </c>
      <c r="CE133" s="62">
        <f t="shared" ref="CE133:CE196" si="148">$CE$3</f>
        <v>314.188568589113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16.606364328568439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1.2346722424594097E-11</v>
      </c>
      <c r="CN133" s="24">
        <f t="shared" si="120"/>
        <v>16.606364328580785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projet'!$B$13,Paramètres!$A$1:$I$88,3,0)*VLOOKUP('Données projet'!$B$13,Paramètres!$A$1:$I$88,5,0)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356.46794174556311</v>
      </c>
      <c r="CZ133" s="62">
        <f t="shared" ref="CZ133:CZ196" si="150">$CZ$3</f>
        <v>248.47107558211923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0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projet'!$B$14,Paramètres!$A$1:$I$88,3,0)*VLOOKUP('Données projet'!$B$14,Paramètres!$A$1:$I$88,5,0)</f>
        <v>6.3550942286383367E-14</v>
      </c>
      <c r="DQ133" s="14">
        <f t="shared" ref="DQ133:DQ153" si="151">EXP(-1.0587+0.8836*LN(DP133)+0.284)</f>
        <v>1.0064464192543978E-12</v>
      </c>
      <c r="DR133" s="22">
        <f t="shared" si="124"/>
        <v>1.8635787380168604E-12</v>
      </c>
      <c r="DS133" s="62">
        <f t="shared" si="125"/>
        <v>293.33333333333519</v>
      </c>
      <c r="DT133" s="62">
        <f ca="1">AVERAGE(OFFSET($DS$3,0,0,'Données projet'!$E$14+1,1))-AVERAGE(OFFSET($H$3,0,0,'Données projet'!$E$14+1,1))</f>
        <v>397.04445188588369</v>
      </c>
      <c r="DU133" s="62">
        <f t="shared" ref="DU133:DU196" si="152">$DU$3</f>
        <v>350.01856672839466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0.69250897699244818</v>
      </c>
      <c r="EB133" s="23">
        <f>EXP(-LN(2)/25)*EB132+(1-EXP(-LN(2)/25))/(LN(2)/25)*Calculateur!DW133*Calculateur!DY133*VLOOKUP('Données projet'!$B$14,Paramètres!$A$1:$I$88,3,0)*0.475*44/12</f>
        <v>0</v>
      </c>
      <c r="EC133" s="23">
        <f>EXP(-LN(2)/2)*EC132+(1-EXP(-LN(2)/2))/(LN(2)/2)*DW133*DZ133*VLOOKUP('Données projet'!$B$14,Paramètres!$A$1:$I$88,3,0)*0.475*44/12</f>
        <v>1.4390885878976741E-14</v>
      </c>
      <c r="ED133" s="24">
        <f t="shared" si="126"/>
        <v>0.69250897699246261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-1.9895196601282805E-13</v>
      </c>
      <c r="EK133" s="18">
        <f>EJ133*VLOOKUP('Données projet'!$B$15,Paramètres!$A$1:$I$88,3,0)*VLOOKUP('Données projet'!$B$15,Paramètres!$A$1:$I$88,5,0)</f>
        <v>-1.738044375088066E-13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202.5548390231225</v>
      </c>
      <c r="EP133" s="62">
        <f t="shared" ref="EP133:EP196" si="154">$EP$3</f>
        <v>184.62184077734179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projet'!$B$15,Paramètres!$A$1:$I$88,3,0)*0.475*44/12</f>
        <v>0</v>
      </c>
      <c r="EW133" s="23">
        <f>EXP(-LN(2)/25)*EW132+(1-EXP(-LN(2)/25))/(LN(2)/25)*Calculateur!ER133*Calculateur!ET133*VLOOKUP('Données projet'!$B$15,Paramètres!$A$1:$I$88,3,0)*0.475*44/12</f>
        <v>0</v>
      </c>
      <c r="EX133" s="23">
        <f>EXP(-LN(2)/2)*EX132+(1-EXP(-LN(2)/2))/(LN(2)/2)*ER133*EU133*VLOOKUP('Données projet'!$B$15,Paramètres!$A$1:$I$88,3,0)*0.475*44/12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3</v>
      </c>
      <c r="FE133" s="13">
        <f>IF('Données projet'!$A$218&gt;35,FE132+FD133-FM132,IF(A133&lt;'Données projet'!$A$218,$FB$205^A133,IF(A133='Données projet'!$A$218,'Données projet'!$B$218,FE132+FD133-FM132)))</f>
        <v>282.99999999999932</v>
      </c>
      <c r="FF133" s="18">
        <f>FE133*VLOOKUP('Données projet'!$B$16,Paramètres!$A$1:$I$88,3,0)*VLOOKUP('Données projet'!$B$16,Paramètres!$A$1:$I$88,5,0)</f>
        <v>273.71759999999938</v>
      </c>
      <c r="FG133" s="14">
        <f t="shared" ref="FG133:FG153" si="155">EXP(-1.0587+0.8836*LN(FF133)+0.284)</f>
        <v>65.637608810456555</v>
      </c>
      <c r="FH133" s="22">
        <f t="shared" si="130"/>
        <v>591.04365534487738</v>
      </c>
      <c r="FI133" s="62">
        <f t="shared" si="131"/>
        <v>884.37698867821064</v>
      </c>
      <c r="FJ133" s="62">
        <f ca="1">AVERAGE(OFFSET($FI$3,0,0,'Données projet'!$E$16+1,1))-AVERAGE(OFFSET($H$3,0,0,'Données projet'!$E$16+1,1))</f>
        <v>456.96274622094955</v>
      </c>
      <c r="FK133" s="62">
        <f t="shared" ref="FK133:FK196" si="156">$FK$3</f>
        <v>244.45149244446094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projet'!$B$16,Paramètres!$A$1:$I$88,3,0)*0.475*44/12</f>
        <v>0</v>
      </c>
      <c r="FR133" s="23">
        <f>EXP(-LN(2)/25)*FR132+(1-EXP(-LN(2)/25))/(LN(2)/25)*Calculateur!FM133*Calculateur!FO133*VLOOKUP('Données projet'!$B$16,Paramètres!$A$1:$I$88,3,0)*0.475*44/12</f>
        <v>0</v>
      </c>
      <c r="FS133" s="23">
        <f>EXP(-LN(2)/2)*FS132+(1-EXP(-LN(2)/2))/(LN(2)/2)*FM133*FP133*VLOOKUP('Données projet'!$B$16,Paramètres!$A$1:$I$88,3,0)*0.475*44/12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3</v>
      </c>
      <c r="FZ133" s="13">
        <f>IF('Données projet'!$A$244&gt;35,FZ132+FY133-GH132,IF(A133&lt;'Données projet'!$A$244,$FW$205^A133,IF(A133='Données projet'!$A$244,'Données projet'!$B$244,FZ132+FY133-GH132)))</f>
        <v>282.99999999999932</v>
      </c>
      <c r="GA133" s="18">
        <f>FZ133*VLOOKUP('Données projet'!$B$17,Paramètres!$A$1:$I$88,3,0)*VLOOKUP('Données projet'!$B$17,Paramètres!$A$1:$I$88,5,0)</f>
        <v>304.62119999999925</v>
      </c>
      <c r="GB133" s="14">
        <f t="shared" ref="GB133:GB153" si="157">EXP(-1.0587+0.8836*LN(GA133)+0.284)</f>
        <v>72.144380911839278</v>
      </c>
      <c r="GC133" s="22">
        <f t="shared" si="133"/>
        <v>656.20005342145203</v>
      </c>
      <c r="GD133" s="62">
        <f t="shared" si="134"/>
        <v>949.5333867547854</v>
      </c>
      <c r="GE133" s="62">
        <f ca="1">AVERAGE(OFFSET($GD$3,0,0,'Données projet'!$E$17+1,1))-AVERAGE(OFFSET($H$3,0,0,'Données projet'!$E$17+1,1))</f>
        <v>503.69304261527651</v>
      </c>
      <c r="GF133" s="62">
        <f t="shared" ref="GF133:GF196" si="158">$GF$3</f>
        <v>267.2998309535638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projet'!$B$17,Paramètres!$A$1:$I$88,3,0)*0.475*44/12</f>
        <v>0</v>
      </c>
      <c r="GM133" s="23">
        <f>EXP(-LN(2)/25)*GM132+(1-EXP(-LN(2)/25))/(LN(2)/25)*Calculateur!GH133*Calculateur!GJ133*VLOOKUP('Données projet'!$B$17,Paramètres!$A$1:$I$88,3,0)*0.475*44/12</f>
        <v>0</v>
      </c>
      <c r="GN133" s="23">
        <f>EXP(-LN(2)/2)*GN132+(1-EXP(-LN(2)/2))/(LN(2)/2)*GH133*GK133*VLOOKUP('Données projet'!$B$17,Paramètres!$A$1:$I$88,3,0)*0.475*44/12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4</v>
      </c>
      <c r="GU133" s="13">
        <f>IF('Données projet'!$A$270&gt;35,GU132+GT133-HC132,IF(A133&lt;'Données projet'!$A$270,$GR$205^A133,IF(A133='Données projet'!$A$270,'Données projet'!$B$270,GU132+GT133-HC132)))</f>
        <v>323.99999999999983</v>
      </c>
      <c r="GV133" s="18">
        <f>GU133*VLOOKUP('Données projet'!$B$18,Paramètres!$A$1:$I$88,3,0)*VLOOKUP('Données projet'!$B$18,Paramètres!$A$1:$I$88,5,0)</f>
        <v>338.64479999999986</v>
      </c>
      <c r="GW133" s="14">
        <f t="shared" ref="GW133:GW153" si="159">EXP(-1.0587+0.8836*LN(GV133)+0.284)</f>
        <v>79.219888472714757</v>
      </c>
      <c r="GX133" s="22">
        <f t="shared" si="136"/>
        <v>727.78099908997785</v>
      </c>
      <c r="GY133" s="62">
        <f t="shared" si="137"/>
        <v>1021.1143324233112</v>
      </c>
      <c r="GZ133" s="62">
        <f ca="1">AVERAGE(OFFSET($GY$3,0,0,'Données projet'!$E$18+1,1))-AVERAGE(OFFSET($H$3,0,0,'Données projet'!$E$18+1,1))</f>
        <v>582.89879210197682</v>
      </c>
      <c r="HA133" s="62">
        <f t="shared" ref="HA133:HA196" si="160">$HA$3</f>
        <v>314.72094983133326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projet'!$B$18,Paramètres!$A$1:$I$88,3,0)*0.475*44/12</f>
        <v>0</v>
      </c>
      <c r="HH133" s="23">
        <f>EXP(-LN(2)/25)*HH132+(1-EXP(-LN(2)/25))/(LN(2)/25)*Calculateur!HC133*Calculateur!HE133*VLOOKUP('Données projet'!$B$18,Paramètres!$A$1:$I$88,3,0)*0.475*44/12</f>
        <v>0</v>
      </c>
      <c r="HI133" s="23">
        <f>EXP(-LN(2)/2)*HI132+(1-EXP(-LN(2)/2))/(LN(2)/2)*HC133*HF133*VLOOKUP('Données projet'!$B$18,Paramètres!$A$1:$I$88,3,0)*0.475*44/12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projet'!$B$9,Paramètres!$A$1:$I$88,3,0)*VLOOKUP('Données projet'!$B$9,Paramètres!$A$1:$I$88,5,0)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399.92909819003523</v>
      </c>
      <c r="T134" s="62">
        <f t="shared" si="142"/>
        <v>163.7053537268381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</v>
      </c>
      <c r="AI134" s="14">
        <f>IF('Données projet'!$A$62&gt;35,AI133+AH134-AQ133,IF(A134&lt;'Données projet'!$A$62,$AF$205^A134,IF(A134='Données projet'!$A$62,'Données projet'!$B$62,AI133+AH134-AQ133)))</f>
        <v>327.99999999999983</v>
      </c>
      <c r="AJ134" s="14">
        <f>AI134*VLOOKUP('Données projet'!$B$10,Paramètres!$A$1:$I$88,3,0)*VLOOKUP('Données projet'!$B$10,Paramètres!$A$1:$I$88,5,0)</f>
        <v>296.77439999999984</v>
      </c>
      <c r="AK134" s="14">
        <f t="shared" si="143"/>
        <v>70.499828966950673</v>
      </c>
      <c r="AL134" s="22">
        <f t="shared" si="112"/>
        <v>639.6692821174388</v>
      </c>
      <c r="AM134" s="62">
        <f t="shared" si="113"/>
        <v>933.00261545077205</v>
      </c>
      <c r="AN134" s="62">
        <f ca="1">AVERAGE(OFFSET($AM$3,0,0,'Données projet'!$E$10+1,1))-AVERAGE(OFFSET($H$3,0,0,'Données projet'!$E$10+1,1))</f>
        <v>510.56580450928806</v>
      </c>
      <c r="AO134" s="62">
        <f t="shared" si="144"/>
        <v>278.21741231699929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-5.1159076974727213E-13</v>
      </c>
      <c r="BE134" s="14">
        <f>BD134*VLOOKUP('Données projet'!$B$11,Paramètres!$A$1:$I$88,3,0)*VLOOKUP('Données projet'!$B$11,Paramètres!$A$1:$I$88,5,0)</f>
        <v>-4.8682977649150421E-13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525.51330555662139</v>
      </c>
      <c r="BJ134" s="62">
        <f t="shared" si="146"/>
        <v>357.72390083433635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1.7053025658242404E-13</v>
      </c>
      <c r="BZ134" s="14">
        <f>BY134*VLOOKUP('Données projet'!$B$12,Paramètres!$A$1:$I$88,3,0)*VLOOKUP('Données projet'!$B$12,Paramètres!$A$1:$I$88,5,0)</f>
        <v>1.0197709343628959E-13</v>
      </c>
      <c r="CA134" s="14">
        <f t="shared" si="147"/>
        <v>1.5284983994279675E-12</v>
      </c>
      <c r="CB134" s="22">
        <f t="shared" si="118"/>
        <v>2.839744816738581E-12</v>
      </c>
      <c r="CC134" s="62">
        <f t="shared" si="119"/>
        <v>293.33333333333616</v>
      </c>
      <c r="CD134" s="62">
        <f ca="1">AVERAGE(OFFSET($CC$3,0,0,'Données projet'!$E$12+1,1))-AVERAGE(OFFSET($H$3,0,0,'Données projet'!$E$12+1,1))</f>
        <v>227.46616726010473</v>
      </c>
      <c r="CE134" s="62">
        <f t="shared" si="148"/>
        <v>314.188568589113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16.280723652967307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8.7304511518584976E-12</v>
      </c>
      <c r="CN134" s="24">
        <f t="shared" si="120"/>
        <v>16.280723652976036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projet'!$B$13,Paramètres!$A$1:$I$88,3,0)*VLOOKUP('Données projet'!$B$13,Paramètres!$A$1:$I$88,5,0)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356.46794174556311</v>
      </c>
      <c r="CZ134" s="62">
        <f t="shared" si="150"/>
        <v>248.47107558211923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0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projet'!$B$14,Paramètres!$A$1:$I$88,3,0)*VLOOKUP('Données projet'!$B$14,Paramètres!$A$1:$I$88,5,0)</f>
        <v>6.3550942286383367E-14</v>
      </c>
      <c r="DQ134" s="14">
        <f t="shared" si="151"/>
        <v>1.0064464192543978E-12</v>
      </c>
      <c r="DR134" s="22">
        <f t="shared" si="124"/>
        <v>1.8635787380168604E-12</v>
      </c>
      <c r="DS134" s="62">
        <f t="shared" si="125"/>
        <v>293.33333333333519</v>
      </c>
      <c r="DT134" s="62">
        <f ca="1">AVERAGE(OFFSET($DS$3,0,0,'Données projet'!$E$14+1,1))-AVERAGE(OFFSET($H$3,0,0,'Données projet'!$E$14+1,1))</f>
        <v>397.04445188588369</v>
      </c>
      <c r="DU134" s="62">
        <f t="shared" si="152"/>
        <v>350.01856672839466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0.67892929834239479</v>
      </c>
      <c r="EB134" s="23">
        <f>EXP(-LN(2)/25)*EB133+(1-EXP(-LN(2)/25))/(LN(2)/25)*Calculateur!DW134*Calculateur!DY134*VLOOKUP('Données projet'!$B$14,Paramètres!$A$1:$I$88,3,0)*0.475*44/12</f>
        <v>0</v>
      </c>
      <c r="EC134" s="23">
        <f>EXP(-LN(2)/2)*EC133+(1-EXP(-LN(2)/2))/(LN(2)/2)*DW134*DZ134*VLOOKUP('Données projet'!$B$14,Paramètres!$A$1:$I$88,3,0)*0.475*44/12</f>
        <v>1.0175892992306183E-14</v>
      </c>
      <c r="ED134" s="24">
        <f t="shared" si="126"/>
        <v>0.67892929834240501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-1.9895196601282805E-13</v>
      </c>
      <c r="EK134" s="18">
        <f>EJ134*VLOOKUP('Données projet'!$B$15,Paramètres!$A$1:$I$88,3,0)*VLOOKUP('Données projet'!$B$15,Paramètres!$A$1:$I$88,5,0)</f>
        <v>-1.738044375088066E-13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202.5548390231225</v>
      </c>
      <c r="EP134" s="62">
        <f t="shared" si="154"/>
        <v>184.62184077734179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projet'!$B$15,Paramètres!$A$1:$I$88,3,0)*0.475*44/12</f>
        <v>0</v>
      </c>
      <c r="EW134" s="23">
        <f>EXP(-LN(2)/25)*EW133+(1-EXP(-LN(2)/25))/(LN(2)/25)*Calculateur!ER134*Calculateur!ET134*VLOOKUP('Données projet'!$B$15,Paramètres!$A$1:$I$88,3,0)*0.475*44/12</f>
        <v>0</v>
      </c>
      <c r="EX134" s="23">
        <f>EXP(-LN(2)/2)*EX133+(1-EXP(-LN(2)/2))/(LN(2)/2)*ER134*EU134*VLOOKUP('Données projet'!$B$15,Paramètres!$A$1:$I$88,3,0)*0.475*44/12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3</v>
      </c>
      <c r="FE134" s="13">
        <f>IF('Données projet'!$A$218&gt;35,FE133+FD134-FM133,IF(A134&lt;'Données projet'!$A$218,$FB$205^A134,IF(A134='Données projet'!$A$218,'Données projet'!$B$218,FE133+FD134-FM133)))</f>
        <v>285.99999999999932</v>
      </c>
      <c r="FF134" s="18">
        <f>FE134*VLOOKUP('Données projet'!$B$16,Paramètres!$A$1:$I$88,3,0)*VLOOKUP('Données projet'!$B$16,Paramètres!$A$1:$I$88,5,0)</f>
        <v>276.61919999999935</v>
      </c>
      <c r="FG134" s="14">
        <f t="shared" si="155"/>
        <v>66.252044316235398</v>
      </c>
      <c r="FH134" s="22">
        <f t="shared" si="130"/>
        <v>597.16741718410879</v>
      </c>
      <c r="FI134" s="62">
        <f t="shared" si="131"/>
        <v>890.50075051744216</v>
      </c>
      <c r="FJ134" s="62">
        <f ca="1">AVERAGE(OFFSET($FI$3,0,0,'Données projet'!$E$16+1,1))-AVERAGE(OFFSET($H$3,0,0,'Données projet'!$E$16+1,1))</f>
        <v>456.96274622094955</v>
      </c>
      <c r="FK134" s="62">
        <f t="shared" si="156"/>
        <v>244.45149244446094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projet'!$B$16,Paramètres!$A$1:$I$88,3,0)*0.475*44/12</f>
        <v>0</v>
      </c>
      <c r="FR134" s="23">
        <f>EXP(-LN(2)/25)*FR133+(1-EXP(-LN(2)/25))/(LN(2)/25)*Calculateur!FM134*Calculateur!FO134*VLOOKUP('Données projet'!$B$16,Paramètres!$A$1:$I$88,3,0)*0.475*44/12</f>
        <v>0</v>
      </c>
      <c r="FS134" s="23">
        <f>EXP(-LN(2)/2)*FS133+(1-EXP(-LN(2)/2))/(LN(2)/2)*FM134*FP134*VLOOKUP('Données projet'!$B$16,Paramètres!$A$1:$I$88,3,0)*0.475*44/12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3</v>
      </c>
      <c r="FZ134" s="13">
        <f>IF('Données projet'!$A$244&gt;35,FZ133+FY134-GH133,IF(A134&lt;'Données projet'!$A$244,$FW$205^A134,IF(A134='Données projet'!$A$244,'Données projet'!$B$244,FZ133+FY134-GH133)))</f>
        <v>285.99999999999932</v>
      </c>
      <c r="GA134" s="18">
        <f>FZ134*VLOOKUP('Données projet'!$B$17,Paramètres!$A$1:$I$88,3,0)*VLOOKUP('Données projet'!$B$17,Paramètres!$A$1:$I$88,5,0)</f>
        <v>307.85039999999924</v>
      </c>
      <c r="GB134" s="14">
        <f t="shared" si="157"/>
        <v>72.819726494623595</v>
      </c>
      <c r="GC134" s="22">
        <f t="shared" si="133"/>
        <v>663.00047031146812</v>
      </c>
      <c r="GD134" s="62">
        <f t="shared" si="134"/>
        <v>956.33380364480149</v>
      </c>
      <c r="GE134" s="62">
        <f ca="1">AVERAGE(OFFSET($GD$3,0,0,'Données projet'!$E$17+1,1))-AVERAGE(OFFSET($H$3,0,0,'Données projet'!$E$17+1,1))</f>
        <v>503.69304261527651</v>
      </c>
      <c r="GF134" s="62">
        <f t="shared" si="158"/>
        <v>267.2998309535638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projet'!$B$17,Paramètres!$A$1:$I$88,3,0)*0.475*44/12</f>
        <v>0</v>
      </c>
      <c r="GM134" s="23">
        <f>EXP(-LN(2)/25)*GM133+(1-EXP(-LN(2)/25))/(LN(2)/25)*Calculateur!GH134*Calculateur!GJ134*VLOOKUP('Données projet'!$B$17,Paramètres!$A$1:$I$88,3,0)*0.475*44/12</f>
        <v>0</v>
      </c>
      <c r="GN134" s="23">
        <f>EXP(-LN(2)/2)*GN133+(1-EXP(-LN(2)/2))/(LN(2)/2)*GH134*GK134*VLOOKUP('Données projet'!$B$17,Paramètres!$A$1:$I$88,3,0)*0.475*44/12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4</v>
      </c>
      <c r="GU134" s="13">
        <f>IF('Données projet'!$A$270&gt;35,GU133+GT134-HC133,IF(A134&lt;'Données projet'!$A$270,$GR$205^A134,IF(A134='Données projet'!$A$270,'Données projet'!$B$270,GU133+GT134-HC133)))</f>
        <v>327.99999999999983</v>
      </c>
      <c r="GV134" s="18">
        <f>GU134*VLOOKUP('Données projet'!$B$18,Paramètres!$A$1:$I$88,3,0)*VLOOKUP('Données projet'!$B$18,Paramètres!$A$1:$I$88,5,0)</f>
        <v>342.82559999999984</v>
      </c>
      <c r="GW134" s="14">
        <f t="shared" si="159"/>
        <v>80.083451777257963</v>
      </c>
      <c r="GX134" s="22">
        <f t="shared" si="136"/>
        <v>736.56659851205734</v>
      </c>
      <c r="GY134" s="62">
        <f t="shared" si="137"/>
        <v>1029.8999318453907</v>
      </c>
      <c r="GZ134" s="62">
        <f ca="1">AVERAGE(OFFSET($GY$3,0,0,'Données projet'!$E$18+1,1))-AVERAGE(OFFSET($H$3,0,0,'Données projet'!$E$18+1,1))</f>
        <v>582.89879210197682</v>
      </c>
      <c r="HA134" s="62">
        <f t="shared" si="160"/>
        <v>314.72094983133326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projet'!$B$18,Paramètres!$A$1:$I$88,3,0)*0.475*44/12</f>
        <v>0</v>
      </c>
      <c r="HH134" s="23">
        <f>EXP(-LN(2)/25)*HH133+(1-EXP(-LN(2)/25))/(LN(2)/25)*Calculateur!HC134*Calculateur!HE134*VLOOKUP('Données projet'!$B$18,Paramètres!$A$1:$I$88,3,0)*0.475*44/12</f>
        <v>0</v>
      </c>
      <c r="HI134" s="23">
        <f>EXP(-LN(2)/2)*HI133+(1-EXP(-LN(2)/2))/(LN(2)/2)*HC134*HF134*VLOOKUP('Données projet'!$B$18,Paramètres!$A$1:$I$88,3,0)*0.475*44/12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projet'!$B$9,Paramètres!$A$1:$I$88,3,0)*VLOOKUP('Données projet'!$B$9,Paramètres!$A$1:$I$88,5,0)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399.92909819003523</v>
      </c>
      <c r="T135" s="62">
        <f t="shared" si="142"/>
        <v>163.7053537268381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</v>
      </c>
      <c r="AI135" s="14">
        <f>IF('Données projet'!$A$62&gt;35,AI134+AH135-AQ134,IF(A135&lt;'Données projet'!$A$62,$AF$205^A135,IF(A135='Données projet'!$A$62,'Données projet'!$B$62,AI134+AH135-AQ134)))</f>
        <v>331.99999999999983</v>
      </c>
      <c r="AJ135" s="14">
        <f>AI135*VLOOKUP('Données projet'!$B$10,Paramètres!$A$1:$I$88,3,0)*VLOOKUP('Données projet'!$B$10,Paramètres!$A$1:$I$88,5,0)</f>
        <v>300.39359999999982</v>
      </c>
      <c r="AK135" s="14">
        <f t="shared" si="143"/>
        <v>71.258970856492667</v>
      </c>
      <c r="AL135" s="22">
        <f t="shared" si="112"/>
        <v>647.29489424172436</v>
      </c>
      <c r="AM135" s="62">
        <f t="shared" si="113"/>
        <v>940.62822757505774</v>
      </c>
      <c r="AN135" s="62">
        <f ca="1">AVERAGE(OFFSET($AM$3,0,0,'Données projet'!$E$10+1,1))-AVERAGE(OFFSET($H$3,0,0,'Données projet'!$E$10+1,1))</f>
        <v>510.56580450928806</v>
      </c>
      <c r="AO135" s="62">
        <f t="shared" si="144"/>
        <v>278.21741231699929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-5.1159076974727213E-13</v>
      </c>
      <c r="BE135" s="14">
        <f>BD135*VLOOKUP('Données projet'!$B$11,Paramètres!$A$1:$I$88,3,0)*VLOOKUP('Données projet'!$B$11,Paramètres!$A$1:$I$88,5,0)</f>
        <v>-4.8682977649150421E-13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525.51330555662139</v>
      </c>
      <c r="BJ135" s="62">
        <f t="shared" si="146"/>
        <v>357.72390083433635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1.7053025658242404E-13</v>
      </c>
      <c r="BZ135" s="14">
        <f>BY135*VLOOKUP('Données projet'!$B$12,Paramètres!$A$1:$I$88,3,0)*VLOOKUP('Données projet'!$B$12,Paramètres!$A$1:$I$88,5,0)</f>
        <v>1.0197709343628959E-13</v>
      </c>
      <c r="CA135" s="14">
        <f t="shared" si="147"/>
        <v>1.5284983994279675E-12</v>
      </c>
      <c r="CB135" s="22">
        <f t="shared" si="118"/>
        <v>2.839744816738581E-12</v>
      </c>
      <c r="CC135" s="62">
        <f t="shared" si="119"/>
        <v>293.33333333333616</v>
      </c>
      <c r="CD135" s="62">
        <f ca="1">AVERAGE(OFFSET($CC$3,0,0,'Données projet'!$E$12+1,1))-AVERAGE(OFFSET($H$3,0,0,'Données projet'!$E$12+1,1))</f>
        <v>227.46616726010473</v>
      </c>
      <c r="CE135" s="62">
        <f t="shared" si="148"/>
        <v>314.188568589113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15.961468592393514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6.1733612122970485E-12</v>
      </c>
      <c r="CN135" s="24">
        <f t="shared" si="120"/>
        <v>15.961468592399687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projet'!$B$13,Paramètres!$A$1:$I$88,3,0)*VLOOKUP('Données projet'!$B$13,Paramètres!$A$1:$I$88,5,0)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356.46794174556311</v>
      </c>
      <c r="CZ135" s="62">
        <f t="shared" si="150"/>
        <v>248.47107558211923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0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projet'!$B$14,Paramètres!$A$1:$I$88,3,0)*VLOOKUP('Données projet'!$B$14,Paramètres!$A$1:$I$88,5,0)</f>
        <v>6.3550942286383367E-14</v>
      </c>
      <c r="DQ135" s="14">
        <f t="shared" si="151"/>
        <v>1.0064464192543978E-12</v>
      </c>
      <c r="DR135" s="22">
        <f t="shared" si="124"/>
        <v>1.8635787380168604E-12</v>
      </c>
      <c r="DS135" s="62">
        <f t="shared" si="125"/>
        <v>293.33333333333519</v>
      </c>
      <c r="DT135" s="62">
        <f ca="1">AVERAGE(OFFSET($DS$3,0,0,'Données projet'!$E$14+1,1))-AVERAGE(OFFSET($H$3,0,0,'Données projet'!$E$14+1,1))</f>
        <v>397.04445188588369</v>
      </c>
      <c r="DU135" s="62">
        <f t="shared" si="152"/>
        <v>350.01856672839466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0.6656159089078828</v>
      </c>
      <c r="EB135" s="23">
        <f>EXP(-LN(2)/25)*EB134+(1-EXP(-LN(2)/25))/(LN(2)/25)*Calculateur!DW135*Calculateur!DY135*VLOOKUP('Données projet'!$B$14,Paramètres!$A$1:$I$88,3,0)*0.475*44/12</f>
        <v>0</v>
      </c>
      <c r="EC135" s="23">
        <f>EXP(-LN(2)/2)*EC134+(1-EXP(-LN(2)/2))/(LN(2)/2)*DW135*DZ135*VLOOKUP('Données projet'!$B$14,Paramètres!$A$1:$I$88,3,0)*0.475*44/12</f>
        <v>7.1954429394883703E-15</v>
      </c>
      <c r="ED135" s="24">
        <f t="shared" si="126"/>
        <v>0.66561590890789002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-1.9895196601282805E-13</v>
      </c>
      <c r="EK135" s="18">
        <f>EJ135*VLOOKUP('Données projet'!$B$15,Paramètres!$A$1:$I$88,3,0)*VLOOKUP('Données projet'!$B$15,Paramètres!$A$1:$I$88,5,0)</f>
        <v>-1.738044375088066E-13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202.5548390231225</v>
      </c>
      <c r="EP135" s="62">
        <f t="shared" si="154"/>
        <v>184.62184077734179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projet'!$B$15,Paramètres!$A$1:$I$88,3,0)*0.475*44/12</f>
        <v>0</v>
      </c>
      <c r="EW135" s="23">
        <f>EXP(-LN(2)/25)*EW134+(1-EXP(-LN(2)/25))/(LN(2)/25)*Calculateur!ER135*Calculateur!ET135*VLOOKUP('Données projet'!$B$15,Paramètres!$A$1:$I$88,3,0)*0.475*44/12</f>
        <v>0</v>
      </c>
      <c r="EX135" s="23">
        <f>EXP(-LN(2)/2)*EX134+(1-EXP(-LN(2)/2))/(LN(2)/2)*ER135*EU135*VLOOKUP('Données projet'!$B$15,Paramètres!$A$1:$I$88,3,0)*0.475*44/12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3</v>
      </c>
      <c r="FE135" s="13">
        <f>IF('Données projet'!$A$218&gt;35,FE134+FD135-FM134,IF(A135&lt;'Données projet'!$A$218,$FB$205^A135,IF(A135='Données projet'!$A$218,'Données projet'!$B$218,FE134+FD135-FM134)))</f>
        <v>288.99999999999932</v>
      </c>
      <c r="FF135" s="18">
        <f>FE135*VLOOKUP('Données projet'!$B$16,Paramètres!$A$1:$I$88,3,0)*VLOOKUP('Données projet'!$B$16,Paramètres!$A$1:$I$88,5,0)</f>
        <v>279.52079999999938</v>
      </c>
      <c r="FG135" s="14">
        <f t="shared" si="155"/>
        <v>66.865730052421469</v>
      </c>
      <c r="FH135" s="22">
        <f t="shared" si="130"/>
        <v>603.28987317463304</v>
      </c>
      <c r="FI135" s="62">
        <f t="shared" si="131"/>
        <v>896.62320650796642</v>
      </c>
      <c r="FJ135" s="62">
        <f ca="1">AVERAGE(OFFSET($FI$3,0,0,'Données projet'!$E$16+1,1))-AVERAGE(OFFSET($H$3,0,0,'Données projet'!$E$16+1,1))</f>
        <v>456.96274622094955</v>
      </c>
      <c r="FK135" s="62">
        <f t="shared" si="156"/>
        <v>244.45149244446094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projet'!$B$16,Paramètres!$A$1:$I$88,3,0)*0.475*44/12</f>
        <v>0</v>
      </c>
      <c r="FR135" s="23">
        <f>EXP(-LN(2)/25)*FR134+(1-EXP(-LN(2)/25))/(LN(2)/25)*Calculateur!FM135*Calculateur!FO135*VLOOKUP('Données projet'!$B$16,Paramètres!$A$1:$I$88,3,0)*0.475*44/12</f>
        <v>0</v>
      </c>
      <c r="FS135" s="23">
        <f>EXP(-LN(2)/2)*FS134+(1-EXP(-LN(2)/2))/(LN(2)/2)*FM135*FP135*VLOOKUP('Données projet'!$B$16,Paramètres!$A$1:$I$88,3,0)*0.475*44/12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3</v>
      </c>
      <c r="FZ135" s="13">
        <f>IF('Données projet'!$A$244&gt;35,FZ134+FY135-GH134,IF(A135&lt;'Données projet'!$A$244,$FW$205^A135,IF(A135='Données projet'!$A$244,'Données projet'!$B$244,FZ134+FY135-GH134)))</f>
        <v>288.99999999999932</v>
      </c>
      <c r="GA135" s="18">
        <f>FZ135*VLOOKUP('Données projet'!$B$17,Paramètres!$A$1:$I$88,3,0)*VLOOKUP('Données projet'!$B$17,Paramètres!$A$1:$I$88,5,0)</f>
        <v>311.07959999999923</v>
      </c>
      <c r="GB135" s="14">
        <f t="shared" si="157"/>
        <v>73.494247981831052</v>
      </c>
      <c r="GC135" s="22">
        <f t="shared" si="133"/>
        <v>669.79945190168769</v>
      </c>
      <c r="GD135" s="62">
        <f t="shared" si="134"/>
        <v>963.13278523502095</v>
      </c>
      <c r="GE135" s="62">
        <f ca="1">AVERAGE(OFFSET($GD$3,0,0,'Données projet'!$E$17+1,1))-AVERAGE(OFFSET($H$3,0,0,'Données projet'!$E$17+1,1))</f>
        <v>503.69304261527651</v>
      </c>
      <c r="GF135" s="62">
        <f t="shared" si="158"/>
        <v>267.2998309535638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projet'!$B$17,Paramètres!$A$1:$I$88,3,0)*0.475*44/12</f>
        <v>0</v>
      </c>
      <c r="GM135" s="23">
        <f>EXP(-LN(2)/25)*GM134+(1-EXP(-LN(2)/25))/(LN(2)/25)*Calculateur!GH135*Calculateur!GJ135*VLOOKUP('Données projet'!$B$17,Paramètres!$A$1:$I$88,3,0)*0.475*44/12</f>
        <v>0</v>
      </c>
      <c r="GN135" s="23">
        <f>EXP(-LN(2)/2)*GN134+(1-EXP(-LN(2)/2))/(LN(2)/2)*GH135*GK135*VLOOKUP('Données projet'!$B$17,Paramètres!$A$1:$I$88,3,0)*0.475*44/12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4</v>
      </c>
      <c r="GU135" s="13">
        <f>IF('Données projet'!$A$270&gt;35,GU134+GT135-HC134,IF(A135&lt;'Données projet'!$A$270,$GR$205^A135,IF(A135='Données projet'!$A$270,'Données projet'!$B$270,GU134+GT135-HC134)))</f>
        <v>331.99999999999983</v>
      </c>
      <c r="GV135" s="18">
        <f>GU135*VLOOKUP('Données projet'!$B$18,Paramètres!$A$1:$I$88,3,0)*VLOOKUP('Données projet'!$B$18,Paramètres!$A$1:$I$88,5,0)</f>
        <v>347.00639999999987</v>
      </c>
      <c r="GW135" s="14">
        <f t="shared" si="159"/>
        <v>80.945790080684603</v>
      </c>
      <c r="GX135" s="22">
        <f t="shared" si="136"/>
        <v>745.35006439052552</v>
      </c>
      <c r="GY135" s="62">
        <f t="shared" si="137"/>
        <v>1038.6833977238589</v>
      </c>
      <c r="GZ135" s="62">
        <f ca="1">AVERAGE(OFFSET($GY$3,0,0,'Données projet'!$E$18+1,1))-AVERAGE(OFFSET($H$3,0,0,'Données projet'!$E$18+1,1))</f>
        <v>582.89879210197682</v>
      </c>
      <c r="HA135" s="62">
        <f t="shared" si="160"/>
        <v>314.72094983133326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projet'!$B$18,Paramètres!$A$1:$I$88,3,0)*0.475*44/12</f>
        <v>0</v>
      </c>
      <c r="HH135" s="23">
        <f>EXP(-LN(2)/25)*HH134+(1-EXP(-LN(2)/25))/(LN(2)/25)*Calculateur!HC135*Calculateur!HE135*VLOOKUP('Données projet'!$B$18,Paramètres!$A$1:$I$88,3,0)*0.475*44/12</f>
        <v>0</v>
      </c>
      <c r="HI135" s="23">
        <f>EXP(-LN(2)/2)*HI134+(1-EXP(-LN(2)/2))/(LN(2)/2)*HC135*HF135*VLOOKUP('Données projet'!$B$18,Paramètres!$A$1:$I$88,3,0)*0.475*44/12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projet'!$B$9,Paramètres!$A$1:$I$88,3,0)*VLOOKUP('Données projet'!$B$9,Paramètres!$A$1:$I$88,5,0)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399.92909819003523</v>
      </c>
      <c r="T136" s="62">
        <f t="shared" si="142"/>
        <v>163.7053537268381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</v>
      </c>
      <c r="AI136" s="14">
        <f>IF('Données projet'!$A$62&gt;35,AI135+AH136-AQ135,IF(A136&lt;'Données projet'!$A$62,$AF$205^A136,IF(A136='Données projet'!$A$62,'Données projet'!$B$62,AI135+AH136-AQ135)))</f>
        <v>335.99999999999983</v>
      </c>
      <c r="AJ136" s="14">
        <f>AI136*VLOOKUP('Données projet'!$B$10,Paramètres!$A$1:$I$88,3,0)*VLOOKUP('Données projet'!$B$10,Paramètres!$A$1:$I$88,5,0)</f>
        <v>304.0127999999998</v>
      </c>
      <c r="AK136" s="14">
        <f t="shared" si="143"/>
        <v>72.017048837085824</v>
      </c>
      <c r="AL136" s="22">
        <f t="shared" si="112"/>
        <v>654.91865339125741</v>
      </c>
      <c r="AM136" s="62">
        <f t="shared" si="113"/>
        <v>948.25198672459078</v>
      </c>
      <c r="AN136" s="62">
        <f ca="1">AVERAGE(OFFSET($AM$3,0,0,'Données projet'!$E$10+1,1))-AVERAGE(OFFSET($H$3,0,0,'Données projet'!$E$10+1,1))</f>
        <v>510.56580450928806</v>
      </c>
      <c r="AO136" s="62">
        <f t="shared" si="144"/>
        <v>278.21741231699929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-5.1159076974727213E-13</v>
      </c>
      <c r="BE136" s="14">
        <f>BD136*VLOOKUP('Données projet'!$B$11,Paramètres!$A$1:$I$88,3,0)*VLOOKUP('Données projet'!$B$11,Paramètres!$A$1:$I$88,5,0)</f>
        <v>-4.8682977649150421E-13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525.51330555662139</v>
      </c>
      <c r="BJ136" s="62">
        <f t="shared" si="146"/>
        <v>357.72390083433635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1.7053025658242404E-13</v>
      </c>
      <c r="BZ136" s="14">
        <f>BY136*VLOOKUP('Données projet'!$B$12,Paramètres!$A$1:$I$88,3,0)*VLOOKUP('Données projet'!$B$12,Paramètres!$A$1:$I$88,5,0)</f>
        <v>1.0197709343628959E-13</v>
      </c>
      <c r="CA136" s="14">
        <f t="shared" si="147"/>
        <v>1.5284983994279675E-12</v>
      </c>
      <c r="CB136" s="22">
        <f t="shared" si="118"/>
        <v>2.839744816738581E-12</v>
      </c>
      <c r="CC136" s="62">
        <f t="shared" si="119"/>
        <v>293.33333333333616</v>
      </c>
      <c r="CD136" s="62">
        <f ca="1">AVERAGE(OFFSET($CC$3,0,0,'Données projet'!$E$12+1,1))-AVERAGE(OFFSET($H$3,0,0,'Données projet'!$E$12+1,1))</f>
        <v>227.46616726010473</v>
      </c>
      <c r="CE136" s="62">
        <f t="shared" si="148"/>
        <v>314.188568589113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15.648473928831214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4.3652255759292488E-12</v>
      </c>
      <c r="CN136" s="24">
        <f t="shared" si="120"/>
        <v>15.648473928835578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projet'!$B$13,Paramètres!$A$1:$I$88,3,0)*VLOOKUP('Données projet'!$B$13,Paramètres!$A$1:$I$88,5,0)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356.46794174556311</v>
      </c>
      <c r="CZ136" s="62">
        <f t="shared" si="150"/>
        <v>248.47107558211923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0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projet'!$B$14,Paramètres!$A$1:$I$88,3,0)*VLOOKUP('Données projet'!$B$14,Paramètres!$A$1:$I$88,5,0)</f>
        <v>6.3550942286383367E-14</v>
      </c>
      <c r="DQ136" s="14">
        <f t="shared" si="151"/>
        <v>1.0064464192543978E-12</v>
      </c>
      <c r="DR136" s="22">
        <f t="shared" si="124"/>
        <v>1.8635787380168604E-12</v>
      </c>
      <c r="DS136" s="62">
        <f t="shared" si="125"/>
        <v>293.33333333333519</v>
      </c>
      <c r="DT136" s="62">
        <f ca="1">AVERAGE(OFFSET($DS$3,0,0,'Données projet'!$E$14+1,1))-AVERAGE(OFFSET($H$3,0,0,'Données projet'!$E$14+1,1))</f>
        <v>397.04445188588369</v>
      </c>
      <c r="DU136" s="62">
        <f t="shared" si="152"/>
        <v>350.01856672839466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0.65256358691981586</v>
      </c>
      <c r="EB136" s="23">
        <f>EXP(-LN(2)/25)*EB135+(1-EXP(-LN(2)/25))/(LN(2)/25)*Calculateur!DW136*Calculateur!DY136*VLOOKUP('Données projet'!$B$14,Paramètres!$A$1:$I$88,3,0)*0.475*44/12</f>
        <v>0</v>
      </c>
      <c r="EC136" s="23">
        <f>EXP(-LN(2)/2)*EC135+(1-EXP(-LN(2)/2))/(LN(2)/2)*DW136*DZ136*VLOOKUP('Données projet'!$B$14,Paramètres!$A$1:$I$88,3,0)*0.475*44/12</f>
        <v>5.0879464961530914E-15</v>
      </c>
      <c r="ED136" s="24">
        <f t="shared" si="126"/>
        <v>0.65256358691982097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-1.9895196601282805E-13</v>
      </c>
      <c r="EK136" s="18">
        <f>EJ136*VLOOKUP('Données projet'!$B$15,Paramètres!$A$1:$I$88,3,0)*VLOOKUP('Données projet'!$B$15,Paramètres!$A$1:$I$88,5,0)</f>
        <v>-1.738044375088066E-13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202.5548390231225</v>
      </c>
      <c r="EP136" s="62">
        <f t="shared" si="154"/>
        <v>184.62184077734179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projet'!$B$15,Paramètres!$A$1:$I$88,3,0)*0.475*44/12</f>
        <v>0</v>
      </c>
      <c r="EW136" s="23">
        <f>EXP(-LN(2)/25)*EW135+(1-EXP(-LN(2)/25))/(LN(2)/25)*Calculateur!ER136*Calculateur!ET136*VLOOKUP('Données projet'!$B$15,Paramètres!$A$1:$I$88,3,0)*0.475*44/12</f>
        <v>0</v>
      </c>
      <c r="EX136" s="23">
        <f>EXP(-LN(2)/2)*EX135+(1-EXP(-LN(2)/2))/(LN(2)/2)*ER136*EU136*VLOOKUP('Données projet'!$B$15,Paramètres!$A$1:$I$88,3,0)*0.475*44/12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3</v>
      </c>
      <c r="FE136" s="13">
        <f>IF('Données projet'!$A$218&gt;35,FE135+FD136-FM135,IF(A136&lt;'Données projet'!$A$218,$FB$205^A136,IF(A136='Données projet'!$A$218,'Données projet'!$B$218,FE135+FD136-FM135)))</f>
        <v>291.99999999999932</v>
      </c>
      <c r="FF136" s="18">
        <f>FE136*VLOOKUP('Données projet'!$B$16,Paramètres!$A$1:$I$88,3,0)*VLOOKUP('Données projet'!$B$16,Paramètres!$A$1:$I$88,5,0)</f>
        <v>282.42239999999936</v>
      </c>
      <c r="FG136" s="14">
        <f t="shared" si="155"/>
        <v>67.478674703106051</v>
      </c>
      <c r="FH136" s="22">
        <f t="shared" si="130"/>
        <v>609.41103844124189</v>
      </c>
      <c r="FI136" s="62">
        <f t="shared" si="131"/>
        <v>902.74437177457526</v>
      </c>
      <c r="FJ136" s="62">
        <f ca="1">AVERAGE(OFFSET($FI$3,0,0,'Données projet'!$E$16+1,1))-AVERAGE(OFFSET($H$3,0,0,'Données projet'!$E$16+1,1))</f>
        <v>456.96274622094955</v>
      </c>
      <c r="FK136" s="62">
        <f t="shared" si="156"/>
        <v>244.45149244446094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projet'!$B$16,Paramètres!$A$1:$I$88,3,0)*0.475*44/12</f>
        <v>0</v>
      </c>
      <c r="FR136" s="23">
        <f>EXP(-LN(2)/25)*FR135+(1-EXP(-LN(2)/25))/(LN(2)/25)*Calculateur!FM136*Calculateur!FO136*VLOOKUP('Données projet'!$B$16,Paramètres!$A$1:$I$88,3,0)*0.475*44/12</f>
        <v>0</v>
      </c>
      <c r="FS136" s="23">
        <f>EXP(-LN(2)/2)*FS135+(1-EXP(-LN(2)/2))/(LN(2)/2)*FM136*FP136*VLOOKUP('Données projet'!$B$16,Paramètres!$A$1:$I$88,3,0)*0.475*44/12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3</v>
      </c>
      <c r="FZ136" s="13">
        <f>IF('Données projet'!$A$244&gt;35,FZ135+FY136-GH135,IF(A136&lt;'Données projet'!$A$244,$FW$205^A136,IF(A136='Données projet'!$A$244,'Données projet'!$B$244,FZ135+FY136-GH135)))</f>
        <v>291.99999999999932</v>
      </c>
      <c r="GA136" s="18">
        <f>FZ136*VLOOKUP('Données projet'!$B$17,Paramètres!$A$1:$I$88,3,0)*VLOOKUP('Données projet'!$B$17,Paramètres!$A$1:$I$88,5,0)</f>
        <v>314.30879999999922</v>
      </c>
      <c r="GB136" s="14">
        <f t="shared" si="157"/>
        <v>74.16795491842224</v>
      </c>
      <c r="GC136" s="22">
        <f t="shared" si="133"/>
        <v>676.59701481625063</v>
      </c>
      <c r="GD136" s="62">
        <f t="shared" si="134"/>
        <v>969.93034814958401</v>
      </c>
      <c r="GE136" s="62">
        <f ca="1">AVERAGE(OFFSET($GD$3,0,0,'Données projet'!$E$17+1,1))-AVERAGE(OFFSET($H$3,0,0,'Données projet'!$E$17+1,1))</f>
        <v>503.69304261527651</v>
      </c>
      <c r="GF136" s="62">
        <f t="shared" si="158"/>
        <v>267.2998309535638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projet'!$B$17,Paramètres!$A$1:$I$88,3,0)*0.475*44/12</f>
        <v>0</v>
      </c>
      <c r="GM136" s="23">
        <f>EXP(-LN(2)/25)*GM135+(1-EXP(-LN(2)/25))/(LN(2)/25)*Calculateur!GH136*Calculateur!GJ136*VLOOKUP('Données projet'!$B$17,Paramètres!$A$1:$I$88,3,0)*0.475*44/12</f>
        <v>0</v>
      </c>
      <c r="GN136" s="23">
        <f>EXP(-LN(2)/2)*GN135+(1-EXP(-LN(2)/2))/(LN(2)/2)*GH136*GK136*VLOOKUP('Données projet'!$B$17,Paramètres!$A$1:$I$88,3,0)*0.475*44/12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4</v>
      </c>
      <c r="GU136" s="13">
        <f>IF('Données projet'!$A$270&gt;35,GU135+GT136-HC135,IF(A136&lt;'Données projet'!$A$270,$GR$205^A136,IF(A136='Données projet'!$A$270,'Données projet'!$B$270,GU135+GT136-HC135)))</f>
        <v>335.99999999999983</v>
      </c>
      <c r="GV136" s="18">
        <f>GU136*VLOOKUP('Données projet'!$B$18,Paramètres!$A$1:$I$88,3,0)*VLOOKUP('Données projet'!$B$18,Paramètres!$A$1:$I$88,5,0)</f>
        <v>351.18719999999985</v>
      </c>
      <c r="GW136" s="14">
        <f t="shared" si="159"/>
        <v>81.806919849250392</v>
      </c>
      <c r="GX136" s="22">
        <f t="shared" si="136"/>
        <v>754.13142540411081</v>
      </c>
      <c r="GY136" s="62">
        <f t="shared" si="137"/>
        <v>1047.4647587374441</v>
      </c>
      <c r="GZ136" s="62">
        <f ca="1">AVERAGE(OFFSET($GY$3,0,0,'Données projet'!$E$18+1,1))-AVERAGE(OFFSET($H$3,0,0,'Données projet'!$E$18+1,1))</f>
        <v>582.89879210197682</v>
      </c>
      <c r="HA136" s="62">
        <f t="shared" si="160"/>
        <v>314.72094983133326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projet'!$B$18,Paramètres!$A$1:$I$88,3,0)*0.475*44/12</f>
        <v>0</v>
      </c>
      <c r="HH136" s="23">
        <f>EXP(-LN(2)/25)*HH135+(1-EXP(-LN(2)/25))/(LN(2)/25)*Calculateur!HC136*Calculateur!HE136*VLOOKUP('Données projet'!$B$18,Paramètres!$A$1:$I$88,3,0)*0.475*44/12</f>
        <v>0</v>
      </c>
      <c r="HI136" s="23">
        <f>EXP(-LN(2)/2)*HI135+(1-EXP(-LN(2)/2))/(LN(2)/2)*HC136*HF136*VLOOKUP('Données projet'!$B$18,Paramètres!$A$1:$I$88,3,0)*0.475*44/12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projet'!$B$9,Paramètres!$A$1:$I$88,3,0)*VLOOKUP('Données projet'!$B$9,Paramètres!$A$1:$I$88,5,0)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399.92909819003523</v>
      </c>
      <c r="T137" s="62">
        <f t="shared" si="142"/>
        <v>163.7053537268381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</v>
      </c>
      <c r="AI137" s="14">
        <f>IF('Données projet'!$A$62&gt;35,AI136+AH137-AQ136,IF(A137&lt;'Données projet'!$A$62,$AF$205^A137,IF(A137='Données projet'!$A$62,'Données projet'!$B$62,AI136+AH137-AQ136)))</f>
        <v>339.99999999999983</v>
      </c>
      <c r="AJ137" s="14">
        <f>AI137*VLOOKUP('Données projet'!$B$10,Paramètres!$A$1:$I$88,3,0)*VLOOKUP('Données projet'!$B$10,Paramètres!$A$1:$I$88,5,0)</f>
        <v>307.63199999999983</v>
      </c>
      <c r="AK137" s="14">
        <f t="shared" si="143"/>
        <v>72.774077039465496</v>
      </c>
      <c r="AL137" s="22">
        <f t="shared" si="112"/>
        <v>662.54058417706881</v>
      </c>
      <c r="AM137" s="62">
        <f t="shared" si="113"/>
        <v>955.87391751040218</v>
      </c>
      <c r="AN137" s="62">
        <f ca="1">AVERAGE(OFFSET($AM$3,0,0,'Données projet'!$E$10+1,1))-AVERAGE(OFFSET($H$3,0,0,'Données projet'!$E$10+1,1))</f>
        <v>510.56580450928806</v>
      </c>
      <c r="AO137" s="62">
        <f t="shared" si="144"/>
        <v>278.21741231699929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-5.1159076974727213E-13</v>
      </c>
      <c r="BE137" s="14">
        <f>BD137*VLOOKUP('Données projet'!$B$11,Paramètres!$A$1:$I$88,3,0)*VLOOKUP('Données projet'!$B$11,Paramètres!$A$1:$I$88,5,0)</f>
        <v>-4.8682977649150421E-13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525.51330555662139</v>
      </c>
      <c r="BJ137" s="62">
        <f t="shared" si="146"/>
        <v>357.72390083433635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1.7053025658242404E-13</v>
      </c>
      <c r="BZ137" s="14">
        <f>BY137*VLOOKUP('Données projet'!$B$12,Paramètres!$A$1:$I$88,3,0)*VLOOKUP('Données projet'!$B$12,Paramètres!$A$1:$I$88,5,0)</f>
        <v>1.0197709343628959E-13</v>
      </c>
      <c r="CA137" s="14">
        <f t="shared" si="147"/>
        <v>1.5284983994279675E-12</v>
      </c>
      <c r="CB137" s="22">
        <f t="shared" si="118"/>
        <v>2.839744816738581E-12</v>
      </c>
      <c r="CC137" s="62">
        <f t="shared" si="119"/>
        <v>293.33333333333616</v>
      </c>
      <c r="CD137" s="62">
        <f ca="1">AVERAGE(OFFSET($CC$3,0,0,'Données projet'!$E$12+1,1))-AVERAGE(OFFSET($H$3,0,0,'Données projet'!$E$12+1,1))</f>
        <v>227.46616726010473</v>
      </c>
      <c r="CE137" s="62">
        <f t="shared" si="148"/>
        <v>314.188568589113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15.341616899713477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3.0866806061485242E-12</v>
      </c>
      <c r="CN137" s="24">
        <f t="shared" si="120"/>
        <v>15.341616899716565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projet'!$B$13,Paramètres!$A$1:$I$88,3,0)*VLOOKUP('Données projet'!$B$13,Paramètres!$A$1:$I$88,5,0)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356.46794174556311</v>
      </c>
      <c r="CZ137" s="62">
        <f t="shared" si="150"/>
        <v>248.47107558211923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0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projet'!$B$14,Paramètres!$A$1:$I$88,3,0)*VLOOKUP('Données projet'!$B$14,Paramètres!$A$1:$I$88,5,0)</f>
        <v>6.3550942286383367E-14</v>
      </c>
      <c r="DQ137" s="14">
        <f t="shared" si="151"/>
        <v>1.0064464192543978E-12</v>
      </c>
      <c r="DR137" s="22">
        <f t="shared" si="124"/>
        <v>1.8635787380168604E-12</v>
      </c>
      <c r="DS137" s="62">
        <f t="shared" si="125"/>
        <v>293.33333333333519</v>
      </c>
      <c r="DT137" s="62">
        <f ca="1">AVERAGE(OFFSET($DS$3,0,0,'Données projet'!$E$14+1,1))-AVERAGE(OFFSET($H$3,0,0,'Données projet'!$E$14+1,1))</f>
        <v>397.04445188588369</v>
      </c>
      <c r="DU137" s="62">
        <f t="shared" si="152"/>
        <v>350.01856672839466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0.63976721300480466</v>
      </c>
      <c r="EB137" s="23">
        <f>EXP(-LN(2)/25)*EB136+(1-EXP(-LN(2)/25))/(LN(2)/25)*Calculateur!DW137*Calculateur!DY137*VLOOKUP('Données projet'!$B$14,Paramètres!$A$1:$I$88,3,0)*0.475*44/12</f>
        <v>0</v>
      </c>
      <c r="EC137" s="23">
        <f>EXP(-LN(2)/2)*EC136+(1-EXP(-LN(2)/2))/(LN(2)/2)*DW137*DZ137*VLOOKUP('Données projet'!$B$14,Paramètres!$A$1:$I$88,3,0)*0.475*44/12</f>
        <v>3.5977214697441852E-15</v>
      </c>
      <c r="ED137" s="24">
        <f t="shared" si="126"/>
        <v>0.63976721300480821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-1.9895196601282805E-13</v>
      </c>
      <c r="EK137" s="18">
        <f>EJ137*VLOOKUP('Données projet'!$B$15,Paramètres!$A$1:$I$88,3,0)*VLOOKUP('Données projet'!$B$15,Paramètres!$A$1:$I$88,5,0)</f>
        <v>-1.738044375088066E-13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202.5548390231225</v>
      </c>
      <c r="EP137" s="62">
        <f t="shared" si="154"/>
        <v>184.62184077734179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projet'!$B$15,Paramètres!$A$1:$I$88,3,0)*0.475*44/12</f>
        <v>0</v>
      </c>
      <c r="EW137" s="23">
        <f>EXP(-LN(2)/25)*EW136+(1-EXP(-LN(2)/25))/(LN(2)/25)*Calculateur!ER137*Calculateur!ET137*VLOOKUP('Données projet'!$B$15,Paramètres!$A$1:$I$88,3,0)*0.475*44/12</f>
        <v>0</v>
      </c>
      <c r="EX137" s="23">
        <f>EXP(-LN(2)/2)*EX136+(1-EXP(-LN(2)/2))/(LN(2)/2)*ER137*EU137*VLOOKUP('Données projet'!$B$15,Paramètres!$A$1:$I$88,3,0)*0.475*44/12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3</v>
      </c>
      <c r="FE137" s="13">
        <f>IF('Données projet'!$A$218&gt;35,FE136+FD137-FM136,IF(A137&lt;'Données projet'!$A$218,$FB$205^A137,IF(A137='Données projet'!$A$218,'Données projet'!$B$218,FE136+FD137-FM136)))</f>
        <v>294.99999999999932</v>
      </c>
      <c r="FF137" s="18">
        <f>FE137*VLOOKUP('Données projet'!$B$16,Paramètres!$A$1:$I$88,3,0)*VLOOKUP('Données projet'!$B$16,Paramètres!$A$1:$I$88,5,0)</f>
        <v>285.32399999999933</v>
      </c>
      <c r="FG137" s="14">
        <f t="shared" si="155"/>
        <v>68.090886763658062</v>
      </c>
      <c r="FH137" s="22">
        <f t="shared" si="130"/>
        <v>615.53092778003656</v>
      </c>
      <c r="FI137" s="62">
        <f t="shared" si="131"/>
        <v>908.86426111336982</v>
      </c>
      <c r="FJ137" s="62">
        <f ca="1">AVERAGE(OFFSET($FI$3,0,0,'Données projet'!$E$16+1,1))-AVERAGE(OFFSET($H$3,0,0,'Données projet'!$E$16+1,1))</f>
        <v>456.96274622094955</v>
      </c>
      <c r="FK137" s="62">
        <f t="shared" si="156"/>
        <v>244.45149244446094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projet'!$B$16,Paramètres!$A$1:$I$88,3,0)*0.475*44/12</f>
        <v>0</v>
      </c>
      <c r="FR137" s="23">
        <f>EXP(-LN(2)/25)*FR136+(1-EXP(-LN(2)/25))/(LN(2)/25)*Calculateur!FM137*Calculateur!FO137*VLOOKUP('Données projet'!$B$16,Paramètres!$A$1:$I$88,3,0)*0.475*44/12</f>
        <v>0</v>
      </c>
      <c r="FS137" s="23">
        <f>EXP(-LN(2)/2)*FS136+(1-EXP(-LN(2)/2))/(LN(2)/2)*FM137*FP137*VLOOKUP('Données projet'!$B$16,Paramètres!$A$1:$I$88,3,0)*0.475*44/12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3</v>
      </c>
      <c r="FZ137" s="13">
        <f>IF('Données projet'!$A$244&gt;35,FZ136+FY137-GH136,IF(A137&lt;'Données projet'!$A$244,$FW$205^A137,IF(A137='Données projet'!$A$244,'Données projet'!$B$244,FZ136+FY137-GH136)))</f>
        <v>294.99999999999932</v>
      </c>
      <c r="GA137" s="18">
        <f>FZ137*VLOOKUP('Données projet'!$B$17,Paramètres!$A$1:$I$88,3,0)*VLOOKUP('Données projet'!$B$17,Paramètres!$A$1:$I$88,5,0)</f>
        <v>317.53799999999922</v>
      </c>
      <c r="GB137" s="14">
        <f t="shared" si="157"/>
        <v>74.840856641926919</v>
      </c>
      <c r="GC137" s="22">
        <f t="shared" si="133"/>
        <v>683.39317531802135</v>
      </c>
      <c r="GD137" s="62">
        <f t="shared" si="134"/>
        <v>976.72650865135461</v>
      </c>
      <c r="GE137" s="62">
        <f ca="1">AVERAGE(OFFSET($GD$3,0,0,'Données projet'!$E$17+1,1))-AVERAGE(OFFSET($H$3,0,0,'Données projet'!$E$17+1,1))</f>
        <v>503.69304261527651</v>
      </c>
      <c r="GF137" s="62">
        <f t="shared" si="158"/>
        <v>267.2998309535638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projet'!$B$17,Paramètres!$A$1:$I$88,3,0)*0.475*44/12</f>
        <v>0</v>
      </c>
      <c r="GM137" s="23">
        <f>EXP(-LN(2)/25)*GM136+(1-EXP(-LN(2)/25))/(LN(2)/25)*Calculateur!GH137*Calculateur!GJ137*VLOOKUP('Données projet'!$B$17,Paramètres!$A$1:$I$88,3,0)*0.475*44/12</f>
        <v>0</v>
      </c>
      <c r="GN137" s="23">
        <f>EXP(-LN(2)/2)*GN136+(1-EXP(-LN(2)/2))/(LN(2)/2)*GH137*GK137*VLOOKUP('Données projet'!$B$17,Paramètres!$A$1:$I$88,3,0)*0.475*44/12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4</v>
      </c>
      <c r="GU137" s="13">
        <f>IF('Données projet'!$A$270&gt;35,GU136+GT137-HC136,IF(A137&lt;'Données projet'!$A$270,$GR$205^A137,IF(A137='Données projet'!$A$270,'Données projet'!$B$270,GU136+GT137-HC136)))</f>
        <v>339.99999999999983</v>
      </c>
      <c r="GV137" s="18">
        <f>GU137*VLOOKUP('Données projet'!$B$18,Paramètres!$A$1:$I$88,3,0)*VLOOKUP('Données projet'!$B$18,Paramètres!$A$1:$I$88,5,0)</f>
        <v>355.36799999999982</v>
      </c>
      <c r="GW137" s="14">
        <f t="shared" si="159"/>
        <v>82.666857134597805</v>
      </c>
      <c r="GX137" s="22">
        <f t="shared" si="136"/>
        <v>762.91070950942412</v>
      </c>
      <c r="GY137" s="62">
        <f t="shared" si="137"/>
        <v>1056.2440428427574</v>
      </c>
      <c r="GZ137" s="62">
        <f ca="1">AVERAGE(OFFSET($GY$3,0,0,'Données projet'!$E$18+1,1))-AVERAGE(OFFSET($H$3,0,0,'Données projet'!$E$18+1,1))</f>
        <v>582.89879210197682</v>
      </c>
      <c r="HA137" s="62">
        <f t="shared" si="160"/>
        <v>314.72094983133326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projet'!$B$18,Paramètres!$A$1:$I$88,3,0)*0.475*44/12</f>
        <v>0</v>
      </c>
      <c r="HH137" s="23">
        <f>EXP(-LN(2)/25)*HH136+(1-EXP(-LN(2)/25))/(LN(2)/25)*Calculateur!HC137*Calculateur!HE137*VLOOKUP('Données projet'!$B$18,Paramètres!$A$1:$I$88,3,0)*0.475*44/12</f>
        <v>0</v>
      </c>
      <c r="HI137" s="23">
        <f>EXP(-LN(2)/2)*HI136+(1-EXP(-LN(2)/2))/(LN(2)/2)*HC137*HF137*VLOOKUP('Données projet'!$B$18,Paramètres!$A$1:$I$88,3,0)*0.475*44/12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projet'!$B$9,Paramètres!$A$1:$I$88,3,0)*VLOOKUP('Données projet'!$B$9,Paramètres!$A$1:$I$88,5,0)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399.92909819003523</v>
      </c>
      <c r="T138" s="62">
        <f t="shared" si="142"/>
        <v>163.7053537268381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344</v>
      </c>
      <c r="AG138" s="13">
        <f>VLOOKUP(A138,'Données projet'!$A$61:$I$81,9,0)</f>
        <v>4</v>
      </c>
      <c r="AH138" s="13">
        <f t="array" ref="AH138">INDEX(AG:AG,MIN(IF(ISNUMBER(AG138:AG334),ROW(AG138:AG334),"")))</f>
        <v>4</v>
      </c>
      <c r="AI138" s="14">
        <f>IF('Données projet'!$A$62&gt;35,AI137+AH138-AQ137,IF(A138&lt;'Données projet'!$A$62,$AF$205^A138,IF(A138='Données projet'!$A$62,'Données projet'!$B$62,AI137+AH138-AQ137)))</f>
        <v>343.99999999999983</v>
      </c>
      <c r="AJ138" s="14">
        <f>AI138*VLOOKUP('Données projet'!$B$10,Paramètres!$A$1:$I$88,3,0)*VLOOKUP('Données projet'!$B$10,Paramètres!$A$1:$I$88,5,0)</f>
        <v>311.25119999999987</v>
      </c>
      <c r="AK138" s="14">
        <f t="shared" si="143"/>
        <v>73.530069242745043</v>
      </c>
      <c r="AL138" s="22">
        <f t="shared" si="112"/>
        <v>670.16071059778062</v>
      </c>
      <c r="AM138" s="62">
        <f t="shared" si="113"/>
        <v>963.49404393111399</v>
      </c>
      <c r="AN138" s="62">
        <f ca="1">AVERAGE(OFFSET($AM$3,0,0,'Données projet'!$E$10+1,1))-AVERAGE(OFFSET($H$3,0,0,'Données projet'!$E$10+1,1))</f>
        <v>510.56580450928806</v>
      </c>
      <c r="AO138" s="62">
        <f t="shared" si="144"/>
        <v>278.21741231699929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43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-5.1159076974727213E-13</v>
      </c>
      <c r="BE138" s="14">
        <f>BD138*VLOOKUP('Données projet'!$B$11,Paramètres!$A$1:$I$88,3,0)*VLOOKUP('Données projet'!$B$11,Paramètres!$A$1:$I$88,5,0)</f>
        <v>-4.8682977649150421E-13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525.51330555662139</v>
      </c>
      <c r="BJ138" s="62">
        <f t="shared" si="146"/>
        <v>357.72390083433635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1.7053025658242404E-13</v>
      </c>
      <c r="BZ138" s="14">
        <f>BY138*VLOOKUP('Données projet'!$B$12,Paramètres!$A$1:$I$88,3,0)*VLOOKUP('Données projet'!$B$12,Paramètres!$A$1:$I$88,5,0)</f>
        <v>1.0197709343628959E-13</v>
      </c>
      <c r="CA138" s="14">
        <f t="shared" si="147"/>
        <v>1.5284983994279675E-12</v>
      </c>
      <c r="CB138" s="22">
        <f t="shared" si="118"/>
        <v>2.839744816738581E-12</v>
      </c>
      <c r="CC138" s="62">
        <f t="shared" si="119"/>
        <v>293.33333333333616</v>
      </c>
      <c r="CD138" s="62">
        <f ca="1">AVERAGE(OFFSET($CC$3,0,0,'Données projet'!$E$12+1,1))-AVERAGE(OFFSET($H$3,0,0,'Données projet'!$E$12+1,1))</f>
        <v>227.46616726010473</v>
      </c>
      <c r="CE138" s="62">
        <f t="shared" si="148"/>
        <v>314.188568589113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15.040777149772431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2.1826127879646244E-12</v>
      </c>
      <c r="CN138" s="24">
        <f t="shared" si="120"/>
        <v>15.040777149774614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projet'!$B$13,Paramètres!$A$1:$I$88,3,0)*VLOOKUP('Données projet'!$B$13,Paramètres!$A$1:$I$88,5,0)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356.46794174556311</v>
      </c>
      <c r="CZ138" s="62">
        <f t="shared" si="150"/>
        <v>248.47107558211923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0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projet'!$B$14,Paramètres!$A$1:$I$88,3,0)*VLOOKUP('Données projet'!$B$14,Paramètres!$A$1:$I$88,5,0)</f>
        <v>6.3550942286383367E-14</v>
      </c>
      <c r="DQ138" s="14">
        <f t="shared" si="151"/>
        <v>1.0064464192543978E-12</v>
      </c>
      <c r="DR138" s="22">
        <f t="shared" si="124"/>
        <v>1.8635787380168604E-12</v>
      </c>
      <c r="DS138" s="62">
        <f t="shared" si="125"/>
        <v>293.33333333333519</v>
      </c>
      <c r="DT138" s="62">
        <f ca="1">AVERAGE(OFFSET($DS$3,0,0,'Données projet'!$E$14+1,1))-AVERAGE(OFFSET($H$3,0,0,'Données projet'!$E$14+1,1))</f>
        <v>397.04445188588369</v>
      </c>
      <c r="DU138" s="62">
        <f t="shared" si="152"/>
        <v>350.01856672839466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0.62722176817724939</v>
      </c>
      <c r="EB138" s="23">
        <f>EXP(-LN(2)/25)*EB137+(1-EXP(-LN(2)/25))/(LN(2)/25)*Calculateur!DW138*Calculateur!DY138*VLOOKUP('Données projet'!$B$14,Paramètres!$A$1:$I$88,3,0)*0.475*44/12</f>
        <v>0</v>
      </c>
      <c r="EC138" s="23">
        <f>EXP(-LN(2)/2)*EC137+(1-EXP(-LN(2)/2))/(LN(2)/2)*DW138*DZ138*VLOOKUP('Données projet'!$B$14,Paramètres!$A$1:$I$88,3,0)*0.475*44/12</f>
        <v>2.5439732480765457E-15</v>
      </c>
      <c r="ED138" s="24">
        <f t="shared" si="126"/>
        <v>0.62722176817725195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-1.9895196601282805E-13</v>
      </c>
      <c r="EK138" s="18">
        <f>EJ138*VLOOKUP('Données projet'!$B$15,Paramètres!$A$1:$I$88,3,0)*VLOOKUP('Données projet'!$B$15,Paramètres!$A$1:$I$88,5,0)</f>
        <v>-1.738044375088066E-13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202.5548390231225</v>
      </c>
      <c r="EP138" s="62">
        <f t="shared" si="154"/>
        <v>184.62184077734179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projet'!$B$15,Paramètres!$A$1:$I$88,3,0)*0.475*44/12</f>
        <v>0</v>
      </c>
      <c r="EW138" s="23">
        <f>EXP(-LN(2)/25)*EW137+(1-EXP(-LN(2)/25))/(LN(2)/25)*Calculateur!ER138*Calculateur!ET138*VLOOKUP('Données projet'!$B$15,Paramètres!$A$1:$I$88,3,0)*0.475*44/12</f>
        <v>0</v>
      </c>
      <c r="EX138" s="23">
        <f>EXP(-LN(2)/2)*EX137+(1-EXP(-LN(2)/2))/(LN(2)/2)*ER138*EU138*VLOOKUP('Données projet'!$B$15,Paramètres!$A$1:$I$88,3,0)*0.475*44/12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>
        <f>VLOOKUP(A138,'Données projet'!$A$217:$I$237,2,0)</f>
        <v>298</v>
      </c>
      <c r="FC138" s="13">
        <f>VLOOKUP(A138,'Données projet'!$A$217:$I$237,9,0)</f>
        <v>3</v>
      </c>
      <c r="FD138" s="13">
        <f t="array" ref="FD138">INDEX(FC:FC,MIN(IF(ISNUMBER(FC138:FC334),ROW(FC138:FC334),"")))</f>
        <v>3</v>
      </c>
      <c r="FE138" s="13">
        <f>IF('Données projet'!$A$218&gt;35,FE137+FD138-FM137,IF(A138&lt;'Données projet'!$A$218,$FB$205^A138,IF(A138='Données projet'!$A$218,'Données projet'!$B$218,FE137+FD138-FM137)))</f>
        <v>297.99999999999932</v>
      </c>
      <c r="FF138" s="18">
        <f>FE138*VLOOKUP('Données projet'!$B$16,Paramètres!$A$1:$I$88,3,0)*VLOOKUP('Données projet'!$B$16,Paramètres!$A$1:$I$88,5,0)</f>
        <v>288.2255999999993</v>
      </c>
      <c r="FG138" s="14">
        <f t="shared" si="155"/>
        <v>68.702374546701719</v>
      </c>
      <c r="FH138" s="22">
        <f t="shared" si="130"/>
        <v>621.64955566883771</v>
      </c>
      <c r="FI138" s="62">
        <f t="shared" si="131"/>
        <v>914.98288900217108</v>
      </c>
      <c r="FJ138" s="62">
        <f ca="1">AVERAGE(OFFSET($FI$3,0,0,'Données projet'!$E$16+1,1))-AVERAGE(OFFSET($H$3,0,0,'Données projet'!$E$16+1,1))</f>
        <v>456.96274622094955</v>
      </c>
      <c r="FK138" s="62">
        <f t="shared" si="156"/>
        <v>244.45149244446094</v>
      </c>
      <c r="FL138" s="16">
        <f>IF(ISNA(VLOOKUP(A138,'Données projet'!$A$217:$I$237,3,0)),0,VLOOKUP(A138,'Données projet'!$A$217:$I$237,3,0))</f>
        <v>12</v>
      </c>
      <c r="FM138" s="16">
        <f>IF(ISNA(VLOOKUP(A138,'Données projet'!$A$217:$I$237,4,0)),0,VLOOKUP(A138,'Données projet'!$A$217:$I$237,4,0))</f>
        <v>29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projet'!$B$16,Paramètres!$A$1:$I$88,3,0)*0.475*44/12</f>
        <v>0</v>
      </c>
      <c r="FR138" s="23">
        <f>EXP(-LN(2)/25)*FR137+(1-EXP(-LN(2)/25))/(LN(2)/25)*Calculateur!FM138*Calculateur!FO138*VLOOKUP('Données projet'!$B$16,Paramètres!$A$1:$I$88,3,0)*0.475*44/12</f>
        <v>0</v>
      </c>
      <c r="FS138" s="23">
        <f>EXP(-LN(2)/2)*FS137+(1-EXP(-LN(2)/2))/(LN(2)/2)*FM138*FP138*VLOOKUP('Données projet'!$B$16,Paramètres!$A$1:$I$88,3,0)*0.475*44/12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>
        <f>VLOOKUP(A138,'Données projet'!$A$243:$I$263,2,0)</f>
        <v>298</v>
      </c>
      <c r="FX138" s="13">
        <f>VLOOKUP(A138,'Données projet'!$A$243:$I$263,9,0)</f>
        <v>3</v>
      </c>
      <c r="FY138" s="13">
        <f t="array" ref="FY138">INDEX(FX:FX,MIN(IF(ISNUMBER(FX138:FX334),ROW(FX138:FX334),"")))</f>
        <v>3</v>
      </c>
      <c r="FZ138" s="13">
        <f>IF('Données projet'!$A$244&gt;35,FZ137+FY138-GH137,IF(A138&lt;'Données projet'!$A$244,$FW$205^A138,IF(A138='Données projet'!$A$244,'Données projet'!$B$244,FZ137+FY138-GH137)))</f>
        <v>297.99999999999932</v>
      </c>
      <c r="GA138" s="18">
        <f>FZ138*VLOOKUP('Données projet'!$B$17,Paramètres!$A$1:$I$88,3,0)*VLOOKUP('Données projet'!$B$17,Paramètres!$A$1:$I$88,5,0)</f>
        <v>320.76719999999926</v>
      </c>
      <c r="GB138" s="14">
        <f t="shared" si="157"/>
        <v>75.512962289014695</v>
      </c>
      <c r="GC138" s="22">
        <f t="shared" si="133"/>
        <v>690.18794932003266</v>
      </c>
      <c r="GD138" s="62">
        <f t="shared" si="134"/>
        <v>983.52128265336592</v>
      </c>
      <c r="GE138" s="62">
        <f ca="1">AVERAGE(OFFSET($GD$3,0,0,'Données projet'!$E$17+1,1))-AVERAGE(OFFSET($H$3,0,0,'Données projet'!$E$17+1,1))</f>
        <v>503.69304261527651</v>
      </c>
      <c r="GF138" s="62">
        <f t="shared" si="158"/>
        <v>267.2998309535638</v>
      </c>
      <c r="GG138" s="16">
        <f>IF(ISNA(VLOOKUP(A138,'Données projet'!$A$243:$I$263,3,0)),0,VLOOKUP(A138,'Données projet'!$A$243:$I$263,3,0))</f>
        <v>12</v>
      </c>
      <c r="GH138" s="16">
        <f>IF(ISNA(VLOOKUP(A138,'Données projet'!$A$243:$I$263,4,0)),0,VLOOKUP(A138,'Données projet'!$A$243:$I$263,4,0))</f>
        <v>29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projet'!$B$17,Paramètres!$A$1:$I$88,3,0)*0.475*44/12</f>
        <v>0</v>
      </c>
      <c r="GM138" s="23">
        <f>EXP(-LN(2)/25)*GM137+(1-EXP(-LN(2)/25))/(LN(2)/25)*Calculateur!GH138*Calculateur!GJ138*VLOOKUP('Données projet'!$B$17,Paramètres!$A$1:$I$88,3,0)*0.475*44/12</f>
        <v>0</v>
      </c>
      <c r="GN138" s="23">
        <f>EXP(-LN(2)/2)*GN137+(1-EXP(-LN(2)/2))/(LN(2)/2)*GH138*GK138*VLOOKUP('Données projet'!$B$17,Paramètres!$A$1:$I$88,3,0)*0.475*44/12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>
        <f>VLOOKUP(A138,'Données projet'!$A$269:$I$289,2,0)</f>
        <v>344</v>
      </c>
      <c r="GS138" s="13">
        <f>VLOOKUP(A138,'Données projet'!$A$269:$I$289,9,0)</f>
        <v>4</v>
      </c>
      <c r="GT138" s="13">
        <f t="array" ref="GT138">INDEX(GS:GS,MIN(IF(ISNUMBER(GS138:GS334),ROW(GS138:GS334),"")))</f>
        <v>4</v>
      </c>
      <c r="GU138" s="13">
        <f>IF('Données projet'!$A$270&gt;35,GU137+GT138-HC137,IF(A138&lt;'Données projet'!$A$270,$GR$205^A138,IF(A138='Données projet'!$A$270,'Données projet'!$B$270,GU137+GT138-HC137)))</f>
        <v>343.99999999999983</v>
      </c>
      <c r="GV138" s="18">
        <f>GU138*VLOOKUP('Données projet'!$B$18,Paramètres!$A$1:$I$88,3,0)*VLOOKUP('Données projet'!$B$18,Paramètres!$A$1:$I$88,5,0)</f>
        <v>359.54879999999986</v>
      </c>
      <c r="GW138" s="14">
        <f t="shared" si="159"/>
        <v>83.525617588948649</v>
      </c>
      <c r="GX138" s="22">
        <f t="shared" si="136"/>
        <v>771.68794396741851</v>
      </c>
      <c r="GY138" s="62">
        <f t="shared" si="137"/>
        <v>1065.0212773007518</v>
      </c>
      <c r="GZ138" s="62">
        <f ca="1">AVERAGE(OFFSET($GY$3,0,0,'Données projet'!$E$18+1,1))-AVERAGE(OFFSET($H$3,0,0,'Données projet'!$E$18+1,1))</f>
        <v>582.89879210197682</v>
      </c>
      <c r="HA138" s="62">
        <f t="shared" si="160"/>
        <v>314.72094983133326</v>
      </c>
      <c r="HB138" s="16">
        <f>IF(ISNA(VLOOKUP(A138,'Données projet'!$A$269:$I$289,3,0)),0,VLOOKUP(A138,'Données projet'!$A$269:$I$289,3,0))</f>
        <v>12</v>
      </c>
      <c r="HC138" s="16">
        <f>IF(ISNA(VLOOKUP(A138,'Données projet'!$A$269:$I$289,4,0)),0,VLOOKUP(A138,'Données projet'!$A$269:$I$289,4,0))</f>
        <v>43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projet'!$B$18,Paramètres!$A$1:$I$88,3,0)*0.475*44/12</f>
        <v>0</v>
      </c>
      <c r="HH138" s="23">
        <f>EXP(-LN(2)/25)*HH137+(1-EXP(-LN(2)/25))/(LN(2)/25)*Calculateur!HC138*Calculateur!HE138*VLOOKUP('Données projet'!$B$18,Paramètres!$A$1:$I$88,3,0)*0.475*44/12</f>
        <v>0</v>
      </c>
      <c r="HI138" s="23">
        <f>EXP(-LN(2)/2)*HI137+(1-EXP(-LN(2)/2))/(LN(2)/2)*HC138*HF138*VLOOKUP('Données projet'!$B$18,Paramètres!$A$1:$I$88,3,0)*0.475*44/12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projet'!$B$9,Paramètres!$A$1:$I$88,3,0)*VLOOKUP('Données projet'!$B$9,Paramètres!$A$1:$I$88,5,0)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399.92909819003523</v>
      </c>
      <c r="T139" s="62">
        <f t="shared" si="142"/>
        <v>163.7053537268381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3.7</v>
      </c>
      <c r="AI139" s="14">
        <f>IF('Données projet'!$A$62&gt;35,AI138+AH139-AQ138,IF(A139&lt;'Données projet'!$A$62,$AF$205^A139,IF(A139='Données projet'!$A$62,'Données projet'!$B$62,AI138+AH139-AQ138)))</f>
        <v>304.69999999999982</v>
      </c>
      <c r="AJ139" s="14">
        <f>AI139*VLOOKUP('Données projet'!$B$10,Paramètres!$A$1:$I$88,3,0)*VLOOKUP('Données projet'!$B$10,Paramètres!$A$1:$I$88,5,0)</f>
        <v>275.69255999999984</v>
      </c>
      <c r="AK139" s="14">
        <f t="shared" si="143"/>
        <v>66.055903272516787</v>
      </c>
      <c r="AL139" s="22">
        <f t="shared" si="112"/>
        <v>595.21190686629973</v>
      </c>
      <c r="AM139" s="62">
        <f t="shared" si="113"/>
        <v>888.5452401996331</v>
      </c>
      <c r="AN139" s="62">
        <f ca="1">AVERAGE(OFFSET($AM$3,0,0,'Données projet'!$E$10+1,1))-AVERAGE(OFFSET($H$3,0,0,'Données projet'!$E$10+1,1))</f>
        <v>510.56580450928806</v>
      </c>
      <c r="AO139" s="62">
        <f t="shared" si="144"/>
        <v>278.21741231699929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-5.1159076974727213E-13</v>
      </c>
      <c r="BE139" s="14">
        <f>BD139*VLOOKUP('Données projet'!$B$11,Paramètres!$A$1:$I$88,3,0)*VLOOKUP('Données projet'!$B$11,Paramètres!$A$1:$I$88,5,0)</f>
        <v>-4.8682977649150421E-13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525.51330555662139</v>
      </c>
      <c r="BJ139" s="62">
        <f t="shared" si="146"/>
        <v>357.72390083433635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1.7053025658242404E-13</v>
      </c>
      <c r="BZ139" s="14">
        <f>BY139*VLOOKUP('Données projet'!$B$12,Paramètres!$A$1:$I$88,3,0)*VLOOKUP('Données projet'!$B$12,Paramètres!$A$1:$I$88,5,0)</f>
        <v>1.0197709343628959E-13</v>
      </c>
      <c r="CA139" s="14">
        <f t="shared" si="147"/>
        <v>1.5284983994279675E-12</v>
      </c>
      <c r="CB139" s="22">
        <f t="shared" si="118"/>
        <v>2.839744816738581E-12</v>
      </c>
      <c r="CC139" s="62">
        <f t="shared" si="119"/>
        <v>293.33333333333616</v>
      </c>
      <c r="CD139" s="62">
        <f ca="1">AVERAGE(OFFSET($CC$3,0,0,'Données projet'!$E$12+1,1))-AVERAGE(OFFSET($H$3,0,0,'Données projet'!$E$12+1,1))</f>
        <v>227.46616726010473</v>
      </c>
      <c r="CE139" s="62">
        <f t="shared" si="148"/>
        <v>314.188568589113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14.745836683833602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1.5433403030742621E-12</v>
      </c>
      <c r="CN139" s="24">
        <f t="shared" si="120"/>
        <v>14.745836683835146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projet'!$B$13,Paramètres!$A$1:$I$88,3,0)*VLOOKUP('Données projet'!$B$13,Paramètres!$A$1:$I$88,5,0)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356.46794174556311</v>
      </c>
      <c r="CZ139" s="62">
        <f t="shared" si="150"/>
        <v>248.47107558211923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0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projet'!$B$14,Paramètres!$A$1:$I$88,3,0)*VLOOKUP('Données projet'!$B$14,Paramètres!$A$1:$I$88,5,0)</f>
        <v>6.3550942286383367E-14</v>
      </c>
      <c r="DQ139" s="14">
        <f t="shared" si="151"/>
        <v>1.0064464192543978E-12</v>
      </c>
      <c r="DR139" s="22">
        <f t="shared" si="124"/>
        <v>1.8635787380168604E-12</v>
      </c>
      <c r="DS139" s="62">
        <f t="shared" si="125"/>
        <v>293.33333333333519</v>
      </c>
      <c r="DT139" s="62">
        <f ca="1">AVERAGE(OFFSET($DS$3,0,0,'Données projet'!$E$14+1,1))-AVERAGE(OFFSET($H$3,0,0,'Données projet'!$E$14+1,1))</f>
        <v>397.04445188588369</v>
      </c>
      <c r="DU139" s="62">
        <f t="shared" si="152"/>
        <v>350.01856672839466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0.6149223318707967</v>
      </c>
      <c r="EB139" s="23">
        <f>EXP(-LN(2)/25)*EB138+(1-EXP(-LN(2)/25))/(LN(2)/25)*Calculateur!DW139*Calculateur!DY139*VLOOKUP('Données projet'!$B$14,Paramètres!$A$1:$I$88,3,0)*0.475*44/12</f>
        <v>0</v>
      </c>
      <c r="EC139" s="23">
        <f>EXP(-LN(2)/2)*EC138+(1-EXP(-LN(2)/2))/(LN(2)/2)*DW139*DZ139*VLOOKUP('Données projet'!$B$14,Paramètres!$A$1:$I$88,3,0)*0.475*44/12</f>
        <v>1.7988607348720926E-15</v>
      </c>
      <c r="ED139" s="24">
        <f t="shared" si="126"/>
        <v>0.61492233187079848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-1.9895196601282805E-13</v>
      </c>
      <c r="EK139" s="18">
        <f>EJ139*VLOOKUP('Données projet'!$B$15,Paramètres!$A$1:$I$88,3,0)*VLOOKUP('Données projet'!$B$15,Paramètres!$A$1:$I$88,5,0)</f>
        <v>-1.738044375088066E-13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202.5548390231225</v>
      </c>
      <c r="EP139" s="62">
        <f t="shared" si="154"/>
        <v>184.62184077734179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projet'!$B$15,Paramètres!$A$1:$I$88,3,0)*0.475*44/12</f>
        <v>0</v>
      </c>
      <c r="EW139" s="23">
        <f>EXP(-LN(2)/25)*EW138+(1-EXP(-LN(2)/25))/(LN(2)/25)*Calculateur!ER139*Calculateur!ET139*VLOOKUP('Données projet'!$B$15,Paramètres!$A$1:$I$88,3,0)*0.475*44/12</f>
        <v>0</v>
      </c>
      <c r="EX139" s="23">
        <f>EXP(-LN(2)/2)*EX138+(1-EXP(-LN(2)/2))/(LN(2)/2)*ER139*EU139*VLOOKUP('Données projet'!$B$15,Paramètres!$A$1:$I$88,3,0)*0.475*44/12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2.6</v>
      </c>
      <c r="FE139" s="13">
        <f>IF('Données projet'!$A$218&gt;35,FE138+FD139-FM138,IF(A139&lt;'Données projet'!$A$218,$FB$205^A139,IF(A139='Données projet'!$A$218,'Données projet'!$B$218,FE138+FD139-FM138)))</f>
        <v>271.59999999999934</v>
      </c>
      <c r="FF139" s="18">
        <f>FE139*VLOOKUP('Données projet'!$B$16,Paramètres!$A$1:$I$88,3,0)*VLOOKUP('Données projet'!$B$16,Paramètres!$A$1:$I$88,5,0)</f>
        <v>262.6915199999994</v>
      </c>
      <c r="FG139" s="14">
        <f t="shared" si="155"/>
        <v>63.29575691724186</v>
      </c>
      <c r="FH139" s="22">
        <f t="shared" si="130"/>
        <v>567.76117396419511</v>
      </c>
      <c r="FI139" s="62">
        <f t="shared" si="131"/>
        <v>861.09450729752848</v>
      </c>
      <c r="FJ139" s="62">
        <f ca="1">AVERAGE(OFFSET($FI$3,0,0,'Données projet'!$E$16+1,1))-AVERAGE(OFFSET($H$3,0,0,'Données projet'!$E$16+1,1))</f>
        <v>456.96274622094955</v>
      </c>
      <c r="FK139" s="62">
        <f t="shared" si="156"/>
        <v>244.45149244446094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projet'!$B$16,Paramètres!$A$1:$I$88,3,0)*0.475*44/12</f>
        <v>0</v>
      </c>
      <c r="FR139" s="23">
        <f>EXP(-LN(2)/25)*FR138+(1-EXP(-LN(2)/25))/(LN(2)/25)*Calculateur!FM139*Calculateur!FO139*VLOOKUP('Données projet'!$B$16,Paramètres!$A$1:$I$88,3,0)*0.475*44/12</f>
        <v>0</v>
      </c>
      <c r="FS139" s="23">
        <f>EXP(-LN(2)/2)*FS138+(1-EXP(-LN(2)/2))/(LN(2)/2)*FM139*FP139*VLOOKUP('Données projet'!$B$16,Paramètres!$A$1:$I$88,3,0)*0.475*44/12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2.6</v>
      </c>
      <c r="FZ139" s="13">
        <f>IF('Données projet'!$A$244&gt;35,FZ138+FY139-GH138,IF(A139&lt;'Données projet'!$A$244,$FW$205^A139,IF(A139='Données projet'!$A$244,'Données projet'!$B$244,FZ138+FY139-GH138)))</f>
        <v>271.59999999999934</v>
      </c>
      <c r="GA139" s="18">
        <f>FZ139*VLOOKUP('Données projet'!$B$17,Paramètres!$A$1:$I$88,3,0)*VLOOKUP('Données projet'!$B$17,Paramètres!$A$1:$I$88,5,0)</f>
        <v>292.3502399999993</v>
      </c>
      <c r="GB139" s="14">
        <f t="shared" si="157"/>
        <v>69.570377103884013</v>
      </c>
      <c r="GC139" s="22">
        <f t="shared" si="133"/>
        <v>630.34507478926355</v>
      </c>
      <c r="GD139" s="62">
        <f t="shared" si="134"/>
        <v>923.67840812259692</v>
      </c>
      <c r="GE139" s="62">
        <f ca="1">AVERAGE(OFFSET($GD$3,0,0,'Données projet'!$E$17+1,1))-AVERAGE(OFFSET($H$3,0,0,'Données projet'!$E$17+1,1))</f>
        <v>503.69304261527651</v>
      </c>
      <c r="GF139" s="62">
        <f t="shared" si="158"/>
        <v>267.2998309535638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projet'!$B$17,Paramètres!$A$1:$I$88,3,0)*0.475*44/12</f>
        <v>0</v>
      </c>
      <c r="GM139" s="23">
        <f>EXP(-LN(2)/25)*GM138+(1-EXP(-LN(2)/25))/(LN(2)/25)*Calculateur!GH139*Calculateur!GJ139*VLOOKUP('Données projet'!$B$17,Paramètres!$A$1:$I$88,3,0)*0.475*44/12</f>
        <v>0</v>
      </c>
      <c r="GN139" s="23">
        <f>EXP(-LN(2)/2)*GN138+(1-EXP(-LN(2)/2))/(LN(2)/2)*GH139*GK139*VLOOKUP('Données projet'!$B$17,Paramètres!$A$1:$I$88,3,0)*0.475*44/12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3.7</v>
      </c>
      <c r="GU139" s="13">
        <f>IF('Données projet'!$A$270&gt;35,GU138+GT139-HC138,IF(A139&lt;'Données projet'!$A$270,$GR$205^A139,IF(A139='Données projet'!$A$270,'Données projet'!$B$270,GU138+GT139-HC138)))</f>
        <v>304.69999999999982</v>
      </c>
      <c r="GV139" s="18">
        <f>GU139*VLOOKUP('Données projet'!$B$18,Paramètres!$A$1:$I$88,3,0)*VLOOKUP('Données projet'!$B$18,Paramètres!$A$1:$I$88,5,0)</f>
        <v>318.47243999999984</v>
      </c>
      <c r="GW139" s="14">
        <f t="shared" si="159"/>
        <v>75.035426636391989</v>
      </c>
      <c r="GX139" s="22">
        <f t="shared" si="136"/>
        <v>685.35953439171578</v>
      </c>
      <c r="GY139" s="62">
        <f t="shared" si="137"/>
        <v>978.69286772504915</v>
      </c>
      <c r="GZ139" s="62">
        <f ca="1">AVERAGE(OFFSET($GY$3,0,0,'Données projet'!$E$18+1,1))-AVERAGE(OFFSET($H$3,0,0,'Données projet'!$E$18+1,1))</f>
        <v>582.89879210197682</v>
      </c>
      <c r="HA139" s="62">
        <f t="shared" si="160"/>
        <v>314.72094983133326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projet'!$B$18,Paramètres!$A$1:$I$88,3,0)*0.475*44/12</f>
        <v>0</v>
      </c>
      <c r="HH139" s="23">
        <f>EXP(-LN(2)/25)*HH138+(1-EXP(-LN(2)/25))/(LN(2)/25)*Calculateur!HC139*Calculateur!HE139*VLOOKUP('Données projet'!$B$18,Paramètres!$A$1:$I$88,3,0)*0.475*44/12</f>
        <v>0</v>
      </c>
      <c r="HI139" s="23">
        <f>EXP(-LN(2)/2)*HI138+(1-EXP(-LN(2)/2))/(LN(2)/2)*HC139*HF139*VLOOKUP('Données projet'!$B$18,Paramètres!$A$1:$I$88,3,0)*0.475*44/12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projet'!$B$9,Paramètres!$A$1:$I$88,3,0)*VLOOKUP('Données projet'!$B$9,Paramètres!$A$1:$I$88,5,0)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399.92909819003523</v>
      </c>
      <c r="T140" s="62">
        <f t="shared" si="142"/>
        <v>163.7053537268381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3.7</v>
      </c>
      <c r="AI140" s="14">
        <f>IF('Données projet'!$A$62&gt;35,AI139+AH140-AQ139,IF(A140&lt;'Données projet'!$A$62,$AF$205^A140,IF(A140='Données projet'!$A$62,'Données projet'!$B$62,AI139+AH140-AQ139)))</f>
        <v>308.39999999999981</v>
      </c>
      <c r="AJ140" s="14">
        <f>AI140*VLOOKUP('Données projet'!$B$10,Paramètres!$A$1:$I$88,3,0)*VLOOKUP('Données projet'!$B$10,Paramètres!$A$1:$I$88,5,0)</f>
        <v>279.04031999999984</v>
      </c>
      <c r="AK140" s="14">
        <f t="shared" si="143"/>
        <v>66.764160402487647</v>
      </c>
      <c r="AL140" s="22">
        <f t="shared" si="112"/>
        <v>602.2761367009989</v>
      </c>
      <c r="AM140" s="62">
        <f t="shared" si="113"/>
        <v>895.60947003433216</v>
      </c>
      <c r="AN140" s="62">
        <f ca="1">AVERAGE(OFFSET($AM$3,0,0,'Données projet'!$E$10+1,1))-AVERAGE(OFFSET($H$3,0,0,'Données projet'!$E$10+1,1))</f>
        <v>510.56580450928806</v>
      </c>
      <c r="AO140" s="62">
        <f t="shared" si="144"/>
        <v>278.21741231699929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-5.1159076974727213E-13</v>
      </c>
      <c r="BE140" s="14">
        <f>BD140*VLOOKUP('Données projet'!$B$11,Paramètres!$A$1:$I$88,3,0)*VLOOKUP('Données projet'!$B$11,Paramètres!$A$1:$I$88,5,0)</f>
        <v>-4.8682977649150421E-13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525.51330555662139</v>
      </c>
      <c r="BJ140" s="62">
        <f t="shared" si="146"/>
        <v>357.72390083433635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1.7053025658242404E-13</v>
      </c>
      <c r="BZ140" s="14">
        <f>BY140*VLOOKUP('Données projet'!$B$12,Paramètres!$A$1:$I$88,3,0)*VLOOKUP('Données projet'!$B$12,Paramètres!$A$1:$I$88,5,0)</f>
        <v>1.0197709343628959E-13</v>
      </c>
      <c r="CA140" s="14">
        <f t="shared" si="147"/>
        <v>1.5284983994279675E-12</v>
      </c>
      <c r="CB140" s="22">
        <f t="shared" si="118"/>
        <v>2.839744816738581E-12</v>
      </c>
      <c r="CC140" s="62">
        <f t="shared" si="119"/>
        <v>293.33333333333616</v>
      </c>
      <c r="CD140" s="62">
        <f ca="1">AVERAGE(OFFSET($CC$3,0,0,'Données projet'!$E$12+1,1))-AVERAGE(OFFSET($H$3,0,0,'Données projet'!$E$12+1,1))</f>
        <v>227.46616726010473</v>
      </c>
      <c r="CE140" s="62">
        <f t="shared" si="148"/>
        <v>314.188568589113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14.456679820535911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1.0913063939823122E-12</v>
      </c>
      <c r="CN140" s="24">
        <f t="shared" si="120"/>
        <v>14.456679820537001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projet'!$B$13,Paramètres!$A$1:$I$88,3,0)*VLOOKUP('Données projet'!$B$13,Paramètres!$A$1:$I$88,5,0)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356.46794174556311</v>
      </c>
      <c r="CZ140" s="62">
        <f t="shared" si="150"/>
        <v>248.47107558211923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0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projet'!$B$14,Paramètres!$A$1:$I$88,3,0)*VLOOKUP('Données projet'!$B$14,Paramètres!$A$1:$I$88,5,0)</f>
        <v>6.3550942286383367E-14</v>
      </c>
      <c r="DQ140" s="14">
        <f t="shared" si="151"/>
        <v>1.0064464192543978E-12</v>
      </c>
      <c r="DR140" s="22">
        <f t="shared" si="124"/>
        <v>1.8635787380168604E-12</v>
      </c>
      <c r="DS140" s="62">
        <f t="shared" si="125"/>
        <v>293.33333333333519</v>
      </c>
      <c r="DT140" s="62">
        <f ca="1">AVERAGE(OFFSET($DS$3,0,0,'Données projet'!$E$14+1,1))-AVERAGE(OFFSET($H$3,0,0,'Données projet'!$E$14+1,1))</f>
        <v>397.04445188588369</v>
      </c>
      <c r="DU140" s="62">
        <f t="shared" si="152"/>
        <v>350.01856672839466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0.6028640800083982</v>
      </c>
      <c r="EB140" s="23">
        <f>EXP(-LN(2)/25)*EB139+(1-EXP(-LN(2)/25))/(LN(2)/25)*Calculateur!DW140*Calculateur!DY140*VLOOKUP('Données projet'!$B$14,Paramètres!$A$1:$I$88,3,0)*0.475*44/12</f>
        <v>0</v>
      </c>
      <c r="EC140" s="23">
        <f>EXP(-LN(2)/2)*EC139+(1-EXP(-LN(2)/2))/(LN(2)/2)*DW140*DZ140*VLOOKUP('Données projet'!$B$14,Paramètres!$A$1:$I$88,3,0)*0.475*44/12</f>
        <v>1.2719866240382729E-15</v>
      </c>
      <c r="ED140" s="24">
        <f t="shared" si="126"/>
        <v>0.60286408000839942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-1.9895196601282805E-13</v>
      </c>
      <c r="EK140" s="18">
        <f>EJ140*VLOOKUP('Données projet'!$B$15,Paramètres!$A$1:$I$88,3,0)*VLOOKUP('Données projet'!$B$15,Paramètres!$A$1:$I$88,5,0)</f>
        <v>-1.738044375088066E-13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202.5548390231225</v>
      </c>
      <c r="EP140" s="62">
        <f t="shared" si="154"/>
        <v>184.62184077734179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projet'!$B$15,Paramètres!$A$1:$I$88,3,0)*0.475*44/12</f>
        <v>0</v>
      </c>
      <c r="EW140" s="23">
        <f>EXP(-LN(2)/25)*EW139+(1-EXP(-LN(2)/25))/(LN(2)/25)*Calculateur!ER140*Calculateur!ET140*VLOOKUP('Données projet'!$B$15,Paramètres!$A$1:$I$88,3,0)*0.475*44/12</f>
        <v>0</v>
      </c>
      <c r="EX140" s="23">
        <f>EXP(-LN(2)/2)*EX139+(1-EXP(-LN(2)/2))/(LN(2)/2)*ER140*EU140*VLOOKUP('Données projet'!$B$15,Paramètres!$A$1:$I$88,3,0)*0.475*44/12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2.6</v>
      </c>
      <c r="FE140" s="13">
        <f>IF('Données projet'!$A$218&gt;35,FE139+FD140-FM139,IF(A140&lt;'Données projet'!$A$218,$FB$205^A140,IF(A140='Données projet'!$A$218,'Données projet'!$B$218,FE139+FD140-FM139)))</f>
        <v>274.19999999999936</v>
      </c>
      <c r="FF140" s="18">
        <f>FE140*VLOOKUP('Données projet'!$B$16,Paramètres!$A$1:$I$88,3,0)*VLOOKUP('Données projet'!$B$16,Paramètres!$A$1:$I$88,5,0)</f>
        <v>265.20623999999935</v>
      </c>
      <c r="FG140" s="14">
        <f t="shared" si="155"/>
        <v>63.830854160896273</v>
      </c>
      <c r="FH140" s="22">
        <f t="shared" si="130"/>
        <v>573.07293899689319</v>
      </c>
      <c r="FI140" s="62">
        <f t="shared" si="131"/>
        <v>866.40627233022656</v>
      </c>
      <c r="FJ140" s="62">
        <f ca="1">AVERAGE(OFFSET($FI$3,0,0,'Données projet'!$E$16+1,1))-AVERAGE(OFFSET($H$3,0,0,'Données projet'!$E$16+1,1))</f>
        <v>456.96274622094955</v>
      </c>
      <c r="FK140" s="62">
        <f t="shared" si="156"/>
        <v>244.45149244446094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projet'!$B$16,Paramètres!$A$1:$I$88,3,0)*0.475*44/12</f>
        <v>0</v>
      </c>
      <c r="FR140" s="23">
        <f>EXP(-LN(2)/25)*FR139+(1-EXP(-LN(2)/25))/(LN(2)/25)*Calculateur!FM140*Calculateur!FO140*VLOOKUP('Données projet'!$B$16,Paramètres!$A$1:$I$88,3,0)*0.475*44/12</f>
        <v>0</v>
      </c>
      <c r="FS140" s="23">
        <f>EXP(-LN(2)/2)*FS139+(1-EXP(-LN(2)/2))/(LN(2)/2)*FM140*FP140*VLOOKUP('Données projet'!$B$16,Paramètres!$A$1:$I$88,3,0)*0.475*44/12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2.6</v>
      </c>
      <c r="FZ140" s="13">
        <f>IF('Données projet'!$A$244&gt;35,FZ139+FY140-GH139,IF(A140&lt;'Données projet'!$A$244,$FW$205^A140,IF(A140='Données projet'!$A$244,'Données projet'!$B$244,FZ139+FY140-GH139)))</f>
        <v>274.19999999999936</v>
      </c>
      <c r="GA140" s="18">
        <f>FZ140*VLOOKUP('Données projet'!$B$17,Paramètres!$A$1:$I$88,3,0)*VLOOKUP('Données projet'!$B$17,Paramètres!$A$1:$I$88,5,0)</f>
        <v>295.14887999999934</v>
      </c>
      <c r="GB140" s="14">
        <f t="shared" si="157"/>
        <v>70.158519482479221</v>
      </c>
      <c r="GC140" s="22">
        <f t="shared" si="133"/>
        <v>636.24372076531688</v>
      </c>
      <c r="GD140" s="62">
        <f t="shared" si="134"/>
        <v>929.57705409865025</v>
      </c>
      <c r="GE140" s="62">
        <f ca="1">AVERAGE(OFFSET($GD$3,0,0,'Données projet'!$E$17+1,1))-AVERAGE(OFFSET($H$3,0,0,'Données projet'!$E$17+1,1))</f>
        <v>503.69304261527651</v>
      </c>
      <c r="GF140" s="62">
        <f t="shared" si="158"/>
        <v>267.2998309535638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projet'!$B$17,Paramètres!$A$1:$I$88,3,0)*0.475*44/12</f>
        <v>0</v>
      </c>
      <c r="GM140" s="23">
        <f>EXP(-LN(2)/25)*GM139+(1-EXP(-LN(2)/25))/(LN(2)/25)*Calculateur!GH140*Calculateur!GJ140*VLOOKUP('Données projet'!$B$17,Paramètres!$A$1:$I$88,3,0)*0.475*44/12</f>
        <v>0</v>
      </c>
      <c r="GN140" s="23">
        <f>EXP(-LN(2)/2)*GN139+(1-EXP(-LN(2)/2))/(LN(2)/2)*GH140*GK140*VLOOKUP('Données projet'!$B$17,Paramètres!$A$1:$I$88,3,0)*0.475*44/12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3.7</v>
      </c>
      <c r="GU140" s="13">
        <f>IF('Données projet'!$A$270&gt;35,GU139+GT140-HC139,IF(A140&lt;'Données projet'!$A$270,$GR$205^A140,IF(A140='Données projet'!$A$270,'Données projet'!$B$270,GU139+GT140-HC139)))</f>
        <v>308.39999999999981</v>
      </c>
      <c r="GV140" s="18">
        <f>GU140*VLOOKUP('Données projet'!$B$18,Paramètres!$A$1:$I$88,3,0)*VLOOKUP('Données projet'!$B$18,Paramètres!$A$1:$I$88,5,0)</f>
        <v>322.33967999999982</v>
      </c>
      <c r="GW140" s="14">
        <f t="shared" si="159"/>
        <v>75.839962995487411</v>
      </c>
      <c r="GX140" s="22">
        <f t="shared" si="136"/>
        <v>693.49621155047362</v>
      </c>
      <c r="GY140" s="62">
        <f t="shared" si="137"/>
        <v>986.82954488380688</v>
      </c>
      <c r="GZ140" s="62">
        <f ca="1">AVERAGE(OFFSET($GY$3,0,0,'Données projet'!$E$18+1,1))-AVERAGE(OFFSET($H$3,0,0,'Données projet'!$E$18+1,1))</f>
        <v>582.89879210197682</v>
      </c>
      <c r="HA140" s="62">
        <f t="shared" si="160"/>
        <v>314.72094983133326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projet'!$B$18,Paramètres!$A$1:$I$88,3,0)*0.475*44/12</f>
        <v>0</v>
      </c>
      <c r="HH140" s="23">
        <f>EXP(-LN(2)/25)*HH139+(1-EXP(-LN(2)/25))/(LN(2)/25)*Calculateur!HC140*Calculateur!HE140*VLOOKUP('Données projet'!$B$18,Paramètres!$A$1:$I$88,3,0)*0.475*44/12</f>
        <v>0</v>
      </c>
      <c r="HI140" s="23">
        <f>EXP(-LN(2)/2)*HI139+(1-EXP(-LN(2)/2))/(LN(2)/2)*HC140*HF140*VLOOKUP('Données projet'!$B$18,Paramètres!$A$1:$I$88,3,0)*0.475*44/12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projet'!$B$9,Paramètres!$A$1:$I$88,3,0)*VLOOKUP('Données projet'!$B$9,Paramètres!$A$1:$I$88,5,0)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399.92909819003523</v>
      </c>
      <c r="T141" s="62">
        <f t="shared" si="142"/>
        <v>163.7053537268381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3.7</v>
      </c>
      <c r="AI141" s="14">
        <f>IF('Données projet'!$A$62&gt;35,AI140+AH141-AQ140,IF(A141&lt;'Données projet'!$A$62,$AF$205^A141,IF(A141='Données projet'!$A$62,'Données projet'!$B$62,AI140+AH141-AQ140)))</f>
        <v>312.0999999999998</v>
      </c>
      <c r="AJ141" s="14">
        <f>AI141*VLOOKUP('Données projet'!$B$10,Paramètres!$A$1:$I$88,3,0)*VLOOKUP('Données projet'!$B$10,Paramètres!$A$1:$I$88,5,0)</f>
        <v>282.38807999999977</v>
      </c>
      <c r="AK141" s="14">
        <f t="shared" si="143"/>
        <v>67.471429117981913</v>
      </c>
      <c r="AL141" s="22">
        <f t="shared" si="112"/>
        <v>609.33864504715143</v>
      </c>
      <c r="AM141" s="62">
        <f t="shared" si="113"/>
        <v>902.67197838048469</v>
      </c>
      <c r="AN141" s="62">
        <f ca="1">AVERAGE(OFFSET($AM$3,0,0,'Données projet'!$E$10+1,1))-AVERAGE(OFFSET($H$3,0,0,'Données projet'!$E$10+1,1))</f>
        <v>510.56580450928806</v>
      </c>
      <c r="AO141" s="62">
        <f t="shared" si="144"/>
        <v>278.21741231699929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-5.1159076974727213E-13</v>
      </c>
      <c r="BE141" s="14">
        <f>BD141*VLOOKUP('Données projet'!$B$11,Paramètres!$A$1:$I$88,3,0)*VLOOKUP('Données projet'!$B$11,Paramètres!$A$1:$I$88,5,0)</f>
        <v>-4.8682977649150421E-13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525.51330555662139</v>
      </c>
      <c r="BJ141" s="62">
        <f t="shared" si="146"/>
        <v>357.72390083433635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1.7053025658242404E-13</v>
      </c>
      <c r="BZ141" s="14">
        <f>BY141*VLOOKUP('Données projet'!$B$12,Paramètres!$A$1:$I$88,3,0)*VLOOKUP('Données projet'!$B$12,Paramètres!$A$1:$I$88,5,0)</f>
        <v>1.0197709343628959E-13</v>
      </c>
      <c r="CA141" s="14">
        <f t="shared" si="147"/>
        <v>1.5284983994279675E-12</v>
      </c>
      <c r="CB141" s="22">
        <f t="shared" si="118"/>
        <v>2.839744816738581E-12</v>
      </c>
      <c r="CC141" s="62">
        <f t="shared" si="119"/>
        <v>293.33333333333616</v>
      </c>
      <c r="CD141" s="62">
        <f ca="1">AVERAGE(OFFSET($CC$3,0,0,'Données projet'!$E$12+1,1))-AVERAGE(OFFSET($H$3,0,0,'Données projet'!$E$12+1,1))</f>
        <v>227.46616726010473</v>
      </c>
      <c r="CE141" s="62">
        <f t="shared" si="148"/>
        <v>314.188568589113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14.173193146959216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7.7167015153713106E-13</v>
      </c>
      <c r="CN141" s="24">
        <f t="shared" si="120"/>
        <v>14.173193146959987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projet'!$B$13,Paramètres!$A$1:$I$88,3,0)*VLOOKUP('Données projet'!$B$13,Paramètres!$A$1:$I$88,5,0)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356.46794174556311</v>
      </c>
      <c r="CZ141" s="62">
        <f t="shared" si="150"/>
        <v>248.47107558211923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0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projet'!$B$14,Paramètres!$A$1:$I$88,3,0)*VLOOKUP('Données projet'!$B$14,Paramètres!$A$1:$I$88,5,0)</f>
        <v>6.3550942286383367E-14</v>
      </c>
      <c r="DQ141" s="14">
        <f t="shared" si="151"/>
        <v>1.0064464192543978E-12</v>
      </c>
      <c r="DR141" s="22">
        <f t="shared" si="124"/>
        <v>1.8635787380168604E-12</v>
      </c>
      <c r="DS141" s="62">
        <f t="shared" si="125"/>
        <v>293.33333333333519</v>
      </c>
      <c r="DT141" s="62">
        <f ca="1">AVERAGE(OFFSET($DS$3,0,0,'Données projet'!$E$14+1,1))-AVERAGE(OFFSET($H$3,0,0,'Données projet'!$E$14+1,1))</f>
        <v>397.04445188588369</v>
      </c>
      <c r="DU141" s="62">
        <f t="shared" si="152"/>
        <v>350.01856672839466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0.5910422831102139</v>
      </c>
      <c r="EB141" s="23">
        <f>EXP(-LN(2)/25)*EB140+(1-EXP(-LN(2)/25))/(LN(2)/25)*Calculateur!DW141*Calculateur!DY141*VLOOKUP('Données projet'!$B$14,Paramètres!$A$1:$I$88,3,0)*0.475*44/12</f>
        <v>0</v>
      </c>
      <c r="EC141" s="23">
        <f>EXP(-LN(2)/2)*EC140+(1-EXP(-LN(2)/2))/(LN(2)/2)*DW141*DZ141*VLOOKUP('Données projet'!$B$14,Paramètres!$A$1:$I$88,3,0)*0.475*44/12</f>
        <v>8.9943036743604629E-16</v>
      </c>
      <c r="ED141" s="24">
        <f t="shared" si="126"/>
        <v>0.59104228311021478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-1.9895196601282805E-13</v>
      </c>
      <c r="EK141" s="18">
        <f>EJ141*VLOOKUP('Données projet'!$B$15,Paramètres!$A$1:$I$88,3,0)*VLOOKUP('Données projet'!$B$15,Paramètres!$A$1:$I$88,5,0)</f>
        <v>-1.738044375088066E-13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202.5548390231225</v>
      </c>
      <c r="EP141" s="62">
        <f t="shared" si="154"/>
        <v>184.62184077734179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projet'!$B$15,Paramètres!$A$1:$I$88,3,0)*0.475*44/12</f>
        <v>0</v>
      </c>
      <c r="EW141" s="23">
        <f>EXP(-LN(2)/25)*EW140+(1-EXP(-LN(2)/25))/(LN(2)/25)*Calculateur!ER141*Calculateur!ET141*VLOOKUP('Données projet'!$B$15,Paramètres!$A$1:$I$88,3,0)*0.475*44/12</f>
        <v>0</v>
      </c>
      <c r="EX141" s="23">
        <f>EXP(-LN(2)/2)*EX140+(1-EXP(-LN(2)/2))/(LN(2)/2)*ER141*EU141*VLOOKUP('Données projet'!$B$15,Paramètres!$A$1:$I$88,3,0)*0.475*44/12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2.6</v>
      </c>
      <c r="FE141" s="13">
        <f>IF('Données projet'!$A$218&gt;35,FE140+FD141-FM140,IF(A141&lt;'Données projet'!$A$218,$FB$205^A141,IF(A141='Données projet'!$A$218,'Données projet'!$B$218,FE140+FD141-FM140)))</f>
        <v>276.79999999999939</v>
      </c>
      <c r="FF141" s="18">
        <f>FE141*VLOOKUP('Données projet'!$B$16,Paramètres!$A$1:$I$88,3,0)*VLOOKUP('Données projet'!$B$16,Paramètres!$A$1:$I$88,5,0)</f>
        <v>267.72095999999942</v>
      </c>
      <c r="FG141" s="14">
        <f t="shared" si="155"/>
        <v>64.365361123519833</v>
      </c>
      <c r="FH141" s="22">
        <f t="shared" si="130"/>
        <v>578.38367595679597</v>
      </c>
      <c r="FI141" s="62">
        <f t="shared" si="131"/>
        <v>871.71700929012923</v>
      </c>
      <c r="FJ141" s="62">
        <f ca="1">AVERAGE(OFFSET($FI$3,0,0,'Données projet'!$E$16+1,1))-AVERAGE(OFFSET($H$3,0,0,'Données projet'!$E$16+1,1))</f>
        <v>456.96274622094955</v>
      </c>
      <c r="FK141" s="62">
        <f t="shared" si="156"/>
        <v>244.45149244446094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projet'!$B$16,Paramètres!$A$1:$I$88,3,0)*0.475*44/12</f>
        <v>0</v>
      </c>
      <c r="FR141" s="23">
        <f>EXP(-LN(2)/25)*FR140+(1-EXP(-LN(2)/25))/(LN(2)/25)*Calculateur!FM141*Calculateur!FO141*VLOOKUP('Données projet'!$B$16,Paramètres!$A$1:$I$88,3,0)*0.475*44/12</f>
        <v>0</v>
      </c>
      <c r="FS141" s="23">
        <f>EXP(-LN(2)/2)*FS140+(1-EXP(-LN(2)/2))/(LN(2)/2)*FM141*FP141*VLOOKUP('Données projet'!$B$16,Paramètres!$A$1:$I$88,3,0)*0.475*44/12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2.6</v>
      </c>
      <c r="FZ141" s="13">
        <f>IF('Données projet'!$A$244&gt;35,FZ140+FY141-GH140,IF(A141&lt;'Données projet'!$A$244,$FW$205^A141,IF(A141='Données projet'!$A$244,'Données projet'!$B$244,FZ140+FY141-GH140)))</f>
        <v>276.79999999999939</v>
      </c>
      <c r="GA141" s="18">
        <f>FZ141*VLOOKUP('Données projet'!$B$17,Paramètres!$A$1:$I$88,3,0)*VLOOKUP('Données projet'!$B$17,Paramètres!$A$1:$I$88,5,0)</f>
        <v>297.94751999999932</v>
      </c>
      <c r="GB141" s="14">
        <f t="shared" si="157"/>
        <v>70.746013064442209</v>
      </c>
      <c r="GC141" s="22">
        <f t="shared" si="133"/>
        <v>642.14123675390226</v>
      </c>
      <c r="GD141" s="62">
        <f t="shared" si="134"/>
        <v>935.47457008723563</v>
      </c>
      <c r="GE141" s="62">
        <f ca="1">AVERAGE(OFFSET($GD$3,0,0,'Données projet'!$E$17+1,1))-AVERAGE(OFFSET($H$3,0,0,'Données projet'!$E$17+1,1))</f>
        <v>503.69304261527651</v>
      </c>
      <c r="GF141" s="62">
        <f t="shared" si="158"/>
        <v>267.2998309535638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projet'!$B$17,Paramètres!$A$1:$I$88,3,0)*0.475*44/12</f>
        <v>0</v>
      </c>
      <c r="GM141" s="23">
        <f>EXP(-LN(2)/25)*GM140+(1-EXP(-LN(2)/25))/(LN(2)/25)*Calculateur!GH141*Calculateur!GJ141*VLOOKUP('Données projet'!$B$17,Paramètres!$A$1:$I$88,3,0)*0.475*44/12</f>
        <v>0</v>
      </c>
      <c r="GN141" s="23">
        <f>EXP(-LN(2)/2)*GN140+(1-EXP(-LN(2)/2))/(LN(2)/2)*GH141*GK141*VLOOKUP('Données projet'!$B$17,Paramètres!$A$1:$I$88,3,0)*0.475*44/12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3.7</v>
      </c>
      <c r="GU141" s="13">
        <f>IF('Données projet'!$A$270&gt;35,GU140+GT141-HC140,IF(A141&lt;'Données projet'!$A$270,$GR$205^A141,IF(A141='Données projet'!$A$270,'Données projet'!$B$270,GU140+GT141-HC140)))</f>
        <v>312.0999999999998</v>
      </c>
      <c r="GV141" s="18">
        <f>GU141*VLOOKUP('Données projet'!$B$18,Paramètres!$A$1:$I$88,3,0)*VLOOKUP('Données projet'!$B$18,Paramètres!$A$1:$I$88,5,0)</f>
        <v>326.20691999999985</v>
      </c>
      <c r="GW141" s="14">
        <f t="shared" si="159"/>
        <v>76.64337657678</v>
      </c>
      <c r="GX141" s="22">
        <f t="shared" si="136"/>
        <v>701.63093320455812</v>
      </c>
      <c r="GY141" s="62">
        <f t="shared" si="137"/>
        <v>994.96426653789149</v>
      </c>
      <c r="GZ141" s="62">
        <f ca="1">AVERAGE(OFFSET($GY$3,0,0,'Données projet'!$E$18+1,1))-AVERAGE(OFFSET($H$3,0,0,'Données projet'!$E$18+1,1))</f>
        <v>582.89879210197682</v>
      </c>
      <c r="HA141" s="62">
        <f t="shared" si="160"/>
        <v>314.72094983133326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projet'!$B$18,Paramètres!$A$1:$I$88,3,0)*0.475*44/12</f>
        <v>0</v>
      </c>
      <c r="HH141" s="23">
        <f>EXP(-LN(2)/25)*HH140+(1-EXP(-LN(2)/25))/(LN(2)/25)*Calculateur!HC141*Calculateur!HE141*VLOOKUP('Données projet'!$B$18,Paramètres!$A$1:$I$88,3,0)*0.475*44/12</f>
        <v>0</v>
      </c>
      <c r="HI141" s="23">
        <f>EXP(-LN(2)/2)*HI140+(1-EXP(-LN(2)/2))/(LN(2)/2)*HC141*HF141*VLOOKUP('Données projet'!$B$18,Paramètres!$A$1:$I$88,3,0)*0.475*44/12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projet'!$B$9,Paramètres!$A$1:$I$88,3,0)*VLOOKUP('Données projet'!$B$9,Paramètres!$A$1:$I$88,5,0)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399.92909819003523</v>
      </c>
      <c r="T142" s="62">
        <f t="shared" si="142"/>
        <v>163.7053537268381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3.7</v>
      </c>
      <c r="AI142" s="14">
        <f>IF('Données projet'!$A$62&gt;35,AI141+AH142-AQ141,IF(A142&lt;'Données projet'!$A$62,$AF$205^A142,IF(A142='Données projet'!$A$62,'Données projet'!$B$62,AI141+AH142-AQ141)))</f>
        <v>315.79999999999978</v>
      </c>
      <c r="AJ142" s="14">
        <f>AI142*VLOOKUP('Données projet'!$B$10,Paramètres!$A$1:$I$88,3,0)*VLOOKUP('Données projet'!$B$10,Paramètres!$A$1:$I$88,5,0)</f>
        <v>285.73583999999983</v>
      </c>
      <c r="AK142" s="14">
        <f t="shared" si="143"/>
        <v>68.177722492374656</v>
      </c>
      <c r="AL142" s="22">
        <f t="shared" si="112"/>
        <v>616.39945467421887</v>
      </c>
      <c r="AM142" s="62">
        <f t="shared" si="113"/>
        <v>909.73278800755224</v>
      </c>
      <c r="AN142" s="62">
        <f ca="1">AVERAGE(OFFSET($AM$3,0,0,'Données projet'!$E$10+1,1))-AVERAGE(OFFSET($H$3,0,0,'Données projet'!$E$10+1,1))</f>
        <v>510.56580450928806</v>
      </c>
      <c r="AO142" s="62">
        <f t="shared" si="144"/>
        <v>278.21741231699929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-5.1159076974727213E-13</v>
      </c>
      <c r="BE142" s="14">
        <f>BD142*VLOOKUP('Données projet'!$B$11,Paramètres!$A$1:$I$88,3,0)*VLOOKUP('Données projet'!$B$11,Paramètres!$A$1:$I$88,5,0)</f>
        <v>-4.8682977649150421E-13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525.51330555662139</v>
      </c>
      <c r="BJ142" s="62">
        <f t="shared" si="146"/>
        <v>357.72390083433635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1.7053025658242404E-13</v>
      </c>
      <c r="BZ142" s="14">
        <f>BY142*VLOOKUP('Données projet'!$B$12,Paramètres!$A$1:$I$88,3,0)*VLOOKUP('Données projet'!$B$12,Paramètres!$A$1:$I$88,5,0)</f>
        <v>1.0197709343628959E-13</v>
      </c>
      <c r="CA142" s="14">
        <f t="shared" si="147"/>
        <v>1.5284983994279675E-12</v>
      </c>
      <c r="CB142" s="22">
        <f t="shared" si="118"/>
        <v>2.839744816738581E-12</v>
      </c>
      <c r="CC142" s="62">
        <f t="shared" si="119"/>
        <v>293.33333333333616</v>
      </c>
      <c r="CD142" s="62">
        <f ca="1">AVERAGE(OFFSET($CC$3,0,0,'Données projet'!$E$12+1,1))-AVERAGE(OFFSET($H$3,0,0,'Données projet'!$E$12+1,1))</f>
        <v>227.46616726010473</v>
      </c>
      <c r="CE142" s="62">
        <f t="shared" si="148"/>
        <v>314.188568589113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13.895265474141564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5.456531969911561E-13</v>
      </c>
      <c r="CN142" s="24">
        <f t="shared" si="120"/>
        <v>13.895265474142109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projet'!$B$13,Paramètres!$A$1:$I$88,3,0)*VLOOKUP('Données projet'!$B$13,Paramètres!$A$1:$I$88,5,0)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356.46794174556311</v>
      </c>
      <c r="CZ142" s="62">
        <f t="shared" si="150"/>
        <v>248.47107558211923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0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projet'!$B$14,Paramètres!$A$1:$I$88,3,0)*VLOOKUP('Données projet'!$B$14,Paramètres!$A$1:$I$88,5,0)</f>
        <v>6.3550942286383367E-14</v>
      </c>
      <c r="DQ142" s="14">
        <f t="shared" si="151"/>
        <v>1.0064464192543978E-12</v>
      </c>
      <c r="DR142" s="22">
        <f t="shared" si="124"/>
        <v>1.8635787380168604E-12</v>
      </c>
      <c r="DS142" s="62">
        <f t="shared" si="125"/>
        <v>293.33333333333519</v>
      </c>
      <c r="DT142" s="62">
        <f ca="1">AVERAGE(OFFSET($DS$3,0,0,'Données projet'!$E$14+1,1))-AVERAGE(OFFSET($H$3,0,0,'Données projet'!$E$14+1,1))</f>
        <v>397.04445188588369</v>
      </c>
      <c r="DU142" s="62">
        <f t="shared" si="152"/>
        <v>350.01856672839466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0.57945230443861884</v>
      </c>
      <c r="EB142" s="23">
        <f>EXP(-LN(2)/25)*EB141+(1-EXP(-LN(2)/25))/(LN(2)/25)*Calculateur!DW142*Calculateur!DY142*VLOOKUP('Données projet'!$B$14,Paramètres!$A$1:$I$88,3,0)*0.475*44/12</f>
        <v>0</v>
      </c>
      <c r="EC142" s="23">
        <f>EXP(-LN(2)/2)*EC141+(1-EXP(-LN(2)/2))/(LN(2)/2)*DW142*DZ142*VLOOKUP('Données projet'!$B$14,Paramètres!$A$1:$I$88,3,0)*0.475*44/12</f>
        <v>6.3599331201913643E-16</v>
      </c>
      <c r="ED142" s="24">
        <f t="shared" si="126"/>
        <v>0.5794523044386195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-1.9895196601282805E-13</v>
      </c>
      <c r="EK142" s="18">
        <f>EJ142*VLOOKUP('Données projet'!$B$15,Paramètres!$A$1:$I$88,3,0)*VLOOKUP('Données projet'!$B$15,Paramètres!$A$1:$I$88,5,0)</f>
        <v>-1.738044375088066E-13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202.5548390231225</v>
      </c>
      <c r="EP142" s="62">
        <f t="shared" si="154"/>
        <v>184.62184077734179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projet'!$B$15,Paramètres!$A$1:$I$88,3,0)*0.475*44/12</f>
        <v>0</v>
      </c>
      <c r="EW142" s="23">
        <f>EXP(-LN(2)/25)*EW141+(1-EXP(-LN(2)/25))/(LN(2)/25)*Calculateur!ER142*Calculateur!ET142*VLOOKUP('Données projet'!$B$15,Paramètres!$A$1:$I$88,3,0)*0.475*44/12</f>
        <v>0</v>
      </c>
      <c r="EX142" s="23">
        <f>EXP(-LN(2)/2)*EX141+(1-EXP(-LN(2)/2))/(LN(2)/2)*ER142*EU142*VLOOKUP('Données projet'!$B$15,Paramètres!$A$1:$I$88,3,0)*0.475*44/12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2.6</v>
      </c>
      <c r="FE142" s="13">
        <f>IF('Données projet'!$A$218&gt;35,FE141+FD142-FM141,IF(A142&lt;'Données projet'!$A$218,$FB$205^A142,IF(A142='Données projet'!$A$218,'Données projet'!$B$218,FE141+FD142-FM141)))</f>
        <v>279.39999999999941</v>
      </c>
      <c r="FF142" s="18">
        <f>FE142*VLOOKUP('Données projet'!$B$16,Paramètres!$A$1:$I$88,3,0)*VLOOKUP('Données projet'!$B$16,Paramètres!$A$1:$I$88,5,0)</f>
        <v>270.23567999999943</v>
      </c>
      <c r="FG142" s="14">
        <f t="shared" si="155"/>
        <v>64.899283991844968</v>
      </c>
      <c r="FH142" s="22">
        <f t="shared" si="130"/>
        <v>583.69339561912909</v>
      </c>
      <c r="FI142" s="62">
        <f t="shared" si="131"/>
        <v>877.02672895246246</v>
      </c>
      <c r="FJ142" s="62">
        <f ca="1">AVERAGE(OFFSET($FI$3,0,0,'Données projet'!$E$16+1,1))-AVERAGE(OFFSET($H$3,0,0,'Données projet'!$E$16+1,1))</f>
        <v>456.96274622094955</v>
      </c>
      <c r="FK142" s="62">
        <f t="shared" si="156"/>
        <v>244.45149244446094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projet'!$B$16,Paramètres!$A$1:$I$88,3,0)*0.475*44/12</f>
        <v>0</v>
      </c>
      <c r="FR142" s="23">
        <f>EXP(-LN(2)/25)*FR141+(1-EXP(-LN(2)/25))/(LN(2)/25)*Calculateur!FM142*Calculateur!FO142*VLOOKUP('Données projet'!$B$16,Paramètres!$A$1:$I$88,3,0)*0.475*44/12</f>
        <v>0</v>
      </c>
      <c r="FS142" s="23">
        <f>EXP(-LN(2)/2)*FS141+(1-EXP(-LN(2)/2))/(LN(2)/2)*FM142*FP142*VLOOKUP('Données projet'!$B$16,Paramètres!$A$1:$I$88,3,0)*0.475*44/12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2.6</v>
      </c>
      <c r="FZ142" s="13">
        <f>IF('Données projet'!$A$244&gt;35,FZ141+FY142-GH141,IF(A142&lt;'Données projet'!$A$244,$FW$205^A142,IF(A142='Données projet'!$A$244,'Données projet'!$B$244,FZ141+FY142-GH141)))</f>
        <v>279.39999999999941</v>
      </c>
      <c r="GA142" s="18">
        <f>FZ142*VLOOKUP('Données projet'!$B$17,Paramètres!$A$1:$I$88,3,0)*VLOOKUP('Données projet'!$B$17,Paramètres!$A$1:$I$88,5,0)</f>
        <v>300.74615999999935</v>
      </c>
      <c r="GB142" s="14">
        <f t="shared" si="157"/>
        <v>71.332864649807306</v>
      </c>
      <c r="GC142" s="22">
        <f t="shared" si="133"/>
        <v>648.03763459841321</v>
      </c>
      <c r="GD142" s="62">
        <f t="shared" si="134"/>
        <v>941.37096793174646</v>
      </c>
      <c r="GE142" s="62">
        <f ca="1">AVERAGE(OFFSET($GD$3,0,0,'Données projet'!$E$17+1,1))-AVERAGE(OFFSET($H$3,0,0,'Données projet'!$E$17+1,1))</f>
        <v>503.69304261527651</v>
      </c>
      <c r="GF142" s="62">
        <f t="shared" si="158"/>
        <v>267.2998309535638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projet'!$B$17,Paramètres!$A$1:$I$88,3,0)*0.475*44/12</f>
        <v>0</v>
      </c>
      <c r="GM142" s="23">
        <f>EXP(-LN(2)/25)*GM141+(1-EXP(-LN(2)/25))/(LN(2)/25)*Calculateur!GH142*Calculateur!GJ142*VLOOKUP('Données projet'!$B$17,Paramètres!$A$1:$I$88,3,0)*0.475*44/12</f>
        <v>0</v>
      </c>
      <c r="GN142" s="23">
        <f>EXP(-LN(2)/2)*GN141+(1-EXP(-LN(2)/2))/(LN(2)/2)*GH142*GK142*VLOOKUP('Données projet'!$B$17,Paramètres!$A$1:$I$88,3,0)*0.475*44/12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3.7</v>
      </c>
      <c r="GU142" s="13">
        <f>IF('Données projet'!$A$270&gt;35,GU141+GT142-HC141,IF(A142&lt;'Données projet'!$A$270,$GR$205^A142,IF(A142='Données projet'!$A$270,'Données projet'!$B$270,GU141+GT142-HC141)))</f>
        <v>315.79999999999978</v>
      </c>
      <c r="GV142" s="18">
        <f>GU142*VLOOKUP('Données projet'!$B$18,Paramètres!$A$1:$I$88,3,0)*VLOOKUP('Données projet'!$B$18,Paramètres!$A$1:$I$88,5,0)</f>
        <v>330.07415999999984</v>
      </c>
      <c r="GW142" s="14">
        <f t="shared" si="159"/>
        <v>77.445682230816303</v>
      </c>
      <c r="GX142" s="22">
        <f t="shared" si="136"/>
        <v>709.76372521867142</v>
      </c>
      <c r="GY142" s="62">
        <f t="shared" si="137"/>
        <v>1003.0970585520047</v>
      </c>
      <c r="GZ142" s="62">
        <f ca="1">AVERAGE(OFFSET($GY$3,0,0,'Données projet'!$E$18+1,1))-AVERAGE(OFFSET($H$3,0,0,'Données projet'!$E$18+1,1))</f>
        <v>582.89879210197682</v>
      </c>
      <c r="HA142" s="62">
        <f t="shared" si="160"/>
        <v>314.72094983133326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projet'!$B$18,Paramètres!$A$1:$I$88,3,0)*0.475*44/12</f>
        <v>0</v>
      </c>
      <c r="HH142" s="23">
        <f>EXP(-LN(2)/25)*HH141+(1-EXP(-LN(2)/25))/(LN(2)/25)*Calculateur!HC142*Calculateur!HE142*VLOOKUP('Données projet'!$B$18,Paramètres!$A$1:$I$88,3,0)*0.475*44/12</f>
        <v>0</v>
      </c>
      <c r="HI142" s="23">
        <f>EXP(-LN(2)/2)*HI141+(1-EXP(-LN(2)/2))/(LN(2)/2)*HC142*HF142*VLOOKUP('Données projet'!$B$18,Paramètres!$A$1:$I$88,3,0)*0.475*44/12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projet'!$B$9,Paramètres!$A$1:$I$88,3,0)*VLOOKUP('Données projet'!$B$9,Paramètres!$A$1:$I$88,5,0)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399.92909819003523</v>
      </c>
      <c r="T143" s="62">
        <f t="shared" si="142"/>
        <v>163.7053537268381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3.7</v>
      </c>
      <c r="AI143" s="14">
        <f>IF('Données projet'!$A$62&gt;35,AI142+AH143-AQ142,IF(A143&lt;'Données projet'!$A$62,$AF$205^A143,IF(A143='Données projet'!$A$62,'Données projet'!$B$62,AI142+AH143-AQ142)))</f>
        <v>319.49999999999977</v>
      </c>
      <c r="AJ143" s="14">
        <f>AI143*VLOOKUP('Données projet'!$B$10,Paramètres!$A$1:$I$88,3,0)*VLOOKUP('Données projet'!$B$10,Paramètres!$A$1:$I$88,5,0)</f>
        <v>289.08359999999982</v>
      </c>
      <c r="AK143" s="14">
        <f t="shared" si="143"/>
        <v>68.883053275068107</v>
      </c>
      <c r="AL143" s="22">
        <f t="shared" si="112"/>
        <v>623.4585877874099</v>
      </c>
      <c r="AM143" s="62">
        <f t="shared" si="113"/>
        <v>916.79192112074315</v>
      </c>
      <c r="AN143" s="62">
        <f ca="1">AVERAGE(OFFSET($AM$3,0,0,'Données projet'!$E$10+1,1))-AVERAGE(OFFSET($H$3,0,0,'Données projet'!$E$10+1,1))</f>
        <v>510.56580450928806</v>
      </c>
      <c r="AO143" s="62">
        <f t="shared" si="144"/>
        <v>278.21741231699929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-5.1159076974727213E-13</v>
      </c>
      <c r="BE143" s="14">
        <f>BD143*VLOOKUP('Données projet'!$B$11,Paramètres!$A$1:$I$88,3,0)*VLOOKUP('Données projet'!$B$11,Paramètres!$A$1:$I$88,5,0)</f>
        <v>-4.8682977649150421E-13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525.51330555662139</v>
      </c>
      <c r="BJ143" s="62">
        <f t="shared" si="146"/>
        <v>357.72390083433635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1.7053025658242404E-13</v>
      </c>
      <c r="BZ143" s="14">
        <f>BY143*VLOOKUP('Données projet'!$B$12,Paramètres!$A$1:$I$88,3,0)*VLOOKUP('Données projet'!$B$12,Paramètres!$A$1:$I$88,5,0)</f>
        <v>1.0197709343628959E-13</v>
      </c>
      <c r="CA143" s="14">
        <f t="shared" si="147"/>
        <v>1.5284983994279675E-12</v>
      </c>
      <c r="CB143" s="22">
        <f t="shared" si="118"/>
        <v>2.839744816738581E-12</v>
      </c>
      <c r="CC143" s="62">
        <f t="shared" si="119"/>
        <v>293.33333333333616</v>
      </c>
      <c r="CD143" s="62">
        <f ca="1">AVERAGE(OFFSET($CC$3,0,0,'Données projet'!$E$12+1,1))-AVERAGE(OFFSET($H$3,0,0,'Données projet'!$E$12+1,1))</f>
        <v>227.46616726010473</v>
      </c>
      <c r="CE143" s="62">
        <f t="shared" si="148"/>
        <v>314.188568589113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13.622787793468722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3.8583507576856553E-13</v>
      </c>
      <c r="CN143" s="24">
        <f t="shared" si="120"/>
        <v>13.622787793469108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projet'!$B$13,Paramètres!$A$1:$I$88,3,0)*VLOOKUP('Données projet'!$B$13,Paramètres!$A$1:$I$88,5,0)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356.46794174556311</v>
      </c>
      <c r="CZ143" s="62">
        <f t="shared" si="150"/>
        <v>248.47107558211923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0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projet'!$B$14,Paramètres!$A$1:$I$88,3,0)*VLOOKUP('Données projet'!$B$14,Paramètres!$A$1:$I$88,5,0)</f>
        <v>6.3550942286383367E-14</v>
      </c>
      <c r="DQ143" s="14">
        <f t="shared" si="151"/>
        <v>1.0064464192543978E-12</v>
      </c>
      <c r="DR143" s="22">
        <f t="shared" si="124"/>
        <v>1.8635787380168604E-12</v>
      </c>
      <c r="DS143" s="62">
        <f t="shared" si="125"/>
        <v>293.33333333333519</v>
      </c>
      <c r="DT143" s="62">
        <f ca="1">AVERAGE(OFFSET($DS$3,0,0,'Données projet'!$E$14+1,1))-AVERAGE(OFFSET($H$3,0,0,'Données projet'!$E$14+1,1))</f>
        <v>397.04445188588369</v>
      </c>
      <c r="DU143" s="62">
        <f t="shared" si="152"/>
        <v>350.01856672839466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0.56808959817958482</v>
      </c>
      <c r="EB143" s="23">
        <f>EXP(-LN(2)/25)*EB142+(1-EXP(-LN(2)/25))/(LN(2)/25)*Calculateur!DW143*Calculateur!DY143*VLOOKUP('Données projet'!$B$14,Paramètres!$A$1:$I$88,3,0)*0.475*44/12</f>
        <v>0</v>
      </c>
      <c r="EC143" s="23">
        <f>EXP(-LN(2)/2)*EC142+(1-EXP(-LN(2)/2))/(LN(2)/2)*DW143*DZ143*VLOOKUP('Données projet'!$B$14,Paramètres!$A$1:$I$88,3,0)*0.475*44/12</f>
        <v>4.4971518371802315E-16</v>
      </c>
      <c r="ED143" s="24">
        <f t="shared" si="126"/>
        <v>0.56808959817958526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-1.9895196601282805E-13</v>
      </c>
      <c r="EK143" s="18">
        <f>EJ143*VLOOKUP('Données projet'!$B$15,Paramètres!$A$1:$I$88,3,0)*VLOOKUP('Données projet'!$B$15,Paramètres!$A$1:$I$88,5,0)</f>
        <v>-1.738044375088066E-13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202.5548390231225</v>
      </c>
      <c r="EP143" s="62">
        <f t="shared" si="154"/>
        <v>184.62184077734179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projet'!$B$15,Paramètres!$A$1:$I$88,3,0)*0.475*44/12</f>
        <v>0</v>
      </c>
      <c r="EW143" s="23">
        <f>EXP(-LN(2)/25)*EW142+(1-EXP(-LN(2)/25))/(LN(2)/25)*Calculateur!ER143*Calculateur!ET143*VLOOKUP('Données projet'!$B$15,Paramètres!$A$1:$I$88,3,0)*0.475*44/12</f>
        <v>0</v>
      </c>
      <c r="EX143" s="23">
        <f>EXP(-LN(2)/2)*EX142+(1-EXP(-LN(2)/2))/(LN(2)/2)*ER143*EU143*VLOOKUP('Données projet'!$B$15,Paramètres!$A$1:$I$88,3,0)*0.475*44/12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2.6</v>
      </c>
      <c r="FE143" s="13">
        <f>IF('Données projet'!$A$218&gt;35,FE142+FD143-FM142,IF(A143&lt;'Données projet'!$A$218,$FB$205^A143,IF(A143='Données projet'!$A$218,'Données projet'!$B$218,FE142+FD143-FM142)))</f>
        <v>281.99999999999943</v>
      </c>
      <c r="FF143" s="18">
        <f>FE143*VLOOKUP('Données projet'!$B$16,Paramètres!$A$1:$I$88,3,0)*VLOOKUP('Données projet'!$B$16,Paramètres!$A$1:$I$88,5,0)</f>
        <v>272.75039999999944</v>
      </c>
      <c r="FG143" s="14">
        <f t="shared" si="155"/>
        <v>65.432628830820519</v>
      </c>
      <c r="FH143" s="22">
        <f t="shared" si="130"/>
        <v>589.0021085470114</v>
      </c>
      <c r="FI143" s="62">
        <f t="shared" si="131"/>
        <v>882.33544188034466</v>
      </c>
      <c r="FJ143" s="62">
        <f ca="1">AVERAGE(OFFSET($FI$3,0,0,'Données projet'!$E$16+1,1))-AVERAGE(OFFSET($H$3,0,0,'Données projet'!$E$16+1,1))</f>
        <v>456.96274622094955</v>
      </c>
      <c r="FK143" s="62">
        <f t="shared" si="156"/>
        <v>244.45149244446094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projet'!$B$16,Paramètres!$A$1:$I$88,3,0)*0.475*44/12</f>
        <v>0</v>
      </c>
      <c r="FR143" s="23">
        <f>EXP(-LN(2)/25)*FR142+(1-EXP(-LN(2)/25))/(LN(2)/25)*Calculateur!FM143*Calculateur!FO143*VLOOKUP('Données projet'!$B$16,Paramètres!$A$1:$I$88,3,0)*0.475*44/12</f>
        <v>0</v>
      </c>
      <c r="FS143" s="23">
        <f>EXP(-LN(2)/2)*FS142+(1-EXP(-LN(2)/2))/(LN(2)/2)*FM143*FP143*VLOOKUP('Données projet'!$B$16,Paramètres!$A$1:$I$88,3,0)*0.475*44/12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2.6</v>
      </c>
      <c r="FZ143" s="13">
        <f>IF('Données projet'!$A$244&gt;35,FZ142+FY143-GH142,IF(A143&lt;'Données projet'!$A$244,$FW$205^A143,IF(A143='Données projet'!$A$244,'Données projet'!$B$244,FZ142+FY143-GH142)))</f>
        <v>281.99999999999943</v>
      </c>
      <c r="GA143" s="18">
        <f>FZ143*VLOOKUP('Données projet'!$B$17,Paramètres!$A$1:$I$88,3,0)*VLOOKUP('Données projet'!$B$17,Paramètres!$A$1:$I$88,5,0)</f>
        <v>303.54479999999938</v>
      </c>
      <c r="GB143" s="14">
        <f t="shared" si="157"/>
        <v>71.919080904752448</v>
      </c>
      <c r="GC143" s="22">
        <f t="shared" si="133"/>
        <v>653.93292590910937</v>
      </c>
      <c r="GD143" s="62">
        <f t="shared" si="134"/>
        <v>947.26625924244263</v>
      </c>
      <c r="GE143" s="62">
        <f ca="1">AVERAGE(OFFSET($GD$3,0,0,'Données projet'!$E$17+1,1))-AVERAGE(OFFSET($H$3,0,0,'Données projet'!$E$17+1,1))</f>
        <v>503.69304261527651</v>
      </c>
      <c r="GF143" s="62">
        <f t="shared" si="158"/>
        <v>267.2998309535638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projet'!$B$17,Paramètres!$A$1:$I$88,3,0)*0.475*44/12</f>
        <v>0</v>
      </c>
      <c r="GM143" s="23">
        <f>EXP(-LN(2)/25)*GM142+(1-EXP(-LN(2)/25))/(LN(2)/25)*Calculateur!GH143*Calculateur!GJ143*VLOOKUP('Données projet'!$B$17,Paramètres!$A$1:$I$88,3,0)*0.475*44/12</f>
        <v>0</v>
      </c>
      <c r="GN143" s="23">
        <f>EXP(-LN(2)/2)*GN142+(1-EXP(-LN(2)/2))/(LN(2)/2)*GH143*GK143*VLOOKUP('Données projet'!$B$17,Paramètres!$A$1:$I$88,3,0)*0.475*44/12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3.7</v>
      </c>
      <c r="GU143" s="13">
        <f>IF('Données projet'!$A$270&gt;35,GU142+GT143-HC142,IF(A143&lt;'Données projet'!$A$270,$GR$205^A143,IF(A143='Données projet'!$A$270,'Données projet'!$B$270,GU142+GT143-HC142)))</f>
        <v>319.49999999999977</v>
      </c>
      <c r="GV143" s="18">
        <f>GU143*VLOOKUP('Données projet'!$B$18,Paramètres!$A$1:$I$88,3,0)*VLOOKUP('Données projet'!$B$18,Paramètres!$A$1:$I$88,5,0)</f>
        <v>333.94139999999976</v>
      </c>
      <c r="GW143" s="14">
        <f t="shared" si="159"/>
        <v>78.246894440129921</v>
      </c>
      <c r="GX143" s="22">
        <f t="shared" si="136"/>
        <v>717.89461281655906</v>
      </c>
      <c r="GY143" s="62">
        <f t="shared" si="137"/>
        <v>1011.2279461498924</v>
      </c>
      <c r="GZ143" s="62">
        <f ca="1">AVERAGE(OFFSET($GY$3,0,0,'Données projet'!$E$18+1,1))-AVERAGE(OFFSET($H$3,0,0,'Données projet'!$E$18+1,1))</f>
        <v>582.89879210197682</v>
      </c>
      <c r="HA143" s="62">
        <f t="shared" si="160"/>
        <v>314.72094983133326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projet'!$B$18,Paramètres!$A$1:$I$88,3,0)*0.475*44/12</f>
        <v>0</v>
      </c>
      <c r="HH143" s="23">
        <f>EXP(-LN(2)/25)*HH142+(1-EXP(-LN(2)/25))/(LN(2)/25)*Calculateur!HC143*Calculateur!HE143*VLOOKUP('Données projet'!$B$18,Paramètres!$A$1:$I$88,3,0)*0.475*44/12</f>
        <v>0</v>
      </c>
      <c r="HI143" s="23">
        <f>EXP(-LN(2)/2)*HI142+(1-EXP(-LN(2)/2))/(LN(2)/2)*HC143*HF143*VLOOKUP('Données projet'!$B$18,Paramètres!$A$1:$I$88,3,0)*0.475*44/12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projet'!$B$9,Paramètres!$A$1:$I$88,3,0)*VLOOKUP('Données projet'!$B$9,Paramètres!$A$1:$I$88,5,0)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399.92909819003523</v>
      </c>
      <c r="T144" s="62">
        <f t="shared" si="142"/>
        <v>163.7053537268381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3.7</v>
      </c>
      <c r="AI144" s="14">
        <f>IF('Données projet'!$A$62&gt;35,AI143+AH144-AQ143,IF(A144&lt;'Données projet'!$A$62,$AF$205^A144,IF(A144='Données projet'!$A$62,'Données projet'!$B$62,AI143+AH144-AQ143)))</f>
        <v>323.19999999999976</v>
      </c>
      <c r="AJ144" s="14">
        <f>AI144*VLOOKUP('Données projet'!$B$10,Paramètres!$A$1:$I$88,3,0)*VLOOKUP('Données projet'!$B$10,Paramètres!$A$1:$I$88,5,0)</f>
        <v>292.43135999999976</v>
      </c>
      <c r="AK144" s="14">
        <f t="shared" si="143"/>
        <v>69.58743390317693</v>
      </c>
      <c r="AL144" s="22">
        <f t="shared" si="112"/>
        <v>630.51606604803271</v>
      </c>
      <c r="AM144" s="62">
        <f t="shared" si="113"/>
        <v>923.84939938136608</v>
      </c>
      <c r="AN144" s="62">
        <f ca="1">AVERAGE(OFFSET($AM$3,0,0,'Données projet'!$E$10+1,1))-AVERAGE(OFFSET($H$3,0,0,'Données projet'!$E$10+1,1))</f>
        <v>510.56580450928806</v>
      </c>
      <c r="AO144" s="62">
        <f t="shared" si="144"/>
        <v>278.21741231699929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-5.1159076974727213E-13</v>
      </c>
      <c r="BE144" s="14">
        <f>BD144*VLOOKUP('Données projet'!$B$11,Paramètres!$A$1:$I$88,3,0)*VLOOKUP('Données projet'!$B$11,Paramètres!$A$1:$I$88,5,0)</f>
        <v>-4.8682977649150421E-13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525.51330555662139</v>
      </c>
      <c r="BJ144" s="62">
        <f t="shared" si="146"/>
        <v>357.72390083433635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1.7053025658242404E-13</v>
      </c>
      <c r="BZ144" s="14">
        <f>BY144*VLOOKUP('Données projet'!$B$12,Paramètres!$A$1:$I$88,3,0)*VLOOKUP('Données projet'!$B$12,Paramètres!$A$1:$I$88,5,0)</f>
        <v>1.0197709343628959E-13</v>
      </c>
      <c r="CA144" s="14">
        <f t="shared" si="147"/>
        <v>1.5284983994279675E-12</v>
      </c>
      <c r="CB144" s="22">
        <f t="shared" si="118"/>
        <v>2.839744816738581E-12</v>
      </c>
      <c r="CC144" s="62">
        <f t="shared" si="119"/>
        <v>293.33333333333616</v>
      </c>
      <c r="CD144" s="62">
        <f ca="1">AVERAGE(OFFSET($CC$3,0,0,'Données projet'!$E$12+1,1))-AVERAGE(OFFSET($H$3,0,0,'Données projet'!$E$12+1,1))</f>
        <v>227.46616726010473</v>
      </c>
      <c r="CE144" s="62">
        <f t="shared" si="148"/>
        <v>314.188568589113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13.3556532339189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2.7282659849557805E-13</v>
      </c>
      <c r="CN144" s="24">
        <f t="shared" si="120"/>
        <v>13.355653233919174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projet'!$B$13,Paramètres!$A$1:$I$88,3,0)*VLOOKUP('Données projet'!$B$13,Paramètres!$A$1:$I$88,5,0)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356.46794174556311</v>
      </c>
      <c r="CZ144" s="62">
        <f t="shared" si="150"/>
        <v>248.47107558211923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0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projet'!$B$14,Paramètres!$A$1:$I$88,3,0)*VLOOKUP('Données projet'!$B$14,Paramètres!$A$1:$I$88,5,0)</f>
        <v>6.3550942286383367E-14</v>
      </c>
      <c r="DQ144" s="14">
        <f t="shared" si="151"/>
        <v>1.0064464192543978E-12</v>
      </c>
      <c r="DR144" s="22">
        <f t="shared" si="124"/>
        <v>1.8635787380168604E-12</v>
      </c>
      <c r="DS144" s="62">
        <f t="shared" si="125"/>
        <v>293.33333333333519</v>
      </c>
      <c r="DT144" s="62">
        <f ca="1">AVERAGE(OFFSET($DS$3,0,0,'Données projet'!$E$14+1,1))-AVERAGE(OFFSET($H$3,0,0,'Données projet'!$E$14+1,1))</f>
        <v>397.04445188588369</v>
      </c>
      <c r="DU144" s="62">
        <f t="shared" si="152"/>
        <v>350.01856672839466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0.55694970765972396</v>
      </c>
      <c r="EB144" s="23">
        <f>EXP(-LN(2)/25)*EB143+(1-EXP(-LN(2)/25))/(LN(2)/25)*Calculateur!DW144*Calculateur!DY144*VLOOKUP('Données projet'!$B$14,Paramètres!$A$1:$I$88,3,0)*0.475*44/12</f>
        <v>0</v>
      </c>
      <c r="EC144" s="23">
        <f>EXP(-LN(2)/2)*EC143+(1-EXP(-LN(2)/2))/(LN(2)/2)*DW144*DZ144*VLOOKUP('Données projet'!$B$14,Paramètres!$A$1:$I$88,3,0)*0.475*44/12</f>
        <v>3.1799665600956821E-16</v>
      </c>
      <c r="ED144" s="24">
        <f t="shared" si="126"/>
        <v>0.55694970765972429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-1.9895196601282805E-13</v>
      </c>
      <c r="EK144" s="18">
        <f>EJ144*VLOOKUP('Données projet'!$B$15,Paramètres!$A$1:$I$88,3,0)*VLOOKUP('Données projet'!$B$15,Paramètres!$A$1:$I$88,5,0)</f>
        <v>-1.738044375088066E-13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202.5548390231225</v>
      </c>
      <c r="EP144" s="62">
        <f t="shared" si="154"/>
        <v>184.62184077734179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projet'!$B$15,Paramètres!$A$1:$I$88,3,0)*0.475*44/12</f>
        <v>0</v>
      </c>
      <c r="EW144" s="23">
        <f>EXP(-LN(2)/25)*EW143+(1-EXP(-LN(2)/25))/(LN(2)/25)*Calculateur!ER144*Calculateur!ET144*VLOOKUP('Données projet'!$B$15,Paramètres!$A$1:$I$88,3,0)*0.475*44/12</f>
        <v>0</v>
      </c>
      <c r="EX144" s="23">
        <f>EXP(-LN(2)/2)*EX143+(1-EXP(-LN(2)/2))/(LN(2)/2)*ER144*EU144*VLOOKUP('Données projet'!$B$15,Paramètres!$A$1:$I$88,3,0)*0.475*44/12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2.6</v>
      </c>
      <c r="FE144" s="13">
        <f>IF('Données projet'!$A$218&gt;35,FE143+FD144-FM143,IF(A144&lt;'Données projet'!$A$218,$FB$205^A144,IF(A144='Données projet'!$A$218,'Données projet'!$B$218,FE143+FD144-FM143)))</f>
        <v>284.59999999999945</v>
      </c>
      <c r="FF144" s="18">
        <f>FE144*VLOOKUP('Données projet'!$B$16,Paramètres!$A$1:$I$88,3,0)*VLOOKUP('Données projet'!$B$16,Paramètres!$A$1:$I$88,5,0)</f>
        <v>275.26511999999946</v>
      </c>
      <c r="FG144" s="14">
        <f t="shared" si="155"/>
        <v>65.965401587109142</v>
      </c>
      <c r="FH144" s="22">
        <f t="shared" si="130"/>
        <v>594.30982509754745</v>
      </c>
      <c r="FI144" s="62">
        <f t="shared" si="131"/>
        <v>887.6431584308807</v>
      </c>
      <c r="FJ144" s="62">
        <f ca="1">AVERAGE(OFFSET($FI$3,0,0,'Données projet'!$E$16+1,1))-AVERAGE(OFFSET($H$3,0,0,'Données projet'!$E$16+1,1))</f>
        <v>456.96274622094955</v>
      </c>
      <c r="FK144" s="62">
        <f t="shared" si="156"/>
        <v>244.45149244446094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projet'!$B$16,Paramètres!$A$1:$I$88,3,0)*0.475*44/12</f>
        <v>0</v>
      </c>
      <c r="FR144" s="23">
        <f>EXP(-LN(2)/25)*FR143+(1-EXP(-LN(2)/25))/(LN(2)/25)*Calculateur!FM144*Calculateur!FO144*VLOOKUP('Données projet'!$B$16,Paramètres!$A$1:$I$88,3,0)*0.475*44/12</f>
        <v>0</v>
      </c>
      <c r="FS144" s="23">
        <f>EXP(-LN(2)/2)*FS143+(1-EXP(-LN(2)/2))/(LN(2)/2)*FM144*FP144*VLOOKUP('Données projet'!$B$16,Paramètres!$A$1:$I$88,3,0)*0.475*44/12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2.6</v>
      </c>
      <c r="FZ144" s="13">
        <f>IF('Données projet'!$A$244&gt;35,FZ143+FY144-GH143,IF(A144&lt;'Données projet'!$A$244,$FW$205^A144,IF(A144='Données projet'!$A$244,'Données projet'!$B$244,FZ143+FY144-GH143)))</f>
        <v>284.59999999999945</v>
      </c>
      <c r="GA144" s="18">
        <f>FZ144*VLOOKUP('Données projet'!$B$17,Paramètres!$A$1:$I$88,3,0)*VLOOKUP('Données projet'!$B$17,Paramètres!$A$1:$I$88,5,0)</f>
        <v>306.34343999999936</v>
      </c>
      <c r="GB144" s="14">
        <f t="shared" si="157"/>
        <v>72.504668365443322</v>
      </c>
      <c r="GC144" s="22">
        <f t="shared" si="133"/>
        <v>659.82712206981262</v>
      </c>
      <c r="GD144" s="62">
        <f t="shared" si="134"/>
        <v>953.16045540314599</v>
      </c>
      <c r="GE144" s="62">
        <f ca="1">AVERAGE(OFFSET($GD$3,0,0,'Données projet'!$E$17+1,1))-AVERAGE(OFFSET($H$3,0,0,'Données projet'!$E$17+1,1))</f>
        <v>503.69304261527651</v>
      </c>
      <c r="GF144" s="62">
        <f t="shared" si="158"/>
        <v>267.2998309535638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projet'!$B$17,Paramètres!$A$1:$I$88,3,0)*0.475*44/12</f>
        <v>0</v>
      </c>
      <c r="GM144" s="23">
        <f>EXP(-LN(2)/25)*GM143+(1-EXP(-LN(2)/25))/(LN(2)/25)*Calculateur!GH144*Calculateur!GJ144*VLOOKUP('Données projet'!$B$17,Paramètres!$A$1:$I$88,3,0)*0.475*44/12</f>
        <v>0</v>
      </c>
      <c r="GN144" s="23">
        <f>EXP(-LN(2)/2)*GN143+(1-EXP(-LN(2)/2))/(LN(2)/2)*GH144*GK144*VLOOKUP('Données projet'!$B$17,Paramètres!$A$1:$I$88,3,0)*0.475*44/12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3.7</v>
      </c>
      <c r="GU144" s="13">
        <f>IF('Données projet'!$A$270&gt;35,GU143+GT144-HC143,IF(A144&lt;'Données projet'!$A$270,$GR$205^A144,IF(A144='Données projet'!$A$270,'Données projet'!$B$270,GU143+GT144-HC143)))</f>
        <v>323.19999999999976</v>
      </c>
      <c r="GV144" s="18">
        <f>GU144*VLOOKUP('Données projet'!$B$18,Paramètres!$A$1:$I$88,3,0)*VLOOKUP('Données projet'!$B$18,Paramètres!$A$1:$I$88,5,0)</f>
        <v>337.80863999999974</v>
      </c>
      <c r="GW144" s="14">
        <f t="shared" si="159"/>
        <v>79.047027332515114</v>
      </c>
      <c r="GX144" s="22">
        <f t="shared" si="136"/>
        <v>726.02362060412997</v>
      </c>
      <c r="GY144" s="62">
        <f t="shared" si="137"/>
        <v>1019.3569539374632</v>
      </c>
      <c r="GZ144" s="62">
        <f ca="1">AVERAGE(OFFSET($GY$3,0,0,'Données projet'!$E$18+1,1))-AVERAGE(OFFSET($H$3,0,0,'Données projet'!$E$18+1,1))</f>
        <v>582.89879210197682</v>
      </c>
      <c r="HA144" s="62">
        <f t="shared" si="160"/>
        <v>314.72094983133326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projet'!$B$18,Paramètres!$A$1:$I$88,3,0)*0.475*44/12</f>
        <v>0</v>
      </c>
      <c r="HH144" s="23">
        <f>EXP(-LN(2)/25)*HH143+(1-EXP(-LN(2)/25))/(LN(2)/25)*Calculateur!HC144*Calculateur!HE144*VLOOKUP('Données projet'!$B$18,Paramètres!$A$1:$I$88,3,0)*0.475*44/12</f>
        <v>0</v>
      </c>
      <c r="HI144" s="23">
        <f>EXP(-LN(2)/2)*HI143+(1-EXP(-LN(2)/2))/(LN(2)/2)*HC144*HF144*VLOOKUP('Données projet'!$B$18,Paramètres!$A$1:$I$88,3,0)*0.475*44/12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projet'!$B$9,Paramètres!$A$1:$I$88,3,0)*VLOOKUP('Données projet'!$B$9,Paramètres!$A$1:$I$88,5,0)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399.92909819003523</v>
      </c>
      <c r="T145" s="62">
        <f t="shared" si="142"/>
        <v>163.7053537268381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3.7</v>
      </c>
      <c r="AI145" s="14">
        <f>IF('Données projet'!$A$62&gt;35,AI144+AH145-AQ144,IF(A145&lt;'Données projet'!$A$62,$AF$205^A145,IF(A145='Données projet'!$A$62,'Données projet'!$B$62,AI144+AH145-AQ144)))</f>
        <v>326.89999999999975</v>
      </c>
      <c r="AJ145" s="14">
        <f>AI145*VLOOKUP('Données projet'!$B$10,Paramètres!$A$1:$I$88,3,0)*VLOOKUP('Données projet'!$B$10,Paramètres!$A$1:$I$88,5,0)</f>
        <v>295.77911999999975</v>
      </c>
      <c r="AK145" s="14">
        <f t="shared" si="143"/>
        <v>70.290876512663189</v>
      </c>
      <c r="AL145" s="22">
        <f t="shared" si="112"/>
        <v>637.571910592888</v>
      </c>
      <c r="AM145" s="62">
        <f t="shared" si="113"/>
        <v>930.90524392622137</v>
      </c>
      <c r="AN145" s="62">
        <f ca="1">AVERAGE(OFFSET($AM$3,0,0,'Données projet'!$E$10+1,1))-AVERAGE(OFFSET($H$3,0,0,'Données projet'!$E$10+1,1))</f>
        <v>510.56580450928806</v>
      </c>
      <c r="AO145" s="62">
        <f t="shared" si="144"/>
        <v>278.21741231699929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-5.1159076974727213E-13</v>
      </c>
      <c r="BE145" s="14">
        <f>BD145*VLOOKUP('Données projet'!$B$11,Paramètres!$A$1:$I$88,3,0)*VLOOKUP('Données projet'!$B$11,Paramètres!$A$1:$I$88,5,0)</f>
        <v>-4.8682977649150421E-13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525.51330555662139</v>
      </c>
      <c r="BJ145" s="62">
        <f t="shared" si="146"/>
        <v>357.72390083433635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1.7053025658242404E-13</v>
      </c>
      <c r="BZ145" s="14">
        <f>BY145*VLOOKUP('Données projet'!$B$12,Paramètres!$A$1:$I$88,3,0)*VLOOKUP('Données projet'!$B$12,Paramètres!$A$1:$I$88,5,0)</f>
        <v>1.0197709343628959E-13</v>
      </c>
      <c r="CA145" s="14">
        <f t="shared" si="147"/>
        <v>1.5284983994279675E-12</v>
      </c>
      <c r="CB145" s="22">
        <f t="shared" si="118"/>
        <v>2.839744816738581E-12</v>
      </c>
      <c r="CC145" s="62">
        <f t="shared" si="119"/>
        <v>293.33333333333616</v>
      </c>
      <c r="CD145" s="62">
        <f ca="1">AVERAGE(OFFSET($CC$3,0,0,'Données projet'!$E$12+1,1))-AVERAGE(OFFSET($H$3,0,0,'Données projet'!$E$12+1,1))</f>
        <v>227.46616726010473</v>
      </c>
      <c r="CE145" s="62">
        <f t="shared" si="148"/>
        <v>314.188568589113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13.093757020145858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1.9291753788428277E-13</v>
      </c>
      <c r="CN145" s="24">
        <f t="shared" si="120"/>
        <v>13.093757020146052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projet'!$B$13,Paramètres!$A$1:$I$88,3,0)*VLOOKUP('Données projet'!$B$13,Paramètres!$A$1:$I$88,5,0)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356.46794174556311</v>
      </c>
      <c r="CZ145" s="62">
        <f t="shared" si="150"/>
        <v>248.47107558211923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0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projet'!$B$14,Paramètres!$A$1:$I$88,3,0)*VLOOKUP('Données projet'!$B$14,Paramètres!$A$1:$I$88,5,0)</f>
        <v>6.3550942286383367E-14</v>
      </c>
      <c r="DQ145" s="14">
        <f t="shared" si="151"/>
        <v>1.0064464192543978E-12</v>
      </c>
      <c r="DR145" s="22">
        <f t="shared" si="124"/>
        <v>1.8635787380168604E-12</v>
      </c>
      <c r="DS145" s="62">
        <f t="shared" si="125"/>
        <v>293.33333333333519</v>
      </c>
      <c r="DT145" s="62">
        <f ca="1">AVERAGE(OFFSET($DS$3,0,0,'Données projet'!$E$14+1,1))-AVERAGE(OFFSET($H$3,0,0,'Données projet'!$E$14+1,1))</f>
        <v>397.04445188588369</v>
      </c>
      <c r="DU145" s="62">
        <f t="shared" si="152"/>
        <v>350.01856672839466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0.54602826359829526</v>
      </c>
      <c r="EB145" s="23">
        <f>EXP(-LN(2)/25)*EB144+(1-EXP(-LN(2)/25))/(LN(2)/25)*Calculateur!DW145*Calculateur!DY145*VLOOKUP('Données projet'!$B$14,Paramètres!$A$1:$I$88,3,0)*0.475*44/12</f>
        <v>0</v>
      </c>
      <c r="EC145" s="23">
        <f>EXP(-LN(2)/2)*EC144+(1-EXP(-LN(2)/2))/(LN(2)/2)*DW145*DZ145*VLOOKUP('Données projet'!$B$14,Paramètres!$A$1:$I$88,3,0)*0.475*44/12</f>
        <v>2.2485759185901157E-16</v>
      </c>
      <c r="ED145" s="24">
        <f t="shared" si="126"/>
        <v>0.54602826359829548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-1.9895196601282805E-13</v>
      </c>
      <c r="EK145" s="18">
        <f>EJ145*VLOOKUP('Données projet'!$B$15,Paramètres!$A$1:$I$88,3,0)*VLOOKUP('Données projet'!$B$15,Paramètres!$A$1:$I$88,5,0)</f>
        <v>-1.738044375088066E-13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202.5548390231225</v>
      </c>
      <c r="EP145" s="62">
        <f t="shared" si="154"/>
        <v>184.62184077734179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projet'!$B$15,Paramètres!$A$1:$I$88,3,0)*0.475*44/12</f>
        <v>0</v>
      </c>
      <c r="EW145" s="23">
        <f>EXP(-LN(2)/25)*EW144+(1-EXP(-LN(2)/25))/(LN(2)/25)*Calculateur!ER145*Calculateur!ET145*VLOOKUP('Données projet'!$B$15,Paramètres!$A$1:$I$88,3,0)*0.475*44/12</f>
        <v>0</v>
      </c>
      <c r="EX145" s="23">
        <f>EXP(-LN(2)/2)*EX144+(1-EXP(-LN(2)/2))/(LN(2)/2)*ER145*EU145*VLOOKUP('Données projet'!$B$15,Paramètres!$A$1:$I$88,3,0)*0.475*44/12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2.6</v>
      </c>
      <c r="FE145" s="13">
        <f>IF('Données projet'!$A$218&gt;35,FE144+FD145-FM144,IF(A145&lt;'Données projet'!$A$218,$FB$205^A145,IF(A145='Données projet'!$A$218,'Données projet'!$B$218,FE144+FD145-FM144)))</f>
        <v>287.19999999999948</v>
      </c>
      <c r="FF145" s="18">
        <f>FE145*VLOOKUP('Données projet'!$B$16,Paramètres!$A$1:$I$88,3,0)*VLOOKUP('Données projet'!$B$16,Paramètres!$A$1:$I$88,5,0)</f>
        <v>277.77983999999952</v>
      </c>
      <c r="FG145" s="14">
        <f t="shared" si="155"/>
        <v>66.497608092453063</v>
      </c>
      <c r="FH145" s="22">
        <f t="shared" si="130"/>
        <v>599.61655542768824</v>
      </c>
      <c r="FI145" s="62">
        <f t="shared" si="131"/>
        <v>892.94988876102161</v>
      </c>
      <c r="FJ145" s="62">
        <f ca="1">AVERAGE(OFFSET($FI$3,0,0,'Données projet'!$E$16+1,1))-AVERAGE(OFFSET($H$3,0,0,'Données projet'!$E$16+1,1))</f>
        <v>456.96274622094955</v>
      </c>
      <c r="FK145" s="62">
        <f t="shared" si="156"/>
        <v>244.45149244446094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projet'!$B$16,Paramètres!$A$1:$I$88,3,0)*0.475*44/12</f>
        <v>0</v>
      </c>
      <c r="FR145" s="23">
        <f>EXP(-LN(2)/25)*FR144+(1-EXP(-LN(2)/25))/(LN(2)/25)*Calculateur!FM145*Calculateur!FO145*VLOOKUP('Données projet'!$B$16,Paramètres!$A$1:$I$88,3,0)*0.475*44/12</f>
        <v>0</v>
      </c>
      <c r="FS145" s="23">
        <f>EXP(-LN(2)/2)*FS144+(1-EXP(-LN(2)/2))/(LN(2)/2)*FM145*FP145*VLOOKUP('Données projet'!$B$16,Paramètres!$A$1:$I$88,3,0)*0.475*44/12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2.6</v>
      </c>
      <c r="FZ145" s="13">
        <f>IF('Données projet'!$A$244&gt;35,FZ144+FY145-GH144,IF(A145&lt;'Données projet'!$A$244,$FW$205^A145,IF(A145='Données projet'!$A$244,'Données projet'!$B$244,FZ144+FY145-GH144)))</f>
        <v>287.19999999999948</v>
      </c>
      <c r="GA145" s="18">
        <f>FZ145*VLOOKUP('Données projet'!$B$17,Paramètres!$A$1:$I$88,3,0)*VLOOKUP('Données projet'!$B$17,Paramètres!$A$1:$I$88,5,0)</f>
        <v>309.14207999999945</v>
      </c>
      <c r="GB145" s="14">
        <f t="shared" si="157"/>
        <v>73.089633441733085</v>
      </c>
      <c r="GC145" s="22">
        <f t="shared" si="133"/>
        <v>665.72023424435088</v>
      </c>
      <c r="GD145" s="62">
        <f t="shared" si="134"/>
        <v>959.05356757768413</v>
      </c>
      <c r="GE145" s="62">
        <f ca="1">AVERAGE(OFFSET($GD$3,0,0,'Données projet'!$E$17+1,1))-AVERAGE(OFFSET($H$3,0,0,'Données projet'!$E$17+1,1))</f>
        <v>503.69304261527651</v>
      </c>
      <c r="GF145" s="62">
        <f t="shared" si="158"/>
        <v>267.2998309535638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projet'!$B$17,Paramètres!$A$1:$I$88,3,0)*0.475*44/12</f>
        <v>0</v>
      </c>
      <c r="GM145" s="23">
        <f>EXP(-LN(2)/25)*GM144+(1-EXP(-LN(2)/25))/(LN(2)/25)*Calculateur!GH145*Calculateur!GJ145*VLOOKUP('Données projet'!$B$17,Paramètres!$A$1:$I$88,3,0)*0.475*44/12</f>
        <v>0</v>
      </c>
      <c r="GN145" s="23">
        <f>EXP(-LN(2)/2)*GN144+(1-EXP(-LN(2)/2))/(LN(2)/2)*GH145*GK145*VLOOKUP('Données projet'!$B$17,Paramètres!$A$1:$I$88,3,0)*0.475*44/12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3.7</v>
      </c>
      <c r="GU145" s="13">
        <f>IF('Données projet'!$A$270&gt;35,GU144+GT145-HC144,IF(A145&lt;'Données projet'!$A$270,$GR$205^A145,IF(A145='Données projet'!$A$270,'Données projet'!$B$270,GU144+GT145-HC144)))</f>
        <v>326.89999999999975</v>
      </c>
      <c r="GV145" s="18">
        <f>GU145*VLOOKUP('Données projet'!$B$18,Paramètres!$A$1:$I$88,3,0)*VLOOKUP('Données projet'!$B$18,Paramètres!$A$1:$I$88,5,0)</f>
        <v>341.67587999999978</v>
      </c>
      <c r="GW145" s="14">
        <f t="shared" si="159"/>
        <v>79.846094693675298</v>
      </c>
      <c r="GX145" s="22">
        <f t="shared" si="136"/>
        <v>734.15077259148404</v>
      </c>
      <c r="GY145" s="62">
        <f t="shared" si="137"/>
        <v>1027.4841059248174</v>
      </c>
      <c r="GZ145" s="62">
        <f ca="1">AVERAGE(OFFSET($GY$3,0,0,'Données projet'!$E$18+1,1))-AVERAGE(OFFSET($H$3,0,0,'Données projet'!$E$18+1,1))</f>
        <v>582.89879210197682</v>
      </c>
      <c r="HA145" s="62">
        <f t="shared" si="160"/>
        <v>314.72094983133326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projet'!$B$18,Paramètres!$A$1:$I$88,3,0)*0.475*44/12</f>
        <v>0</v>
      </c>
      <c r="HH145" s="23">
        <f>EXP(-LN(2)/25)*HH144+(1-EXP(-LN(2)/25))/(LN(2)/25)*Calculateur!HC145*Calculateur!HE145*VLOOKUP('Données projet'!$B$18,Paramètres!$A$1:$I$88,3,0)*0.475*44/12</f>
        <v>0</v>
      </c>
      <c r="HI145" s="23">
        <f>EXP(-LN(2)/2)*HI144+(1-EXP(-LN(2)/2))/(LN(2)/2)*HC145*HF145*VLOOKUP('Données projet'!$B$18,Paramètres!$A$1:$I$88,3,0)*0.475*44/12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projet'!$B$9,Paramètres!$A$1:$I$88,3,0)*VLOOKUP('Données projet'!$B$9,Paramètres!$A$1:$I$88,5,0)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399.92909819003523</v>
      </c>
      <c r="T146" s="62">
        <f t="shared" si="142"/>
        <v>163.7053537268381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3.7</v>
      </c>
      <c r="AI146" s="14">
        <f>IF('Données projet'!$A$62&gt;35,AI145+AH146-AQ145,IF(A146&lt;'Données projet'!$A$62,$AF$205^A146,IF(A146='Données projet'!$A$62,'Données projet'!$B$62,AI145+AH146-AQ145)))</f>
        <v>330.59999999999974</v>
      </c>
      <c r="AJ146" s="14">
        <f>AI146*VLOOKUP('Données projet'!$B$10,Paramètres!$A$1:$I$88,3,0)*VLOOKUP('Données projet'!$B$10,Paramètres!$A$1:$I$88,5,0)</f>
        <v>299.1268799999998</v>
      </c>
      <c r="AK146" s="14">
        <f t="shared" si="143"/>
        <v>70.993392948952888</v>
      </c>
      <c r="AL146" s="22">
        <f t="shared" si="112"/>
        <v>644.62614205275918</v>
      </c>
      <c r="AM146" s="62">
        <f t="shared" si="113"/>
        <v>937.95947538609244</v>
      </c>
      <c r="AN146" s="62">
        <f ca="1">AVERAGE(OFFSET($AM$3,0,0,'Données projet'!$E$10+1,1))-AVERAGE(OFFSET($H$3,0,0,'Données projet'!$E$10+1,1))</f>
        <v>510.56580450928806</v>
      </c>
      <c r="AO146" s="62">
        <f t="shared" si="144"/>
        <v>278.21741231699929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-5.1159076974727213E-13</v>
      </c>
      <c r="BE146" s="14">
        <f>BD146*VLOOKUP('Données projet'!$B$11,Paramètres!$A$1:$I$88,3,0)*VLOOKUP('Données projet'!$B$11,Paramètres!$A$1:$I$88,5,0)</f>
        <v>-4.8682977649150421E-13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525.51330555662139</v>
      </c>
      <c r="BJ146" s="62">
        <f t="shared" si="146"/>
        <v>357.72390083433635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1.7053025658242404E-13</v>
      </c>
      <c r="BZ146" s="14">
        <f>BY146*VLOOKUP('Données projet'!$B$12,Paramètres!$A$1:$I$88,3,0)*VLOOKUP('Données projet'!$B$12,Paramètres!$A$1:$I$88,5,0)</f>
        <v>1.0197709343628959E-13</v>
      </c>
      <c r="CA146" s="14">
        <f t="shared" si="147"/>
        <v>1.5284983994279675E-12</v>
      </c>
      <c r="CB146" s="22">
        <f t="shared" si="118"/>
        <v>2.839744816738581E-12</v>
      </c>
      <c r="CC146" s="62">
        <f t="shared" si="119"/>
        <v>293.33333333333616</v>
      </c>
      <c r="CD146" s="62">
        <f ca="1">AVERAGE(OFFSET($CC$3,0,0,'Données projet'!$E$12+1,1))-AVERAGE(OFFSET($H$3,0,0,'Données projet'!$E$12+1,1))</f>
        <v>227.46616726010473</v>
      </c>
      <c r="CE146" s="62">
        <f t="shared" si="148"/>
        <v>314.188568589113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12.836996431383989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1.3641329924778903E-13</v>
      </c>
      <c r="CN146" s="24">
        <f t="shared" si="120"/>
        <v>12.836996431384126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projet'!$B$13,Paramètres!$A$1:$I$88,3,0)*VLOOKUP('Données projet'!$B$13,Paramètres!$A$1:$I$88,5,0)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356.46794174556311</v>
      </c>
      <c r="CZ146" s="62">
        <f t="shared" si="150"/>
        <v>248.47107558211923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0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projet'!$B$14,Paramètres!$A$1:$I$88,3,0)*VLOOKUP('Données projet'!$B$14,Paramètres!$A$1:$I$88,5,0)</f>
        <v>6.3550942286383367E-14</v>
      </c>
      <c r="DQ146" s="14">
        <f t="shared" si="151"/>
        <v>1.0064464192543978E-12</v>
      </c>
      <c r="DR146" s="22">
        <f t="shared" si="124"/>
        <v>1.8635787380168604E-12</v>
      </c>
      <c r="DS146" s="62">
        <f t="shared" si="125"/>
        <v>293.33333333333519</v>
      </c>
      <c r="DT146" s="62">
        <f ca="1">AVERAGE(OFFSET($DS$3,0,0,'Données projet'!$E$14+1,1))-AVERAGE(OFFSET($H$3,0,0,'Données projet'!$E$14+1,1))</f>
        <v>397.04445188588369</v>
      </c>
      <c r="DU146" s="62">
        <f t="shared" si="152"/>
        <v>350.01856672839466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0.53532098239348813</v>
      </c>
      <c r="EB146" s="23">
        <f>EXP(-LN(2)/25)*EB145+(1-EXP(-LN(2)/25))/(LN(2)/25)*Calculateur!DW146*Calculateur!DY146*VLOOKUP('Données projet'!$B$14,Paramètres!$A$1:$I$88,3,0)*0.475*44/12</f>
        <v>0</v>
      </c>
      <c r="EC146" s="23">
        <f>EXP(-LN(2)/2)*EC145+(1-EXP(-LN(2)/2))/(LN(2)/2)*DW146*DZ146*VLOOKUP('Données projet'!$B$14,Paramètres!$A$1:$I$88,3,0)*0.475*44/12</f>
        <v>1.5899832800478411E-16</v>
      </c>
      <c r="ED146" s="24">
        <f t="shared" si="126"/>
        <v>0.53532098239348824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-1.9895196601282805E-13</v>
      </c>
      <c r="EK146" s="18">
        <f>EJ146*VLOOKUP('Données projet'!$B$15,Paramètres!$A$1:$I$88,3,0)*VLOOKUP('Données projet'!$B$15,Paramètres!$A$1:$I$88,5,0)</f>
        <v>-1.738044375088066E-13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202.5548390231225</v>
      </c>
      <c r="EP146" s="62">
        <f t="shared" si="154"/>
        <v>184.62184077734179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projet'!$B$15,Paramètres!$A$1:$I$88,3,0)*0.475*44/12</f>
        <v>0</v>
      </c>
      <c r="EW146" s="23">
        <f>EXP(-LN(2)/25)*EW145+(1-EXP(-LN(2)/25))/(LN(2)/25)*Calculateur!ER146*Calculateur!ET146*VLOOKUP('Données projet'!$B$15,Paramètres!$A$1:$I$88,3,0)*0.475*44/12</f>
        <v>0</v>
      </c>
      <c r="EX146" s="23">
        <f>EXP(-LN(2)/2)*EX145+(1-EXP(-LN(2)/2))/(LN(2)/2)*ER146*EU146*VLOOKUP('Données projet'!$B$15,Paramètres!$A$1:$I$88,3,0)*0.475*44/12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2.6</v>
      </c>
      <c r="FE146" s="13">
        <f>IF('Données projet'!$A$218&gt;35,FE145+FD146-FM145,IF(A146&lt;'Données projet'!$A$218,$FB$205^A146,IF(A146='Données projet'!$A$218,'Données projet'!$B$218,FE145+FD146-FM145)))</f>
        <v>289.7999999999995</v>
      </c>
      <c r="FF146" s="18">
        <f>FE146*VLOOKUP('Données projet'!$B$16,Paramètres!$A$1:$I$88,3,0)*VLOOKUP('Données projet'!$B$16,Paramètres!$A$1:$I$88,5,0)</f>
        <v>280.29455999999948</v>
      </c>
      <c r="FG146" s="14">
        <f t="shared" si="155"/>
        <v>67.02925406691503</v>
      </c>
      <c r="FH146" s="22">
        <f t="shared" si="130"/>
        <v>604.92230949987606</v>
      </c>
      <c r="FI146" s="62">
        <f t="shared" si="131"/>
        <v>898.25564283320932</v>
      </c>
      <c r="FJ146" s="62">
        <f ca="1">AVERAGE(OFFSET($FI$3,0,0,'Données projet'!$E$16+1,1))-AVERAGE(OFFSET($H$3,0,0,'Données projet'!$E$16+1,1))</f>
        <v>456.96274622094955</v>
      </c>
      <c r="FK146" s="62">
        <f t="shared" si="156"/>
        <v>244.45149244446094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projet'!$B$16,Paramètres!$A$1:$I$88,3,0)*0.475*44/12</f>
        <v>0</v>
      </c>
      <c r="FR146" s="23">
        <f>EXP(-LN(2)/25)*FR145+(1-EXP(-LN(2)/25))/(LN(2)/25)*Calculateur!FM146*Calculateur!FO146*VLOOKUP('Données projet'!$B$16,Paramètres!$A$1:$I$88,3,0)*0.475*44/12</f>
        <v>0</v>
      </c>
      <c r="FS146" s="23">
        <f>EXP(-LN(2)/2)*FS145+(1-EXP(-LN(2)/2))/(LN(2)/2)*FM146*FP146*VLOOKUP('Données projet'!$B$16,Paramètres!$A$1:$I$88,3,0)*0.475*44/12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2.6</v>
      </c>
      <c r="FZ146" s="13">
        <f>IF('Données projet'!$A$244&gt;35,FZ145+FY146-GH145,IF(A146&lt;'Données projet'!$A$244,$FW$205^A146,IF(A146='Données projet'!$A$244,'Données projet'!$B$244,FZ145+FY146-GH145)))</f>
        <v>289.7999999999995</v>
      </c>
      <c r="GA146" s="18">
        <f>FZ146*VLOOKUP('Données projet'!$B$17,Paramètres!$A$1:$I$88,3,0)*VLOOKUP('Données projet'!$B$17,Paramètres!$A$1:$I$88,5,0)</f>
        <v>311.94071999999949</v>
      </c>
      <c r="GB146" s="14">
        <f t="shared" si="157"/>
        <v>73.673982420724542</v>
      </c>
      <c r="GC146" s="22">
        <f t="shared" si="133"/>
        <v>671.61227338276092</v>
      </c>
      <c r="GD146" s="62">
        <f t="shared" si="134"/>
        <v>964.94560671609429</v>
      </c>
      <c r="GE146" s="62">
        <f ca="1">AVERAGE(OFFSET($GD$3,0,0,'Données projet'!$E$17+1,1))-AVERAGE(OFFSET($H$3,0,0,'Données projet'!$E$17+1,1))</f>
        <v>503.69304261527651</v>
      </c>
      <c r="GF146" s="62">
        <f t="shared" si="158"/>
        <v>267.2998309535638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projet'!$B$17,Paramètres!$A$1:$I$88,3,0)*0.475*44/12</f>
        <v>0</v>
      </c>
      <c r="GM146" s="23">
        <f>EXP(-LN(2)/25)*GM145+(1-EXP(-LN(2)/25))/(LN(2)/25)*Calculateur!GH146*Calculateur!GJ146*VLOOKUP('Données projet'!$B$17,Paramètres!$A$1:$I$88,3,0)*0.475*44/12</f>
        <v>0</v>
      </c>
      <c r="GN146" s="23">
        <f>EXP(-LN(2)/2)*GN145+(1-EXP(-LN(2)/2))/(LN(2)/2)*GH146*GK146*VLOOKUP('Données projet'!$B$17,Paramètres!$A$1:$I$88,3,0)*0.475*44/12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3.7</v>
      </c>
      <c r="GU146" s="13">
        <f>IF('Données projet'!$A$270&gt;35,GU145+GT146-HC145,IF(A146&lt;'Données projet'!$A$270,$GR$205^A146,IF(A146='Données projet'!$A$270,'Données projet'!$B$270,GU145+GT146-HC145)))</f>
        <v>330.59999999999974</v>
      </c>
      <c r="GV146" s="18">
        <f>GU146*VLOOKUP('Données projet'!$B$18,Paramètres!$A$1:$I$88,3,0)*VLOOKUP('Données projet'!$B$18,Paramètres!$A$1:$I$88,5,0)</f>
        <v>345.54311999999976</v>
      </c>
      <c r="GW146" s="14">
        <f t="shared" si="159"/>
        <v>80.644109979282746</v>
      </c>
      <c r="GX146" s="22">
        <f t="shared" si="136"/>
        <v>742.27609221391697</v>
      </c>
      <c r="GY146" s="62">
        <f t="shared" si="137"/>
        <v>1035.6094255472503</v>
      </c>
      <c r="GZ146" s="62">
        <f ca="1">AVERAGE(OFFSET($GY$3,0,0,'Données projet'!$E$18+1,1))-AVERAGE(OFFSET($H$3,0,0,'Données projet'!$E$18+1,1))</f>
        <v>582.89879210197682</v>
      </c>
      <c r="HA146" s="62">
        <f t="shared" si="160"/>
        <v>314.72094983133326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projet'!$B$18,Paramètres!$A$1:$I$88,3,0)*0.475*44/12</f>
        <v>0</v>
      </c>
      <c r="HH146" s="23">
        <f>EXP(-LN(2)/25)*HH145+(1-EXP(-LN(2)/25))/(LN(2)/25)*Calculateur!HC146*Calculateur!HE146*VLOOKUP('Données projet'!$B$18,Paramètres!$A$1:$I$88,3,0)*0.475*44/12</f>
        <v>0</v>
      </c>
      <c r="HI146" s="23">
        <f>EXP(-LN(2)/2)*HI145+(1-EXP(-LN(2)/2))/(LN(2)/2)*HC146*HF146*VLOOKUP('Données projet'!$B$18,Paramètres!$A$1:$I$88,3,0)*0.475*44/12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projet'!$B$9,Paramètres!$A$1:$I$88,3,0)*VLOOKUP('Données projet'!$B$9,Paramètres!$A$1:$I$88,5,0)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399.92909819003523</v>
      </c>
      <c r="T147" s="62">
        <f t="shared" si="142"/>
        <v>163.7053537268381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3.7</v>
      </c>
      <c r="AI147" s="14">
        <f>IF('Données projet'!$A$62&gt;35,AI146+AH147-AQ146,IF(A147&lt;'Données projet'!$A$62,$AF$205^A147,IF(A147='Données projet'!$A$62,'Données projet'!$B$62,AI146+AH147-AQ146)))</f>
        <v>334.29999999999973</v>
      </c>
      <c r="AJ147" s="14">
        <f>AI147*VLOOKUP('Données projet'!$B$10,Paramètres!$A$1:$I$88,3,0)*VLOOKUP('Données projet'!$B$10,Paramètres!$A$1:$I$88,5,0)</f>
        <v>302.47463999999974</v>
      </c>
      <c r="AK147" s="14">
        <f t="shared" si="143"/>
        <v>71.694994777063087</v>
      </c>
      <c r="AL147" s="22">
        <f t="shared" si="112"/>
        <v>651.678780570051</v>
      </c>
      <c r="AM147" s="62">
        <f t="shared" si="113"/>
        <v>945.01211390338426</v>
      </c>
      <c r="AN147" s="62">
        <f ca="1">AVERAGE(OFFSET($AM$3,0,0,'Données projet'!$E$10+1,1))-AVERAGE(OFFSET($H$3,0,0,'Données projet'!$E$10+1,1))</f>
        <v>510.56580450928806</v>
      </c>
      <c r="AO147" s="62">
        <f t="shared" si="144"/>
        <v>278.21741231699929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-5.1159076974727213E-13</v>
      </c>
      <c r="BE147" s="14">
        <f>BD147*VLOOKUP('Données projet'!$B$11,Paramètres!$A$1:$I$88,3,0)*VLOOKUP('Données projet'!$B$11,Paramètres!$A$1:$I$88,5,0)</f>
        <v>-4.8682977649150421E-13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525.51330555662139</v>
      </c>
      <c r="BJ147" s="62">
        <f t="shared" si="146"/>
        <v>357.72390083433635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1.7053025658242404E-13</v>
      </c>
      <c r="BZ147" s="14">
        <f>BY147*VLOOKUP('Données projet'!$B$12,Paramètres!$A$1:$I$88,3,0)*VLOOKUP('Données projet'!$B$12,Paramètres!$A$1:$I$88,5,0)</f>
        <v>1.0197709343628959E-13</v>
      </c>
      <c r="CA147" s="14">
        <f t="shared" si="147"/>
        <v>1.5284983994279675E-12</v>
      </c>
      <c r="CB147" s="22">
        <f t="shared" si="118"/>
        <v>2.839744816738581E-12</v>
      </c>
      <c r="CC147" s="62">
        <f t="shared" si="119"/>
        <v>293.33333333333616</v>
      </c>
      <c r="CD147" s="62">
        <f ca="1">AVERAGE(OFFSET($CC$3,0,0,'Données projet'!$E$12+1,1))-AVERAGE(OFFSET($H$3,0,0,'Données projet'!$E$12+1,1))</f>
        <v>227.46616726010473</v>
      </c>
      <c r="CE147" s="62">
        <f t="shared" si="148"/>
        <v>314.188568589113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12.585270761159244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9.6458768942141383E-14</v>
      </c>
      <c r="CN147" s="24">
        <f t="shared" si="120"/>
        <v>12.58527076115934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projet'!$B$13,Paramètres!$A$1:$I$88,3,0)*VLOOKUP('Données projet'!$B$13,Paramètres!$A$1:$I$88,5,0)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356.46794174556311</v>
      </c>
      <c r="CZ147" s="62">
        <f t="shared" si="150"/>
        <v>248.47107558211923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0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projet'!$B$14,Paramètres!$A$1:$I$88,3,0)*VLOOKUP('Données projet'!$B$14,Paramètres!$A$1:$I$88,5,0)</f>
        <v>6.3550942286383367E-14</v>
      </c>
      <c r="DQ147" s="14">
        <f t="shared" si="151"/>
        <v>1.0064464192543978E-12</v>
      </c>
      <c r="DR147" s="22">
        <f t="shared" si="124"/>
        <v>1.8635787380168604E-12</v>
      </c>
      <c r="DS147" s="62">
        <f t="shared" si="125"/>
        <v>293.33333333333519</v>
      </c>
      <c r="DT147" s="62">
        <f ca="1">AVERAGE(OFFSET($DS$3,0,0,'Données projet'!$E$14+1,1))-AVERAGE(OFFSET($H$3,0,0,'Données projet'!$E$14+1,1))</f>
        <v>397.04445188588369</v>
      </c>
      <c r="DU147" s="62">
        <f t="shared" si="152"/>
        <v>350.01856672839466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0.52482366444231054</v>
      </c>
      <c r="EB147" s="23">
        <f>EXP(-LN(2)/25)*EB146+(1-EXP(-LN(2)/25))/(LN(2)/25)*Calculateur!DW147*Calculateur!DY147*VLOOKUP('Données projet'!$B$14,Paramètres!$A$1:$I$88,3,0)*0.475*44/12</f>
        <v>0</v>
      </c>
      <c r="EC147" s="23">
        <f>EXP(-LN(2)/2)*EC146+(1-EXP(-LN(2)/2))/(LN(2)/2)*DW147*DZ147*VLOOKUP('Données projet'!$B$14,Paramètres!$A$1:$I$88,3,0)*0.475*44/12</f>
        <v>1.1242879592950579E-16</v>
      </c>
      <c r="ED147" s="24">
        <f t="shared" si="126"/>
        <v>0.52482366444231066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-1.9895196601282805E-13</v>
      </c>
      <c r="EK147" s="18">
        <f>EJ147*VLOOKUP('Données projet'!$B$15,Paramètres!$A$1:$I$88,3,0)*VLOOKUP('Données projet'!$B$15,Paramètres!$A$1:$I$88,5,0)</f>
        <v>-1.738044375088066E-13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202.5548390231225</v>
      </c>
      <c r="EP147" s="62">
        <f t="shared" si="154"/>
        <v>184.62184077734179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projet'!$B$15,Paramètres!$A$1:$I$88,3,0)*0.475*44/12</f>
        <v>0</v>
      </c>
      <c r="EW147" s="23">
        <f>EXP(-LN(2)/25)*EW146+(1-EXP(-LN(2)/25))/(LN(2)/25)*Calculateur!ER147*Calculateur!ET147*VLOOKUP('Données projet'!$B$15,Paramètres!$A$1:$I$88,3,0)*0.475*44/12</f>
        <v>0</v>
      </c>
      <c r="EX147" s="23">
        <f>EXP(-LN(2)/2)*EX146+(1-EXP(-LN(2)/2))/(LN(2)/2)*ER147*EU147*VLOOKUP('Données projet'!$B$15,Paramètres!$A$1:$I$88,3,0)*0.475*44/12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2.6</v>
      </c>
      <c r="FE147" s="13">
        <f>IF('Données projet'!$A$218&gt;35,FE146+FD147-FM146,IF(A147&lt;'Données projet'!$A$218,$FB$205^A147,IF(A147='Données projet'!$A$218,'Données projet'!$B$218,FE146+FD147-FM146)))</f>
        <v>292.39999999999952</v>
      </c>
      <c r="FF147" s="18">
        <f>FE147*VLOOKUP('Données projet'!$B$16,Paramètres!$A$1:$I$88,3,0)*VLOOKUP('Données projet'!$B$16,Paramètres!$A$1:$I$88,5,0)</f>
        <v>282.80927999999955</v>
      </c>
      <c r="FG147" s="14">
        <f t="shared" si="155"/>
        <v>67.560345121999219</v>
      </c>
      <c r="FH147" s="22">
        <f t="shared" si="130"/>
        <v>610.22709708748118</v>
      </c>
      <c r="FI147" s="62">
        <f t="shared" si="131"/>
        <v>903.56043042081455</v>
      </c>
      <c r="FJ147" s="62">
        <f ca="1">AVERAGE(OFFSET($FI$3,0,0,'Données projet'!$E$16+1,1))-AVERAGE(OFFSET($H$3,0,0,'Données projet'!$E$16+1,1))</f>
        <v>456.96274622094955</v>
      </c>
      <c r="FK147" s="62">
        <f t="shared" si="156"/>
        <v>244.45149244446094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projet'!$B$16,Paramètres!$A$1:$I$88,3,0)*0.475*44/12</f>
        <v>0</v>
      </c>
      <c r="FR147" s="23">
        <f>EXP(-LN(2)/25)*FR146+(1-EXP(-LN(2)/25))/(LN(2)/25)*Calculateur!FM147*Calculateur!FO147*VLOOKUP('Données projet'!$B$16,Paramètres!$A$1:$I$88,3,0)*0.475*44/12</f>
        <v>0</v>
      </c>
      <c r="FS147" s="23">
        <f>EXP(-LN(2)/2)*FS146+(1-EXP(-LN(2)/2))/(LN(2)/2)*FM147*FP147*VLOOKUP('Données projet'!$B$16,Paramètres!$A$1:$I$88,3,0)*0.475*44/12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2.6</v>
      </c>
      <c r="FZ147" s="13">
        <f>IF('Données projet'!$A$244&gt;35,FZ146+FY147-GH146,IF(A147&lt;'Données projet'!$A$244,$FW$205^A147,IF(A147='Données projet'!$A$244,'Données projet'!$B$244,FZ146+FY147-GH146)))</f>
        <v>292.39999999999952</v>
      </c>
      <c r="GA147" s="18">
        <f>FZ147*VLOOKUP('Données projet'!$B$17,Paramètres!$A$1:$I$88,3,0)*VLOOKUP('Données projet'!$B$17,Paramètres!$A$1:$I$88,5,0)</f>
        <v>314.73935999999946</v>
      </c>
      <c r="GB147" s="14">
        <f t="shared" si="157"/>
        <v>74.257721470200096</v>
      </c>
      <c r="GC147" s="22">
        <f t="shared" si="133"/>
        <v>677.50325022726418</v>
      </c>
      <c r="GD147" s="62">
        <f t="shared" si="134"/>
        <v>970.83658356059755</v>
      </c>
      <c r="GE147" s="62">
        <f ca="1">AVERAGE(OFFSET($GD$3,0,0,'Données projet'!$E$17+1,1))-AVERAGE(OFFSET($H$3,0,0,'Données projet'!$E$17+1,1))</f>
        <v>503.69304261527651</v>
      </c>
      <c r="GF147" s="62">
        <f t="shared" si="158"/>
        <v>267.2998309535638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projet'!$B$17,Paramètres!$A$1:$I$88,3,0)*0.475*44/12</f>
        <v>0</v>
      </c>
      <c r="GM147" s="23">
        <f>EXP(-LN(2)/25)*GM146+(1-EXP(-LN(2)/25))/(LN(2)/25)*Calculateur!GH147*Calculateur!GJ147*VLOOKUP('Données projet'!$B$17,Paramètres!$A$1:$I$88,3,0)*0.475*44/12</f>
        <v>0</v>
      </c>
      <c r="GN147" s="23">
        <f>EXP(-LN(2)/2)*GN146+(1-EXP(-LN(2)/2))/(LN(2)/2)*GH147*GK147*VLOOKUP('Données projet'!$B$17,Paramètres!$A$1:$I$88,3,0)*0.475*44/12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3.7</v>
      </c>
      <c r="GU147" s="13">
        <f>IF('Données projet'!$A$270&gt;35,GU146+GT147-HC146,IF(A147&lt;'Données projet'!$A$270,$GR$205^A147,IF(A147='Données projet'!$A$270,'Données projet'!$B$270,GU146+GT147-HC146)))</f>
        <v>334.29999999999973</v>
      </c>
      <c r="GV147" s="18">
        <f>GU147*VLOOKUP('Données projet'!$B$18,Paramètres!$A$1:$I$88,3,0)*VLOOKUP('Données projet'!$B$18,Paramètres!$A$1:$I$88,5,0)</f>
        <v>349.41035999999974</v>
      </c>
      <c r="GW147" s="14">
        <f t="shared" si="159"/>
        <v>81.441086326482676</v>
      </c>
      <c r="GX147" s="22">
        <f t="shared" si="136"/>
        <v>750.39960235195679</v>
      </c>
      <c r="GY147" s="62">
        <f t="shared" si="137"/>
        <v>1043.7329356852902</v>
      </c>
      <c r="GZ147" s="62">
        <f ca="1">AVERAGE(OFFSET($GY$3,0,0,'Données projet'!$E$18+1,1))-AVERAGE(OFFSET($H$3,0,0,'Données projet'!$E$18+1,1))</f>
        <v>582.89879210197682</v>
      </c>
      <c r="HA147" s="62">
        <f t="shared" si="160"/>
        <v>314.72094983133326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projet'!$B$18,Paramètres!$A$1:$I$88,3,0)*0.475*44/12</f>
        <v>0</v>
      </c>
      <c r="HH147" s="23">
        <f>EXP(-LN(2)/25)*HH146+(1-EXP(-LN(2)/25))/(LN(2)/25)*Calculateur!HC147*Calculateur!HE147*VLOOKUP('Données projet'!$B$18,Paramètres!$A$1:$I$88,3,0)*0.475*44/12</f>
        <v>0</v>
      </c>
      <c r="HI147" s="23">
        <f>EXP(-LN(2)/2)*HI146+(1-EXP(-LN(2)/2))/(LN(2)/2)*HC147*HF147*VLOOKUP('Données projet'!$B$18,Paramètres!$A$1:$I$88,3,0)*0.475*44/12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projet'!$B$9,Paramètres!$A$1:$I$88,3,0)*VLOOKUP('Données projet'!$B$9,Paramètres!$A$1:$I$88,5,0)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399.92909819003523</v>
      </c>
      <c r="T148" s="62">
        <f t="shared" si="142"/>
        <v>163.7053537268381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338</v>
      </c>
      <c r="AG148" s="13">
        <f>VLOOKUP(A148,'Données projet'!$A$61:$I$81,9,0)</f>
        <v>3.7</v>
      </c>
      <c r="AH148" s="13">
        <f t="array" ref="AH148">INDEX(AG:AG,MIN(IF(ISNUMBER(AG148:AG344),ROW(AG148:AG344),"")))</f>
        <v>3.7</v>
      </c>
      <c r="AI148" s="14">
        <f>IF('Données projet'!$A$62&gt;35,AI147+AH148-AQ147,IF(A148&lt;'Données projet'!$A$62,$AF$205^A148,IF(A148='Données projet'!$A$62,'Données projet'!$B$62,AI147+AH148-AQ147)))</f>
        <v>337.99999999999972</v>
      </c>
      <c r="AJ148" s="14">
        <f>AI148*VLOOKUP('Données projet'!$B$10,Paramètres!$A$1:$I$88,3,0)*VLOOKUP('Données projet'!$B$10,Paramètres!$A$1:$I$88,5,0)</f>
        <v>305.82239999999973</v>
      </c>
      <c r="AK148" s="14">
        <f t="shared" si="143"/>
        <v>72.39569329126887</v>
      </c>
      <c r="AL148" s="22">
        <f t="shared" si="112"/>
        <v>658.72984581562616</v>
      </c>
      <c r="AM148" s="62">
        <f t="shared" si="113"/>
        <v>952.06317914895953</v>
      </c>
      <c r="AN148" s="62">
        <f ca="1">AVERAGE(OFFSET($AM$3,0,0,'Données projet'!$E$10+1,1))-AVERAGE(OFFSET($H$3,0,0,'Données projet'!$E$10+1,1))</f>
        <v>510.56580450928806</v>
      </c>
      <c r="AO148" s="62">
        <f t="shared" si="144"/>
        <v>278.21741231699929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-5.1159076974727213E-13</v>
      </c>
      <c r="BE148" s="14">
        <f>BD148*VLOOKUP('Données projet'!$B$11,Paramètres!$A$1:$I$88,3,0)*VLOOKUP('Données projet'!$B$11,Paramètres!$A$1:$I$88,5,0)</f>
        <v>-4.8682977649150421E-13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525.51330555662139</v>
      </c>
      <c r="BJ148" s="62">
        <f t="shared" si="146"/>
        <v>357.72390083433635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1.7053025658242404E-13</v>
      </c>
      <c r="BZ148" s="14">
        <f>BY148*VLOOKUP('Données projet'!$B$12,Paramètres!$A$1:$I$88,3,0)*VLOOKUP('Données projet'!$B$12,Paramètres!$A$1:$I$88,5,0)</f>
        <v>1.0197709343628959E-13</v>
      </c>
      <c r="CA148" s="14">
        <f t="shared" si="147"/>
        <v>1.5284983994279675E-12</v>
      </c>
      <c r="CB148" s="22">
        <f t="shared" si="118"/>
        <v>2.839744816738581E-12</v>
      </c>
      <c r="CC148" s="62">
        <f t="shared" si="119"/>
        <v>293.33333333333616</v>
      </c>
      <c r="CD148" s="62">
        <f ca="1">AVERAGE(OFFSET($CC$3,0,0,'Données projet'!$E$12+1,1))-AVERAGE(OFFSET($H$3,0,0,'Données projet'!$E$12+1,1))</f>
        <v>227.46616726010473</v>
      </c>
      <c r="CE148" s="62">
        <f t="shared" si="148"/>
        <v>314.188568589113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12.338481277790107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6.8206649623894513E-14</v>
      </c>
      <c r="CN148" s="24">
        <f t="shared" si="120"/>
        <v>12.338481277790175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projet'!$B$13,Paramètres!$A$1:$I$88,3,0)*VLOOKUP('Données projet'!$B$13,Paramètres!$A$1:$I$88,5,0)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356.46794174556311</v>
      </c>
      <c r="CZ148" s="62">
        <f t="shared" si="150"/>
        <v>248.47107558211923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0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projet'!$B$14,Paramètres!$A$1:$I$88,3,0)*VLOOKUP('Données projet'!$B$14,Paramètres!$A$1:$I$88,5,0)</f>
        <v>6.3550942286383367E-14</v>
      </c>
      <c r="DQ148" s="14">
        <f t="shared" si="151"/>
        <v>1.0064464192543978E-12</v>
      </c>
      <c r="DR148" s="22">
        <f t="shared" si="124"/>
        <v>1.8635787380168604E-12</v>
      </c>
      <c r="DS148" s="62">
        <f t="shared" si="125"/>
        <v>293.33333333333519</v>
      </c>
      <c r="DT148" s="62">
        <f ca="1">AVERAGE(OFFSET($DS$3,0,0,'Données projet'!$E$14+1,1))-AVERAGE(OFFSET($H$3,0,0,'Données projet'!$E$14+1,1))</f>
        <v>397.04445188588369</v>
      </c>
      <c r="DU148" s="62">
        <f t="shared" si="152"/>
        <v>350.01856672839466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0.51453219249342386</v>
      </c>
      <c r="EB148" s="23">
        <f>EXP(-LN(2)/25)*EB147+(1-EXP(-LN(2)/25))/(LN(2)/25)*Calculateur!DW148*Calculateur!DY148*VLOOKUP('Données projet'!$B$14,Paramètres!$A$1:$I$88,3,0)*0.475*44/12</f>
        <v>0</v>
      </c>
      <c r="EC148" s="23">
        <f>EXP(-LN(2)/2)*EC147+(1-EXP(-LN(2)/2))/(LN(2)/2)*DW148*DZ148*VLOOKUP('Données projet'!$B$14,Paramètres!$A$1:$I$88,3,0)*0.475*44/12</f>
        <v>7.9499164002392053E-17</v>
      </c>
      <c r="ED148" s="24">
        <f t="shared" si="126"/>
        <v>0.51453219249342397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-1.9895196601282805E-13</v>
      </c>
      <c r="EK148" s="18">
        <f>EJ148*VLOOKUP('Données projet'!$B$15,Paramètres!$A$1:$I$88,3,0)*VLOOKUP('Données projet'!$B$15,Paramètres!$A$1:$I$88,5,0)</f>
        <v>-1.738044375088066E-13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202.5548390231225</v>
      </c>
      <c r="EP148" s="62">
        <f t="shared" si="154"/>
        <v>184.62184077734179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projet'!$B$15,Paramètres!$A$1:$I$88,3,0)*0.475*44/12</f>
        <v>0</v>
      </c>
      <c r="EW148" s="23">
        <f>EXP(-LN(2)/25)*EW147+(1-EXP(-LN(2)/25))/(LN(2)/25)*Calculateur!ER148*Calculateur!ET148*VLOOKUP('Données projet'!$B$15,Paramètres!$A$1:$I$88,3,0)*0.475*44/12</f>
        <v>0</v>
      </c>
      <c r="EX148" s="23">
        <f>EXP(-LN(2)/2)*EX147+(1-EXP(-LN(2)/2))/(LN(2)/2)*ER148*EU148*VLOOKUP('Données projet'!$B$15,Paramètres!$A$1:$I$88,3,0)*0.475*44/12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>
        <f>VLOOKUP(A148,'Données projet'!$A$217:$I$237,2,0)</f>
        <v>295</v>
      </c>
      <c r="FC148" s="13">
        <f>VLOOKUP(A148,'Données projet'!$A$217:$I$237,9,0)</f>
        <v>2.6</v>
      </c>
      <c r="FD148" s="13">
        <f t="array" ref="FD148">INDEX(FC:FC,MIN(IF(ISNUMBER(FC148:FC344),ROW(FC148:FC344),"")))</f>
        <v>2.6</v>
      </c>
      <c r="FE148" s="13">
        <f>IF('Données projet'!$A$218&gt;35,FE147+FD148-FM147,IF(A148&lt;'Données projet'!$A$218,$FB$205^A148,IF(A148='Données projet'!$A$218,'Données projet'!$B$218,FE147+FD148-FM147)))</f>
        <v>294.99999999999955</v>
      </c>
      <c r="FF148" s="18">
        <f>FE148*VLOOKUP('Données projet'!$B$16,Paramètres!$A$1:$I$88,3,0)*VLOOKUP('Données projet'!$B$16,Paramètres!$A$1:$I$88,5,0)</f>
        <v>285.32399999999956</v>
      </c>
      <c r="FG148" s="14">
        <f t="shared" si="155"/>
        <v>68.090886763658133</v>
      </c>
      <c r="FH148" s="22">
        <f t="shared" si="130"/>
        <v>615.53092778003713</v>
      </c>
      <c r="FI148" s="62">
        <f t="shared" si="131"/>
        <v>908.8642611133705</v>
      </c>
      <c r="FJ148" s="62">
        <f ca="1">AVERAGE(OFFSET($FI$3,0,0,'Données projet'!$E$16+1,1))-AVERAGE(OFFSET($H$3,0,0,'Données projet'!$E$16+1,1))</f>
        <v>456.96274622094955</v>
      </c>
      <c r="FK148" s="62">
        <f t="shared" si="156"/>
        <v>244.45149244446094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projet'!$B$16,Paramètres!$A$1:$I$88,3,0)*0.475*44/12</f>
        <v>0</v>
      </c>
      <c r="FR148" s="23">
        <f>EXP(-LN(2)/25)*FR147+(1-EXP(-LN(2)/25))/(LN(2)/25)*Calculateur!FM148*Calculateur!FO148*VLOOKUP('Données projet'!$B$16,Paramètres!$A$1:$I$88,3,0)*0.475*44/12</f>
        <v>0</v>
      </c>
      <c r="FS148" s="23">
        <f>EXP(-LN(2)/2)*FS147+(1-EXP(-LN(2)/2))/(LN(2)/2)*FM148*FP148*VLOOKUP('Données projet'!$B$16,Paramètres!$A$1:$I$88,3,0)*0.475*44/12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>
        <f>VLOOKUP(A148,'Données projet'!$A$243:$I$263,2,0)</f>
        <v>295</v>
      </c>
      <c r="FX148" s="13">
        <f>VLOOKUP(A148,'Données projet'!$A$243:$I$263,9,0)</f>
        <v>2.6</v>
      </c>
      <c r="FY148" s="13">
        <f t="array" ref="FY148">INDEX(FX:FX,MIN(IF(ISNUMBER(FX148:FX344),ROW(FX148:FX344),"")))</f>
        <v>2.6</v>
      </c>
      <c r="FZ148" s="13">
        <f>IF('Données projet'!$A$244&gt;35,FZ147+FY148-GH147,IF(A148&lt;'Données projet'!$A$244,$FW$205^A148,IF(A148='Données projet'!$A$244,'Données projet'!$B$244,FZ147+FY148-GH147)))</f>
        <v>294.99999999999955</v>
      </c>
      <c r="GA148" s="18">
        <f>FZ148*VLOOKUP('Données projet'!$B$17,Paramètres!$A$1:$I$88,3,0)*VLOOKUP('Données projet'!$B$17,Paramètres!$A$1:$I$88,5,0)</f>
        <v>317.5379999999995</v>
      </c>
      <c r="GB148" s="14">
        <f t="shared" si="157"/>
        <v>74.84085664192699</v>
      </c>
      <c r="GC148" s="22">
        <f t="shared" si="133"/>
        <v>683.39317531802192</v>
      </c>
      <c r="GD148" s="62">
        <f t="shared" si="134"/>
        <v>976.72650865135529</v>
      </c>
      <c r="GE148" s="62">
        <f ca="1">AVERAGE(OFFSET($GD$3,0,0,'Données projet'!$E$17+1,1))-AVERAGE(OFFSET($H$3,0,0,'Données projet'!$E$17+1,1))</f>
        <v>503.69304261527651</v>
      </c>
      <c r="GF148" s="62">
        <f t="shared" si="158"/>
        <v>267.2998309535638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projet'!$B$17,Paramètres!$A$1:$I$88,3,0)*0.475*44/12</f>
        <v>0</v>
      </c>
      <c r="GM148" s="23">
        <f>EXP(-LN(2)/25)*GM147+(1-EXP(-LN(2)/25))/(LN(2)/25)*Calculateur!GH148*Calculateur!GJ148*VLOOKUP('Données projet'!$B$17,Paramètres!$A$1:$I$88,3,0)*0.475*44/12</f>
        <v>0</v>
      </c>
      <c r="GN148" s="23">
        <f>EXP(-LN(2)/2)*GN147+(1-EXP(-LN(2)/2))/(LN(2)/2)*GH148*GK148*VLOOKUP('Données projet'!$B$17,Paramètres!$A$1:$I$88,3,0)*0.475*44/12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>
        <f>VLOOKUP(A148,'Données projet'!$A$269:$I$289,2,0)</f>
        <v>338</v>
      </c>
      <c r="GS148" s="13">
        <f>VLOOKUP(A148,'Données projet'!$A$269:$I$289,9,0)</f>
        <v>3.7</v>
      </c>
      <c r="GT148" s="13">
        <f t="array" ref="GT148">INDEX(GS:GS,MIN(IF(ISNUMBER(GS148:GS344),ROW(GS148:GS344),"")))</f>
        <v>3.7</v>
      </c>
      <c r="GU148" s="13">
        <f>IF('Données projet'!$A$270&gt;35,GU147+GT148-HC147,IF(A148&lt;'Données projet'!$A$270,$GR$205^A148,IF(A148='Données projet'!$A$270,'Données projet'!$B$270,GU147+GT148-HC147)))</f>
        <v>337.99999999999972</v>
      </c>
      <c r="GV148" s="18">
        <f>GU148*VLOOKUP('Données projet'!$B$18,Paramètres!$A$1:$I$88,3,0)*VLOOKUP('Données projet'!$B$18,Paramètres!$A$1:$I$88,5,0)</f>
        <v>353.27759999999972</v>
      </c>
      <c r="GW148" s="14">
        <f t="shared" si="159"/>
        <v>82.237036564873961</v>
      </c>
      <c r="GX148" s="22">
        <f t="shared" si="136"/>
        <v>758.52132535048838</v>
      </c>
      <c r="GY148" s="62">
        <f t="shared" si="137"/>
        <v>1051.8546586838218</v>
      </c>
      <c r="GZ148" s="62">
        <f ca="1">AVERAGE(OFFSET($GY$3,0,0,'Données projet'!$E$18+1,1))-AVERAGE(OFFSET($H$3,0,0,'Données projet'!$E$18+1,1))</f>
        <v>582.89879210197682</v>
      </c>
      <c r="HA148" s="62">
        <f t="shared" si="160"/>
        <v>314.72094983133326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projet'!$B$18,Paramètres!$A$1:$I$88,3,0)*0.475*44/12</f>
        <v>0</v>
      </c>
      <c r="HH148" s="23">
        <f>EXP(-LN(2)/25)*HH147+(1-EXP(-LN(2)/25))/(LN(2)/25)*Calculateur!HC148*Calculateur!HE148*VLOOKUP('Données projet'!$B$18,Paramètres!$A$1:$I$88,3,0)*0.475*44/12</f>
        <v>0</v>
      </c>
      <c r="HI148" s="23">
        <f>EXP(-LN(2)/2)*HI147+(1-EXP(-LN(2)/2))/(LN(2)/2)*HC148*HF148*VLOOKUP('Données projet'!$B$18,Paramètres!$A$1:$I$88,3,0)*0.475*44/12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projet'!$B$9,Paramètres!$A$1:$I$88,3,0)*VLOOKUP('Données projet'!$B$9,Paramètres!$A$1:$I$88,5,0)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399.92909819003523</v>
      </c>
      <c r="T149" s="62">
        <f t="shared" si="142"/>
        <v>163.7053537268381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3.4</v>
      </c>
      <c r="AI149" s="14">
        <f>IF('Données projet'!$A$62&gt;35,AI148+AH149-AQ148,IF(A149&lt;'Données projet'!$A$62,$AF$205^A149,IF(A149='Données projet'!$A$62,'Données projet'!$B$62,AI148+AH149-AQ148)))</f>
        <v>341.39999999999969</v>
      </c>
      <c r="AJ149" s="14">
        <f>AI149*VLOOKUP('Données projet'!$B$10,Paramètres!$A$1:$I$88,3,0)*VLOOKUP('Données projet'!$B$10,Paramètres!$A$1:$I$88,5,0)</f>
        <v>308.89871999999968</v>
      </c>
      <c r="AK149" s="14">
        <f t="shared" si="143"/>
        <v>73.038791460506829</v>
      </c>
      <c r="AL149" s="22">
        <f t="shared" si="112"/>
        <v>665.20783246038218</v>
      </c>
      <c r="AM149" s="62">
        <f t="shared" si="113"/>
        <v>958.54116579371544</v>
      </c>
      <c r="AN149" s="62">
        <f ca="1">AVERAGE(OFFSET($AM$3,0,0,'Données projet'!$E$10+1,1))-AVERAGE(OFFSET($H$3,0,0,'Données projet'!$E$10+1,1))</f>
        <v>510.56580450928806</v>
      </c>
      <c r="AO149" s="62">
        <f t="shared" si="144"/>
        <v>278.21741231699929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-5.1159076974727213E-13</v>
      </c>
      <c r="BE149" s="14">
        <f>BD149*VLOOKUP('Données projet'!$B$11,Paramètres!$A$1:$I$88,3,0)*VLOOKUP('Données projet'!$B$11,Paramètres!$A$1:$I$88,5,0)</f>
        <v>-4.8682977649150421E-13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525.51330555662139</v>
      </c>
      <c r="BJ149" s="62">
        <f t="shared" si="146"/>
        <v>357.72390083433635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1.7053025658242404E-13</v>
      </c>
      <c r="BZ149" s="14">
        <f>BY149*VLOOKUP('Données projet'!$B$12,Paramètres!$A$1:$I$88,3,0)*VLOOKUP('Données projet'!$B$12,Paramètres!$A$1:$I$88,5,0)</f>
        <v>1.0197709343628959E-13</v>
      </c>
      <c r="CA149" s="14">
        <f t="shared" si="147"/>
        <v>1.5284983994279675E-12</v>
      </c>
      <c r="CB149" s="22">
        <f t="shared" si="118"/>
        <v>2.839744816738581E-12</v>
      </c>
      <c r="CC149" s="62">
        <f t="shared" si="119"/>
        <v>293.33333333333616</v>
      </c>
      <c r="CD149" s="62">
        <f ca="1">AVERAGE(OFFSET($CC$3,0,0,'Données projet'!$E$12+1,1))-AVERAGE(OFFSET($H$3,0,0,'Données projet'!$E$12+1,1))</f>
        <v>227.46616726010473</v>
      </c>
      <c r="CE149" s="62">
        <f t="shared" si="148"/>
        <v>314.188568589113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12.096531185663119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4.8229384471070691E-14</v>
      </c>
      <c r="CN149" s="24">
        <f t="shared" si="120"/>
        <v>12.096531185663167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projet'!$B$13,Paramètres!$A$1:$I$88,3,0)*VLOOKUP('Données projet'!$B$13,Paramètres!$A$1:$I$88,5,0)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356.46794174556311</v>
      </c>
      <c r="CZ149" s="62">
        <f t="shared" si="150"/>
        <v>248.47107558211923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0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projet'!$B$14,Paramètres!$A$1:$I$88,3,0)*VLOOKUP('Données projet'!$B$14,Paramètres!$A$1:$I$88,5,0)</f>
        <v>6.3550942286383367E-14</v>
      </c>
      <c r="DQ149" s="14">
        <f t="shared" si="151"/>
        <v>1.0064464192543978E-12</v>
      </c>
      <c r="DR149" s="22">
        <f t="shared" si="124"/>
        <v>1.8635787380168604E-12</v>
      </c>
      <c r="DS149" s="62">
        <f t="shared" si="125"/>
        <v>293.33333333333519</v>
      </c>
      <c r="DT149" s="62">
        <f ca="1">AVERAGE(OFFSET($DS$3,0,0,'Données projet'!$E$14+1,1))-AVERAGE(OFFSET($H$3,0,0,'Données projet'!$E$14+1,1))</f>
        <v>397.04445188588369</v>
      </c>
      <c r="DU149" s="62">
        <f t="shared" si="152"/>
        <v>350.01856672839466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0.50444253003227668</v>
      </c>
      <c r="EB149" s="23">
        <f>EXP(-LN(2)/25)*EB148+(1-EXP(-LN(2)/25))/(LN(2)/25)*Calculateur!DW149*Calculateur!DY149*VLOOKUP('Données projet'!$B$14,Paramètres!$A$1:$I$88,3,0)*0.475*44/12</f>
        <v>0</v>
      </c>
      <c r="EC149" s="23">
        <f>EXP(-LN(2)/2)*EC148+(1-EXP(-LN(2)/2))/(LN(2)/2)*DW149*DZ149*VLOOKUP('Données projet'!$B$14,Paramètres!$A$1:$I$88,3,0)*0.475*44/12</f>
        <v>5.6214397964752893E-17</v>
      </c>
      <c r="ED149" s="24">
        <f t="shared" si="126"/>
        <v>0.50444253003227679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-1.9895196601282805E-13</v>
      </c>
      <c r="EK149" s="18">
        <f>EJ149*VLOOKUP('Données projet'!$B$15,Paramètres!$A$1:$I$88,3,0)*VLOOKUP('Données projet'!$B$15,Paramètres!$A$1:$I$88,5,0)</f>
        <v>-1.738044375088066E-13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202.5548390231225</v>
      </c>
      <c r="EP149" s="62">
        <f t="shared" si="154"/>
        <v>184.62184077734179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projet'!$B$15,Paramètres!$A$1:$I$88,3,0)*0.475*44/12</f>
        <v>0</v>
      </c>
      <c r="EW149" s="23">
        <f>EXP(-LN(2)/25)*EW148+(1-EXP(-LN(2)/25))/(LN(2)/25)*Calculateur!ER149*Calculateur!ET149*VLOOKUP('Données projet'!$B$15,Paramètres!$A$1:$I$88,3,0)*0.475*44/12</f>
        <v>0</v>
      </c>
      <c r="EX149" s="23">
        <f>EXP(-LN(2)/2)*EX148+(1-EXP(-LN(2)/2))/(LN(2)/2)*ER149*EU149*VLOOKUP('Données projet'!$B$15,Paramètres!$A$1:$I$88,3,0)*0.475*44/12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2.2000000000000002</v>
      </c>
      <c r="FE149" s="13">
        <f>IF('Données projet'!$A$218&gt;35,FE148+FD149-FM148,IF(A149&lt;'Données projet'!$A$218,$FB$205^A149,IF(A149='Données projet'!$A$218,'Données projet'!$B$218,FE148+FD149-FM148)))</f>
        <v>297.19999999999953</v>
      </c>
      <c r="FF149" s="18">
        <f>FE149*VLOOKUP('Données projet'!$B$16,Paramètres!$A$1:$I$88,3,0)*VLOOKUP('Données projet'!$B$16,Paramètres!$A$1:$I$88,5,0)</f>
        <v>287.45183999999955</v>
      </c>
      <c r="FG149" s="14">
        <f t="shared" si="155"/>
        <v>68.539381493411511</v>
      </c>
      <c r="FH149" s="22">
        <f t="shared" si="130"/>
        <v>620.0180441010242</v>
      </c>
      <c r="FI149" s="62">
        <f t="shared" si="131"/>
        <v>913.35137743435757</v>
      </c>
      <c r="FJ149" s="62">
        <f ca="1">AVERAGE(OFFSET($FI$3,0,0,'Données projet'!$E$16+1,1))-AVERAGE(OFFSET($H$3,0,0,'Données projet'!$E$16+1,1))</f>
        <v>456.96274622094955</v>
      </c>
      <c r="FK149" s="62">
        <f t="shared" si="156"/>
        <v>244.45149244446094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projet'!$B$16,Paramètres!$A$1:$I$88,3,0)*0.475*44/12</f>
        <v>0</v>
      </c>
      <c r="FR149" s="23">
        <f>EXP(-LN(2)/25)*FR148+(1-EXP(-LN(2)/25))/(LN(2)/25)*Calculateur!FM149*Calculateur!FO149*VLOOKUP('Données projet'!$B$16,Paramètres!$A$1:$I$88,3,0)*0.475*44/12</f>
        <v>0</v>
      </c>
      <c r="FS149" s="23">
        <f>EXP(-LN(2)/2)*FS148+(1-EXP(-LN(2)/2))/(LN(2)/2)*FM149*FP149*VLOOKUP('Données projet'!$B$16,Paramètres!$A$1:$I$88,3,0)*0.475*44/12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2.2000000000000002</v>
      </c>
      <c r="FZ149" s="13">
        <f>IF('Données projet'!$A$244&gt;35,FZ148+FY149-GH148,IF(A149&lt;'Données projet'!$A$244,$FW$205^A149,IF(A149='Données projet'!$A$244,'Données projet'!$B$244,FZ148+FY149-GH148)))</f>
        <v>297.19999999999953</v>
      </c>
      <c r="GA149" s="18">
        <f>FZ149*VLOOKUP('Données projet'!$B$17,Paramètres!$A$1:$I$88,3,0)*VLOOKUP('Données projet'!$B$17,Paramètres!$A$1:$I$88,5,0)</f>
        <v>319.90607999999952</v>
      </c>
      <c r="GB149" s="14">
        <f t="shared" si="157"/>
        <v>75.333811446446475</v>
      </c>
      <c r="GC149" s="22">
        <f t="shared" si="133"/>
        <v>688.37614426922676</v>
      </c>
      <c r="GD149" s="62">
        <f t="shared" si="134"/>
        <v>981.70947760256013</v>
      </c>
      <c r="GE149" s="62">
        <f ca="1">AVERAGE(OFFSET($GD$3,0,0,'Données projet'!$E$17+1,1))-AVERAGE(OFFSET($H$3,0,0,'Données projet'!$E$17+1,1))</f>
        <v>503.69304261527651</v>
      </c>
      <c r="GF149" s="62">
        <f t="shared" si="158"/>
        <v>267.2998309535638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projet'!$B$17,Paramètres!$A$1:$I$88,3,0)*0.475*44/12</f>
        <v>0</v>
      </c>
      <c r="GM149" s="23">
        <f>EXP(-LN(2)/25)*GM148+(1-EXP(-LN(2)/25))/(LN(2)/25)*Calculateur!GH149*Calculateur!GJ149*VLOOKUP('Données projet'!$B$17,Paramètres!$A$1:$I$88,3,0)*0.475*44/12</f>
        <v>0</v>
      </c>
      <c r="GN149" s="23">
        <f>EXP(-LN(2)/2)*GN148+(1-EXP(-LN(2)/2))/(LN(2)/2)*GH149*GK149*VLOOKUP('Données projet'!$B$17,Paramètres!$A$1:$I$88,3,0)*0.475*44/12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3.4</v>
      </c>
      <c r="GU149" s="13">
        <f>IF('Données projet'!$A$270&gt;35,GU148+GT149-HC148,IF(A149&lt;'Données projet'!$A$270,$GR$205^A149,IF(A149='Données projet'!$A$270,'Données projet'!$B$270,GU148+GT149-HC148)))</f>
        <v>341.39999999999969</v>
      </c>
      <c r="GV149" s="18">
        <f>GU149*VLOOKUP('Données projet'!$B$18,Paramètres!$A$1:$I$88,3,0)*VLOOKUP('Données projet'!$B$18,Paramètres!$A$1:$I$88,5,0)</f>
        <v>356.83127999999971</v>
      </c>
      <c r="GW149" s="14">
        <f t="shared" si="159"/>
        <v>82.967556368664603</v>
      </c>
      <c r="GX149" s="22">
        <f t="shared" si="136"/>
        <v>765.9829733420903</v>
      </c>
      <c r="GY149" s="62">
        <f t="shared" si="137"/>
        <v>1059.3163066754237</v>
      </c>
      <c r="GZ149" s="62">
        <f ca="1">AVERAGE(OFFSET($GY$3,0,0,'Données projet'!$E$18+1,1))-AVERAGE(OFFSET($H$3,0,0,'Données projet'!$E$18+1,1))</f>
        <v>582.89879210197682</v>
      </c>
      <c r="HA149" s="62">
        <f t="shared" si="160"/>
        <v>314.72094983133326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projet'!$B$18,Paramètres!$A$1:$I$88,3,0)*0.475*44/12</f>
        <v>0</v>
      </c>
      <c r="HH149" s="23">
        <f>EXP(-LN(2)/25)*HH148+(1-EXP(-LN(2)/25))/(LN(2)/25)*Calculateur!HC149*Calculateur!HE149*VLOOKUP('Données projet'!$B$18,Paramètres!$A$1:$I$88,3,0)*0.475*44/12</f>
        <v>0</v>
      </c>
      <c r="HI149" s="23">
        <f>EXP(-LN(2)/2)*HI148+(1-EXP(-LN(2)/2))/(LN(2)/2)*HC149*HF149*VLOOKUP('Données projet'!$B$18,Paramètres!$A$1:$I$88,3,0)*0.475*44/12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projet'!$B$9,Paramètres!$A$1:$I$88,3,0)*VLOOKUP('Données projet'!$B$9,Paramètres!$A$1:$I$88,5,0)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399.92909819003523</v>
      </c>
      <c r="T150" s="62">
        <f t="shared" si="142"/>
        <v>163.7053537268381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3.4</v>
      </c>
      <c r="AI150" s="14">
        <f>IF('Données projet'!$A$62&gt;35,AI149+AH150-AQ149,IF(A150&lt;'Données projet'!$A$62,$AF$205^A150,IF(A150='Données projet'!$A$62,'Données projet'!$B$62,AI149+AH150-AQ149)))</f>
        <v>344.79999999999967</v>
      </c>
      <c r="AJ150" s="14">
        <f>AI150*VLOOKUP('Données projet'!$B$10,Paramètres!$A$1:$I$88,3,0)*VLOOKUP('Données projet'!$B$10,Paramètres!$A$1:$I$88,5,0)</f>
        <v>311.97503999999969</v>
      </c>
      <c r="AK150" s="14">
        <f t="shared" si="143"/>
        <v>73.681144552074542</v>
      </c>
      <c r="AL150" s="22">
        <f t="shared" si="112"/>
        <v>671.68452142819604</v>
      </c>
      <c r="AM150" s="62">
        <f t="shared" si="113"/>
        <v>965.01785476152941</v>
      </c>
      <c r="AN150" s="62">
        <f ca="1">AVERAGE(OFFSET($AM$3,0,0,'Données projet'!$E$10+1,1))-AVERAGE(OFFSET($H$3,0,0,'Données projet'!$E$10+1,1))</f>
        <v>510.56580450928806</v>
      </c>
      <c r="AO150" s="62">
        <f t="shared" si="144"/>
        <v>278.21741231699929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-5.1159076974727213E-13</v>
      </c>
      <c r="BE150" s="14">
        <f>BD150*VLOOKUP('Données projet'!$B$11,Paramètres!$A$1:$I$88,3,0)*VLOOKUP('Données projet'!$B$11,Paramètres!$A$1:$I$88,5,0)</f>
        <v>-4.8682977649150421E-13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525.51330555662139</v>
      </c>
      <c r="BJ150" s="62">
        <f t="shared" si="146"/>
        <v>357.72390083433635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1.7053025658242404E-13</v>
      </c>
      <c r="BZ150" s="14">
        <f>BY150*VLOOKUP('Données projet'!$B$12,Paramètres!$A$1:$I$88,3,0)*VLOOKUP('Données projet'!$B$12,Paramètres!$A$1:$I$88,5,0)</f>
        <v>1.0197709343628959E-13</v>
      </c>
      <c r="CA150" s="14">
        <f t="shared" si="147"/>
        <v>1.5284983994279675E-12</v>
      </c>
      <c r="CB150" s="22">
        <f t="shared" si="118"/>
        <v>2.839744816738581E-12</v>
      </c>
      <c r="CC150" s="62">
        <f t="shared" si="119"/>
        <v>293.33333333333616</v>
      </c>
      <c r="CD150" s="62">
        <f ca="1">AVERAGE(OFFSET($CC$3,0,0,'Données projet'!$E$12+1,1))-AVERAGE(OFFSET($H$3,0,0,'Données projet'!$E$12+1,1))</f>
        <v>227.46616726010473</v>
      </c>
      <c r="CE150" s="62">
        <f t="shared" si="148"/>
        <v>314.188568589113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11.859325587267756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3.4103324811947256E-14</v>
      </c>
      <c r="CN150" s="24">
        <f t="shared" si="120"/>
        <v>11.85932558726779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projet'!$B$13,Paramètres!$A$1:$I$88,3,0)*VLOOKUP('Données projet'!$B$13,Paramètres!$A$1:$I$88,5,0)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356.46794174556311</v>
      </c>
      <c r="CZ150" s="62">
        <f t="shared" si="150"/>
        <v>248.47107558211923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0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projet'!$B$14,Paramètres!$A$1:$I$88,3,0)*VLOOKUP('Données projet'!$B$14,Paramètres!$A$1:$I$88,5,0)</f>
        <v>6.3550942286383367E-14</v>
      </c>
      <c r="DQ150" s="14">
        <f t="shared" si="151"/>
        <v>1.0064464192543978E-12</v>
      </c>
      <c r="DR150" s="22">
        <f t="shared" si="124"/>
        <v>1.8635787380168604E-12</v>
      </c>
      <c r="DS150" s="62">
        <f t="shared" si="125"/>
        <v>293.33333333333519</v>
      </c>
      <c r="DT150" s="62">
        <f ca="1">AVERAGE(OFFSET($DS$3,0,0,'Données projet'!$E$14+1,1))-AVERAGE(OFFSET($H$3,0,0,'Données projet'!$E$14+1,1))</f>
        <v>397.04445188588369</v>
      </c>
      <c r="DU150" s="62">
        <f t="shared" si="152"/>
        <v>350.01856672839466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0.4945507196979062</v>
      </c>
      <c r="EB150" s="23">
        <f>EXP(-LN(2)/25)*EB149+(1-EXP(-LN(2)/25))/(LN(2)/25)*Calculateur!DW150*Calculateur!DY150*VLOOKUP('Données projet'!$B$14,Paramètres!$A$1:$I$88,3,0)*0.475*44/12</f>
        <v>0</v>
      </c>
      <c r="EC150" s="23">
        <f>EXP(-LN(2)/2)*EC149+(1-EXP(-LN(2)/2))/(LN(2)/2)*DW150*DZ150*VLOOKUP('Données projet'!$B$14,Paramètres!$A$1:$I$88,3,0)*0.475*44/12</f>
        <v>3.9749582001196027E-17</v>
      </c>
      <c r="ED150" s="24">
        <f t="shared" si="126"/>
        <v>0.49455071969790626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-1.9895196601282805E-13</v>
      </c>
      <c r="EK150" s="18">
        <f>EJ150*VLOOKUP('Données projet'!$B$15,Paramètres!$A$1:$I$88,3,0)*VLOOKUP('Données projet'!$B$15,Paramètres!$A$1:$I$88,5,0)</f>
        <v>-1.738044375088066E-13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202.5548390231225</v>
      </c>
      <c r="EP150" s="62">
        <f t="shared" si="154"/>
        <v>184.62184077734179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projet'!$B$15,Paramètres!$A$1:$I$88,3,0)*0.475*44/12</f>
        <v>0</v>
      </c>
      <c r="EW150" s="23">
        <f>EXP(-LN(2)/25)*EW149+(1-EXP(-LN(2)/25))/(LN(2)/25)*Calculateur!ER150*Calculateur!ET150*VLOOKUP('Données projet'!$B$15,Paramètres!$A$1:$I$88,3,0)*0.475*44/12</f>
        <v>0</v>
      </c>
      <c r="EX150" s="23">
        <f>EXP(-LN(2)/2)*EX149+(1-EXP(-LN(2)/2))/(LN(2)/2)*ER150*EU150*VLOOKUP('Données projet'!$B$15,Paramètres!$A$1:$I$88,3,0)*0.475*44/12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2.2000000000000002</v>
      </c>
      <c r="FE150" s="13">
        <f>IF('Données projet'!$A$218&gt;35,FE149+FD150-FM149,IF(A150&lt;'Données projet'!$A$218,$FB$205^A150,IF(A150='Données projet'!$A$218,'Données projet'!$B$218,FE149+FD150-FM149)))</f>
        <v>299.39999999999952</v>
      </c>
      <c r="FF150" s="18">
        <f>FE150*VLOOKUP('Données projet'!$B$16,Paramètres!$A$1:$I$88,3,0)*VLOOKUP('Données projet'!$B$16,Paramètres!$A$1:$I$88,5,0)</f>
        <v>289.57967999999954</v>
      </c>
      <c r="FG150" s="14">
        <f t="shared" si="155"/>
        <v>68.987489943980606</v>
      </c>
      <c r="FH150" s="22">
        <f t="shared" si="130"/>
        <v>624.50448765243209</v>
      </c>
      <c r="FI150" s="62">
        <f t="shared" si="131"/>
        <v>917.83782098576535</v>
      </c>
      <c r="FJ150" s="62">
        <f ca="1">AVERAGE(OFFSET($FI$3,0,0,'Données projet'!$E$16+1,1))-AVERAGE(OFFSET($H$3,0,0,'Données projet'!$E$16+1,1))</f>
        <v>456.96274622094955</v>
      </c>
      <c r="FK150" s="62">
        <f t="shared" si="156"/>
        <v>244.45149244446094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projet'!$B$16,Paramètres!$A$1:$I$88,3,0)*0.475*44/12</f>
        <v>0</v>
      </c>
      <c r="FR150" s="23">
        <f>EXP(-LN(2)/25)*FR149+(1-EXP(-LN(2)/25))/(LN(2)/25)*Calculateur!FM150*Calculateur!FO150*VLOOKUP('Données projet'!$B$16,Paramètres!$A$1:$I$88,3,0)*0.475*44/12</f>
        <v>0</v>
      </c>
      <c r="FS150" s="23">
        <f>EXP(-LN(2)/2)*FS149+(1-EXP(-LN(2)/2))/(LN(2)/2)*FM150*FP150*VLOOKUP('Données projet'!$B$16,Paramètres!$A$1:$I$88,3,0)*0.475*44/12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2.2000000000000002</v>
      </c>
      <c r="FZ150" s="13">
        <f>IF('Données projet'!$A$244&gt;35,FZ149+FY150-GH149,IF(A150&lt;'Données projet'!$A$244,$FW$205^A150,IF(A150='Données projet'!$A$244,'Données projet'!$B$244,FZ149+FY150-GH149)))</f>
        <v>299.39999999999952</v>
      </c>
      <c r="GA150" s="18">
        <f>FZ150*VLOOKUP('Données projet'!$B$17,Paramètres!$A$1:$I$88,3,0)*VLOOKUP('Données projet'!$B$17,Paramètres!$A$1:$I$88,5,0)</f>
        <v>322.27415999999943</v>
      </c>
      <c r="GB150" s="14">
        <f t="shared" si="157"/>
        <v>75.826341679243669</v>
      </c>
      <c r="GC150" s="22">
        <f t="shared" si="133"/>
        <v>693.35837375801509</v>
      </c>
      <c r="GD150" s="62">
        <f t="shared" si="134"/>
        <v>986.69170709134846</v>
      </c>
      <c r="GE150" s="62">
        <f ca="1">AVERAGE(OFFSET($GD$3,0,0,'Données projet'!$E$17+1,1))-AVERAGE(OFFSET($H$3,0,0,'Données projet'!$E$17+1,1))</f>
        <v>503.69304261527651</v>
      </c>
      <c r="GF150" s="62">
        <f t="shared" si="158"/>
        <v>267.2998309535638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projet'!$B$17,Paramètres!$A$1:$I$88,3,0)*0.475*44/12</f>
        <v>0</v>
      </c>
      <c r="GM150" s="23">
        <f>EXP(-LN(2)/25)*GM149+(1-EXP(-LN(2)/25))/(LN(2)/25)*Calculateur!GH150*Calculateur!GJ150*VLOOKUP('Données projet'!$B$17,Paramètres!$A$1:$I$88,3,0)*0.475*44/12</f>
        <v>0</v>
      </c>
      <c r="GN150" s="23">
        <f>EXP(-LN(2)/2)*GN149+(1-EXP(-LN(2)/2))/(LN(2)/2)*GH150*GK150*VLOOKUP('Données projet'!$B$17,Paramètres!$A$1:$I$88,3,0)*0.475*44/12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3.4</v>
      </c>
      <c r="GU150" s="13">
        <f>IF('Données projet'!$A$270&gt;35,GU149+GT150-HC149,IF(A150&lt;'Données projet'!$A$270,$GR$205^A150,IF(A150='Données projet'!$A$270,'Données projet'!$B$270,GU149+GT150-HC149)))</f>
        <v>344.79999999999967</v>
      </c>
      <c r="GV150" s="18">
        <f>GU150*VLOOKUP('Données projet'!$B$18,Paramètres!$A$1:$I$88,3,0)*VLOOKUP('Données projet'!$B$18,Paramètres!$A$1:$I$88,5,0)</f>
        <v>360.38495999999969</v>
      </c>
      <c r="GW150" s="14">
        <f t="shared" si="159"/>
        <v>83.697229810236436</v>
      </c>
      <c r="GX150" s="22">
        <f t="shared" si="136"/>
        <v>773.44314725282777</v>
      </c>
      <c r="GY150" s="62">
        <f t="shared" si="137"/>
        <v>1066.7764805861611</v>
      </c>
      <c r="GZ150" s="62">
        <f ca="1">AVERAGE(OFFSET($GY$3,0,0,'Données projet'!$E$18+1,1))-AVERAGE(OFFSET($H$3,0,0,'Données projet'!$E$18+1,1))</f>
        <v>582.89879210197682</v>
      </c>
      <c r="HA150" s="62">
        <f t="shared" si="160"/>
        <v>314.72094983133326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projet'!$B$18,Paramètres!$A$1:$I$88,3,0)*0.475*44/12</f>
        <v>0</v>
      </c>
      <c r="HH150" s="23">
        <f>EXP(-LN(2)/25)*HH149+(1-EXP(-LN(2)/25))/(LN(2)/25)*Calculateur!HC150*Calculateur!HE150*VLOOKUP('Données projet'!$B$18,Paramètres!$A$1:$I$88,3,0)*0.475*44/12</f>
        <v>0</v>
      </c>
      <c r="HI150" s="23">
        <f>EXP(-LN(2)/2)*HI149+(1-EXP(-LN(2)/2))/(LN(2)/2)*HC150*HF150*VLOOKUP('Données projet'!$B$18,Paramètres!$A$1:$I$88,3,0)*0.475*44/12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projet'!$B$9,Paramètres!$A$1:$I$88,3,0)*VLOOKUP('Données projet'!$B$9,Paramètres!$A$1:$I$88,5,0)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399.92909819003523</v>
      </c>
      <c r="T151" s="62">
        <f t="shared" si="142"/>
        <v>163.7053537268381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3.4</v>
      </c>
      <c r="AI151" s="14">
        <f>IF('Données projet'!$A$62&gt;35,AI150+AH151-AQ150,IF(A151&lt;'Données projet'!$A$62,$AF$205^A151,IF(A151='Données projet'!$A$62,'Données projet'!$B$62,AI150+AH151-AQ150)))</f>
        <v>348.19999999999965</v>
      </c>
      <c r="AJ151" s="14">
        <f>AI151*VLOOKUP('Données projet'!$B$10,Paramètres!$A$1:$I$88,3,0)*VLOOKUP('Données projet'!$B$10,Paramètres!$A$1:$I$88,5,0)</f>
        <v>315.0513599999997</v>
      </c>
      <c r="AK151" s="14">
        <f t="shared" si="143"/>
        <v>74.322760763784061</v>
      </c>
      <c r="AL151" s="22">
        <f t="shared" si="112"/>
        <v>678.15992699692333</v>
      </c>
      <c r="AM151" s="62">
        <f t="shared" si="113"/>
        <v>971.49326033025659</v>
      </c>
      <c r="AN151" s="62">
        <f ca="1">AVERAGE(OFFSET($AM$3,0,0,'Données projet'!$E$10+1,1))-AVERAGE(OFFSET($H$3,0,0,'Données projet'!$E$10+1,1))</f>
        <v>510.56580450928806</v>
      </c>
      <c r="AO151" s="62">
        <f t="shared" si="144"/>
        <v>278.21741231699929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-5.1159076974727213E-13</v>
      </c>
      <c r="BE151" s="14">
        <f>BD151*VLOOKUP('Données projet'!$B$11,Paramètres!$A$1:$I$88,3,0)*VLOOKUP('Données projet'!$B$11,Paramètres!$A$1:$I$88,5,0)</f>
        <v>-4.8682977649150421E-13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525.51330555662139</v>
      </c>
      <c r="BJ151" s="62">
        <f t="shared" si="146"/>
        <v>357.72390083433635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1.7053025658242404E-13</v>
      </c>
      <c r="BZ151" s="14">
        <f>BY151*VLOOKUP('Données projet'!$B$12,Paramètres!$A$1:$I$88,3,0)*VLOOKUP('Données projet'!$B$12,Paramètres!$A$1:$I$88,5,0)</f>
        <v>1.0197709343628959E-13</v>
      </c>
      <c r="CA151" s="14">
        <f t="shared" si="147"/>
        <v>1.5284983994279675E-12</v>
      </c>
      <c r="CB151" s="22">
        <f t="shared" si="118"/>
        <v>2.839744816738581E-12</v>
      </c>
      <c r="CC151" s="62">
        <f t="shared" si="119"/>
        <v>293.33333333333616</v>
      </c>
      <c r="CD151" s="62">
        <f ca="1">AVERAGE(OFFSET($CC$3,0,0,'Données projet'!$E$12+1,1))-AVERAGE(OFFSET($H$3,0,0,'Données projet'!$E$12+1,1))</f>
        <v>227.46616726010473</v>
      </c>
      <c r="CE151" s="62">
        <f t="shared" si="148"/>
        <v>314.188568589113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11.626771445975798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2.4114692235535346E-14</v>
      </c>
      <c r="CN151" s="24">
        <f t="shared" si="120"/>
        <v>11.626771445975823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projet'!$B$13,Paramètres!$A$1:$I$88,3,0)*VLOOKUP('Données projet'!$B$13,Paramètres!$A$1:$I$88,5,0)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356.46794174556311</v>
      </c>
      <c r="CZ151" s="62">
        <f t="shared" si="150"/>
        <v>248.47107558211923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0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projet'!$B$14,Paramètres!$A$1:$I$88,3,0)*VLOOKUP('Données projet'!$B$14,Paramètres!$A$1:$I$88,5,0)</f>
        <v>6.3550942286383367E-14</v>
      </c>
      <c r="DQ151" s="14">
        <f t="shared" si="151"/>
        <v>1.0064464192543978E-12</v>
      </c>
      <c r="DR151" s="22">
        <f t="shared" si="124"/>
        <v>1.8635787380168604E-12</v>
      </c>
      <c r="DS151" s="62">
        <f t="shared" si="125"/>
        <v>293.33333333333519</v>
      </c>
      <c r="DT151" s="62">
        <f ca="1">AVERAGE(OFFSET($DS$3,0,0,'Données projet'!$E$14+1,1))-AVERAGE(OFFSET($H$3,0,0,'Données projet'!$E$14+1,1))</f>
        <v>397.04445188588369</v>
      </c>
      <c r="DU151" s="62">
        <f t="shared" si="152"/>
        <v>350.01856672839466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0.48485288173078417</v>
      </c>
      <c r="EB151" s="23">
        <f>EXP(-LN(2)/25)*EB150+(1-EXP(-LN(2)/25))/(LN(2)/25)*Calculateur!DW151*Calculateur!DY151*VLOOKUP('Données projet'!$B$14,Paramètres!$A$1:$I$88,3,0)*0.475*44/12</f>
        <v>0</v>
      </c>
      <c r="EC151" s="23">
        <f>EXP(-LN(2)/2)*EC150+(1-EXP(-LN(2)/2))/(LN(2)/2)*DW151*DZ151*VLOOKUP('Données projet'!$B$14,Paramètres!$A$1:$I$88,3,0)*0.475*44/12</f>
        <v>2.8107198982376447E-17</v>
      </c>
      <c r="ED151" s="24">
        <f t="shared" si="126"/>
        <v>0.48485288173078422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-1.9895196601282805E-13</v>
      </c>
      <c r="EK151" s="18">
        <f>EJ151*VLOOKUP('Données projet'!$B$15,Paramètres!$A$1:$I$88,3,0)*VLOOKUP('Données projet'!$B$15,Paramètres!$A$1:$I$88,5,0)</f>
        <v>-1.738044375088066E-13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202.5548390231225</v>
      </c>
      <c r="EP151" s="62">
        <f t="shared" si="154"/>
        <v>184.62184077734179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projet'!$B$15,Paramètres!$A$1:$I$88,3,0)*0.475*44/12</f>
        <v>0</v>
      </c>
      <c r="EW151" s="23">
        <f>EXP(-LN(2)/25)*EW150+(1-EXP(-LN(2)/25))/(LN(2)/25)*Calculateur!ER151*Calculateur!ET151*VLOOKUP('Données projet'!$B$15,Paramètres!$A$1:$I$88,3,0)*0.475*44/12</f>
        <v>0</v>
      </c>
      <c r="EX151" s="23">
        <f>EXP(-LN(2)/2)*EX150+(1-EXP(-LN(2)/2))/(LN(2)/2)*ER151*EU151*VLOOKUP('Données projet'!$B$15,Paramètres!$A$1:$I$88,3,0)*0.475*44/12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2.2000000000000002</v>
      </c>
      <c r="FE151" s="13">
        <f>IF('Données projet'!$A$218&gt;35,FE150+FD151-FM150,IF(A151&lt;'Données projet'!$A$218,$FB$205^A151,IF(A151='Données projet'!$A$218,'Données projet'!$B$218,FE150+FD151-FM150)))</f>
        <v>301.59999999999951</v>
      </c>
      <c r="FF151" s="18">
        <f>FE151*VLOOKUP('Données projet'!$B$16,Paramètres!$A$1:$I$88,3,0)*VLOOKUP('Données projet'!$B$16,Paramètres!$A$1:$I$88,5,0)</f>
        <v>291.70751999999953</v>
      </c>
      <c r="FG151" s="14">
        <f t="shared" si="155"/>
        <v>69.435215282847196</v>
      </c>
      <c r="FH151" s="22">
        <f t="shared" si="130"/>
        <v>628.99026395095802</v>
      </c>
      <c r="FI151" s="62">
        <f t="shared" si="131"/>
        <v>922.32359728429128</v>
      </c>
      <c r="FJ151" s="62">
        <f ca="1">AVERAGE(OFFSET($FI$3,0,0,'Données projet'!$E$16+1,1))-AVERAGE(OFFSET($H$3,0,0,'Données projet'!$E$16+1,1))</f>
        <v>456.96274622094955</v>
      </c>
      <c r="FK151" s="62">
        <f t="shared" si="156"/>
        <v>244.45149244446094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projet'!$B$16,Paramètres!$A$1:$I$88,3,0)*0.475*44/12</f>
        <v>0</v>
      </c>
      <c r="FR151" s="23">
        <f>EXP(-LN(2)/25)*FR150+(1-EXP(-LN(2)/25))/(LN(2)/25)*Calculateur!FM151*Calculateur!FO151*VLOOKUP('Données projet'!$B$16,Paramètres!$A$1:$I$88,3,0)*0.475*44/12</f>
        <v>0</v>
      </c>
      <c r="FS151" s="23">
        <f>EXP(-LN(2)/2)*FS150+(1-EXP(-LN(2)/2))/(LN(2)/2)*FM151*FP151*VLOOKUP('Données projet'!$B$16,Paramètres!$A$1:$I$88,3,0)*0.475*44/12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2.2000000000000002</v>
      </c>
      <c r="FZ151" s="13">
        <f>IF('Données projet'!$A$244&gt;35,FZ150+FY151-GH150,IF(A151&lt;'Données projet'!$A$244,$FW$205^A151,IF(A151='Données projet'!$A$244,'Données projet'!$B$244,FZ150+FY151-GH150)))</f>
        <v>301.59999999999951</v>
      </c>
      <c r="GA151" s="18">
        <f>FZ151*VLOOKUP('Données projet'!$B$17,Paramètres!$A$1:$I$88,3,0)*VLOOKUP('Données projet'!$B$17,Paramètres!$A$1:$I$88,5,0)</f>
        <v>324.64223999999945</v>
      </c>
      <c r="GB151" s="14">
        <f t="shared" si="157"/>
        <v>76.318450821798734</v>
      </c>
      <c r="GC151" s="22">
        <f t="shared" si="133"/>
        <v>698.33986984796502</v>
      </c>
      <c r="GD151" s="62">
        <f t="shared" si="134"/>
        <v>991.67320318129828</v>
      </c>
      <c r="GE151" s="62">
        <f ca="1">AVERAGE(OFFSET($GD$3,0,0,'Données projet'!$E$17+1,1))-AVERAGE(OFFSET($H$3,0,0,'Données projet'!$E$17+1,1))</f>
        <v>503.69304261527651</v>
      </c>
      <c r="GF151" s="62">
        <f t="shared" si="158"/>
        <v>267.2998309535638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projet'!$B$17,Paramètres!$A$1:$I$88,3,0)*0.475*44/12</f>
        <v>0</v>
      </c>
      <c r="GM151" s="23">
        <f>EXP(-LN(2)/25)*GM150+(1-EXP(-LN(2)/25))/(LN(2)/25)*Calculateur!GH151*Calculateur!GJ151*VLOOKUP('Données projet'!$B$17,Paramètres!$A$1:$I$88,3,0)*0.475*44/12</f>
        <v>0</v>
      </c>
      <c r="GN151" s="23">
        <f>EXP(-LN(2)/2)*GN150+(1-EXP(-LN(2)/2))/(LN(2)/2)*GH151*GK151*VLOOKUP('Données projet'!$B$17,Paramètres!$A$1:$I$88,3,0)*0.475*44/12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3.4</v>
      </c>
      <c r="GU151" s="13">
        <f>IF('Données projet'!$A$270&gt;35,GU150+GT151-HC150,IF(A151&lt;'Données projet'!$A$270,$GR$205^A151,IF(A151='Données projet'!$A$270,'Données projet'!$B$270,GU150+GT151-HC150)))</f>
        <v>348.19999999999965</v>
      </c>
      <c r="GV151" s="18">
        <f>GU151*VLOOKUP('Données projet'!$B$18,Paramètres!$A$1:$I$88,3,0)*VLOOKUP('Données projet'!$B$18,Paramètres!$A$1:$I$88,5,0)</f>
        <v>363.93863999999968</v>
      </c>
      <c r="GW151" s="14">
        <f t="shared" si="159"/>
        <v>84.426066201797539</v>
      </c>
      <c r="GX151" s="22">
        <f t="shared" si="136"/>
        <v>780.90186330146344</v>
      </c>
      <c r="GY151" s="62">
        <f t="shared" si="137"/>
        <v>1074.2351966347967</v>
      </c>
      <c r="GZ151" s="62">
        <f ca="1">AVERAGE(OFFSET($GY$3,0,0,'Données projet'!$E$18+1,1))-AVERAGE(OFFSET($H$3,0,0,'Données projet'!$E$18+1,1))</f>
        <v>582.89879210197682</v>
      </c>
      <c r="HA151" s="62">
        <f t="shared" si="160"/>
        <v>314.72094983133326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projet'!$B$18,Paramètres!$A$1:$I$88,3,0)*0.475*44/12</f>
        <v>0</v>
      </c>
      <c r="HH151" s="23">
        <f>EXP(-LN(2)/25)*HH150+(1-EXP(-LN(2)/25))/(LN(2)/25)*Calculateur!HC151*Calculateur!HE151*VLOOKUP('Données projet'!$B$18,Paramètres!$A$1:$I$88,3,0)*0.475*44/12</f>
        <v>0</v>
      </c>
      <c r="HI151" s="23">
        <f>EXP(-LN(2)/2)*HI150+(1-EXP(-LN(2)/2))/(LN(2)/2)*HC151*HF151*VLOOKUP('Données projet'!$B$18,Paramètres!$A$1:$I$88,3,0)*0.475*44/12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projet'!$B$9,Paramètres!$A$1:$I$88,3,0)*VLOOKUP('Données projet'!$B$9,Paramètres!$A$1:$I$88,5,0)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399.92909819003523</v>
      </c>
      <c r="T152" s="62">
        <f t="shared" si="142"/>
        <v>163.7053537268381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3.4</v>
      </c>
      <c r="AI152" s="14">
        <f>IF('Données projet'!$A$62&gt;35,AI151+AH152-AQ151,IF(A152&lt;'Données projet'!$A$62,$AF$205^A152,IF(A152='Données projet'!$A$62,'Données projet'!$B$62,AI151+AH152-AQ151)))</f>
        <v>351.59999999999962</v>
      </c>
      <c r="AJ152" s="14">
        <f>AI152*VLOOKUP('Données projet'!$B$10,Paramètres!$A$1:$I$88,3,0)*VLOOKUP('Données projet'!$B$10,Paramètres!$A$1:$I$88,5,0)</f>
        <v>318.12767999999966</v>
      </c>
      <c r="AK152" s="14">
        <f t="shared" si="143"/>
        <v>74.963648124122997</v>
      </c>
      <c r="AL152" s="22">
        <f t="shared" si="112"/>
        <v>684.63406314951362</v>
      </c>
      <c r="AM152" s="62">
        <f t="shared" si="113"/>
        <v>977.96739648284688</v>
      </c>
      <c r="AN152" s="62">
        <f ca="1">AVERAGE(OFFSET($AM$3,0,0,'Données projet'!$E$10+1,1))-AVERAGE(OFFSET($H$3,0,0,'Données projet'!$E$10+1,1))</f>
        <v>510.56580450928806</v>
      </c>
      <c r="AO152" s="62">
        <f t="shared" si="144"/>
        <v>278.21741231699929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-5.1159076974727213E-13</v>
      </c>
      <c r="BE152" s="14">
        <f>BD152*VLOOKUP('Données projet'!$B$11,Paramètres!$A$1:$I$88,3,0)*VLOOKUP('Données projet'!$B$11,Paramètres!$A$1:$I$88,5,0)</f>
        <v>-4.8682977649150421E-13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525.51330555662139</v>
      </c>
      <c r="BJ152" s="62">
        <f t="shared" si="146"/>
        <v>357.72390083433635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1.7053025658242404E-13</v>
      </c>
      <c r="BZ152" s="14">
        <f>BY152*VLOOKUP('Données projet'!$B$12,Paramètres!$A$1:$I$88,3,0)*VLOOKUP('Données projet'!$B$12,Paramètres!$A$1:$I$88,5,0)</f>
        <v>1.0197709343628959E-13</v>
      </c>
      <c r="CA152" s="14">
        <f t="shared" si="147"/>
        <v>1.5284983994279675E-12</v>
      </c>
      <c r="CB152" s="22">
        <f t="shared" si="118"/>
        <v>2.839744816738581E-12</v>
      </c>
      <c r="CC152" s="62">
        <f t="shared" si="119"/>
        <v>293.33333333333616</v>
      </c>
      <c r="CD152" s="62">
        <f ca="1">AVERAGE(OFFSET($CC$3,0,0,'Données projet'!$E$12+1,1))-AVERAGE(OFFSET($H$3,0,0,'Données projet'!$E$12+1,1))</f>
        <v>227.46616726010473</v>
      </c>
      <c r="CE152" s="62">
        <f t="shared" si="148"/>
        <v>314.188568589113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11.398777549550555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1.7051662405973628E-14</v>
      </c>
      <c r="CN152" s="24">
        <f t="shared" si="120"/>
        <v>11.398777549550573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projet'!$B$13,Paramètres!$A$1:$I$88,3,0)*VLOOKUP('Données projet'!$B$13,Paramètres!$A$1:$I$88,5,0)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356.46794174556311</v>
      </c>
      <c r="CZ152" s="62">
        <f t="shared" si="150"/>
        <v>248.47107558211923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0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projet'!$B$14,Paramètres!$A$1:$I$88,3,0)*VLOOKUP('Données projet'!$B$14,Paramètres!$A$1:$I$88,5,0)</f>
        <v>6.3550942286383367E-14</v>
      </c>
      <c r="DQ152" s="14">
        <f t="shared" si="151"/>
        <v>1.0064464192543978E-12</v>
      </c>
      <c r="DR152" s="22">
        <f t="shared" si="124"/>
        <v>1.8635787380168604E-12</v>
      </c>
      <c r="DS152" s="62">
        <f t="shared" si="125"/>
        <v>293.33333333333519</v>
      </c>
      <c r="DT152" s="62">
        <f ca="1">AVERAGE(OFFSET($DS$3,0,0,'Données projet'!$E$14+1,1))-AVERAGE(OFFSET($H$3,0,0,'Données projet'!$E$14+1,1))</f>
        <v>397.04445188588369</v>
      </c>
      <c r="DU152" s="62">
        <f t="shared" si="152"/>
        <v>350.01856672839466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0.47534521245110034</v>
      </c>
      <c r="EB152" s="23">
        <f>EXP(-LN(2)/25)*EB151+(1-EXP(-LN(2)/25))/(LN(2)/25)*Calculateur!DW152*Calculateur!DY152*VLOOKUP('Données projet'!$B$14,Paramètres!$A$1:$I$88,3,0)*0.475*44/12</f>
        <v>0</v>
      </c>
      <c r="EC152" s="23">
        <f>EXP(-LN(2)/2)*EC151+(1-EXP(-LN(2)/2))/(LN(2)/2)*DW152*DZ152*VLOOKUP('Données projet'!$B$14,Paramètres!$A$1:$I$88,3,0)*0.475*44/12</f>
        <v>1.9874791000598013E-17</v>
      </c>
      <c r="ED152" s="24">
        <f t="shared" si="126"/>
        <v>0.47534521245110034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-1.9895196601282805E-13</v>
      </c>
      <c r="EK152" s="18">
        <f>EJ152*VLOOKUP('Données projet'!$B$15,Paramètres!$A$1:$I$88,3,0)*VLOOKUP('Données projet'!$B$15,Paramètres!$A$1:$I$88,5,0)</f>
        <v>-1.738044375088066E-13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202.5548390231225</v>
      </c>
      <c r="EP152" s="62">
        <f t="shared" si="154"/>
        <v>184.62184077734179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projet'!$B$15,Paramètres!$A$1:$I$88,3,0)*0.475*44/12</f>
        <v>0</v>
      </c>
      <c r="EW152" s="23">
        <f>EXP(-LN(2)/25)*EW151+(1-EXP(-LN(2)/25))/(LN(2)/25)*Calculateur!ER152*Calculateur!ET152*VLOOKUP('Données projet'!$B$15,Paramètres!$A$1:$I$88,3,0)*0.475*44/12</f>
        <v>0</v>
      </c>
      <c r="EX152" s="23">
        <f>EXP(-LN(2)/2)*EX151+(1-EXP(-LN(2)/2))/(LN(2)/2)*ER152*EU152*VLOOKUP('Données projet'!$B$15,Paramètres!$A$1:$I$88,3,0)*0.475*44/12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2.2000000000000002</v>
      </c>
      <c r="FE152" s="13">
        <f>IF('Données projet'!$A$218&gt;35,FE151+FD152-FM151,IF(A152&lt;'Données projet'!$A$218,$FB$205^A152,IF(A152='Données projet'!$A$218,'Données projet'!$B$218,FE151+FD152-FM151)))</f>
        <v>303.7999999999995</v>
      </c>
      <c r="FF152" s="18">
        <f>FE152*VLOOKUP('Données projet'!$B$16,Paramètres!$A$1:$I$88,3,0)*VLOOKUP('Données projet'!$B$16,Paramètres!$A$1:$I$88,5,0)</f>
        <v>293.83535999999953</v>
      </c>
      <c r="FG152" s="14">
        <f t="shared" si="155"/>
        <v>69.88256062861349</v>
      </c>
      <c r="FH152" s="22">
        <f t="shared" si="130"/>
        <v>633.47537842816757</v>
      </c>
      <c r="FI152" s="62">
        <f t="shared" si="131"/>
        <v>926.80871176150094</v>
      </c>
      <c r="FJ152" s="62">
        <f ca="1">AVERAGE(OFFSET($FI$3,0,0,'Données projet'!$E$16+1,1))-AVERAGE(OFFSET($H$3,0,0,'Données projet'!$E$16+1,1))</f>
        <v>456.96274622094955</v>
      </c>
      <c r="FK152" s="62">
        <f t="shared" si="156"/>
        <v>244.45149244446094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projet'!$B$16,Paramètres!$A$1:$I$88,3,0)*0.475*44/12</f>
        <v>0</v>
      </c>
      <c r="FR152" s="23">
        <f>EXP(-LN(2)/25)*FR151+(1-EXP(-LN(2)/25))/(LN(2)/25)*Calculateur!FM152*Calculateur!FO152*VLOOKUP('Données projet'!$B$16,Paramètres!$A$1:$I$88,3,0)*0.475*44/12</f>
        <v>0</v>
      </c>
      <c r="FS152" s="23">
        <f>EXP(-LN(2)/2)*FS151+(1-EXP(-LN(2)/2))/(LN(2)/2)*FM152*FP152*VLOOKUP('Données projet'!$B$16,Paramètres!$A$1:$I$88,3,0)*0.475*44/12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2.2000000000000002</v>
      </c>
      <c r="FZ152" s="13">
        <f>IF('Données projet'!$A$244&gt;35,FZ151+FY152-GH151,IF(A152&lt;'Données projet'!$A$244,$FW$205^A152,IF(A152='Données projet'!$A$244,'Données projet'!$B$244,FZ151+FY152-GH151)))</f>
        <v>303.7999999999995</v>
      </c>
      <c r="GA152" s="18">
        <f>FZ152*VLOOKUP('Données projet'!$B$17,Paramètres!$A$1:$I$88,3,0)*VLOOKUP('Données projet'!$B$17,Paramètres!$A$1:$I$88,5,0)</f>
        <v>327.01031999999947</v>
      </c>
      <c r="GB152" s="14">
        <f t="shared" si="157"/>
        <v>76.810142301866179</v>
      </c>
      <c r="GC152" s="22">
        <f t="shared" si="133"/>
        <v>703.32063850908264</v>
      </c>
      <c r="GD152" s="62">
        <f t="shared" si="134"/>
        <v>996.65397184241601</v>
      </c>
      <c r="GE152" s="62">
        <f ca="1">AVERAGE(OFFSET($GD$3,0,0,'Données projet'!$E$17+1,1))-AVERAGE(OFFSET($H$3,0,0,'Données projet'!$E$17+1,1))</f>
        <v>503.69304261527651</v>
      </c>
      <c r="GF152" s="62">
        <f t="shared" si="158"/>
        <v>267.2998309535638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projet'!$B$17,Paramètres!$A$1:$I$88,3,0)*0.475*44/12</f>
        <v>0</v>
      </c>
      <c r="GM152" s="23">
        <f>EXP(-LN(2)/25)*GM151+(1-EXP(-LN(2)/25))/(LN(2)/25)*Calculateur!GH152*Calculateur!GJ152*VLOOKUP('Données projet'!$B$17,Paramètres!$A$1:$I$88,3,0)*0.475*44/12</f>
        <v>0</v>
      </c>
      <c r="GN152" s="23">
        <f>EXP(-LN(2)/2)*GN151+(1-EXP(-LN(2)/2))/(LN(2)/2)*GH152*GK152*VLOOKUP('Données projet'!$B$17,Paramètres!$A$1:$I$88,3,0)*0.475*44/12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3.4</v>
      </c>
      <c r="GU152" s="13">
        <f>IF('Données projet'!$A$270&gt;35,GU151+GT152-HC151,IF(A152&lt;'Données projet'!$A$270,$GR$205^A152,IF(A152='Données projet'!$A$270,'Données projet'!$B$270,GU151+GT152-HC151)))</f>
        <v>351.59999999999962</v>
      </c>
      <c r="GV152" s="18">
        <f>GU152*VLOOKUP('Données projet'!$B$18,Paramètres!$A$1:$I$88,3,0)*VLOOKUP('Données projet'!$B$18,Paramètres!$A$1:$I$88,5,0)</f>
        <v>367.49231999999967</v>
      </c>
      <c r="GW152" s="14">
        <f t="shared" si="159"/>
        <v>85.154074663214132</v>
      </c>
      <c r="GX152" s="22">
        <f t="shared" si="136"/>
        <v>788.35913737176395</v>
      </c>
      <c r="GY152" s="62">
        <f t="shared" si="137"/>
        <v>1081.6924707050973</v>
      </c>
      <c r="GZ152" s="62">
        <f ca="1">AVERAGE(OFFSET($GY$3,0,0,'Données projet'!$E$18+1,1))-AVERAGE(OFFSET($H$3,0,0,'Données projet'!$E$18+1,1))</f>
        <v>582.89879210197682</v>
      </c>
      <c r="HA152" s="62">
        <f t="shared" si="160"/>
        <v>314.72094983133326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projet'!$B$18,Paramètres!$A$1:$I$88,3,0)*0.475*44/12</f>
        <v>0</v>
      </c>
      <c r="HH152" s="23">
        <f>EXP(-LN(2)/25)*HH151+(1-EXP(-LN(2)/25))/(LN(2)/25)*Calculateur!HC152*Calculateur!HE152*VLOOKUP('Données projet'!$B$18,Paramètres!$A$1:$I$88,3,0)*0.475*44/12</f>
        <v>0</v>
      </c>
      <c r="HI152" s="23">
        <f>EXP(-LN(2)/2)*HI151+(1-EXP(-LN(2)/2))/(LN(2)/2)*HC152*HF152*VLOOKUP('Données projet'!$B$18,Paramètres!$A$1:$I$88,3,0)*0.475*44/12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projet'!$B$9,Paramètres!$A$1:$I$88,3,0)*VLOOKUP('Données projet'!$B$9,Paramètres!$A$1:$I$88,5,0)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399.92909819003523</v>
      </c>
      <c r="T153" s="62">
        <f t="shared" si="142"/>
        <v>163.7053537268381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355</v>
      </c>
      <c r="AG153" s="13">
        <f>VLOOKUP(A153,'Données projet'!$A$61:$I$81,9,0)</f>
        <v>3.4</v>
      </c>
      <c r="AH153" s="13">
        <f t="array" ref="AH153">INDEX(AG:AG,MIN(IF(ISNUMBER(AG153:AG349),ROW(AG153:AG349),"")))</f>
        <v>3.4</v>
      </c>
      <c r="AI153" s="14">
        <f>IF('Données projet'!$A$62&gt;35,AI152+AH153-AQ152,IF(A153&lt;'Données projet'!$A$62,$AF$205^A153,IF(A153='Données projet'!$A$62,'Données projet'!$B$62,AI152+AH153-AQ152)))</f>
        <v>354.9999999999996</v>
      </c>
      <c r="AJ153" s="14">
        <f>AI153*VLOOKUP('Données projet'!$B$10,Paramètres!$A$1:$I$88,3,0)*VLOOKUP('Données projet'!$B$10,Paramètres!$A$1:$I$88,5,0)</f>
        <v>321.20399999999961</v>
      </c>
      <c r="AK153" s="14">
        <f t="shared" si="143"/>
        <v>75.603814497354918</v>
      </c>
      <c r="AL153" s="22">
        <f t="shared" si="112"/>
        <v>691.10694358289231</v>
      </c>
      <c r="AM153" s="62">
        <f t="shared" si="113"/>
        <v>984.44027691622568</v>
      </c>
      <c r="AN153" s="62">
        <f ca="1">AVERAGE(OFFSET($AM$3,0,0,'Données projet'!$E$10+1,1))-AVERAGE(OFFSET($H$3,0,0,'Données projet'!$E$10+1,1))</f>
        <v>510.56580450928806</v>
      </c>
      <c r="AO153" s="62">
        <f t="shared" si="144"/>
        <v>278.21741231699929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355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-5.1159076974727213E-13</v>
      </c>
      <c r="BE153" s="14">
        <f>BD153*VLOOKUP('Données projet'!$B$11,Paramètres!$A$1:$I$88,3,0)*VLOOKUP('Données projet'!$B$11,Paramètres!$A$1:$I$88,5,0)</f>
        <v>-4.8682977649150421E-13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525.51330555662139</v>
      </c>
      <c r="BJ153" s="62">
        <f t="shared" si="146"/>
        <v>357.72390083433635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1.7053025658242404E-13</v>
      </c>
      <c r="BZ153" s="14">
        <f>BY153*VLOOKUP('Données projet'!$B$12,Paramètres!$A$1:$I$88,3,0)*VLOOKUP('Données projet'!$B$12,Paramètres!$A$1:$I$88,5,0)</f>
        <v>1.0197709343628959E-13</v>
      </c>
      <c r="CA153" s="14">
        <f t="shared" si="147"/>
        <v>1.5284983994279675E-12</v>
      </c>
      <c r="CB153" s="22">
        <f t="shared" si="118"/>
        <v>2.839744816738581E-12</v>
      </c>
      <c r="CC153" s="62">
        <f t="shared" si="119"/>
        <v>293.33333333333616</v>
      </c>
      <c r="CD153" s="62">
        <f ca="1">AVERAGE(OFFSET($CC$3,0,0,'Données projet'!$E$12+1,1))-AVERAGE(OFFSET($H$3,0,0,'Données projet'!$E$12+1,1))</f>
        <v>227.46616726010473</v>
      </c>
      <c r="CE153" s="62">
        <f t="shared" si="148"/>
        <v>314.188568589113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11.175254474371664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1.2057346117767673E-14</v>
      </c>
      <c r="CN153" s="24">
        <f t="shared" si="120"/>
        <v>11.175254474371677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projet'!$B$13,Paramètres!$A$1:$I$88,3,0)*VLOOKUP('Données projet'!$B$13,Paramètres!$A$1:$I$88,5,0)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356.46794174556311</v>
      </c>
      <c r="CZ153" s="62">
        <f t="shared" si="150"/>
        <v>248.47107558211923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0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projet'!$B$14,Paramètres!$A$1:$I$88,3,0)*VLOOKUP('Données projet'!$B$14,Paramètres!$A$1:$I$88,5,0)</f>
        <v>6.3550942286383367E-14</v>
      </c>
      <c r="DQ153" s="14">
        <f t="shared" si="151"/>
        <v>1.0064464192543978E-12</v>
      </c>
      <c r="DR153" s="22">
        <f t="shared" si="124"/>
        <v>1.8635787380168604E-12</v>
      </c>
      <c r="DS153" s="62">
        <f t="shared" si="125"/>
        <v>293.33333333333519</v>
      </c>
      <c r="DT153" s="62">
        <f ca="1">AVERAGE(OFFSET($DS$3,0,0,'Données projet'!$E$14+1,1))-AVERAGE(OFFSET($H$3,0,0,'Données projet'!$E$14+1,1))</f>
        <v>397.04445188588369</v>
      </c>
      <c r="DU153" s="62">
        <f t="shared" si="152"/>
        <v>350.01856672839466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0.46602398276688545</v>
      </c>
      <c r="EB153" s="23">
        <f>EXP(-LN(2)/25)*EB152+(1-EXP(-LN(2)/25))/(LN(2)/25)*Calculateur!DW153*Calculateur!DY153*VLOOKUP('Données projet'!$B$14,Paramètres!$A$1:$I$88,3,0)*0.475*44/12</f>
        <v>0</v>
      </c>
      <c r="EC153" s="23">
        <f>EXP(-LN(2)/2)*EC152+(1-EXP(-LN(2)/2))/(LN(2)/2)*DW153*DZ153*VLOOKUP('Données projet'!$B$14,Paramètres!$A$1:$I$88,3,0)*0.475*44/12</f>
        <v>1.4053599491188223E-17</v>
      </c>
      <c r="ED153" s="24">
        <f t="shared" si="126"/>
        <v>0.46602398276688545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-1.9895196601282805E-13</v>
      </c>
      <c r="EK153" s="18">
        <f>EJ153*VLOOKUP('Données projet'!$B$15,Paramètres!$A$1:$I$88,3,0)*VLOOKUP('Données projet'!$B$15,Paramètres!$A$1:$I$88,5,0)</f>
        <v>-1.738044375088066E-13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202.5548390231225</v>
      </c>
      <c r="EP153" s="62">
        <f t="shared" si="154"/>
        <v>184.62184077734179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projet'!$B$15,Paramètres!$A$1:$I$88,3,0)*0.475*44/12</f>
        <v>0</v>
      </c>
      <c r="EW153" s="23">
        <f>EXP(-LN(2)/25)*EW152+(1-EXP(-LN(2)/25))/(LN(2)/25)*Calculateur!ER153*Calculateur!ET153*VLOOKUP('Données projet'!$B$15,Paramètres!$A$1:$I$88,3,0)*0.475*44/12</f>
        <v>0</v>
      </c>
      <c r="EX153" s="23">
        <f>EXP(-LN(2)/2)*EX152+(1-EXP(-LN(2)/2))/(LN(2)/2)*ER153*EU153*VLOOKUP('Données projet'!$B$15,Paramètres!$A$1:$I$88,3,0)*0.475*44/12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306</v>
      </c>
      <c r="FC153" s="13">
        <f>VLOOKUP(A153,'Données projet'!$A$217:$I$237,9,0)</f>
        <v>2.2000000000000002</v>
      </c>
      <c r="FD153" s="13">
        <f t="array" ref="FD153">INDEX(FC:FC,MIN(IF(ISNUMBER(FC153:FC349),ROW(FC153:FC349),"")))</f>
        <v>2.2000000000000002</v>
      </c>
      <c r="FE153" s="13">
        <f>IF('Données projet'!$A$218&gt;35,FE152+FD153-FM152,IF(A153&lt;'Données projet'!$A$218,$FB$205^A153,IF(A153='Données projet'!$A$218,'Données projet'!$B$218,FE152+FD153-FM152)))</f>
        <v>305.99999999999949</v>
      </c>
      <c r="FF153" s="18">
        <f>FE153*VLOOKUP('Données projet'!$B$16,Paramètres!$A$1:$I$88,3,0)*VLOOKUP('Données projet'!$B$16,Paramètres!$A$1:$I$88,5,0)</f>
        <v>295.96319999999952</v>
      </c>
      <c r="FG153" s="14">
        <f t="shared" si="155"/>
        <v>70.329529052104135</v>
      </c>
      <c r="FH153" s="22">
        <f t="shared" si="130"/>
        <v>637.95983643241379</v>
      </c>
      <c r="FI153" s="62">
        <f t="shared" si="131"/>
        <v>931.29316976574705</v>
      </c>
      <c r="FJ153" s="62">
        <f ca="1">AVERAGE(OFFSET($FI$3,0,0,'Données projet'!$E$16+1,1))-AVERAGE(OFFSET($H$3,0,0,'Données projet'!$E$16+1,1))</f>
        <v>456.96274622094955</v>
      </c>
      <c r="FK153" s="62">
        <f t="shared" si="156"/>
        <v>244.45149244446094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306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projet'!$B$16,Paramètres!$A$1:$I$88,3,0)*0.475*44/12</f>
        <v>0</v>
      </c>
      <c r="FR153" s="23">
        <f>EXP(-LN(2)/25)*FR152+(1-EXP(-LN(2)/25))/(LN(2)/25)*Calculateur!FM153*Calculateur!FO153*VLOOKUP('Données projet'!$B$16,Paramètres!$A$1:$I$88,3,0)*0.475*44/12</f>
        <v>0</v>
      </c>
      <c r="FS153" s="23">
        <f>EXP(-LN(2)/2)*FS152+(1-EXP(-LN(2)/2))/(LN(2)/2)*FM153*FP153*VLOOKUP('Données projet'!$B$16,Paramètres!$A$1:$I$88,3,0)*0.475*44/12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306</v>
      </c>
      <c r="FX153" s="13">
        <f>VLOOKUP(A153,'Données projet'!$A$243:$I$263,9,0)</f>
        <v>2.2000000000000002</v>
      </c>
      <c r="FY153" s="13">
        <f t="array" ref="FY153">INDEX(FX:FX,MIN(IF(ISNUMBER(FX153:FX349),ROW(FX153:FX349),"")))</f>
        <v>2.2000000000000002</v>
      </c>
      <c r="FZ153" s="13">
        <f>IF('Données projet'!$A$244&gt;35,FZ152+FY153-GH152,IF(A153&lt;'Données projet'!$A$244,$FW$205^A153,IF(A153='Données projet'!$A$244,'Données projet'!$B$244,FZ152+FY153-GH152)))</f>
        <v>305.99999999999949</v>
      </c>
      <c r="GA153" s="18">
        <f>FZ153*VLOOKUP('Données projet'!$B$17,Paramètres!$A$1:$I$88,3,0)*VLOOKUP('Données projet'!$B$17,Paramètres!$A$1:$I$88,5,0)</f>
        <v>329.37839999999943</v>
      </c>
      <c r="GB153" s="14">
        <f t="shared" si="157"/>
        <v>77.301419494687025</v>
      </c>
      <c r="GC153" s="22">
        <f t="shared" si="133"/>
        <v>708.3006856199122</v>
      </c>
      <c r="GD153" s="62">
        <f t="shared" si="134"/>
        <v>1001.6340189532455</v>
      </c>
      <c r="GE153" s="62">
        <f ca="1">AVERAGE(OFFSET($GD$3,0,0,'Données projet'!$E$17+1,1))-AVERAGE(OFFSET($H$3,0,0,'Données projet'!$E$17+1,1))</f>
        <v>503.69304261527651</v>
      </c>
      <c r="GF153" s="62">
        <f t="shared" si="158"/>
        <v>267.2998309535638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306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projet'!$B$17,Paramètres!$A$1:$I$88,3,0)*0.475*44/12</f>
        <v>0</v>
      </c>
      <c r="GM153" s="23">
        <f>EXP(-LN(2)/25)*GM152+(1-EXP(-LN(2)/25))/(LN(2)/25)*Calculateur!GH153*Calculateur!GJ153*VLOOKUP('Données projet'!$B$17,Paramètres!$A$1:$I$88,3,0)*0.475*44/12</f>
        <v>0</v>
      </c>
      <c r="GN153" s="23">
        <f>EXP(-LN(2)/2)*GN152+(1-EXP(-LN(2)/2))/(LN(2)/2)*GH153*GK153*VLOOKUP('Données projet'!$B$17,Paramètres!$A$1:$I$88,3,0)*0.475*44/12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>
        <f>VLOOKUP(A153,'Données projet'!$A$269:$I$289,2,0)</f>
        <v>355</v>
      </c>
      <c r="GS153" s="13">
        <f>VLOOKUP(A153,'Données projet'!$A$269:$I$289,9,0)</f>
        <v>3.4</v>
      </c>
      <c r="GT153" s="13">
        <f t="array" ref="GT153">INDEX(GS:GS,MIN(IF(ISNUMBER(GS153:GS349),ROW(GS153:GS349),"")))</f>
        <v>3.4</v>
      </c>
      <c r="GU153" s="13">
        <f>IF('Données projet'!$A$270&gt;35,GU152+GT153-HC152,IF(A153&lt;'Données projet'!$A$270,$GR$205^A153,IF(A153='Données projet'!$A$270,'Données projet'!$B$270,GU152+GT153-HC152)))</f>
        <v>354.9999999999996</v>
      </c>
      <c r="GV153" s="18">
        <f>GU153*VLOOKUP('Données projet'!$B$18,Paramètres!$A$1:$I$88,3,0)*VLOOKUP('Données projet'!$B$18,Paramètres!$A$1:$I$88,5,0)</f>
        <v>371.04599999999959</v>
      </c>
      <c r="GW153" s="14">
        <f t="shared" si="159"/>
        <v>85.881264127803647</v>
      </c>
      <c r="GX153" s="22">
        <f t="shared" si="136"/>
        <v>795.81498502259058</v>
      </c>
      <c r="GY153" s="62">
        <f t="shared" si="137"/>
        <v>1089.1483183559239</v>
      </c>
      <c r="GZ153" s="62">
        <f ca="1">AVERAGE(OFFSET($GY$3,0,0,'Données projet'!$E$18+1,1))-AVERAGE(OFFSET($H$3,0,0,'Données projet'!$E$18+1,1))</f>
        <v>582.89879210197682</v>
      </c>
      <c r="HA153" s="62">
        <f t="shared" si="160"/>
        <v>314.72094983133326</v>
      </c>
      <c r="HB153" s="16">
        <f>IF(ISNA(VLOOKUP(A153,'Données projet'!$A$269:$I$289,3,0)),0,VLOOKUP(A153,'Données projet'!$A$269:$I$289,3,0))</f>
        <v>13</v>
      </c>
      <c r="HC153" s="16">
        <f>IF(ISNA(VLOOKUP(A153,'Données projet'!$A$269:$I$289,4,0)),0,VLOOKUP(A153,'Données projet'!$A$269:$I$289,4,0))</f>
        <v>355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projet'!$B$18,Paramètres!$A$1:$I$88,3,0)*0.475*44/12</f>
        <v>0</v>
      </c>
      <c r="HH153" s="23">
        <f>EXP(-LN(2)/25)*HH152+(1-EXP(-LN(2)/25))/(LN(2)/25)*Calculateur!HC153*Calculateur!HE153*VLOOKUP('Données projet'!$B$18,Paramètres!$A$1:$I$88,3,0)*0.475*44/12</f>
        <v>0</v>
      </c>
      <c r="HI153" s="23">
        <f>EXP(-LN(2)/2)*HI152+(1-EXP(-LN(2)/2))/(LN(2)/2)*HC153*HF153*VLOOKUP('Données projet'!$B$18,Paramètres!$A$1:$I$88,3,0)*0.475*44/12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projet'!$B$9,Paramètres!$A$1:$I$88,3,0)*VLOOKUP('Données projet'!$B$9,Paramètres!$A$1:$I$88,5,0)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399.92909819003523</v>
      </c>
      <c r="T154" s="62">
        <f t="shared" si="142"/>
        <v>163.7053537268381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-3.979039320256561E-13</v>
      </c>
      <c r="AJ154" s="14">
        <f>AI154*VLOOKUP('Données projet'!$B$10,Paramètres!$A$1:$I$88,3,0)*VLOOKUP('Données projet'!$B$10,Paramètres!$A$1:$I$88,5,0)</f>
        <v>-3.6002347769681362E-13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510.56580450928806</v>
      </c>
      <c r="AO154" s="62">
        <f t="shared" si="144"/>
        <v>278.21741231699929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-5.1159076974727213E-13</v>
      </c>
      <c r="BE154" s="14">
        <f>BD154*VLOOKUP('Données projet'!$B$11,Paramètres!$A$1:$I$88,3,0)*VLOOKUP('Données projet'!$B$11,Paramètres!$A$1:$I$88,5,0)</f>
        <v>-4.8682977649150421E-13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525.51330555662139</v>
      </c>
      <c r="BJ154" s="62">
        <f t="shared" si="146"/>
        <v>357.72390083433635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1.7053025658242404E-13</v>
      </c>
      <c r="BZ154" s="14">
        <f>BY154*VLOOKUP('Données projet'!$B$12,Paramètres!$A$1:$I$88,3,0)*VLOOKUP('Données projet'!$B$12,Paramètres!$A$1:$I$88,5,0)</f>
        <v>1.0197709343628959E-13</v>
      </c>
      <c r="CA154" s="14">
        <f t="shared" ref="CA154:CA203" si="170">EXP(-1.0587+0.8836*LN(BZ154)+0.284)</f>
        <v>1.5284983994279675E-12</v>
      </c>
      <c r="CB154" s="22">
        <f t="shared" ref="CB154:CB203" si="171">(BZ154+CA154)*0.475*44/12</f>
        <v>2.839744816738581E-12</v>
      </c>
      <c r="CC154" s="62">
        <f t="shared" si="119"/>
        <v>293.33333333333616</v>
      </c>
      <c r="CD154" s="62">
        <f ca="1">AVERAGE(OFFSET($CC$3,0,0,'Données projet'!$E$12+1,1))-AVERAGE(OFFSET($H$3,0,0,'Données projet'!$E$12+1,1))</f>
        <v>227.46616726010473</v>
      </c>
      <c r="CE154" s="62">
        <f t="shared" si="148"/>
        <v>314.188568589113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10.956114550361418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8.5258312029868141E-15</v>
      </c>
      <c r="CN154" s="24">
        <f t="shared" ref="CN154:CN203" si="172">SUM(CK154:CM154)</f>
        <v>10.956114550361427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projet'!$B$13,Paramètres!$A$1:$I$88,3,0)*VLOOKUP('Données projet'!$B$13,Paramètres!$A$1:$I$88,5,0)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356.46794174556311</v>
      </c>
      <c r="CZ154" s="62">
        <f t="shared" si="150"/>
        <v>248.47107558211923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0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projet'!$B$14,Paramètres!$A$1:$I$88,3,0)*VLOOKUP('Données projet'!$B$14,Paramètres!$A$1:$I$88,5,0)</f>
        <v>6.3550942286383367E-14</v>
      </c>
      <c r="DQ154" s="14">
        <f t="shared" ref="DQ154:DQ203" si="176">EXP(-1.0587+0.8836*LN(DP154)+0.284)</f>
        <v>1.0064464192543978E-12</v>
      </c>
      <c r="DR154" s="22">
        <f t="shared" ref="DR154:DR203" si="177">(DP154+DQ154)*0.475*44/12</f>
        <v>1.8635787380168604E-12</v>
      </c>
      <c r="DS154" s="62">
        <f t="shared" si="125"/>
        <v>293.33333333333519</v>
      </c>
      <c r="DT154" s="62">
        <f ca="1">AVERAGE(OFFSET($DS$3,0,0,'Données projet'!$E$14+1,1))-AVERAGE(OFFSET($H$3,0,0,'Données projet'!$E$14+1,1))</f>
        <v>397.04445188588369</v>
      </c>
      <c r="DU154" s="62">
        <f t="shared" si="152"/>
        <v>350.01856672839466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0.45688553671138932</v>
      </c>
      <c r="EB154" s="23">
        <f>EXP(-LN(2)/25)*EB153+(1-EXP(-LN(2)/25))/(LN(2)/25)*Calculateur!DW154*Calculateur!DY154*VLOOKUP('Données projet'!$B$14,Paramètres!$A$1:$I$88,3,0)*0.475*44/12</f>
        <v>0</v>
      </c>
      <c r="EC154" s="23">
        <f>EXP(-LN(2)/2)*EC153+(1-EXP(-LN(2)/2))/(LN(2)/2)*DW154*DZ154*VLOOKUP('Données projet'!$B$14,Paramètres!$A$1:$I$88,3,0)*0.475*44/12</f>
        <v>9.9373955002990067E-18</v>
      </c>
      <c r="ED154" s="24">
        <f t="shared" ref="ED154:ED203" si="178">SUM(EA154:EC154)</f>
        <v>0.45688553671138932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-1.9895196601282805E-13</v>
      </c>
      <c r="EK154" s="18">
        <f>EJ154*VLOOKUP('Données projet'!$B$15,Paramètres!$A$1:$I$88,3,0)*VLOOKUP('Données projet'!$B$15,Paramètres!$A$1:$I$88,5,0)</f>
        <v>-1.738044375088066E-13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202.5548390231225</v>
      </c>
      <c r="EP154" s="62">
        <f t="shared" si="154"/>
        <v>184.62184077734179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projet'!$B$15,Paramètres!$A$1:$I$88,3,0)*0.475*44/12</f>
        <v>0</v>
      </c>
      <c r="EW154" s="23">
        <f>EXP(-LN(2)/25)*EW153+(1-EXP(-LN(2)/25))/(LN(2)/25)*Calculateur!ER154*Calculateur!ET154*VLOOKUP('Données projet'!$B$15,Paramètres!$A$1:$I$88,3,0)*0.475*44/12</f>
        <v>0</v>
      </c>
      <c r="EX154" s="23">
        <f>EXP(-LN(2)/2)*EX153+(1-EXP(-LN(2)/2))/(LN(2)/2)*ER154*EU154*VLOOKUP('Données projet'!$B$15,Paramètres!$A$1:$I$88,3,0)*0.475*44/12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-5.1159076974727213E-13</v>
      </c>
      <c r="FF154" s="18">
        <f>FE154*VLOOKUP('Données projet'!$B$16,Paramètres!$A$1:$I$88,3,0)*VLOOKUP('Données projet'!$B$16,Paramètres!$A$1:$I$88,5,0)</f>
        <v>-4.9481059249956164E-13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456.96274622094955</v>
      </c>
      <c r="FK154" s="62">
        <f t="shared" si="156"/>
        <v>244.45149244446094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projet'!$B$16,Paramètres!$A$1:$I$88,3,0)*0.475*44/12</f>
        <v>0</v>
      </c>
      <c r="FR154" s="23">
        <f>EXP(-LN(2)/25)*FR153+(1-EXP(-LN(2)/25))/(LN(2)/25)*Calculateur!FM154*Calculateur!FO154*VLOOKUP('Données projet'!$B$16,Paramètres!$A$1:$I$88,3,0)*0.475*44/12</f>
        <v>0</v>
      </c>
      <c r="FS154" s="23">
        <f>EXP(-LN(2)/2)*FS153+(1-EXP(-LN(2)/2))/(LN(2)/2)*FM154*FP154*VLOOKUP('Données projet'!$B$16,Paramètres!$A$1:$I$88,3,0)*0.475*44/12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-5.1159076974727213E-13</v>
      </c>
      <c r="GA154" s="18">
        <f>FZ154*VLOOKUP('Données projet'!$B$17,Paramètres!$A$1:$I$88,3,0)*VLOOKUP('Données projet'!$B$17,Paramètres!$A$1:$I$88,5,0)</f>
        <v>-5.5067630455596371E-13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503.69304261527651</v>
      </c>
      <c r="GF154" s="62">
        <f t="shared" si="158"/>
        <v>267.2998309535638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projet'!$B$17,Paramètres!$A$1:$I$88,3,0)*0.475*44/12</f>
        <v>0</v>
      </c>
      <c r="GM154" s="23">
        <f>EXP(-LN(2)/25)*GM153+(1-EXP(-LN(2)/25))/(LN(2)/25)*Calculateur!GH154*Calculateur!GJ154*VLOOKUP('Données projet'!$B$17,Paramètres!$A$1:$I$88,3,0)*0.475*44/12</f>
        <v>0</v>
      </c>
      <c r="GN154" s="23">
        <f>EXP(-LN(2)/2)*GN153+(1-EXP(-LN(2)/2))/(LN(2)/2)*GH154*GK154*VLOOKUP('Données projet'!$B$17,Paramètres!$A$1:$I$88,3,0)*0.475*44/12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-3.979039320256561E-13</v>
      </c>
      <c r="GV154" s="18">
        <f>GU154*VLOOKUP('Données projet'!$B$18,Paramètres!$A$1:$I$88,3,0)*VLOOKUP('Données projet'!$B$18,Paramètres!$A$1:$I$88,5,0)</f>
        <v>-4.158891897532158E-13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582.89879210197682</v>
      </c>
      <c r="HA154" s="62">
        <f t="shared" si="160"/>
        <v>314.72094983133326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projet'!$B$18,Paramètres!$A$1:$I$88,3,0)*0.475*44/12</f>
        <v>0</v>
      </c>
      <c r="HH154" s="23">
        <f>EXP(-LN(2)/25)*HH153+(1-EXP(-LN(2)/25))/(LN(2)/25)*Calculateur!HC154*Calculateur!HE154*VLOOKUP('Données projet'!$B$18,Paramètres!$A$1:$I$88,3,0)*0.475*44/12</f>
        <v>0</v>
      </c>
      <c r="HI154" s="23">
        <f>EXP(-LN(2)/2)*HI153+(1-EXP(-LN(2)/2))/(LN(2)/2)*HC154*HF154*VLOOKUP('Données projet'!$B$18,Paramètres!$A$1:$I$88,3,0)*0.475*44/12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projet'!$B$9,Paramètres!$A$1:$I$88,3,0)*VLOOKUP('Données projet'!$B$9,Paramètres!$A$1:$I$88,5,0)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399.92909819003523</v>
      </c>
      <c r="T155" s="62">
        <f t="shared" si="142"/>
        <v>163.7053537268381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-3.979039320256561E-13</v>
      </c>
      <c r="AJ155" s="14">
        <f>AI155*VLOOKUP('Données projet'!$B$10,Paramètres!$A$1:$I$88,3,0)*VLOOKUP('Données projet'!$B$10,Paramètres!$A$1:$I$88,5,0)</f>
        <v>-3.6002347769681362E-13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510.56580450928806</v>
      </c>
      <c r="AO155" s="62">
        <f t="shared" si="144"/>
        <v>278.21741231699929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-5.1159076974727213E-13</v>
      </c>
      <c r="BE155" s="14">
        <f>BD155*VLOOKUP('Données projet'!$B$11,Paramètres!$A$1:$I$88,3,0)*VLOOKUP('Données projet'!$B$11,Paramètres!$A$1:$I$88,5,0)</f>
        <v>-4.8682977649150421E-13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525.51330555662139</v>
      </c>
      <c r="BJ155" s="62">
        <f t="shared" si="146"/>
        <v>357.72390083433635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1.7053025658242404E-13</v>
      </c>
      <c r="BZ155" s="14">
        <f>BY155*VLOOKUP('Données projet'!$B$12,Paramètres!$A$1:$I$88,3,0)*VLOOKUP('Données projet'!$B$12,Paramètres!$A$1:$I$88,5,0)</f>
        <v>1.0197709343628959E-13</v>
      </c>
      <c r="CA155" s="14">
        <f t="shared" si="170"/>
        <v>1.5284983994279675E-12</v>
      </c>
      <c r="CB155" s="22">
        <f t="shared" si="171"/>
        <v>2.839744816738581E-12</v>
      </c>
      <c r="CC155" s="62">
        <f t="shared" si="119"/>
        <v>293.33333333333616</v>
      </c>
      <c r="CD155" s="62">
        <f ca="1">AVERAGE(OFFSET($CC$3,0,0,'Données projet'!$E$12+1,1))-AVERAGE(OFFSET($H$3,0,0,'Données projet'!$E$12+1,1))</f>
        <v>227.46616726010473</v>
      </c>
      <c r="CE155" s="62">
        <f t="shared" si="148"/>
        <v>314.188568589113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10.741271826598858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6.0286730588838364E-15</v>
      </c>
      <c r="CN155" s="24">
        <f t="shared" si="172"/>
        <v>10.741271826598863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projet'!$B$13,Paramètres!$A$1:$I$88,3,0)*VLOOKUP('Données projet'!$B$13,Paramètres!$A$1:$I$88,5,0)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356.46794174556311</v>
      </c>
      <c r="CZ155" s="62">
        <f t="shared" si="150"/>
        <v>248.47107558211923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0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projet'!$B$14,Paramètres!$A$1:$I$88,3,0)*VLOOKUP('Données projet'!$B$14,Paramètres!$A$1:$I$88,5,0)</f>
        <v>6.3550942286383367E-14</v>
      </c>
      <c r="DQ155" s="14">
        <f t="shared" si="176"/>
        <v>1.0064464192543978E-12</v>
      </c>
      <c r="DR155" s="22">
        <f t="shared" si="177"/>
        <v>1.8635787380168604E-12</v>
      </c>
      <c r="DS155" s="62">
        <f t="shared" si="125"/>
        <v>293.33333333333519</v>
      </c>
      <c r="DT155" s="62">
        <f ca="1">AVERAGE(OFFSET($DS$3,0,0,'Données projet'!$E$14+1,1))-AVERAGE(OFFSET($H$3,0,0,'Données projet'!$E$14+1,1))</f>
        <v>397.04445188588369</v>
      </c>
      <c r="DU155" s="62">
        <f t="shared" si="152"/>
        <v>350.01856672839466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0.44792629000913975</v>
      </c>
      <c r="EB155" s="23">
        <f>EXP(-LN(2)/25)*EB154+(1-EXP(-LN(2)/25))/(LN(2)/25)*Calculateur!DW155*Calculateur!DY155*VLOOKUP('Données projet'!$B$14,Paramètres!$A$1:$I$88,3,0)*0.475*44/12</f>
        <v>0</v>
      </c>
      <c r="EC155" s="23">
        <f>EXP(-LN(2)/2)*EC154+(1-EXP(-LN(2)/2))/(LN(2)/2)*DW155*DZ155*VLOOKUP('Données projet'!$B$14,Paramètres!$A$1:$I$88,3,0)*0.475*44/12</f>
        <v>7.0267997455941117E-18</v>
      </c>
      <c r="ED155" s="24">
        <f t="shared" si="178"/>
        <v>0.44792629000913975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-1.9895196601282805E-13</v>
      </c>
      <c r="EK155" s="18">
        <f>EJ155*VLOOKUP('Données projet'!$B$15,Paramètres!$A$1:$I$88,3,0)*VLOOKUP('Données projet'!$B$15,Paramètres!$A$1:$I$88,5,0)</f>
        <v>-1.738044375088066E-13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202.5548390231225</v>
      </c>
      <c r="EP155" s="62">
        <f t="shared" si="154"/>
        <v>184.62184077734179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projet'!$B$15,Paramètres!$A$1:$I$88,3,0)*0.475*44/12</f>
        <v>0</v>
      </c>
      <c r="EW155" s="23">
        <f>EXP(-LN(2)/25)*EW154+(1-EXP(-LN(2)/25))/(LN(2)/25)*Calculateur!ER155*Calculateur!ET155*VLOOKUP('Données projet'!$B$15,Paramètres!$A$1:$I$88,3,0)*0.475*44/12</f>
        <v>0</v>
      </c>
      <c r="EX155" s="23">
        <f>EXP(-LN(2)/2)*EX154+(1-EXP(-LN(2)/2))/(LN(2)/2)*ER155*EU155*VLOOKUP('Données projet'!$B$15,Paramètres!$A$1:$I$88,3,0)*0.475*44/12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-5.1159076974727213E-13</v>
      </c>
      <c r="FF155" s="18">
        <f>FE155*VLOOKUP('Données projet'!$B$16,Paramètres!$A$1:$I$88,3,0)*VLOOKUP('Données projet'!$B$16,Paramètres!$A$1:$I$88,5,0)</f>
        <v>-4.9481059249956164E-13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456.96274622094955</v>
      </c>
      <c r="FK155" s="62">
        <f t="shared" si="156"/>
        <v>244.45149244446094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projet'!$B$16,Paramètres!$A$1:$I$88,3,0)*0.475*44/12</f>
        <v>0</v>
      </c>
      <c r="FR155" s="23">
        <f>EXP(-LN(2)/25)*FR154+(1-EXP(-LN(2)/25))/(LN(2)/25)*Calculateur!FM155*Calculateur!FO155*VLOOKUP('Données projet'!$B$16,Paramètres!$A$1:$I$88,3,0)*0.475*44/12</f>
        <v>0</v>
      </c>
      <c r="FS155" s="23">
        <f>EXP(-LN(2)/2)*FS154+(1-EXP(-LN(2)/2))/(LN(2)/2)*FM155*FP155*VLOOKUP('Données projet'!$B$16,Paramètres!$A$1:$I$88,3,0)*0.475*44/12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-5.1159076974727213E-13</v>
      </c>
      <c r="GA155" s="18">
        <f>FZ155*VLOOKUP('Données projet'!$B$17,Paramètres!$A$1:$I$88,3,0)*VLOOKUP('Données projet'!$B$17,Paramètres!$A$1:$I$88,5,0)</f>
        <v>-5.5067630455596371E-13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503.69304261527651</v>
      </c>
      <c r="GF155" s="62">
        <f t="shared" si="158"/>
        <v>267.2998309535638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projet'!$B$17,Paramètres!$A$1:$I$88,3,0)*0.475*44/12</f>
        <v>0</v>
      </c>
      <c r="GM155" s="23">
        <f>EXP(-LN(2)/25)*GM154+(1-EXP(-LN(2)/25))/(LN(2)/25)*Calculateur!GH155*Calculateur!GJ155*VLOOKUP('Données projet'!$B$17,Paramètres!$A$1:$I$88,3,0)*0.475*44/12</f>
        <v>0</v>
      </c>
      <c r="GN155" s="23">
        <f>EXP(-LN(2)/2)*GN154+(1-EXP(-LN(2)/2))/(LN(2)/2)*GH155*GK155*VLOOKUP('Données projet'!$B$17,Paramètres!$A$1:$I$88,3,0)*0.475*44/12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-3.979039320256561E-13</v>
      </c>
      <c r="GV155" s="18">
        <f>GU155*VLOOKUP('Données projet'!$B$18,Paramètres!$A$1:$I$88,3,0)*VLOOKUP('Données projet'!$B$18,Paramètres!$A$1:$I$88,5,0)</f>
        <v>-4.158891897532158E-13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582.89879210197682</v>
      </c>
      <c r="HA155" s="62">
        <f t="shared" si="160"/>
        <v>314.72094983133326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projet'!$B$18,Paramètres!$A$1:$I$88,3,0)*0.475*44/12</f>
        <v>0</v>
      </c>
      <c r="HH155" s="23">
        <f>EXP(-LN(2)/25)*HH154+(1-EXP(-LN(2)/25))/(LN(2)/25)*Calculateur!HC155*Calculateur!HE155*VLOOKUP('Données projet'!$B$18,Paramètres!$A$1:$I$88,3,0)*0.475*44/12</f>
        <v>0</v>
      </c>
      <c r="HI155" s="23">
        <f>EXP(-LN(2)/2)*HI154+(1-EXP(-LN(2)/2))/(LN(2)/2)*HC155*HF155*VLOOKUP('Données projet'!$B$18,Paramètres!$A$1:$I$88,3,0)*0.475*44/12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projet'!$B$9,Paramètres!$A$1:$I$88,3,0)*VLOOKUP('Données projet'!$B$9,Paramètres!$A$1:$I$88,5,0)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399.92909819003523</v>
      </c>
      <c r="T156" s="62">
        <f t="shared" si="142"/>
        <v>163.7053537268381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-3.979039320256561E-13</v>
      </c>
      <c r="AJ156" s="14">
        <f>AI156*VLOOKUP('Données projet'!$B$10,Paramètres!$A$1:$I$88,3,0)*VLOOKUP('Données projet'!$B$10,Paramètres!$A$1:$I$88,5,0)</f>
        <v>-3.6002347769681362E-13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510.56580450928806</v>
      </c>
      <c r="AO156" s="62">
        <f t="shared" si="144"/>
        <v>278.21741231699929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-5.1159076974727213E-13</v>
      </c>
      <c r="BE156" s="14">
        <f>BD156*VLOOKUP('Données projet'!$B$11,Paramètres!$A$1:$I$88,3,0)*VLOOKUP('Données projet'!$B$11,Paramètres!$A$1:$I$88,5,0)</f>
        <v>-4.8682977649150421E-13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525.51330555662139</v>
      </c>
      <c r="BJ156" s="62">
        <f t="shared" si="146"/>
        <v>357.72390083433635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1.7053025658242404E-13</v>
      </c>
      <c r="BZ156" s="14">
        <f>BY156*VLOOKUP('Données projet'!$B$12,Paramètres!$A$1:$I$88,3,0)*VLOOKUP('Données projet'!$B$12,Paramètres!$A$1:$I$88,5,0)</f>
        <v>1.0197709343628959E-13</v>
      </c>
      <c r="CA156" s="14">
        <f t="shared" si="170"/>
        <v>1.5284983994279675E-12</v>
      </c>
      <c r="CB156" s="22">
        <f t="shared" si="171"/>
        <v>2.839744816738581E-12</v>
      </c>
      <c r="CC156" s="62">
        <f t="shared" si="119"/>
        <v>293.33333333333616</v>
      </c>
      <c r="CD156" s="62">
        <f ca="1">AVERAGE(OFFSET($CC$3,0,0,'Données projet'!$E$12+1,1))-AVERAGE(OFFSET($H$3,0,0,'Données projet'!$E$12+1,1))</f>
        <v>227.46616726010473</v>
      </c>
      <c r="CE156" s="62">
        <f t="shared" si="148"/>
        <v>314.188568589113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10.530642037608159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4.262915601493407E-15</v>
      </c>
      <c r="CN156" s="24">
        <f t="shared" si="172"/>
        <v>10.530642037608162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projet'!$B$13,Paramètres!$A$1:$I$88,3,0)*VLOOKUP('Données projet'!$B$13,Paramètres!$A$1:$I$88,5,0)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356.46794174556311</v>
      </c>
      <c r="CZ156" s="62">
        <f t="shared" si="150"/>
        <v>248.47107558211923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0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projet'!$B$14,Paramètres!$A$1:$I$88,3,0)*VLOOKUP('Données projet'!$B$14,Paramètres!$A$1:$I$88,5,0)</f>
        <v>6.3550942286383367E-14</v>
      </c>
      <c r="DQ156" s="14">
        <f t="shared" si="176"/>
        <v>1.0064464192543978E-12</v>
      </c>
      <c r="DR156" s="22">
        <f t="shared" si="177"/>
        <v>1.8635787380168604E-12</v>
      </c>
      <c r="DS156" s="62">
        <f t="shared" si="125"/>
        <v>293.33333333333519</v>
      </c>
      <c r="DT156" s="62">
        <f ca="1">AVERAGE(OFFSET($DS$3,0,0,'Données projet'!$E$14+1,1))-AVERAGE(OFFSET($H$3,0,0,'Données projet'!$E$14+1,1))</f>
        <v>397.04445188588369</v>
      </c>
      <c r="DU156" s="62">
        <f t="shared" si="152"/>
        <v>350.01856672839466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0.43914272867012039</v>
      </c>
      <c r="EB156" s="23">
        <f>EXP(-LN(2)/25)*EB155+(1-EXP(-LN(2)/25))/(LN(2)/25)*Calculateur!DW156*Calculateur!DY156*VLOOKUP('Données projet'!$B$14,Paramètres!$A$1:$I$88,3,0)*0.475*44/12</f>
        <v>0</v>
      </c>
      <c r="EC156" s="23">
        <f>EXP(-LN(2)/2)*EC155+(1-EXP(-LN(2)/2))/(LN(2)/2)*DW156*DZ156*VLOOKUP('Données projet'!$B$14,Paramètres!$A$1:$I$88,3,0)*0.475*44/12</f>
        <v>4.9686977501495033E-18</v>
      </c>
      <c r="ED156" s="24">
        <f t="shared" si="178"/>
        <v>0.43914272867012039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-1.9895196601282805E-13</v>
      </c>
      <c r="EK156" s="18">
        <f>EJ156*VLOOKUP('Données projet'!$B$15,Paramètres!$A$1:$I$88,3,0)*VLOOKUP('Données projet'!$B$15,Paramètres!$A$1:$I$88,5,0)</f>
        <v>-1.738044375088066E-13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202.5548390231225</v>
      </c>
      <c r="EP156" s="62">
        <f t="shared" si="154"/>
        <v>184.62184077734179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projet'!$B$15,Paramètres!$A$1:$I$88,3,0)*0.475*44/12</f>
        <v>0</v>
      </c>
      <c r="EW156" s="23">
        <f>EXP(-LN(2)/25)*EW155+(1-EXP(-LN(2)/25))/(LN(2)/25)*Calculateur!ER156*Calculateur!ET156*VLOOKUP('Données projet'!$B$15,Paramètres!$A$1:$I$88,3,0)*0.475*44/12</f>
        <v>0</v>
      </c>
      <c r="EX156" s="23">
        <f>EXP(-LN(2)/2)*EX155+(1-EXP(-LN(2)/2))/(LN(2)/2)*ER156*EU156*VLOOKUP('Données projet'!$B$15,Paramètres!$A$1:$I$88,3,0)*0.475*44/12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-5.1159076974727213E-13</v>
      </c>
      <c r="FF156" s="18">
        <f>FE156*VLOOKUP('Données projet'!$B$16,Paramètres!$A$1:$I$88,3,0)*VLOOKUP('Données projet'!$B$16,Paramètres!$A$1:$I$88,5,0)</f>
        <v>-4.9481059249956164E-13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456.96274622094955</v>
      </c>
      <c r="FK156" s="62">
        <f t="shared" si="156"/>
        <v>244.45149244446094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projet'!$B$16,Paramètres!$A$1:$I$88,3,0)*0.475*44/12</f>
        <v>0</v>
      </c>
      <c r="FR156" s="23">
        <f>EXP(-LN(2)/25)*FR155+(1-EXP(-LN(2)/25))/(LN(2)/25)*Calculateur!FM156*Calculateur!FO156*VLOOKUP('Données projet'!$B$16,Paramètres!$A$1:$I$88,3,0)*0.475*44/12</f>
        <v>0</v>
      </c>
      <c r="FS156" s="23">
        <f>EXP(-LN(2)/2)*FS155+(1-EXP(-LN(2)/2))/(LN(2)/2)*FM156*FP156*VLOOKUP('Données projet'!$B$16,Paramètres!$A$1:$I$88,3,0)*0.475*44/12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-5.1159076974727213E-13</v>
      </c>
      <c r="GA156" s="18">
        <f>FZ156*VLOOKUP('Données projet'!$B$17,Paramètres!$A$1:$I$88,3,0)*VLOOKUP('Données projet'!$B$17,Paramètres!$A$1:$I$88,5,0)</f>
        <v>-5.5067630455596371E-13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503.69304261527651</v>
      </c>
      <c r="GF156" s="62">
        <f t="shared" si="158"/>
        <v>267.2998309535638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projet'!$B$17,Paramètres!$A$1:$I$88,3,0)*0.475*44/12</f>
        <v>0</v>
      </c>
      <c r="GM156" s="23">
        <f>EXP(-LN(2)/25)*GM155+(1-EXP(-LN(2)/25))/(LN(2)/25)*Calculateur!GH156*Calculateur!GJ156*VLOOKUP('Données projet'!$B$17,Paramètres!$A$1:$I$88,3,0)*0.475*44/12</f>
        <v>0</v>
      </c>
      <c r="GN156" s="23">
        <f>EXP(-LN(2)/2)*GN155+(1-EXP(-LN(2)/2))/(LN(2)/2)*GH156*GK156*VLOOKUP('Données projet'!$B$17,Paramètres!$A$1:$I$88,3,0)*0.475*44/12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-3.979039320256561E-13</v>
      </c>
      <c r="GV156" s="18">
        <f>GU156*VLOOKUP('Données projet'!$B$18,Paramètres!$A$1:$I$88,3,0)*VLOOKUP('Données projet'!$B$18,Paramètres!$A$1:$I$88,5,0)</f>
        <v>-4.158891897532158E-13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582.89879210197682</v>
      </c>
      <c r="HA156" s="62">
        <f t="shared" si="160"/>
        <v>314.72094983133326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projet'!$B$18,Paramètres!$A$1:$I$88,3,0)*0.475*44/12</f>
        <v>0</v>
      </c>
      <c r="HH156" s="23">
        <f>EXP(-LN(2)/25)*HH155+(1-EXP(-LN(2)/25))/(LN(2)/25)*Calculateur!HC156*Calculateur!HE156*VLOOKUP('Données projet'!$B$18,Paramètres!$A$1:$I$88,3,0)*0.475*44/12</f>
        <v>0</v>
      </c>
      <c r="HI156" s="23">
        <f>EXP(-LN(2)/2)*HI155+(1-EXP(-LN(2)/2))/(LN(2)/2)*HC156*HF156*VLOOKUP('Données projet'!$B$18,Paramètres!$A$1:$I$88,3,0)*0.475*44/12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projet'!$B$9,Paramètres!$A$1:$I$88,3,0)*VLOOKUP('Données projet'!$B$9,Paramètres!$A$1:$I$88,5,0)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399.92909819003523</v>
      </c>
      <c r="T157" s="62">
        <f t="shared" si="142"/>
        <v>163.7053537268381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-3.979039320256561E-13</v>
      </c>
      <c r="AJ157" s="14">
        <f>AI157*VLOOKUP('Données projet'!$B$10,Paramètres!$A$1:$I$88,3,0)*VLOOKUP('Données projet'!$B$10,Paramètres!$A$1:$I$88,5,0)</f>
        <v>-3.6002347769681362E-13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510.56580450928806</v>
      </c>
      <c r="AO157" s="62">
        <f t="shared" si="144"/>
        <v>278.21741231699929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-5.1159076974727213E-13</v>
      </c>
      <c r="BE157" s="14">
        <f>BD157*VLOOKUP('Données projet'!$B$11,Paramètres!$A$1:$I$88,3,0)*VLOOKUP('Données projet'!$B$11,Paramètres!$A$1:$I$88,5,0)</f>
        <v>-4.8682977649150421E-13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525.51330555662139</v>
      </c>
      <c r="BJ157" s="62">
        <f t="shared" si="146"/>
        <v>357.72390083433635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1.7053025658242404E-13</v>
      </c>
      <c r="BZ157" s="14">
        <f>BY157*VLOOKUP('Données projet'!$B$12,Paramètres!$A$1:$I$88,3,0)*VLOOKUP('Données projet'!$B$12,Paramètres!$A$1:$I$88,5,0)</f>
        <v>1.0197709343628959E-13</v>
      </c>
      <c r="CA157" s="14">
        <f t="shared" si="170"/>
        <v>1.5284983994279675E-12</v>
      </c>
      <c r="CB157" s="22">
        <f t="shared" si="171"/>
        <v>2.839744816738581E-12</v>
      </c>
      <c r="CC157" s="62">
        <f t="shared" si="119"/>
        <v>293.33333333333616</v>
      </c>
      <c r="CD157" s="62">
        <f ca="1">AVERAGE(OFFSET($CC$3,0,0,'Données projet'!$E$12+1,1))-AVERAGE(OFFSET($H$3,0,0,'Données projet'!$E$12+1,1))</f>
        <v>227.46616726010473</v>
      </c>
      <c r="CE157" s="62">
        <f t="shared" si="148"/>
        <v>314.188568589113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10.324142570308082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3.0143365294419182E-15</v>
      </c>
      <c r="CN157" s="24">
        <f t="shared" si="172"/>
        <v>10.324142570308085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projet'!$B$13,Paramètres!$A$1:$I$88,3,0)*VLOOKUP('Données projet'!$B$13,Paramètres!$A$1:$I$88,5,0)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356.46794174556311</v>
      </c>
      <c r="CZ157" s="62">
        <f t="shared" si="150"/>
        <v>248.47107558211923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0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projet'!$B$14,Paramètres!$A$1:$I$88,3,0)*VLOOKUP('Données projet'!$B$14,Paramètres!$A$1:$I$88,5,0)</f>
        <v>6.3550942286383367E-14</v>
      </c>
      <c r="DQ157" s="14">
        <f t="shared" si="176"/>
        <v>1.0064464192543978E-12</v>
      </c>
      <c r="DR157" s="22">
        <f t="shared" si="177"/>
        <v>1.8635787380168604E-12</v>
      </c>
      <c r="DS157" s="62">
        <f t="shared" si="125"/>
        <v>293.33333333333519</v>
      </c>
      <c r="DT157" s="62">
        <f ca="1">AVERAGE(OFFSET($DS$3,0,0,'Données projet'!$E$14+1,1))-AVERAGE(OFFSET($H$3,0,0,'Données projet'!$E$14+1,1))</f>
        <v>397.04445188588369</v>
      </c>
      <c r="DU157" s="62">
        <f t="shared" si="152"/>
        <v>350.01856672839466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0.43053140761151576</v>
      </c>
      <c r="EB157" s="23">
        <f>EXP(-LN(2)/25)*EB156+(1-EXP(-LN(2)/25))/(LN(2)/25)*Calculateur!DW157*Calculateur!DY157*VLOOKUP('Données projet'!$B$14,Paramètres!$A$1:$I$88,3,0)*0.475*44/12</f>
        <v>0</v>
      </c>
      <c r="EC157" s="23">
        <f>EXP(-LN(2)/2)*EC156+(1-EXP(-LN(2)/2))/(LN(2)/2)*DW157*DZ157*VLOOKUP('Données projet'!$B$14,Paramètres!$A$1:$I$88,3,0)*0.475*44/12</f>
        <v>3.5133998727970558E-18</v>
      </c>
      <c r="ED157" s="24">
        <f t="shared" si="178"/>
        <v>0.43053140761151576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-1.9895196601282805E-13</v>
      </c>
      <c r="EK157" s="18">
        <f>EJ157*VLOOKUP('Données projet'!$B$15,Paramètres!$A$1:$I$88,3,0)*VLOOKUP('Données projet'!$B$15,Paramètres!$A$1:$I$88,5,0)</f>
        <v>-1.738044375088066E-13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202.5548390231225</v>
      </c>
      <c r="EP157" s="62">
        <f t="shared" si="154"/>
        <v>184.62184077734179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projet'!$B$15,Paramètres!$A$1:$I$88,3,0)*0.475*44/12</f>
        <v>0</v>
      </c>
      <c r="EW157" s="23">
        <f>EXP(-LN(2)/25)*EW156+(1-EXP(-LN(2)/25))/(LN(2)/25)*Calculateur!ER157*Calculateur!ET157*VLOOKUP('Données projet'!$B$15,Paramètres!$A$1:$I$88,3,0)*0.475*44/12</f>
        <v>0</v>
      </c>
      <c r="EX157" s="23">
        <f>EXP(-LN(2)/2)*EX156+(1-EXP(-LN(2)/2))/(LN(2)/2)*ER157*EU157*VLOOKUP('Données projet'!$B$15,Paramètres!$A$1:$I$88,3,0)*0.475*44/12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-5.1159076974727213E-13</v>
      </c>
      <c r="FF157" s="18">
        <f>FE157*VLOOKUP('Données projet'!$B$16,Paramètres!$A$1:$I$88,3,0)*VLOOKUP('Données projet'!$B$16,Paramètres!$A$1:$I$88,5,0)</f>
        <v>-4.9481059249956164E-13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456.96274622094955</v>
      </c>
      <c r="FK157" s="62">
        <f t="shared" si="156"/>
        <v>244.45149244446094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projet'!$B$16,Paramètres!$A$1:$I$88,3,0)*0.475*44/12</f>
        <v>0</v>
      </c>
      <c r="FR157" s="23">
        <f>EXP(-LN(2)/25)*FR156+(1-EXP(-LN(2)/25))/(LN(2)/25)*Calculateur!FM157*Calculateur!FO157*VLOOKUP('Données projet'!$B$16,Paramètres!$A$1:$I$88,3,0)*0.475*44/12</f>
        <v>0</v>
      </c>
      <c r="FS157" s="23">
        <f>EXP(-LN(2)/2)*FS156+(1-EXP(-LN(2)/2))/(LN(2)/2)*FM157*FP157*VLOOKUP('Données projet'!$B$16,Paramètres!$A$1:$I$88,3,0)*0.475*44/12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-5.1159076974727213E-13</v>
      </c>
      <c r="GA157" s="18">
        <f>FZ157*VLOOKUP('Données projet'!$B$17,Paramètres!$A$1:$I$88,3,0)*VLOOKUP('Données projet'!$B$17,Paramètres!$A$1:$I$88,5,0)</f>
        <v>-5.5067630455596371E-13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503.69304261527651</v>
      </c>
      <c r="GF157" s="62">
        <f t="shared" si="158"/>
        <v>267.2998309535638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projet'!$B$17,Paramètres!$A$1:$I$88,3,0)*0.475*44/12</f>
        <v>0</v>
      </c>
      <c r="GM157" s="23">
        <f>EXP(-LN(2)/25)*GM156+(1-EXP(-LN(2)/25))/(LN(2)/25)*Calculateur!GH157*Calculateur!GJ157*VLOOKUP('Données projet'!$B$17,Paramètres!$A$1:$I$88,3,0)*0.475*44/12</f>
        <v>0</v>
      </c>
      <c r="GN157" s="23">
        <f>EXP(-LN(2)/2)*GN156+(1-EXP(-LN(2)/2))/(LN(2)/2)*GH157*GK157*VLOOKUP('Données projet'!$B$17,Paramètres!$A$1:$I$88,3,0)*0.475*44/12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-3.979039320256561E-13</v>
      </c>
      <c r="GV157" s="18">
        <f>GU157*VLOOKUP('Données projet'!$B$18,Paramètres!$A$1:$I$88,3,0)*VLOOKUP('Données projet'!$B$18,Paramètres!$A$1:$I$88,5,0)</f>
        <v>-4.158891897532158E-13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582.89879210197682</v>
      </c>
      <c r="HA157" s="62">
        <f t="shared" si="160"/>
        <v>314.72094983133326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projet'!$B$18,Paramètres!$A$1:$I$88,3,0)*0.475*44/12</f>
        <v>0</v>
      </c>
      <c r="HH157" s="23">
        <f>EXP(-LN(2)/25)*HH156+(1-EXP(-LN(2)/25))/(LN(2)/25)*Calculateur!HC157*Calculateur!HE157*VLOOKUP('Données projet'!$B$18,Paramètres!$A$1:$I$88,3,0)*0.475*44/12</f>
        <v>0</v>
      </c>
      <c r="HI157" s="23">
        <f>EXP(-LN(2)/2)*HI156+(1-EXP(-LN(2)/2))/(LN(2)/2)*HC157*HF157*VLOOKUP('Données projet'!$B$18,Paramètres!$A$1:$I$88,3,0)*0.475*44/12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projet'!$B$9,Paramètres!$A$1:$I$88,3,0)*VLOOKUP('Données projet'!$B$9,Paramètres!$A$1:$I$88,5,0)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399.92909819003523</v>
      </c>
      <c r="T158" s="62">
        <f t="shared" si="142"/>
        <v>163.7053537268381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-3.979039320256561E-13</v>
      </c>
      <c r="AJ158" s="14">
        <f>AI158*VLOOKUP('Données projet'!$B$10,Paramètres!$A$1:$I$88,3,0)*VLOOKUP('Données projet'!$B$10,Paramètres!$A$1:$I$88,5,0)</f>
        <v>-3.6002347769681362E-13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510.56580450928806</v>
      </c>
      <c r="AO158" s="62">
        <f t="shared" si="144"/>
        <v>278.21741231699929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-5.1159076974727213E-13</v>
      </c>
      <c r="BE158" s="14">
        <f>BD158*VLOOKUP('Données projet'!$B$11,Paramètres!$A$1:$I$88,3,0)*VLOOKUP('Données projet'!$B$11,Paramètres!$A$1:$I$88,5,0)</f>
        <v>-4.8682977649150421E-13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525.51330555662139</v>
      </c>
      <c r="BJ158" s="62">
        <f t="shared" si="146"/>
        <v>357.72390083433635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1.7053025658242404E-13</v>
      </c>
      <c r="BZ158" s="14">
        <f>BY158*VLOOKUP('Données projet'!$B$12,Paramètres!$A$1:$I$88,3,0)*VLOOKUP('Données projet'!$B$12,Paramètres!$A$1:$I$88,5,0)</f>
        <v>1.0197709343628959E-13</v>
      </c>
      <c r="CA158" s="14">
        <f t="shared" si="170"/>
        <v>1.5284983994279675E-12</v>
      </c>
      <c r="CB158" s="22">
        <f t="shared" si="171"/>
        <v>2.839744816738581E-12</v>
      </c>
      <c r="CC158" s="62">
        <f t="shared" si="119"/>
        <v>293.33333333333616</v>
      </c>
      <c r="CD158" s="62">
        <f ca="1">AVERAGE(OFFSET($CC$3,0,0,'Données projet'!$E$12+1,1))-AVERAGE(OFFSET($H$3,0,0,'Données projet'!$E$12+1,1))</f>
        <v>227.46616726010473</v>
      </c>
      <c r="CE158" s="62">
        <f t="shared" si="148"/>
        <v>314.188568589113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10.121692431609521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2.1314578007467035E-15</v>
      </c>
      <c r="CN158" s="24">
        <f t="shared" si="172"/>
        <v>10.121692431609523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projet'!$B$13,Paramètres!$A$1:$I$88,3,0)*VLOOKUP('Données projet'!$B$13,Paramètres!$A$1:$I$88,5,0)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356.46794174556311</v>
      </c>
      <c r="CZ158" s="62">
        <f t="shared" si="150"/>
        <v>248.47107558211923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0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projet'!$B$14,Paramètres!$A$1:$I$88,3,0)*VLOOKUP('Données projet'!$B$14,Paramètres!$A$1:$I$88,5,0)</f>
        <v>6.3550942286383367E-14</v>
      </c>
      <c r="DQ158" s="14">
        <f t="shared" si="176"/>
        <v>1.0064464192543978E-12</v>
      </c>
      <c r="DR158" s="22">
        <f t="shared" si="177"/>
        <v>1.8635787380168604E-12</v>
      </c>
      <c r="DS158" s="62">
        <f t="shared" si="125"/>
        <v>293.33333333333519</v>
      </c>
      <c r="DT158" s="62">
        <f ca="1">AVERAGE(OFFSET($DS$3,0,0,'Données projet'!$E$14+1,1))-AVERAGE(OFFSET($H$3,0,0,'Données projet'!$E$14+1,1))</f>
        <v>397.04445188588369</v>
      </c>
      <c r="DU158" s="62">
        <f t="shared" si="152"/>
        <v>350.01856672839466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0.42208894930648316</v>
      </c>
      <c r="EB158" s="23">
        <f>EXP(-LN(2)/25)*EB157+(1-EXP(-LN(2)/25))/(LN(2)/25)*Calculateur!DW158*Calculateur!DY158*VLOOKUP('Données projet'!$B$14,Paramètres!$A$1:$I$88,3,0)*0.475*44/12</f>
        <v>0</v>
      </c>
      <c r="EC158" s="23">
        <f>EXP(-LN(2)/2)*EC157+(1-EXP(-LN(2)/2))/(LN(2)/2)*DW158*DZ158*VLOOKUP('Données projet'!$B$14,Paramètres!$A$1:$I$88,3,0)*0.475*44/12</f>
        <v>2.4843488750747517E-18</v>
      </c>
      <c r="ED158" s="24">
        <f t="shared" si="178"/>
        <v>0.42208894930648316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-1.9895196601282805E-13</v>
      </c>
      <c r="EK158" s="18">
        <f>EJ158*VLOOKUP('Données projet'!$B$15,Paramètres!$A$1:$I$88,3,0)*VLOOKUP('Données projet'!$B$15,Paramètres!$A$1:$I$88,5,0)</f>
        <v>-1.738044375088066E-13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202.5548390231225</v>
      </c>
      <c r="EP158" s="62">
        <f t="shared" si="154"/>
        <v>184.62184077734179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projet'!$B$15,Paramètres!$A$1:$I$88,3,0)*0.475*44/12</f>
        <v>0</v>
      </c>
      <c r="EW158" s="23">
        <f>EXP(-LN(2)/25)*EW157+(1-EXP(-LN(2)/25))/(LN(2)/25)*Calculateur!ER158*Calculateur!ET158*VLOOKUP('Données projet'!$B$15,Paramètres!$A$1:$I$88,3,0)*0.475*44/12</f>
        <v>0</v>
      </c>
      <c r="EX158" s="23">
        <f>EXP(-LN(2)/2)*EX157+(1-EXP(-LN(2)/2))/(LN(2)/2)*ER158*EU158*VLOOKUP('Données projet'!$B$15,Paramètres!$A$1:$I$88,3,0)*0.475*44/12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-5.1159076974727213E-13</v>
      </c>
      <c r="FF158" s="18">
        <f>FE158*VLOOKUP('Données projet'!$B$16,Paramètres!$A$1:$I$88,3,0)*VLOOKUP('Données projet'!$B$16,Paramètres!$A$1:$I$88,5,0)</f>
        <v>-4.9481059249956164E-13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456.96274622094955</v>
      </c>
      <c r="FK158" s="62">
        <f t="shared" si="156"/>
        <v>244.45149244446094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projet'!$B$16,Paramètres!$A$1:$I$88,3,0)*0.475*44/12</f>
        <v>0</v>
      </c>
      <c r="FR158" s="23">
        <f>EXP(-LN(2)/25)*FR157+(1-EXP(-LN(2)/25))/(LN(2)/25)*Calculateur!FM158*Calculateur!FO158*VLOOKUP('Données projet'!$B$16,Paramètres!$A$1:$I$88,3,0)*0.475*44/12</f>
        <v>0</v>
      </c>
      <c r="FS158" s="23">
        <f>EXP(-LN(2)/2)*FS157+(1-EXP(-LN(2)/2))/(LN(2)/2)*FM158*FP158*VLOOKUP('Données projet'!$B$16,Paramètres!$A$1:$I$88,3,0)*0.475*44/12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-5.1159076974727213E-13</v>
      </c>
      <c r="GA158" s="18">
        <f>FZ158*VLOOKUP('Données projet'!$B$17,Paramètres!$A$1:$I$88,3,0)*VLOOKUP('Données projet'!$B$17,Paramètres!$A$1:$I$88,5,0)</f>
        <v>-5.5067630455596371E-13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503.69304261527651</v>
      </c>
      <c r="GF158" s="62">
        <f t="shared" si="158"/>
        <v>267.2998309535638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projet'!$B$17,Paramètres!$A$1:$I$88,3,0)*0.475*44/12</f>
        <v>0</v>
      </c>
      <c r="GM158" s="23">
        <f>EXP(-LN(2)/25)*GM157+(1-EXP(-LN(2)/25))/(LN(2)/25)*Calculateur!GH158*Calculateur!GJ158*VLOOKUP('Données projet'!$B$17,Paramètres!$A$1:$I$88,3,0)*0.475*44/12</f>
        <v>0</v>
      </c>
      <c r="GN158" s="23">
        <f>EXP(-LN(2)/2)*GN157+(1-EXP(-LN(2)/2))/(LN(2)/2)*GH158*GK158*VLOOKUP('Données projet'!$B$17,Paramètres!$A$1:$I$88,3,0)*0.475*44/12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-3.979039320256561E-13</v>
      </c>
      <c r="GV158" s="18">
        <f>GU158*VLOOKUP('Données projet'!$B$18,Paramètres!$A$1:$I$88,3,0)*VLOOKUP('Données projet'!$B$18,Paramètres!$A$1:$I$88,5,0)</f>
        <v>-4.158891897532158E-13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582.89879210197682</v>
      </c>
      <c r="HA158" s="62">
        <f t="shared" si="160"/>
        <v>314.72094983133326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projet'!$B$18,Paramètres!$A$1:$I$88,3,0)*0.475*44/12</f>
        <v>0</v>
      </c>
      <c r="HH158" s="23">
        <f>EXP(-LN(2)/25)*HH157+(1-EXP(-LN(2)/25))/(LN(2)/25)*Calculateur!HC158*Calculateur!HE158*VLOOKUP('Données projet'!$B$18,Paramètres!$A$1:$I$88,3,0)*0.475*44/12</f>
        <v>0</v>
      </c>
      <c r="HI158" s="23">
        <f>EXP(-LN(2)/2)*HI157+(1-EXP(-LN(2)/2))/(LN(2)/2)*HC158*HF158*VLOOKUP('Données projet'!$B$18,Paramètres!$A$1:$I$88,3,0)*0.475*44/12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projet'!$B$9,Paramètres!$A$1:$I$88,3,0)*VLOOKUP('Données projet'!$B$9,Paramètres!$A$1:$I$88,5,0)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399.92909819003523</v>
      </c>
      <c r="T159" s="62">
        <f t="shared" si="142"/>
        <v>163.7053537268381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-3.979039320256561E-13</v>
      </c>
      <c r="AJ159" s="14">
        <f>AI159*VLOOKUP('Données projet'!$B$10,Paramètres!$A$1:$I$88,3,0)*VLOOKUP('Données projet'!$B$10,Paramètres!$A$1:$I$88,5,0)</f>
        <v>-3.6002347769681362E-13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510.56580450928806</v>
      </c>
      <c r="AO159" s="62">
        <f t="shared" si="144"/>
        <v>278.21741231699929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-5.1159076974727213E-13</v>
      </c>
      <c r="BE159" s="14">
        <f>BD159*VLOOKUP('Données projet'!$B$11,Paramètres!$A$1:$I$88,3,0)*VLOOKUP('Données projet'!$B$11,Paramètres!$A$1:$I$88,5,0)</f>
        <v>-4.8682977649150421E-13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525.51330555662139</v>
      </c>
      <c r="BJ159" s="62">
        <f t="shared" si="146"/>
        <v>357.72390083433635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1.7053025658242404E-13</v>
      </c>
      <c r="BZ159" s="14">
        <f>BY159*VLOOKUP('Données projet'!$B$12,Paramètres!$A$1:$I$88,3,0)*VLOOKUP('Données projet'!$B$12,Paramètres!$A$1:$I$88,5,0)</f>
        <v>1.0197709343628959E-13</v>
      </c>
      <c r="CA159" s="14">
        <f t="shared" si="170"/>
        <v>1.5284983994279675E-12</v>
      </c>
      <c r="CB159" s="22">
        <f t="shared" si="171"/>
        <v>2.839744816738581E-12</v>
      </c>
      <c r="CC159" s="62">
        <f t="shared" si="119"/>
        <v>293.33333333333616</v>
      </c>
      <c r="CD159" s="62">
        <f ca="1">AVERAGE(OFFSET($CC$3,0,0,'Données projet'!$E$12+1,1))-AVERAGE(OFFSET($H$3,0,0,'Données projet'!$E$12+1,1))</f>
        <v>227.46616726010473</v>
      </c>
      <c r="CE159" s="62">
        <f t="shared" si="148"/>
        <v>314.188568589113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9.9232122166484462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1.5071682647209591E-15</v>
      </c>
      <c r="CN159" s="24">
        <f t="shared" si="172"/>
        <v>9.923212216648448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projet'!$B$13,Paramètres!$A$1:$I$88,3,0)*VLOOKUP('Données projet'!$B$13,Paramètres!$A$1:$I$88,5,0)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356.46794174556311</v>
      </c>
      <c r="CZ159" s="62">
        <f t="shared" si="150"/>
        <v>248.47107558211923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0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projet'!$B$14,Paramètres!$A$1:$I$88,3,0)*VLOOKUP('Données projet'!$B$14,Paramètres!$A$1:$I$88,5,0)</f>
        <v>6.3550942286383367E-14</v>
      </c>
      <c r="DQ159" s="14">
        <f t="shared" si="176"/>
        <v>1.0064464192543978E-12</v>
      </c>
      <c r="DR159" s="22">
        <f t="shared" si="177"/>
        <v>1.8635787380168604E-12</v>
      </c>
      <c r="DS159" s="62">
        <f t="shared" si="125"/>
        <v>293.33333333333519</v>
      </c>
      <c r="DT159" s="62">
        <f ca="1">AVERAGE(OFFSET($DS$3,0,0,'Données projet'!$E$14+1,1))-AVERAGE(OFFSET($H$3,0,0,'Données projet'!$E$14+1,1))</f>
        <v>397.04445188588369</v>
      </c>
      <c r="DU159" s="62">
        <f t="shared" si="152"/>
        <v>350.01856672839466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0.41381204245942116</v>
      </c>
      <c r="EB159" s="23">
        <f>EXP(-LN(2)/25)*EB158+(1-EXP(-LN(2)/25))/(LN(2)/25)*Calculateur!DW159*Calculateur!DY159*VLOOKUP('Données projet'!$B$14,Paramètres!$A$1:$I$88,3,0)*0.475*44/12</f>
        <v>0</v>
      </c>
      <c r="EC159" s="23">
        <f>EXP(-LN(2)/2)*EC158+(1-EXP(-LN(2)/2))/(LN(2)/2)*DW159*DZ159*VLOOKUP('Données projet'!$B$14,Paramètres!$A$1:$I$88,3,0)*0.475*44/12</f>
        <v>1.7566999363985279E-18</v>
      </c>
      <c r="ED159" s="24">
        <f t="shared" si="178"/>
        <v>0.41381204245942116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-1.9895196601282805E-13</v>
      </c>
      <c r="EK159" s="18">
        <f>EJ159*VLOOKUP('Données projet'!$B$15,Paramètres!$A$1:$I$88,3,0)*VLOOKUP('Données projet'!$B$15,Paramètres!$A$1:$I$88,5,0)</f>
        <v>-1.738044375088066E-13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202.5548390231225</v>
      </c>
      <c r="EP159" s="62">
        <f t="shared" si="154"/>
        <v>184.62184077734179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projet'!$B$15,Paramètres!$A$1:$I$88,3,0)*0.475*44/12</f>
        <v>0</v>
      </c>
      <c r="EW159" s="23">
        <f>EXP(-LN(2)/25)*EW158+(1-EXP(-LN(2)/25))/(LN(2)/25)*Calculateur!ER159*Calculateur!ET159*VLOOKUP('Données projet'!$B$15,Paramètres!$A$1:$I$88,3,0)*0.475*44/12</f>
        <v>0</v>
      </c>
      <c r="EX159" s="23">
        <f>EXP(-LN(2)/2)*EX158+(1-EXP(-LN(2)/2))/(LN(2)/2)*ER159*EU159*VLOOKUP('Données projet'!$B$15,Paramètres!$A$1:$I$88,3,0)*0.475*44/12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-5.1159076974727213E-13</v>
      </c>
      <c r="FF159" s="18">
        <f>FE159*VLOOKUP('Données projet'!$B$16,Paramètres!$A$1:$I$88,3,0)*VLOOKUP('Données projet'!$B$16,Paramètres!$A$1:$I$88,5,0)</f>
        <v>-4.9481059249956164E-13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456.96274622094955</v>
      </c>
      <c r="FK159" s="62">
        <f t="shared" si="156"/>
        <v>244.45149244446094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projet'!$B$16,Paramètres!$A$1:$I$88,3,0)*0.475*44/12</f>
        <v>0</v>
      </c>
      <c r="FR159" s="23">
        <f>EXP(-LN(2)/25)*FR158+(1-EXP(-LN(2)/25))/(LN(2)/25)*Calculateur!FM159*Calculateur!FO159*VLOOKUP('Données projet'!$B$16,Paramètres!$A$1:$I$88,3,0)*0.475*44/12</f>
        <v>0</v>
      </c>
      <c r="FS159" s="23">
        <f>EXP(-LN(2)/2)*FS158+(1-EXP(-LN(2)/2))/(LN(2)/2)*FM159*FP159*VLOOKUP('Données projet'!$B$16,Paramètres!$A$1:$I$88,3,0)*0.475*44/12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-5.1159076974727213E-13</v>
      </c>
      <c r="GA159" s="18">
        <f>FZ159*VLOOKUP('Données projet'!$B$17,Paramètres!$A$1:$I$88,3,0)*VLOOKUP('Données projet'!$B$17,Paramètres!$A$1:$I$88,5,0)</f>
        <v>-5.5067630455596371E-13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503.69304261527651</v>
      </c>
      <c r="GF159" s="62">
        <f t="shared" si="158"/>
        <v>267.2998309535638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projet'!$B$17,Paramètres!$A$1:$I$88,3,0)*0.475*44/12</f>
        <v>0</v>
      </c>
      <c r="GM159" s="23">
        <f>EXP(-LN(2)/25)*GM158+(1-EXP(-LN(2)/25))/(LN(2)/25)*Calculateur!GH159*Calculateur!GJ159*VLOOKUP('Données projet'!$B$17,Paramètres!$A$1:$I$88,3,0)*0.475*44/12</f>
        <v>0</v>
      </c>
      <c r="GN159" s="23">
        <f>EXP(-LN(2)/2)*GN158+(1-EXP(-LN(2)/2))/(LN(2)/2)*GH159*GK159*VLOOKUP('Données projet'!$B$17,Paramètres!$A$1:$I$88,3,0)*0.475*44/12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-3.979039320256561E-13</v>
      </c>
      <c r="GV159" s="18">
        <f>GU159*VLOOKUP('Données projet'!$B$18,Paramètres!$A$1:$I$88,3,0)*VLOOKUP('Données projet'!$B$18,Paramètres!$A$1:$I$88,5,0)</f>
        <v>-4.158891897532158E-13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582.89879210197682</v>
      </c>
      <c r="HA159" s="62">
        <f t="shared" si="160"/>
        <v>314.72094983133326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projet'!$B$18,Paramètres!$A$1:$I$88,3,0)*0.475*44/12</f>
        <v>0</v>
      </c>
      <c r="HH159" s="23">
        <f>EXP(-LN(2)/25)*HH158+(1-EXP(-LN(2)/25))/(LN(2)/25)*Calculateur!HC159*Calculateur!HE159*VLOOKUP('Données projet'!$B$18,Paramètres!$A$1:$I$88,3,0)*0.475*44/12</f>
        <v>0</v>
      </c>
      <c r="HI159" s="23">
        <f>EXP(-LN(2)/2)*HI158+(1-EXP(-LN(2)/2))/(LN(2)/2)*HC159*HF159*VLOOKUP('Données projet'!$B$18,Paramètres!$A$1:$I$88,3,0)*0.475*44/12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projet'!$B$9,Paramètres!$A$1:$I$88,3,0)*VLOOKUP('Données projet'!$B$9,Paramètres!$A$1:$I$88,5,0)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399.92909819003523</v>
      </c>
      <c r="T160" s="62">
        <f t="shared" si="142"/>
        <v>163.7053537268381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-3.979039320256561E-13</v>
      </c>
      <c r="AJ160" s="14">
        <f>AI160*VLOOKUP('Données projet'!$B$10,Paramètres!$A$1:$I$88,3,0)*VLOOKUP('Données projet'!$B$10,Paramètres!$A$1:$I$88,5,0)</f>
        <v>-3.6002347769681362E-13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510.56580450928806</v>
      </c>
      <c r="AO160" s="62">
        <f t="shared" si="144"/>
        <v>278.21741231699929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-5.1159076974727213E-13</v>
      </c>
      <c r="BE160" s="14">
        <f>BD160*VLOOKUP('Données projet'!$B$11,Paramètres!$A$1:$I$88,3,0)*VLOOKUP('Données projet'!$B$11,Paramètres!$A$1:$I$88,5,0)</f>
        <v>-4.8682977649150421E-13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525.51330555662139</v>
      </c>
      <c r="BJ160" s="62">
        <f t="shared" si="146"/>
        <v>357.72390083433635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1.7053025658242404E-13</v>
      </c>
      <c r="BZ160" s="14">
        <f>BY160*VLOOKUP('Données projet'!$B$12,Paramètres!$A$1:$I$88,3,0)*VLOOKUP('Données projet'!$B$12,Paramètres!$A$1:$I$88,5,0)</f>
        <v>1.0197709343628959E-13</v>
      </c>
      <c r="CA160" s="14">
        <f t="shared" si="170"/>
        <v>1.5284983994279675E-12</v>
      </c>
      <c r="CB160" s="22">
        <f t="shared" si="171"/>
        <v>2.839744816738581E-12</v>
      </c>
      <c r="CC160" s="62">
        <f t="shared" si="119"/>
        <v>293.33333333333616</v>
      </c>
      <c r="CD160" s="62">
        <f ca="1">AVERAGE(OFFSET($CC$3,0,0,'Données projet'!$E$12+1,1))-AVERAGE(OFFSET($H$3,0,0,'Données projet'!$E$12+1,1))</f>
        <v>227.46616726010473</v>
      </c>
      <c r="CE160" s="62">
        <f t="shared" si="148"/>
        <v>314.188568589113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9.7286240776417809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1.0657289003733518E-15</v>
      </c>
      <c r="CN160" s="24">
        <f t="shared" si="172"/>
        <v>9.7286240776417827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projet'!$B$13,Paramètres!$A$1:$I$88,3,0)*VLOOKUP('Données projet'!$B$13,Paramètres!$A$1:$I$88,5,0)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356.46794174556311</v>
      </c>
      <c r="CZ160" s="62">
        <f t="shared" si="150"/>
        <v>248.47107558211923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0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projet'!$B$14,Paramètres!$A$1:$I$88,3,0)*VLOOKUP('Données projet'!$B$14,Paramètres!$A$1:$I$88,5,0)</f>
        <v>6.3550942286383367E-14</v>
      </c>
      <c r="DQ160" s="14">
        <f t="shared" si="176"/>
        <v>1.0064464192543978E-12</v>
      </c>
      <c r="DR160" s="22">
        <f t="shared" si="177"/>
        <v>1.8635787380168604E-12</v>
      </c>
      <c r="DS160" s="62">
        <f t="shared" si="125"/>
        <v>293.33333333333519</v>
      </c>
      <c r="DT160" s="62">
        <f ca="1">AVERAGE(OFFSET($DS$3,0,0,'Données projet'!$E$14+1,1))-AVERAGE(OFFSET($H$3,0,0,'Données projet'!$E$14+1,1))</f>
        <v>397.04445188588369</v>
      </c>
      <c r="DU160" s="62">
        <f t="shared" si="152"/>
        <v>350.01856672839466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0.40569744070721536</v>
      </c>
      <c r="EB160" s="23">
        <f>EXP(-LN(2)/25)*EB159+(1-EXP(-LN(2)/25))/(LN(2)/25)*Calculateur!DW160*Calculateur!DY160*VLOOKUP('Données projet'!$B$14,Paramètres!$A$1:$I$88,3,0)*0.475*44/12</f>
        <v>0</v>
      </c>
      <c r="EC160" s="23">
        <f>EXP(-LN(2)/2)*EC159+(1-EXP(-LN(2)/2))/(LN(2)/2)*DW160*DZ160*VLOOKUP('Données projet'!$B$14,Paramètres!$A$1:$I$88,3,0)*0.475*44/12</f>
        <v>1.2421744375373758E-18</v>
      </c>
      <c r="ED160" s="24">
        <f t="shared" si="178"/>
        <v>0.40569744070721536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-1.9895196601282805E-13</v>
      </c>
      <c r="EK160" s="18">
        <f>EJ160*VLOOKUP('Données projet'!$B$15,Paramètres!$A$1:$I$88,3,0)*VLOOKUP('Données projet'!$B$15,Paramètres!$A$1:$I$88,5,0)</f>
        <v>-1.738044375088066E-13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202.5548390231225</v>
      </c>
      <c r="EP160" s="62">
        <f t="shared" si="154"/>
        <v>184.62184077734179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projet'!$B$15,Paramètres!$A$1:$I$88,3,0)*0.475*44/12</f>
        <v>0</v>
      </c>
      <c r="EW160" s="23">
        <f>EXP(-LN(2)/25)*EW159+(1-EXP(-LN(2)/25))/(LN(2)/25)*Calculateur!ER160*Calculateur!ET160*VLOOKUP('Données projet'!$B$15,Paramètres!$A$1:$I$88,3,0)*0.475*44/12</f>
        <v>0</v>
      </c>
      <c r="EX160" s="23">
        <f>EXP(-LN(2)/2)*EX159+(1-EXP(-LN(2)/2))/(LN(2)/2)*ER160*EU160*VLOOKUP('Données projet'!$B$15,Paramètres!$A$1:$I$88,3,0)*0.475*44/12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-5.1159076974727213E-13</v>
      </c>
      <c r="FF160" s="18">
        <f>FE160*VLOOKUP('Données projet'!$B$16,Paramètres!$A$1:$I$88,3,0)*VLOOKUP('Données projet'!$B$16,Paramètres!$A$1:$I$88,5,0)</f>
        <v>-4.9481059249956164E-13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456.96274622094955</v>
      </c>
      <c r="FK160" s="62">
        <f t="shared" si="156"/>
        <v>244.45149244446094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projet'!$B$16,Paramètres!$A$1:$I$88,3,0)*0.475*44/12</f>
        <v>0</v>
      </c>
      <c r="FR160" s="23">
        <f>EXP(-LN(2)/25)*FR159+(1-EXP(-LN(2)/25))/(LN(2)/25)*Calculateur!FM160*Calculateur!FO160*VLOOKUP('Données projet'!$B$16,Paramètres!$A$1:$I$88,3,0)*0.475*44/12</f>
        <v>0</v>
      </c>
      <c r="FS160" s="23">
        <f>EXP(-LN(2)/2)*FS159+(1-EXP(-LN(2)/2))/(LN(2)/2)*FM160*FP160*VLOOKUP('Données projet'!$B$16,Paramètres!$A$1:$I$88,3,0)*0.475*44/12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-5.1159076974727213E-13</v>
      </c>
      <c r="GA160" s="18">
        <f>FZ160*VLOOKUP('Données projet'!$B$17,Paramètres!$A$1:$I$88,3,0)*VLOOKUP('Données projet'!$B$17,Paramètres!$A$1:$I$88,5,0)</f>
        <v>-5.5067630455596371E-13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503.69304261527651</v>
      </c>
      <c r="GF160" s="62">
        <f t="shared" si="158"/>
        <v>267.2998309535638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projet'!$B$17,Paramètres!$A$1:$I$88,3,0)*0.475*44/12</f>
        <v>0</v>
      </c>
      <c r="GM160" s="23">
        <f>EXP(-LN(2)/25)*GM159+(1-EXP(-LN(2)/25))/(LN(2)/25)*Calculateur!GH160*Calculateur!GJ160*VLOOKUP('Données projet'!$B$17,Paramètres!$A$1:$I$88,3,0)*0.475*44/12</f>
        <v>0</v>
      </c>
      <c r="GN160" s="23">
        <f>EXP(-LN(2)/2)*GN159+(1-EXP(-LN(2)/2))/(LN(2)/2)*GH160*GK160*VLOOKUP('Données projet'!$B$17,Paramètres!$A$1:$I$88,3,0)*0.475*44/12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-3.979039320256561E-13</v>
      </c>
      <c r="GV160" s="18">
        <f>GU160*VLOOKUP('Données projet'!$B$18,Paramètres!$A$1:$I$88,3,0)*VLOOKUP('Données projet'!$B$18,Paramètres!$A$1:$I$88,5,0)</f>
        <v>-4.158891897532158E-13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582.89879210197682</v>
      </c>
      <c r="HA160" s="62">
        <f t="shared" si="160"/>
        <v>314.72094983133326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projet'!$B$18,Paramètres!$A$1:$I$88,3,0)*0.475*44/12</f>
        <v>0</v>
      </c>
      <c r="HH160" s="23">
        <f>EXP(-LN(2)/25)*HH159+(1-EXP(-LN(2)/25))/(LN(2)/25)*Calculateur!HC160*Calculateur!HE160*VLOOKUP('Données projet'!$B$18,Paramètres!$A$1:$I$88,3,0)*0.475*44/12</f>
        <v>0</v>
      </c>
      <c r="HI160" s="23">
        <f>EXP(-LN(2)/2)*HI159+(1-EXP(-LN(2)/2))/(LN(2)/2)*HC160*HF160*VLOOKUP('Données projet'!$B$18,Paramètres!$A$1:$I$88,3,0)*0.475*44/12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projet'!$B$9,Paramètres!$A$1:$I$88,3,0)*VLOOKUP('Données projet'!$B$9,Paramètres!$A$1:$I$88,5,0)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399.92909819003523</v>
      </c>
      <c r="T161" s="62">
        <f t="shared" si="142"/>
        <v>163.7053537268381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-3.979039320256561E-13</v>
      </c>
      <c r="AJ161" s="14">
        <f>AI161*VLOOKUP('Données projet'!$B$10,Paramètres!$A$1:$I$88,3,0)*VLOOKUP('Données projet'!$B$10,Paramètres!$A$1:$I$88,5,0)</f>
        <v>-3.6002347769681362E-13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510.56580450928806</v>
      </c>
      <c r="AO161" s="62">
        <f t="shared" si="144"/>
        <v>278.21741231699929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-5.1159076974727213E-13</v>
      </c>
      <c r="BE161" s="14">
        <f>BD161*VLOOKUP('Données projet'!$B$11,Paramètres!$A$1:$I$88,3,0)*VLOOKUP('Données projet'!$B$11,Paramètres!$A$1:$I$88,5,0)</f>
        <v>-4.8682977649150421E-13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525.51330555662139</v>
      </c>
      <c r="BJ161" s="62">
        <f t="shared" si="146"/>
        <v>357.72390083433635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1.7053025658242404E-13</v>
      </c>
      <c r="BZ161" s="14">
        <f>BY161*VLOOKUP('Données projet'!$B$12,Paramètres!$A$1:$I$88,3,0)*VLOOKUP('Données projet'!$B$12,Paramètres!$A$1:$I$88,5,0)</f>
        <v>1.0197709343628959E-13</v>
      </c>
      <c r="CA161" s="14">
        <f t="shared" si="170"/>
        <v>1.5284983994279675E-12</v>
      </c>
      <c r="CB161" s="22">
        <f t="shared" si="171"/>
        <v>2.839744816738581E-12</v>
      </c>
      <c r="CC161" s="62">
        <f t="shared" si="119"/>
        <v>293.33333333333616</v>
      </c>
      <c r="CD161" s="62">
        <f ca="1">AVERAGE(OFFSET($CC$3,0,0,'Données projet'!$E$12+1,1))-AVERAGE(OFFSET($H$3,0,0,'Données projet'!$E$12+1,1))</f>
        <v>227.46616726010473</v>
      </c>
      <c r="CE161" s="62">
        <f t="shared" si="148"/>
        <v>314.188568589113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9.537851693353991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7.5358413236047955E-16</v>
      </c>
      <c r="CN161" s="24">
        <f t="shared" si="172"/>
        <v>9.537851693353991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projet'!$B$13,Paramètres!$A$1:$I$88,3,0)*VLOOKUP('Données projet'!$B$13,Paramètres!$A$1:$I$88,5,0)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356.46794174556311</v>
      </c>
      <c r="CZ161" s="62">
        <f t="shared" si="150"/>
        <v>248.47107558211923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0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projet'!$B$14,Paramètres!$A$1:$I$88,3,0)*VLOOKUP('Données projet'!$B$14,Paramètres!$A$1:$I$88,5,0)</f>
        <v>6.3550942286383367E-14</v>
      </c>
      <c r="DQ161" s="14">
        <f t="shared" si="176"/>
        <v>1.0064464192543978E-12</v>
      </c>
      <c r="DR161" s="22">
        <f t="shared" si="177"/>
        <v>1.8635787380168604E-12</v>
      </c>
      <c r="DS161" s="62">
        <f t="shared" si="125"/>
        <v>293.33333333333519</v>
      </c>
      <c r="DT161" s="62">
        <f ca="1">AVERAGE(OFFSET($DS$3,0,0,'Données projet'!$E$14+1,1))-AVERAGE(OFFSET($H$3,0,0,'Données projet'!$E$14+1,1))</f>
        <v>397.04445188588369</v>
      </c>
      <c r="DU161" s="62">
        <f t="shared" si="152"/>
        <v>350.01856672839466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0.39774196134595197</v>
      </c>
      <c r="EB161" s="23">
        <f>EXP(-LN(2)/25)*EB160+(1-EXP(-LN(2)/25))/(LN(2)/25)*Calculateur!DW161*Calculateur!DY161*VLOOKUP('Données projet'!$B$14,Paramètres!$A$1:$I$88,3,0)*0.475*44/12</f>
        <v>0</v>
      </c>
      <c r="EC161" s="23">
        <f>EXP(-LN(2)/2)*EC160+(1-EXP(-LN(2)/2))/(LN(2)/2)*DW161*DZ161*VLOOKUP('Données projet'!$B$14,Paramètres!$A$1:$I$88,3,0)*0.475*44/12</f>
        <v>8.7834996819926396E-19</v>
      </c>
      <c r="ED161" s="24">
        <f t="shared" si="178"/>
        <v>0.39774196134595197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-1.9895196601282805E-13</v>
      </c>
      <c r="EK161" s="18">
        <f>EJ161*VLOOKUP('Données projet'!$B$15,Paramètres!$A$1:$I$88,3,0)*VLOOKUP('Données projet'!$B$15,Paramètres!$A$1:$I$88,5,0)</f>
        <v>-1.738044375088066E-13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202.5548390231225</v>
      </c>
      <c r="EP161" s="62">
        <f t="shared" si="154"/>
        <v>184.62184077734179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projet'!$B$15,Paramètres!$A$1:$I$88,3,0)*0.475*44/12</f>
        <v>0</v>
      </c>
      <c r="EW161" s="23">
        <f>EXP(-LN(2)/25)*EW160+(1-EXP(-LN(2)/25))/(LN(2)/25)*Calculateur!ER161*Calculateur!ET161*VLOOKUP('Données projet'!$B$15,Paramètres!$A$1:$I$88,3,0)*0.475*44/12</f>
        <v>0</v>
      </c>
      <c r="EX161" s="23">
        <f>EXP(-LN(2)/2)*EX160+(1-EXP(-LN(2)/2))/(LN(2)/2)*ER161*EU161*VLOOKUP('Données projet'!$B$15,Paramètres!$A$1:$I$88,3,0)*0.475*44/12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-5.1159076974727213E-13</v>
      </c>
      <c r="FF161" s="18">
        <f>FE161*VLOOKUP('Données projet'!$B$16,Paramètres!$A$1:$I$88,3,0)*VLOOKUP('Données projet'!$B$16,Paramètres!$A$1:$I$88,5,0)</f>
        <v>-4.9481059249956164E-13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456.96274622094955</v>
      </c>
      <c r="FK161" s="62">
        <f t="shared" si="156"/>
        <v>244.45149244446094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projet'!$B$16,Paramètres!$A$1:$I$88,3,0)*0.475*44/12</f>
        <v>0</v>
      </c>
      <c r="FR161" s="23">
        <f>EXP(-LN(2)/25)*FR160+(1-EXP(-LN(2)/25))/(LN(2)/25)*Calculateur!FM161*Calculateur!FO161*VLOOKUP('Données projet'!$B$16,Paramètres!$A$1:$I$88,3,0)*0.475*44/12</f>
        <v>0</v>
      </c>
      <c r="FS161" s="23">
        <f>EXP(-LN(2)/2)*FS160+(1-EXP(-LN(2)/2))/(LN(2)/2)*FM161*FP161*VLOOKUP('Données projet'!$B$16,Paramètres!$A$1:$I$88,3,0)*0.475*44/12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-5.1159076974727213E-13</v>
      </c>
      <c r="GA161" s="18">
        <f>FZ161*VLOOKUP('Données projet'!$B$17,Paramètres!$A$1:$I$88,3,0)*VLOOKUP('Données projet'!$B$17,Paramètres!$A$1:$I$88,5,0)</f>
        <v>-5.5067630455596371E-13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503.69304261527651</v>
      </c>
      <c r="GF161" s="62">
        <f t="shared" si="158"/>
        <v>267.2998309535638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projet'!$B$17,Paramètres!$A$1:$I$88,3,0)*0.475*44/12</f>
        <v>0</v>
      </c>
      <c r="GM161" s="23">
        <f>EXP(-LN(2)/25)*GM160+(1-EXP(-LN(2)/25))/(LN(2)/25)*Calculateur!GH161*Calculateur!GJ161*VLOOKUP('Données projet'!$B$17,Paramètres!$A$1:$I$88,3,0)*0.475*44/12</f>
        <v>0</v>
      </c>
      <c r="GN161" s="23">
        <f>EXP(-LN(2)/2)*GN160+(1-EXP(-LN(2)/2))/(LN(2)/2)*GH161*GK161*VLOOKUP('Données projet'!$B$17,Paramètres!$A$1:$I$88,3,0)*0.475*44/12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-3.979039320256561E-13</v>
      </c>
      <c r="GV161" s="18">
        <f>GU161*VLOOKUP('Données projet'!$B$18,Paramètres!$A$1:$I$88,3,0)*VLOOKUP('Données projet'!$B$18,Paramètres!$A$1:$I$88,5,0)</f>
        <v>-4.158891897532158E-13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582.89879210197682</v>
      </c>
      <c r="HA161" s="62">
        <f t="shared" si="160"/>
        <v>314.72094983133326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projet'!$B$18,Paramètres!$A$1:$I$88,3,0)*0.475*44/12</f>
        <v>0</v>
      </c>
      <c r="HH161" s="23">
        <f>EXP(-LN(2)/25)*HH160+(1-EXP(-LN(2)/25))/(LN(2)/25)*Calculateur!HC161*Calculateur!HE161*VLOOKUP('Données projet'!$B$18,Paramètres!$A$1:$I$88,3,0)*0.475*44/12</f>
        <v>0</v>
      </c>
      <c r="HI161" s="23">
        <f>EXP(-LN(2)/2)*HI160+(1-EXP(-LN(2)/2))/(LN(2)/2)*HC161*HF161*VLOOKUP('Données projet'!$B$18,Paramètres!$A$1:$I$88,3,0)*0.475*44/12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projet'!$B$9,Paramètres!$A$1:$I$88,3,0)*VLOOKUP('Données projet'!$B$9,Paramètres!$A$1:$I$88,5,0)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399.92909819003523</v>
      </c>
      <c r="T162" s="62">
        <f t="shared" si="142"/>
        <v>163.7053537268381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-3.979039320256561E-13</v>
      </c>
      <c r="AJ162" s="14">
        <f>AI162*VLOOKUP('Données projet'!$B$10,Paramètres!$A$1:$I$88,3,0)*VLOOKUP('Données projet'!$B$10,Paramètres!$A$1:$I$88,5,0)</f>
        <v>-3.6002347769681362E-13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510.56580450928806</v>
      </c>
      <c r="AO162" s="62">
        <f t="shared" si="144"/>
        <v>278.21741231699929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-5.1159076974727213E-13</v>
      </c>
      <c r="BE162" s="14">
        <f>BD162*VLOOKUP('Données projet'!$B$11,Paramètres!$A$1:$I$88,3,0)*VLOOKUP('Données projet'!$B$11,Paramètres!$A$1:$I$88,5,0)</f>
        <v>-4.8682977649150421E-13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525.51330555662139</v>
      </c>
      <c r="BJ162" s="62">
        <f t="shared" si="146"/>
        <v>357.72390083433635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1.7053025658242404E-13</v>
      </c>
      <c r="BZ162" s="14">
        <f>BY162*VLOOKUP('Données projet'!$B$12,Paramètres!$A$1:$I$88,3,0)*VLOOKUP('Données projet'!$B$12,Paramètres!$A$1:$I$88,5,0)</f>
        <v>1.0197709343628959E-13</v>
      </c>
      <c r="CA162" s="14">
        <f t="shared" si="170"/>
        <v>1.5284983994279675E-12</v>
      </c>
      <c r="CB162" s="22">
        <f t="shared" si="171"/>
        <v>2.839744816738581E-12</v>
      </c>
      <c r="CC162" s="62">
        <f t="shared" si="119"/>
        <v>293.33333333333616</v>
      </c>
      <c r="CD162" s="62">
        <f ca="1">AVERAGE(OFFSET($CC$3,0,0,'Données projet'!$E$12+1,1))-AVERAGE(OFFSET($H$3,0,0,'Données projet'!$E$12+1,1))</f>
        <v>227.46616726010473</v>
      </c>
      <c r="CE162" s="62">
        <f t="shared" si="148"/>
        <v>314.188568589113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9.3508202391624202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5.3286445018667588E-16</v>
      </c>
      <c r="CN162" s="24">
        <f t="shared" si="172"/>
        <v>9.3508202391624202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projet'!$B$13,Paramètres!$A$1:$I$88,3,0)*VLOOKUP('Données projet'!$B$13,Paramètres!$A$1:$I$88,5,0)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356.46794174556311</v>
      </c>
      <c r="CZ162" s="62">
        <f t="shared" si="150"/>
        <v>248.47107558211923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0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projet'!$B$14,Paramètres!$A$1:$I$88,3,0)*VLOOKUP('Données projet'!$B$14,Paramètres!$A$1:$I$88,5,0)</f>
        <v>6.3550942286383367E-14</v>
      </c>
      <c r="DQ162" s="14">
        <f t="shared" si="176"/>
        <v>1.0064464192543978E-12</v>
      </c>
      <c r="DR162" s="22">
        <f t="shared" si="177"/>
        <v>1.8635787380168604E-12</v>
      </c>
      <c r="DS162" s="62">
        <f t="shared" si="125"/>
        <v>293.33333333333519</v>
      </c>
      <c r="DT162" s="62">
        <f ca="1">AVERAGE(OFFSET($DS$3,0,0,'Données projet'!$E$14+1,1))-AVERAGE(OFFSET($H$3,0,0,'Données projet'!$E$14+1,1))</f>
        <v>397.04445188588369</v>
      </c>
      <c r="DU162" s="62">
        <f t="shared" si="152"/>
        <v>350.01856672839466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0.38994248408259963</v>
      </c>
      <c r="EB162" s="23">
        <f>EXP(-LN(2)/25)*EB161+(1-EXP(-LN(2)/25))/(LN(2)/25)*Calculateur!DW162*Calculateur!DY162*VLOOKUP('Données projet'!$B$14,Paramètres!$A$1:$I$88,3,0)*0.475*44/12</f>
        <v>0</v>
      </c>
      <c r="EC162" s="23">
        <f>EXP(-LN(2)/2)*EC161+(1-EXP(-LN(2)/2))/(LN(2)/2)*DW162*DZ162*VLOOKUP('Données projet'!$B$14,Paramètres!$A$1:$I$88,3,0)*0.475*44/12</f>
        <v>6.2108721876868792E-19</v>
      </c>
      <c r="ED162" s="24">
        <f t="shared" si="178"/>
        <v>0.38994248408259963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-1.9895196601282805E-13</v>
      </c>
      <c r="EK162" s="18">
        <f>EJ162*VLOOKUP('Données projet'!$B$15,Paramètres!$A$1:$I$88,3,0)*VLOOKUP('Données projet'!$B$15,Paramètres!$A$1:$I$88,5,0)</f>
        <v>-1.738044375088066E-13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202.5548390231225</v>
      </c>
      <c r="EP162" s="62">
        <f t="shared" si="154"/>
        <v>184.62184077734179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projet'!$B$15,Paramètres!$A$1:$I$88,3,0)*0.475*44/12</f>
        <v>0</v>
      </c>
      <c r="EW162" s="23">
        <f>EXP(-LN(2)/25)*EW161+(1-EXP(-LN(2)/25))/(LN(2)/25)*Calculateur!ER162*Calculateur!ET162*VLOOKUP('Données projet'!$B$15,Paramètres!$A$1:$I$88,3,0)*0.475*44/12</f>
        <v>0</v>
      </c>
      <c r="EX162" s="23">
        <f>EXP(-LN(2)/2)*EX161+(1-EXP(-LN(2)/2))/(LN(2)/2)*ER162*EU162*VLOOKUP('Données projet'!$B$15,Paramètres!$A$1:$I$88,3,0)*0.475*44/12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-5.1159076974727213E-13</v>
      </c>
      <c r="FF162" s="18">
        <f>FE162*VLOOKUP('Données projet'!$B$16,Paramètres!$A$1:$I$88,3,0)*VLOOKUP('Données projet'!$B$16,Paramètres!$A$1:$I$88,5,0)</f>
        <v>-4.9481059249956164E-13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456.96274622094955</v>
      </c>
      <c r="FK162" s="62">
        <f t="shared" si="156"/>
        <v>244.45149244446094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projet'!$B$16,Paramètres!$A$1:$I$88,3,0)*0.475*44/12</f>
        <v>0</v>
      </c>
      <c r="FR162" s="23">
        <f>EXP(-LN(2)/25)*FR161+(1-EXP(-LN(2)/25))/(LN(2)/25)*Calculateur!FM162*Calculateur!FO162*VLOOKUP('Données projet'!$B$16,Paramètres!$A$1:$I$88,3,0)*0.475*44/12</f>
        <v>0</v>
      </c>
      <c r="FS162" s="23">
        <f>EXP(-LN(2)/2)*FS161+(1-EXP(-LN(2)/2))/(LN(2)/2)*FM162*FP162*VLOOKUP('Données projet'!$B$16,Paramètres!$A$1:$I$88,3,0)*0.475*44/12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-5.1159076974727213E-13</v>
      </c>
      <c r="GA162" s="18">
        <f>FZ162*VLOOKUP('Données projet'!$B$17,Paramètres!$A$1:$I$88,3,0)*VLOOKUP('Données projet'!$B$17,Paramètres!$A$1:$I$88,5,0)</f>
        <v>-5.5067630455596371E-13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503.69304261527651</v>
      </c>
      <c r="GF162" s="62">
        <f t="shared" si="158"/>
        <v>267.2998309535638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projet'!$B$17,Paramètres!$A$1:$I$88,3,0)*0.475*44/12</f>
        <v>0</v>
      </c>
      <c r="GM162" s="23">
        <f>EXP(-LN(2)/25)*GM161+(1-EXP(-LN(2)/25))/(LN(2)/25)*Calculateur!GH162*Calculateur!GJ162*VLOOKUP('Données projet'!$B$17,Paramètres!$A$1:$I$88,3,0)*0.475*44/12</f>
        <v>0</v>
      </c>
      <c r="GN162" s="23">
        <f>EXP(-LN(2)/2)*GN161+(1-EXP(-LN(2)/2))/(LN(2)/2)*GH162*GK162*VLOOKUP('Données projet'!$B$17,Paramètres!$A$1:$I$88,3,0)*0.475*44/12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-3.979039320256561E-13</v>
      </c>
      <c r="GV162" s="18">
        <f>GU162*VLOOKUP('Données projet'!$B$18,Paramètres!$A$1:$I$88,3,0)*VLOOKUP('Données projet'!$B$18,Paramètres!$A$1:$I$88,5,0)</f>
        <v>-4.158891897532158E-13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582.89879210197682</v>
      </c>
      <c r="HA162" s="62">
        <f t="shared" si="160"/>
        <v>314.72094983133326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projet'!$B$18,Paramètres!$A$1:$I$88,3,0)*0.475*44/12</f>
        <v>0</v>
      </c>
      <c r="HH162" s="23">
        <f>EXP(-LN(2)/25)*HH161+(1-EXP(-LN(2)/25))/(LN(2)/25)*Calculateur!HC162*Calculateur!HE162*VLOOKUP('Données projet'!$B$18,Paramètres!$A$1:$I$88,3,0)*0.475*44/12</f>
        <v>0</v>
      </c>
      <c r="HI162" s="23">
        <f>EXP(-LN(2)/2)*HI161+(1-EXP(-LN(2)/2))/(LN(2)/2)*HC162*HF162*VLOOKUP('Données projet'!$B$18,Paramètres!$A$1:$I$88,3,0)*0.475*44/12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projet'!$B$9,Paramètres!$A$1:$I$88,3,0)*VLOOKUP('Données projet'!$B$9,Paramètres!$A$1:$I$88,5,0)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399.92909819003523</v>
      </c>
      <c r="T163" s="62">
        <f t="shared" si="142"/>
        <v>163.7053537268381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-3.979039320256561E-13</v>
      </c>
      <c r="AJ163" s="14">
        <f>AI163*VLOOKUP('Données projet'!$B$10,Paramètres!$A$1:$I$88,3,0)*VLOOKUP('Données projet'!$B$10,Paramètres!$A$1:$I$88,5,0)</f>
        <v>-3.6002347769681362E-13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510.56580450928806</v>
      </c>
      <c r="AO163" s="62">
        <f t="shared" si="144"/>
        <v>278.21741231699929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-5.1159076974727213E-13</v>
      </c>
      <c r="BE163" s="14">
        <f>BD163*VLOOKUP('Données projet'!$B$11,Paramètres!$A$1:$I$88,3,0)*VLOOKUP('Données projet'!$B$11,Paramètres!$A$1:$I$88,5,0)</f>
        <v>-4.8682977649150421E-13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525.51330555662139</v>
      </c>
      <c r="BJ163" s="62">
        <f t="shared" si="146"/>
        <v>357.72390083433635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1.7053025658242404E-13</v>
      </c>
      <c r="BZ163" s="14">
        <f>BY163*VLOOKUP('Données projet'!$B$12,Paramètres!$A$1:$I$88,3,0)*VLOOKUP('Données projet'!$B$12,Paramètres!$A$1:$I$88,5,0)</f>
        <v>1.0197709343628959E-13</v>
      </c>
      <c r="CA163" s="14">
        <f t="shared" si="170"/>
        <v>1.5284983994279675E-12</v>
      </c>
      <c r="CB163" s="22">
        <f t="shared" si="171"/>
        <v>2.839744816738581E-12</v>
      </c>
      <c r="CC163" s="62">
        <f t="shared" si="119"/>
        <v>293.33333333333616</v>
      </c>
      <c r="CD163" s="62">
        <f ca="1">AVERAGE(OFFSET($CC$3,0,0,'Données projet'!$E$12+1,1))-AVERAGE(OFFSET($H$3,0,0,'Données projet'!$E$12+1,1))</f>
        <v>227.46616726010473</v>
      </c>
      <c r="CE163" s="62">
        <f t="shared" si="148"/>
        <v>314.188568589113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9.1674563577096233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3.7679206618023978E-16</v>
      </c>
      <c r="CN163" s="24">
        <f t="shared" si="172"/>
        <v>9.1674563577096233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projet'!$B$13,Paramètres!$A$1:$I$88,3,0)*VLOOKUP('Données projet'!$B$13,Paramètres!$A$1:$I$88,5,0)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356.46794174556311</v>
      </c>
      <c r="CZ163" s="62">
        <f t="shared" si="150"/>
        <v>248.47107558211923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0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projet'!$B$14,Paramètres!$A$1:$I$88,3,0)*VLOOKUP('Données projet'!$B$14,Paramètres!$A$1:$I$88,5,0)</f>
        <v>6.3550942286383367E-14</v>
      </c>
      <c r="DQ163" s="14">
        <f t="shared" si="176"/>
        <v>1.0064464192543978E-12</v>
      </c>
      <c r="DR163" s="22">
        <f t="shared" si="177"/>
        <v>1.8635787380168604E-12</v>
      </c>
      <c r="DS163" s="62">
        <f t="shared" si="125"/>
        <v>293.33333333333519</v>
      </c>
      <c r="DT163" s="62">
        <f ca="1">AVERAGE(OFFSET($DS$3,0,0,'Données projet'!$E$14+1,1))-AVERAGE(OFFSET($H$3,0,0,'Données projet'!$E$14+1,1))</f>
        <v>397.04445188588369</v>
      </c>
      <c r="DU163" s="62">
        <f t="shared" si="152"/>
        <v>350.01856672839466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0.38229594981117027</v>
      </c>
      <c r="EB163" s="23">
        <f>EXP(-LN(2)/25)*EB162+(1-EXP(-LN(2)/25))/(LN(2)/25)*Calculateur!DW163*Calculateur!DY163*VLOOKUP('Données projet'!$B$14,Paramètres!$A$1:$I$88,3,0)*0.475*44/12</f>
        <v>0</v>
      </c>
      <c r="EC163" s="23">
        <f>EXP(-LN(2)/2)*EC162+(1-EXP(-LN(2)/2))/(LN(2)/2)*DW163*DZ163*VLOOKUP('Données projet'!$B$14,Paramètres!$A$1:$I$88,3,0)*0.475*44/12</f>
        <v>4.3917498409963198E-19</v>
      </c>
      <c r="ED163" s="24">
        <f t="shared" si="178"/>
        <v>0.38229594981117027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-1.9895196601282805E-13</v>
      </c>
      <c r="EK163" s="18">
        <f>EJ163*VLOOKUP('Données projet'!$B$15,Paramètres!$A$1:$I$88,3,0)*VLOOKUP('Données projet'!$B$15,Paramètres!$A$1:$I$88,5,0)</f>
        <v>-1.738044375088066E-13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202.5548390231225</v>
      </c>
      <c r="EP163" s="62">
        <f t="shared" si="154"/>
        <v>184.62184077734179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projet'!$B$15,Paramètres!$A$1:$I$88,3,0)*0.475*44/12</f>
        <v>0</v>
      </c>
      <c r="EW163" s="23">
        <f>EXP(-LN(2)/25)*EW162+(1-EXP(-LN(2)/25))/(LN(2)/25)*Calculateur!ER163*Calculateur!ET163*VLOOKUP('Données projet'!$B$15,Paramètres!$A$1:$I$88,3,0)*0.475*44/12</f>
        <v>0</v>
      </c>
      <c r="EX163" s="23">
        <f>EXP(-LN(2)/2)*EX162+(1-EXP(-LN(2)/2))/(LN(2)/2)*ER163*EU163*VLOOKUP('Données projet'!$B$15,Paramètres!$A$1:$I$88,3,0)*0.475*44/12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-5.1159076974727213E-13</v>
      </c>
      <c r="FF163" s="18">
        <f>FE163*VLOOKUP('Données projet'!$B$16,Paramètres!$A$1:$I$88,3,0)*VLOOKUP('Données projet'!$B$16,Paramètres!$A$1:$I$88,5,0)</f>
        <v>-4.9481059249956164E-13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456.96274622094955</v>
      </c>
      <c r="FK163" s="62">
        <f t="shared" si="156"/>
        <v>244.45149244446094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projet'!$B$16,Paramètres!$A$1:$I$88,3,0)*0.475*44/12</f>
        <v>0</v>
      </c>
      <c r="FR163" s="23">
        <f>EXP(-LN(2)/25)*FR162+(1-EXP(-LN(2)/25))/(LN(2)/25)*Calculateur!FM163*Calculateur!FO163*VLOOKUP('Données projet'!$B$16,Paramètres!$A$1:$I$88,3,0)*0.475*44/12</f>
        <v>0</v>
      </c>
      <c r="FS163" s="23">
        <f>EXP(-LN(2)/2)*FS162+(1-EXP(-LN(2)/2))/(LN(2)/2)*FM163*FP163*VLOOKUP('Données projet'!$B$16,Paramètres!$A$1:$I$88,3,0)*0.475*44/12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-5.1159076974727213E-13</v>
      </c>
      <c r="GA163" s="18">
        <f>FZ163*VLOOKUP('Données projet'!$B$17,Paramètres!$A$1:$I$88,3,0)*VLOOKUP('Données projet'!$B$17,Paramètres!$A$1:$I$88,5,0)</f>
        <v>-5.5067630455596371E-13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503.69304261527651</v>
      </c>
      <c r="GF163" s="62">
        <f t="shared" si="158"/>
        <v>267.2998309535638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projet'!$B$17,Paramètres!$A$1:$I$88,3,0)*0.475*44/12</f>
        <v>0</v>
      </c>
      <c r="GM163" s="23">
        <f>EXP(-LN(2)/25)*GM162+(1-EXP(-LN(2)/25))/(LN(2)/25)*Calculateur!GH163*Calculateur!GJ163*VLOOKUP('Données projet'!$B$17,Paramètres!$A$1:$I$88,3,0)*0.475*44/12</f>
        <v>0</v>
      </c>
      <c r="GN163" s="23">
        <f>EXP(-LN(2)/2)*GN162+(1-EXP(-LN(2)/2))/(LN(2)/2)*GH163*GK163*VLOOKUP('Données projet'!$B$17,Paramètres!$A$1:$I$88,3,0)*0.475*44/12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-3.979039320256561E-13</v>
      </c>
      <c r="GV163" s="18">
        <f>GU163*VLOOKUP('Données projet'!$B$18,Paramètres!$A$1:$I$88,3,0)*VLOOKUP('Données projet'!$B$18,Paramètres!$A$1:$I$88,5,0)</f>
        <v>-4.158891897532158E-13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582.89879210197682</v>
      </c>
      <c r="HA163" s="62">
        <f t="shared" si="160"/>
        <v>314.72094983133326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projet'!$B$18,Paramètres!$A$1:$I$88,3,0)*0.475*44/12</f>
        <v>0</v>
      </c>
      <c r="HH163" s="23">
        <f>EXP(-LN(2)/25)*HH162+(1-EXP(-LN(2)/25))/(LN(2)/25)*Calculateur!HC163*Calculateur!HE163*VLOOKUP('Données projet'!$B$18,Paramètres!$A$1:$I$88,3,0)*0.475*44/12</f>
        <v>0</v>
      </c>
      <c r="HI163" s="23">
        <f>EXP(-LN(2)/2)*HI162+(1-EXP(-LN(2)/2))/(LN(2)/2)*HC163*HF163*VLOOKUP('Données projet'!$B$18,Paramètres!$A$1:$I$88,3,0)*0.475*44/12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projet'!$B$9,Paramètres!$A$1:$I$88,3,0)*VLOOKUP('Données projet'!$B$9,Paramètres!$A$1:$I$88,5,0)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399.92909819003523</v>
      </c>
      <c r="T164" s="62">
        <f t="shared" si="142"/>
        <v>163.7053537268381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-3.979039320256561E-13</v>
      </c>
      <c r="AJ164" s="14">
        <f>AI164*VLOOKUP('Données projet'!$B$10,Paramètres!$A$1:$I$88,3,0)*VLOOKUP('Données projet'!$B$10,Paramètres!$A$1:$I$88,5,0)</f>
        <v>-3.6002347769681362E-13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510.56580450928806</v>
      </c>
      <c r="AO164" s="62">
        <f t="shared" si="144"/>
        <v>278.21741231699929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-5.1159076974727213E-13</v>
      </c>
      <c r="BE164" s="14">
        <f>BD164*VLOOKUP('Données projet'!$B$11,Paramètres!$A$1:$I$88,3,0)*VLOOKUP('Données projet'!$B$11,Paramètres!$A$1:$I$88,5,0)</f>
        <v>-4.8682977649150421E-13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525.51330555662139</v>
      </c>
      <c r="BJ164" s="62">
        <f t="shared" si="146"/>
        <v>357.72390083433635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1.7053025658242404E-13</v>
      </c>
      <c r="BZ164" s="14">
        <f>BY164*VLOOKUP('Données projet'!$B$12,Paramètres!$A$1:$I$88,3,0)*VLOOKUP('Données projet'!$B$12,Paramètres!$A$1:$I$88,5,0)</f>
        <v>1.0197709343628959E-13</v>
      </c>
      <c r="CA164" s="14">
        <f t="shared" si="170"/>
        <v>1.5284983994279675E-12</v>
      </c>
      <c r="CB164" s="22">
        <f t="shared" si="171"/>
        <v>2.839744816738581E-12</v>
      </c>
      <c r="CC164" s="62">
        <f t="shared" si="119"/>
        <v>293.33333333333616</v>
      </c>
      <c r="CD164" s="62">
        <f ca="1">AVERAGE(OFFSET($CC$3,0,0,'Données projet'!$E$12+1,1))-AVERAGE(OFFSET($H$3,0,0,'Données projet'!$E$12+1,1))</f>
        <v>227.46616726010473</v>
      </c>
      <c r="CE164" s="62">
        <f t="shared" si="148"/>
        <v>314.188568589113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8.9876881301311915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2.6643222509333794E-16</v>
      </c>
      <c r="CN164" s="24">
        <f t="shared" si="172"/>
        <v>8.9876881301311915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projet'!$B$13,Paramètres!$A$1:$I$88,3,0)*VLOOKUP('Données projet'!$B$13,Paramètres!$A$1:$I$88,5,0)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356.46794174556311</v>
      </c>
      <c r="CZ164" s="62">
        <f t="shared" si="150"/>
        <v>248.47107558211923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0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projet'!$B$14,Paramètres!$A$1:$I$88,3,0)*VLOOKUP('Données projet'!$B$14,Paramètres!$A$1:$I$88,5,0)</f>
        <v>6.3550942286383367E-14</v>
      </c>
      <c r="DQ164" s="14">
        <f t="shared" si="176"/>
        <v>1.0064464192543978E-12</v>
      </c>
      <c r="DR164" s="22">
        <f t="shared" si="177"/>
        <v>1.8635787380168604E-12</v>
      </c>
      <c r="DS164" s="62">
        <f t="shared" si="125"/>
        <v>293.33333333333519</v>
      </c>
      <c r="DT164" s="62">
        <f ca="1">AVERAGE(OFFSET($DS$3,0,0,'Données projet'!$E$14+1,1))-AVERAGE(OFFSET($H$3,0,0,'Données projet'!$E$14+1,1))</f>
        <v>397.04445188588369</v>
      </c>
      <c r="DU164" s="62">
        <f t="shared" si="152"/>
        <v>350.01856672839466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0.37479935941287823</v>
      </c>
      <c r="EB164" s="23">
        <f>EXP(-LN(2)/25)*EB163+(1-EXP(-LN(2)/25))/(LN(2)/25)*Calculateur!DW164*Calculateur!DY164*VLOOKUP('Données projet'!$B$14,Paramètres!$A$1:$I$88,3,0)*0.475*44/12</f>
        <v>0</v>
      </c>
      <c r="EC164" s="23">
        <f>EXP(-LN(2)/2)*EC163+(1-EXP(-LN(2)/2))/(LN(2)/2)*DW164*DZ164*VLOOKUP('Données projet'!$B$14,Paramètres!$A$1:$I$88,3,0)*0.475*44/12</f>
        <v>3.1054360938434396E-19</v>
      </c>
      <c r="ED164" s="24">
        <f t="shared" si="178"/>
        <v>0.37479935941287823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-1.9895196601282805E-13</v>
      </c>
      <c r="EK164" s="18">
        <f>EJ164*VLOOKUP('Données projet'!$B$15,Paramètres!$A$1:$I$88,3,0)*VLOOKUP('Données projet'!$B$15,Paramètres!$A$1:$I$88,5,0)</f>
        <v>-1.738044375088066E-13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202.5548390231225</v>
      </c>
      <c r="EP164" s="62">
        <f t="shared" si="154"/>
        <v>184.62184077734179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projet'!$B$15,Paramètres!$A$1:$I$88,3,0)*0.475*44/12</f>
        <v>0</v>
      </c>
      <c r="EW164" s="23">
        <f>EXP(-LN(2)/25)*EW163+(1-EXP(-LN(2)/25))/(LN(2)/25)*Calculateur!ER164*Calculateur!ET164*VLOOKUP('Données projet'!$B$15,Paramètres!$A$1:$I$88,3,0)*0.475*44/12</f>
        <v>0</v>
      </c>
      <c r="EX164" s="23">
        <f>EXP(-LN(2)/2)*EX163+(1-EXP(-LN(2)/2))/(LN(2)/2)*ER164*EU164*VLOOKUP('Données projet'!$B$15,Paramètres!$A$1:$I$88,3,0)*0.475*44/12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-5.1159076974727213E-13</v>
      </c>
      <c r="FF164" s="18">
        <f>FE164*VLOOKUP('Données projet'!$B$16,Paramètres!$A$1:$I$88,3,0)*VLOOKUP('Données projet'!$B$16,Paramètres!$A$1:$I$88,5,0)</f>
        <v>-4.9481059249956164E-13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456.96274622094955</v>
      </c>
      <c r="FK164" s="62">
        <f t="shared" si="156"/>
        <v>244.45149244446094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projet'!$B$16,Paramètres!$A$1:$I$88,3,0)*0.475*44/12</f>
        <v>0</v>
      </c>
      <c r="FR164" s="23">
        <f>EXP(-LN(2)/25)*FR163+(1-EXP(-LN(2)/25))/(LN(2)/25)*Calculateur!FM164*Calculateur!FO164*VLOOKUP('Données projet'!$B$16,Paramètres!$A$1:$I$88,3,0)*0.475*44/12</f>
        <v>0</v>
      </c>
      <c r="FS164" s="23">
        <f>EXP(-LN(2)/2)*FS163+(1-EXP(-LN(2)/2))/(LN(2)/2)*FM164*FP164*VLOOKUP('Données projet'!$B$16,Paramètres!$A$1:$I$88,3,0)*0.475*44/12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-5.1159076974727213E-13</v>
      </c>
      <c r="GA164" s="18">
        <f>FZ164*VLOOKUP('Données projet'!$B$17,Paramètres!$A$1:$I$88,3,0)*VLOOKUP('Données projet'!$B$17,Paramètres!$A$1:$I$88,5,0)</f>
        <v>-5.5067630455596371E-13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503.69304261527651</v>
      </c>
      <c r="GF164" s="62">
        <f t="shared" si="158"/>
        <v>267.2998309535638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projet'!$B$17,Paramètres!$A$1:$I$88,3,0)*0.475*44/12</f>
        <v>0</v>
      </c>
      <c r="GM164" s="23">
        <f>EXP(-LN(2)/25)*GM163+(1-EXP(-LN(2)/25))/(LN(2)/25)*Calculateur!GH164*Calculateur!GJ164*VLOOKUP('Données projet'!$B$17,Paramètres!$A$1:$I$88,3,0)*0.475*44/12</f>
        <v>0</v>
      </c>
      <c r="GN164" s="23">
        <f>EXP(-LN(2)/2)*GN163+(1-EXP(-LN(2)/2))/(LN(2)/2)*GH164*GK164*VLOOKUP('Données projet'!$B$17,Paramètres!$A$1:$I$88,3,0)*0.475*44/12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-3.979039320256561E-13</v>
      </c>
      <c r="GV164" s="18">
        <f>GU164*VLOOKUP('Données projet'!$B$18,Paramètres!$A$1:$I$88,3,0)*VLOOKUP('Données projet'!$B$18,Paramètres!$A$1:$I$88,5,0)</f>
        <v>-4.158891897532158E-13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582.89879210197682</v>
      </c>
      <c r="HA164" s="62">
        <f t="shared" si="160"/>
        <v>314.72094983133326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projet'!$B$18,Paramètres!$A$1:$I$88,3,0)*0.475*44/12</f>
        <v>0</v>
      </c>
      <c r="HH164" s="23">
        <f>EXP(-LN(2)/25)*HH163+(1-EXP(-LN(2)/25))/(LN(2)/25)*Calculateur!HC164*Calculateur!HE164*VLOOKUP('Données projet'!$B$18,Paramètres!$A$1:$I$88,3,0)*0.475*44/12</f>
        <v>0</v>
      </c>
      <c r="HI164" s="23">
        <f>EXP(-LN(2)/2)*HI163+(1-EXP(-LN(2)/2))/(LN(2)/2)*HC164*HF164*VLOOKUP('Données projet'!$B$18,Paramètres!$A$1:$I$88,3,0)*0.475*44/12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projet'!$B$9,Paramètres!$A$1:$I$88,3,0)*VLOOKUP('Données projet'!$B$9,Paramètres!$A$1:$I$88,5,0)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399.92909819003523</v>
      </c>
      <c r="T165" s="62">
        <f t="shared" si="142"/>
        <v>163.7053537268381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-3.979039320256561E-13</v>
      </c>
      <c r="AJ165" s="14">
        <f>AI165*VLOOKUP('Données projet'!$B$10,Paramètres!$A$1:$I$88,3,0)*VLOOKUP('Données projet'!$B$10,Paramètres!$A$1:$I$88,5,0)</f>
        <v>-3.6002347769681362E-13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510.56580450928806</v>
      </c>
      <c r="AO165" s="62">
        <f t="shared" si="144"/>
        <v>278.21741231699929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-5.1159076974727213E-13</v>
      </c>
      <c r="BE165" s="14">
        <f>BD165*VLOOKUP('Données projet'!$B$11,Paramètres!$A$1:$I$88,3,0)*VLOOKUP('Données projet'!$B$11,Paramètres!$A$1:$I$88,5,0)</f>
        <v>-4.8682977649150421E-13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525.51330555662139</v>
      </c>
      <c r="BJ165" s="62">
        <f t="shared" si="146"/>
        <v>357.72390083433635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1.7053025658242404E-13</v>
      </c>
      <c r="BZ165" s="14">
        <f>BY165*VLOOKUP('Données projet'!$B$12,Paramètres!$A$1:$I$88,3,0)*VLOOKUP('Données projet'!$B$12,Paramètres!$A$1:$I$88,5,0)</f>
        <v>1.0197709343628959E-13</v>
      </c>
      <c r="CA165" s="14">
        <f t="shared" si="170"/>
        <v>1.5284983994279675E-12</v>
      </c>
      <c r="CB165" s="22">
        <f t="shared" si="171"/>
        <v>2.839744816738581E-12</v>
      </c>
      <c r="CC165" s="62">
        <f t="shared" si="119"/>
        <v>293.33333333333616</v>
      </c>
      <c r="CD165" s="62">
        <f ca="1">AVERAGE(OFFSET($CC$3,0,0,'Données projet'!$E$12+1,1))-AVERAGE(OFFSET($H$3,0,0,'Données projet'!$E$12+1,1))</f>
        <v>227.46616726010473</v>
      </c>
      <c r="CE165" s="62">
        <f t="shared" si="148"/>
        <v>314.188568589113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8.8114450478477799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1.8839603309011989E-16</v>
      </c>
      <c r="CN165" s="24">
        <f t="shared" si="172"/>
        <v>8.8114450478477799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projet'!$B$13,Paramètres!$A$1:$I$88,3,0)*VLOOKUP('Données projet'!$B$13,Paramètres!$A$1:$I$88,5,0)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356.46794174556311</v>
      </c>
      <c r="CZ165" s="62">
        <f t="shared" si="150"/>
        <v>248.47107558211923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0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projet'!$B$14,Paramètres!$A$1:$I$88,3,0)*VLOOKUP('Données projet'!$B$14,Paramètres!$A$1:$I$88,5,0)</f>
        <v>6.3550942286383367E-14</v>
      </c>
      <c r="DQ165" s="14">
        <f t="shared" si="176"/>
        <v>1.0064464192543978E-12</v>
      </c>
      <c r="DR165" s="22">
        <f t="shared" si="177"/>
        <v>1.8635787380168604E-12</v>
      </c>
      <c r="DS165" s="62">
        <f t="shared" si="125"/>
        <v>293.33333333333519</v>
      </c>
      <c r="DT165" s="62">
        <f ca="1">AVERAGE(OFFSET($DS$3,0,0,'Données projet'!$E$14+1,1))-AVERAGE(OFFSET($H$3,0,0,'Données projet'!$E$14+1,1))</f>
        <v>397.04445188588369</v>
      </c>
      <c r="DU165" s="62">
        <f t="shared" si="152"/>
        <v>350.01856672839466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0.36744977257982808</v>
      </c>
      <c r="EB165" s="23">
        <f>EXP(-LN(2)/25)*EB164+(1-EXP(-LN(2)/25))/(LN(2)/25)*Calculateur!DW165*Calculateur!DY165*VLOOKUP('Données projet'!$B$14,Paramètres!$A$1:$I$88,3,0)*0.475*44/12</f>
        <v>0</v>
      </c>
      <c r="EC165" s="23">
        <f>EXP(-LN(2)/2)*EC164+(1-EXP(-LN(2)/2))/(LN(2)/2)*DW165*DZ165*VLOOKUP('Données projet'!$B$14,Paramètres!$A$1:$I$88,3,0)*0.475*44/12</f>
        <v>2.1958749204981599E-19</v>
      </c>
      <c r="ED165" s="24">
        <f t="shared" si="178"/>
        <v>0.36744977257982808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-1.9895196601282805E-13</v>
      </c>
      <c r="EK165" s="18">
        <f>EJ165*VLOOKUP('Données projet'!$B$15,Paramètres!$A$1:$I$88,3,0)*VLOOKUP('Données projet'!$B$15,Paramètres!$A$1:$I$88,5,0)</f>
        <v>-1.738044375088066E-13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202.5548390231225</v>
      </c>
      <c r="EP165" s="62">
        <f t="shared" si="154"/>
        <v>184.62184077734179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projet'!$B$15,Paramètres!$A$1:$I$88,3,0)*0.475*44/12</f>
        <v>0</v>
      </c>
      <c r="EW165" s="23">
        <f>EXP(-LN(2)/25)*EW164+(1-EXP(-LN(2)/25))/(LN(2)/25)*Calculateur!ER165*Calculateur!ET165*VLOOKUP('Données projet'!$B$15,Paramètres!$A$1:$I$88,3,0)*0.475*44/12</f>
        <v>0</v>
      </c>
      <c r="EX165" s="23">
        <f>EXP(-LN(2)/2)*EX164+(1-EXP(-LN(2)/2))/(LN(2)/2)*ER165*EU165*VLOOKUP('Données projet'!$B$15,Paramètres!$A$1:$I$88,3,0)*0.475*44/12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-5.1159076974727213E-13</v>
      </c>
      <c r="FF165" s="18">
        <f>FE165*VLOOKUP('Données projet'!$B$16,Paramètres!$A$1:$I$88,3,0)*VLOOKUP('Données projet'!$B$16,Paramètres!$A$1:$I$88,5,0)</f>
        <v>-4.9481059249956164E-13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456.96274622094955</v>
      </c>
      <c r="FK165" s="62">
        <f t="shared" si="156"/>
        <v>244.45149244446094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projet'!$B$16,Paramètres!$A$1:$I$88,3,0)*0.475*44/12</f>
        <v>0</v>
      </c>
      <c r="FR165" s="23">
        <f>EXP(-LN(2)/25)*FR164+(1-EXP(-LN(2)/25))/(LN(2)/25)*Calculateur!FM165*Calculateur!FO165*VLOOKUP('Données projet'!$B$16,Paramètres!$A$1:$I$88,3,0)*0.475*44/12</f>
        <v>0</v>
      </c>
      <c r="FS165" s="23">
        <f>EXP(-LN(2)/2)*FS164+(1-EXP(-LN(2)/2))/(LN(2)/2)*FM165*FP165*VLOOKUP('Données projet'!$B$16,Paramètres!$A$1:$I$88,3,0)*0.475*44/12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-5.1159076974727213E-13</v>
      </c>
      <c r="GA165" s="18">
        <f>FZ165*VLOOKUP('Données projet'!$B$17,Paramètres!$A$1:$I$88,3,0)*VLOOKUP('Données projet'!$B$17,Paramètres!$A$1:$I$88,5,0)</f>
        <v>-5.5067630455596371E-13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503.69304261527651</v>
      </c>
      <c r="GF165" s="62">
        <f t="shared" si="158"/>
        <v>267.2998309535638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projet'!$B$17,Paramètres!$A$1:$I$88,3,0)*0.475*44/12</f>
        <v>0</v>
      </c>
      <c r="GM165" s="23">
        <f>EXP(-LN(2)/25)*GM164+(1-EXP(-LN(2)/25))/(LN(2)/25)*Calculateur!GH165*Calculateur!GJ165*VLOOKUP('Données projet'!$B$17,Paramètres!$A$1:$I$88,3,0)*0.475*44/12</f>
        <v>0</v>
      </c>
      <c r="GN165" s="23">
        <f>EXP(-LN(2)/2)*GN164+(1-EXP(-LN(2)/2))/(LN(2)/2)*GH165*GK165*VLOOKUP('Données projet'!$B$17,Paramètres!$A$1:$I$88,3,0)*0.475*44/12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-3.979039320256561E-13</v>
      </c>
      <c r="GV165" s="18">
        <f>GU165*VLOOKUP('Données projet'!$B$18,Paramètres!$A$1:$I$88,3,0)*VLOOKUP('Données projet'!$B$18,Paramètres!$A$1:$I$88,5,0)</f>
        <v>-4.158891897532158E-13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582.89879210197682</v>
      </c>
      <c r="HA165" s="62">
        <f t="shared" si="160"/>
        <v>314.72094983133326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projet'!$B$18,Paramètres!$A$1:$I$88,3,0)*0.475*44/12</f>
        <v>0</v>
      </c>
      <c r="HH165" s="23">
        <f>EXP(-LN(2)/25)*HH164+(1-EXP(-LN(2)/25))/(LN(2)/25)*Calculateur!HC165*Calculateur!HE165*VLOOKUP('Données projet'!$B$18,Paramètres!$A$1:$I$88,3,0)*0.475*44/12</f>
        <v>0</v>
      </c>
      <c r="HI165" s="23">
        <f>EXP(-LN(2)/2)*HI164+(1-EXP(-LN(2)/2))/(LN(2)/2)*HC165*HF165*VLOOKUP('Données projet'!$B$18,Paramètres!$A$1:$I$88,3,0)*0.475*44/12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projet'!$B$9,Paramètres!$A$1:$I$88,3,0)*VLOOKUP('Données projet'!$B$9,Paramètres!$A$1:$I$88,5,0)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399.92909819003523</v>
      </c>
      <c r="T166" s="62">
        <f t="shared" si="142"/>
        <v>163.7053537268381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-3.979039320256561E-13</v>
      </c>
      <c r="AJ166" s="14">
        <f>AI166*VLOOKUP('Données projet'!$B$10,Paramètres!$A$1:$I$88,3,0)*VLOOKUP('Données projet'!$B$10,Paramètres!$A$1:$I$88,5,0)</f>
        <v>-3.6002347769681362E-13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510.56580450928806</v>
      </c>
      <c r="AO166" s="62">
        <f t="shared" si="144"/>
        <v>278.21741231699929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-5.1159076974727213E-13</v>
      </c>
      <c r="BE166" s="14">
        <f>BD166*VLOOKUP('Données projet'!$B$11,Paramètres!$A$1:$I$88,3,0)*VLOOKUP('Données projet'!$B$11,Paramètres!$A$1:$I$88,5,0)</f>
        <v>-4.8682977649150421E-13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525.51330555662139</v>
      </c>
      <c r="BJ166" s="62">
        <f t="shared" si="146"/>
        <v>357.72390083433635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1.7053025658242404E-13</v>
      </c>
      <c r="BZ166" s="14">
        <f>BY166*VLOOKUP('Données projet'!$B$12,Paramètres!$A$1:$I$88,3,0)*VLOOKUP('Données projet'!$B$12,Paramètres!$A$1:$I$88,5,0)</f>
        <v>1.0197709343628959E-13</v>
      </c>
      <c r="CA166" s="14">
        <f t="shared" si="170"/>
        <v>1.5284983994279675E-12</v>
      </c>
      <c r="CB166" s="22">
        <f t="shared" si="171"/>
        <v>2.839744816738581E-12</v>
      </c>
      <c r="CC166" s="62">
        <f t="shared" si="119"/>
        <v>293.33333333333616</v>
      </c>
      <c r="CD166" s="62">
        <f ca="1">AVERAGE(OFFSET($CC$3,0,0,'Données projet'!$E$12+1,1))-AVERAGE(OFFSET($H$3,0,0,'Données projet'!$E$12+1,1))</f>
        <v>227.46616726010473</v>
      </c>
      <c r="CE166" s="62">
        <f t="shared" si="148"/>
        <v>314.188568589113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8.6386579849102816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1.3321611254666897E-16</v>
      </c>
      <c r="CN166" s="24">
        <f t="shared" si="172"/>
        <v>8.6386579849102816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projet'!$B$13,Paramètres!$A$1:$I$88,3,0)*VLOOKUP('Données projet'!$B$13,Paramètres!$A$1:$I$88,5,0)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356.46794174556311</v>
      </c>
      <c r="CZ166" s="62">
        <f t="shared" si="150"/>
        <v>248.47107558211923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0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projet'!$B$14,Paramètres!$A$1:$I$88,3,0)*VLOOKUP('Données projet'!$B$14,Paramètres!$A$1:$I$88,5,0)</f>
        <v>6.3550942286383367E-14</v>
      </c>
      <c r="DQ166" s="14">
        <f t="shared" si="176"/>
        <v>1.0064464192543978E-12</v>
      </c>
      <c r="DR166" s="22">
        <f t="shared" si="177"/>
        <v>1.8635787380168604E-12</v>
      </c>
      <c r="DS166" s="62">
        <f t="shared" si="125"/>
        <v>293.33333333333519</v>
      </c>
      <c r="DT166" s="62">
        <f ca="1">AVERAGE(OFFSET($DS$3,0,0,'Données projet'!$E$14+1,1))-AVERAGE(OFFSET($H$3,0,0,'Données projet'!$E$14+1,1))</f>
        <v>397.04445188588369</v>
      </c>
      <c r="DU166" s="62">
        <f t="shared" si="152"/>
        <v>350.01856672839466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0.36024430666176871</v>
      </c>
      <c r="EB166" s="23">
        <f>EXP(-LN(2)/25)*EB165+(1-EXP(-LN(2)/25))/(LN(2)/25)*Calculateur!DW166*Calculateur!DY166*VLOOKUP('Données projet'!$B$14,Paramètres!$A$1:$I$88,3,0)*0.475*44/12</f>
        <v>0</v>
      </c>
      <c r="EC166" s="23">
        <f>EXP(-LN(2)/2)*EC165+(1-EXP(-LN(2)/2))/(LN(2)/2)*DW166*DZ166*VLOOKUP('Données projet'!$B$14,Paramètres!$A$1:$I$88,3,0)*0.475*44/12</f>
        <v>1.5527180469217198E-19</v>
      </c>
      <c r="ED166" s="24">
        <f t="shared" si="178"/>
        <v>0.36024430666176871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-1.9895196601282805E-13</v>
      </c>
      <c r="EK166" s="18">
        <f>EJ166*VLOOKUP('Données projet'!$B$15,Paramètres!$A$1:$I$88,3,0)*VLOOKUP('Données projet'!$B$15,Paramètres!$A$1:$I$88,5,0)</f>
        <v>-1.738044375088066E-13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202.5548390231225</v>
      </c>
      <c r="EP166" s="62">
        <f t="shared" si="154"/>
        <v>184.62184077734179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projet'!$B$15,Paramètres!$A$1:$I$88,3,0)*0.475*44/12</f>
        <v>0</v>
      </c>
      <c r="EW166" s="23">
        <f>EXP(-LN(2)/25)*EW165+(1-EXP(-LN(2)/25))/(LN(2)/25)*Calculateur!ER166*Calculateur!ET166*VLOOKUP('Données projet'!$B$15,Paramètres!$A$1:$I$88,3,0)*0.475*44/12</f>
        <v>0</v>
      </c>
      <c r="EX166" s="23">
        <f>EXP(-LN(2)/2)*EX165+(1-EXP(-LN(2)/2))/(LN(2)/2)*ER166*EU166*VLOOKUP('Données projet'!$B$15,Paramètres!$A$1:$I$88,3,0)*0.475*44/12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-5.1159076974727213E-13</v>
      </c>
      <c r="FF166" s="18">
        <f>FE166*VLOOKUP('Données projet'!$B$16,Paramètres!$A$1:$I$88,3,0)*VLOOKUP('Données projet'!$B$16,Paramètres!$A$1:$I$88,5,0)</f>
        <v>-4.9481059249956164E-13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456.96274622094955</v>
      </c>
      <c r="FK166" s="62">
        <f t="shared" si="156"/>
        <v>244.45149244446094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projet'!$B$16,Paramètres!$A$1:$I$88,3,0)*0.475*44/12</f>
        <v>0</v>
      </c>
      <c r="FR166" s="23">
        <f>EXP(-LN(2)/25)*FR165+(1-EXP(-LN(2)/25))/(LN(2)/25)*Calculateur!FM166*Calculateur!FO166*VLOOKUP('Données projet'!$B$16,Paramètres!$A$1:$I$88,3,0)*0.475*44/12</f>
        <v>0</v>
      </c>
      <c r="FS166" s="23">
        <f>EXP(-LN(2)/2)*FS165+(1-EXP(-LN(2)/2))/(LN(2)/2)*FM166*FP166*VLOOKUP('Données projet'!$B$16,Paramètres!$A$1:$I$88,3,0)*0.475*44/12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-5.1159076974727213E-13</v>
      </c>
      <c r="GA166" s="18">
        <f>FZ166*VLOOKUP('Données projet'!$B$17,Paramètres!$A$1:$I$88,3,0)*VLOOKUP('Données projet'!$B$17,Paramètres!$A$1:$I$88,5,0)</f>
        <v>-5.5067630455596371E-13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503.69304261527651</v>
      </c>
      <c r="GF166" s="62">
        <f t="shared" si="158"/>
        <v>267.2998309535638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projet'!$B$17,Paramètres!$A$1:$I$88,3,0)*0.475*44/12</f>
        <v>0</v>
      </c>
      <c r="GM166" s="23">
        <f>EXP(-LN(2)/25)*GM165+(1-EXP(-LN(2)/25))/(LN(2)/25)*Calculateur!GH166*Calculateur!GJ166*VLOOKUP('Données projet'!$B$17,Paramètres!$A$1:$I$88,3,0)*0.475*44/12</f>
        <v>0</v>
      </c>
      <c r="GN166" s="23">
        <f>EXP(-LN(2)/2)*GN165+(1-EXP(-LN(2)/2))/(LN(2)/2)*GH166*GK166*VLOOKUP('Données projet'!$B$17,Paramètres!$A$1:$I$88,3,0)*0.475*44/12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-3.979039320256561E-13</v>
      </c>
      <c r="GV166" s="18">
        <f>GU166*VLOOKUP('Données projet'!$B$18,Paramètres!$A$1:$I$88,3,0)*VLOOKUP('Données projet'!$B$18,Paramètres!$A$1:$I$88,5,0)</f>
        <v>-4.158891897532158E-13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582.89879210197682</v>
      </c>
      <c r="HA166" s="62">
        <f t="shared" si="160"/>
        <v>314.72094983133326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projet'!$B$18,Paramètres!$A$1:$I$88,3,0)*0.475*44/12</f>
        <v>0</v>
      </c>
      <c r="HH166" s="23">
        <f>EXP(-LN(2)/25)*HH165+(1-EXP(-LN(2)/25))/(LN(2)/25)*Calculateur!HC166*Calculateur!HE166*VLOOKUP('Données projet'!$B$18,Paramètres!$A$1:$I$88,3,0)*0.475*44/12</f>
        <v>0</v>
      </c>
      <c r="HI166" s="23">
        <f>EXP(-LN(2)/2)*HI165+(1-EXP(-LN(2)/2))/(LN(2)/2)*HC166*HF166*VLOOKUP('Données projet'!$B$18,Paramètres!$A$1:$I$88,3,0)*0.475*44/12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projet'!$B$9,Paramètres!$A$1:$I$88,3,0)*VLOOKUP('Données projet'!$B$9,Paramètres!$A$1:$I$88,5,0)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399.92909819003523</v>
      </c>
      <c r="T167" s="62">
        <f t="shared" si="142"/>
        <v>163.7053537268381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-3.979039320256561E-13</v>
      </c>
      <c r="AJ167" s="14">
        <f>AI167*VLOOKUP('Données projet'!$B$10,Paramètres!$A$1:$I$88,3,0)*VLOOKUP('Données projet'!$B$10,Paramètres!$A$1:$I$88,5,0)</f>
        <v>-3.6002347769681362E-13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510.56580450928806</v>
      </c>
      <c r="AO167" s="62">
        <f t="shared" si="144"/>
        <v>278.21741231699929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-5.1159076974727213E-13</v>
      </c>
      <c r="BE167" s="14">
        <f>BD167*VLOOKUP('Données projet'!$B$11,Paramètres!$A$1:$I$88,3,0)*VLOOKUP('Données projet'!$B$11,Paramètres!$A$1:$I$88,5,0)</f>
        <v>-4.8682977649150421E-13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525.51330555662139</v>
      </c>
      <c r="BJ167" s="62">
        <f t="shared" si="146"/>
        <v>357.72390083433635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1.7053025658242404E-13</v>
      </c>
      <c r="BZ167" s="14">
        <f>BY167*VLOOKUP('Données projet'!$B$12,Paramètres!$A$1:$I$88,3,0)*VLOOKUP('Données projet'!$B$12,Paramètres!$A$1:$I$88,5,0)</f>
        <v>1.0197709343628959E-13</v>
      </c>
      <c r="CA167" s="14">
        <f t="shared" si="170"/>
        <v>1.5284983994279675E-12</v>
      </c>
      <c r="CB167" s="22">
        <f t="shared" si="171"/>
        <v>2.839744816738581E-12</v>
      </c>
      <c r="CC167" s="62">
        <f t="shared" si="119"/>
        <v>293.33333333333616</v>
      </c>
      <c r="CD167" s="62">
        <f ca="1">AVERAGE(OFFSET($CC$3,0,0,'Données projet'!$E$12+1,1))-AVERAGE(OFFSET($H$3,0,0,'Données projet'!$E$12+1,1))</f>
        <v>227.46616726010473</v>
      </c>
      <c r="CE167" s="62">
        <f t="shared" si="148"/>
        <v>314.188568589113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8.4692591708872857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9.4198016545059944E-17</v>
      </c>
      <c r="CN167" s="24">
        <f t="shared" si="172"/>
        <v>8.4692591708872857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projet'!$B$13,Paramètres!$A$1:$I$88,3,0)*VLOOKUP('Données projet'!$B$13,Paramètres!$A$1:$I$88,5,0)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356.46794174556311</v>
      </c>
      <c r="CZ167" s="62">
        <f t="shared" si="150"/>
        <v>248.47107558211923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0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projet'!$B$14,Paramètres!$A$1:$I$88,3,0)*VLOOKUP('Données projet'!$B$14,Paramètres!$A$1:$I$88,5,0)</f>
        <v>6.3550942286383367E-14</v>
      </c>
      <c r="DQ167" s="14">
        <f t="shared" si="176"/>
        <v>1.0064464192543978E-12</v>
      </c>
      <c r="DR167" s="22">
        <f t="shared" si="177"/>
        <v>1.8635787380168604E-12</v>
      </c>
      <c r="DS167" s="62">
        <f t="shared" si="125"/>
        <v>293.33333333333519</v>
      </c>
      <c r="DT167" s="62">
        <f ca="1">AVERAGE(OFFSET($DS$3,0,0,'Données projet'!$E$14+1,1))-AVERAGE(OFFSET($H$3,0,0,'Données projet'!$E$14+1,1))</f>
        <v>397.04445188588369</v>
      </c>
      <c r="DU167" s="62">
        <f t="shared" si="152"/>
        <v>350.01856672839466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0.35318013553546224</v>
      </c>
      <c r="EB167" s="23">
        <f>EXP(-LN(2)/25)*EB166+(1-EXP(-LN(2)/25))/(LN(2)/25)*Calculateur!DW167*Calculateur!DY167*VLOOKUP('Données projet'!$B$14,Paramètres!$A$1:$I$88,3,0)*0.475*44/12</f>
        <v>0</v>
      </c>
      <c r="EC167" s="23">
        <f>EXP(-LN(2)/2)*EC166+(1-EXP(-LN(2)/2))/(LN(2)/2)*DW167*DZ167*VLOOKUP('Données projet'!$B$14,Paramètres!$A$1:$I$88,3,0)*0.475*44/12</f>
        <v>1.0979374602490799E-19</v>
      </c>
      <c r="ED167" s="24">
        <f t="shared" si="178"/>
        <v>0.35318013553546224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-1.9895196601282805E-13</v>
      </c>
      <c r="EK167" s="18">
        <f>EJ167*VLOOKUP('Données projet'!$B$15,Paramètres!$A$1:$I$88,3,0)*VLOOKUP('Données projet'!$B$15,Paramètres!$A$1:$I$88,5,0)</f>
        <v>-1.738044375088066E-13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202.5548390231225</v>
      </c>
      <c r="EP167" s="62">
        <f t="shared" si="154"/>
        <v>184.62184077734179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projet'!$B$15,Paramètres!$A$1:$I$88,3,0)*0.475*44/12</f>
        <v>0</v>
      </c>
      <c r="EW167" s="23">
        <f>EXP(-LN(2)/25)*EW166+(1-EXP(-LN(2)/25))/(LN(2)/25)*Calculateur!ER167*Calculateur!ET167*VLOOKUP('Données projet'!$B$15,Paramètres!$A$1:$I$88,3,0)*0.475*44/12</f>
        <v>0</v>
      </c>
      <c r="EX167" s="23">
        <f>EXP(-LN(2)/2)*EX166+(1-EXP(-LN(2)/2))/(LN(2)/2)*ER167*EU167*VLOOKUP('Données projet'!$B$15,Paramètres!$A$1:$I$88,3,0)*0.475*44/12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-5.1159076974727213E-13</v>
      </c>
      <c r="FF167" s="18">
        <f>FE167*VLOOKUP('Données projet'!$B$16,Paramètres!$A$1:$I$88,3,0)*VLOOKUP('Données projet'!$B$16,Paramètres!$A$1:$I$88,5,0)</f>
        <v>-4.9481059249956164E-13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456.96274622094955</v>
      </c>
      <c r="FK167" s="62">
        <f t="shared" si="156"/>
        <v>244.45149244446094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projet'!$B$16,Paramètres!$A$1:$I$88,3,0)*0.475*44/12</f>
        <v>0</v>
      </c>
      <c r="FR167" s="23">
        <f>EXP(-LN(2)/25)*FR166+(1-EXP(-LN(2)/25))/(LN(2)/25)*Calculateur!FM167*Calculateur!FO167*VLOOKUP('Données projet'!$B$16,Paramètres!$A$1:$I$88,3,0)*0.475*44/12</f>
        <v>0</v>
      </c>
      <c r="FS167" s="23">
        <f>EXP(-LN(2)/2)*FS166+(1-EXP(-LN(2)/2))/(LN(2)/2)*FM167*FP167*VLOOKUP('Données projet'!$B$16,Paramètres!$A$1:$I$88,3,0)*0.475*44/12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-5.1159076974727213E-13</v>
      </c>
      <c r="GA167" s="18">
        <f>FZ167*VLOOKUP('Données projet'!$B$17,Paramètres!$A$1:$I$88,3,0)*VLOOKUP('Données projet'!$B$17,Paramètres!$A$1:$I$88,5,0)</f>
        <v>-5.5067630455596371E-13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503.69304261527651</v>
      </c>
      <c r="GF167" s="62">
        <f t="shared" si="158"/>
        <v>267.2998309535638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projet'!$B$17,Paramètres!$A$1:$I$88,3,0)*0.475*44/12</f>
        <v>0</v>
      </c>
      <c r="GM167" s="23">
        <f>EXP(-LN(2)/25)*GM166+(1-EXP(-LN(2)/25))/(LN(2)/25)*Calculateur!GH167*Calculateur!GJ167*VLOOKUP('Données projet'!$B$17,Paramètres!$A$1:$I$88,3,0)*0.475*44/12</f>
        <v>0</v>
      </c>
      <c r="GN167" s="23">
        <f>EXP(-LN(2)/2)*GN166+(1-EXP(-LN(2)/2))/(LN(2)/2)*GH167*GK167*VLOOKUP('Données projet'!$B$17,Paramètres!$A$1:$I$88,3,0)*0.475*44/12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-3.979039320256561E-13</v>
      </c>
      <c r="GV167" s="18">
        <f>GU167*VLOOKUP('Données projet'!$B$18,Paramètres!$A$1:$I$88,3,0)*VLOOKUP('Données projet'!$B$18,Paramètres!$A$1:$I$88,5,0)</f>
        <v>-4.158891897532158E-13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582.89879210197682</v>
      </c>
      <c r="HA167" s="62">
        <f t="shared" si="160"/>
        <v>314.72094983133326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projet'!$B$18,Paramètres!$A$1:$I$88,3,0)*0.475*44/12</f>
        <v>0</v>
      </c>
      <c r="HH167" s="23">
        <f>EXP(-LN(2)/25)*HH166+(1-EXP(-LN(2)/25))/(LN(2)/25)*Calculateur!HC167*Calculateur!HE167*VLOOKUP('Données projet'!$B$18,Paramètres!$A$1:$I$88,3,0)*0.475*44/12</f>
        <v>0</v>
      </c>
      <c r="HI167" s="23">
        <f>EXP(-LN(2)/2)*HI166+(1-EXP(-LN(2)/2))/(LN(2)/2)*HC167*HF167*VLOOKUP('Données projet'!$B$18,Paramètres!$A$1:$I$88,3,0)*0.475*44/12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projet'!$B$9,Paramètres!$A$1:$I$88,3,0)*VLOOKUP('Données projet'!$B$9,Paramètres!$A$1:$I$88,5,0)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399.92909819003523</v>
      </c>
      <c r="T168" s="62">
        <f t="shared" si="142"/>
        <v>163.7053537268381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-3.979039320256561E-13</v>
      </c>
      <c r="AJ168" s="14">
        <f>AI168*VLOOKUP('Données projet'!$B$10,Paramètres!$A$1:$I$88,3,0)*VLOOKUP('Données projet'!$B$10,Paramètres!$A$1:$I$88,5,0)</f>
        <v>-3.6002347769681362E-13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510.56580450928806</v>
      </c>
      <c r="AO168" s="62">
        <f t="shared" si="144"/>
        <v>278.21741231699929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-5.1159076974727213E-13</v>
      </c>
      <c r="BE168" s="14">
        <f>BD168*VLOOKUP('Données projet'!$B$11,Paramètres!$A$1:$I$88,3,0)*VLOOKUP('Données projet'!$B$11,Paramètres!$A$1:$I$88,5,0)</f>
        <v>-4.8682977649150421E-13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525.51330555662139</v>
      </c>
      <c r="BJ168" s="62">
        <f t="shared" si="146"/>
        <v>357.72390083433635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1.7053025658242404E-13</v>
      </c>
      <c r="BZ168" s="14">
        <f>BY168*VLOOKUP('Données projet'!$B$12,Paramètres!$A$1:$I$88,3,0)*VLOOKUP('Données projet'!$B$12,Paramètres!$A$1:$I$88,5,0)</f>
        <v>1.0197709343628959E-13</v>
      </c>
      <c r="CA168" s="14">
        <f t="shared" si="170"/>
        <v>1.5284983994279675E-12</v>
      </c>
      <c r="CB168" s="22">
        <f t="shared" si="171"/>
        <v>2.839744816738581E-12</v>
      </c>
      <c r="CC168" s="62">
        <f t="shared" si="119"/>
        <v>293.33333333333616</v>
      </c>
      <c r="CD168" s="62">
        <f ca="1">AVERAGE(OFFSET($CC$3,0,0,'Données projet'!$E$12+1,1))-AVERAGE(OFFSET($H$3,0,0,'Données projet'!$E$12+1,1))</f>
        <v>227.46616726010473</v>
      </c>
      <c r="CE168" s="62">
        <f t="shared" si="148"/>
        <v>314.188568589113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8.3031821642842054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6.6608056273334485E-17</v>
      </c>
      <c r="CN168" s="24">
        <f t="shared" si="172"/>
        <v>8.3031821642842054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projet'!$B$13,Paramètres!$A$1:$I$88,3,0)*VLOOKUP('Données projet'!$B$13,Paramètres!$A$1:$I$88,5,0)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356.46794174556311</v>
      </c>
      <c r="CZ168" s="62">
        <f t="shared" si="150"/>
        <v>248.47107558211923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0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projet'!$B$14,Paramètres!$A$1:$I$88,3,0)*VLOOKUP('Données projet'!$B$14,Paramètres!$A$1:$I$88,5,0)</f>
        <v>6.3550942286383367E-14</v>
      </c>
      <c r="DQ168" s="14">
        <f t="shared" si="176"/>
        <v>1.0064464192543978E-12</v>
      </c>
      <c r="DR168" s="22">
        <f t="shared" si="177"/>
        <v>1.8635787380168604E-12</v>
      </c>
      <c r="DS168" s="62">
        <f t="shared" si="125"/>
        <v>293.33333333333519</v>
      </c>
      <c r="DT168" s="62">
        <f ca="1">AVERAGE(OFFSET($DS$3,0,0,'Données projet'!$E$14+1,1))-AVERAGE(OFFSET($H$3,0,0,'Données projet'!$E$14+1,1))</f>
        <v>397.04445188588369</v>
      </c>
      <c r="DU168" s="62">
        <f t="shared" si="152"/>
        <v>350.01856672839466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0.3462544884962237</v>
      </c>
      <c r="EB168" s="23">
        <f>EXP(-LN(2)/25)*EB167+(1-EXP(-LN(2)/25))/(LN(2)/25)*Calculateur!DW168*Calculateur!DY168*VLOOKUP('Données projet'!$B$14,Paramètres!$A$1:$I$88,3,0)*0.475*44/12</f>
        <v>0</v>
      </c>
      <c r="EC168" s="23">
        <f>EXP(-LN(2)/2)*EC167+(1-EXP(-LN(2)/2))/(LN(2)/2)*DW168*DZ168*VLOOKUP('Données projet'!$B$14,Paramètres!$A$1:$I$88,3,0)*0.475*44/12</f>
        <v>7.763590234608599E-20</v>
      </c>
      <c r="ED168" s="24">
        <f t="shared" si="178"/>
        <v>0.3462544884962237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-1.9895196601282805E-13</v>
      </c>
      <c r="EK168" s="18">
        <f>EJ168*VLOOKUP('Données projet'!$B$15,Paramètres!$A$1:$I$88,3,0)*VLOOKUP('Données projet'!$B$15,Paramètres!$A$1:$I$88,5,0)</f>
        <v>-1.738044375088066E-13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202.5548390231225</v>
      </c>
      <c r="EP168" s="62">
        <f t="shared" si="154"/>
        <v>184.62184077734179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projet'!$B$15,Paramètres!$A$1:$I$88,3,0)*0.475*44/12</f>
        <v>0</v>
      </c>
      <c r="EW168" s="23">
        <f>EXP(-LN(2)/25)*EW167+(1-EXP(-LN(2)/25))/(LN(2)/25)*Calculateur!ER168*Calculateur!ET168*VLOOKUP('Données projet'!$B$15,Paramètres!$A$1:$I$88,3,0)*0.475*44/12</f>
        <v>0</v>
      </c>
      <c r="EX168" s="23">
        <f>EXP(-LN(2)/2)*EX167+(1-EXP(-LN(2)/2))/(LN(2)/2)*ER168*EU168*VLOOKUP('Données projet'!$B$15,Paramètres!$A$1:$I$88,3,0)*0.475*44/12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-5.1159076974727213E-13</v>
      </c>
      <c r="FF168" s="18">
        <f>FE168*VLOOKUP('Données projet'!$B$16,Paramètres!$A$1:$I$88,3,0)*VLOOKUP('Données projet'!$B$16,Paramètres!$A$1:$I$88,5,0)</f>
        <v>-4.9481059249956164E-13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456.96274622094955</v>
      </c>
      <c r="FK168" s="62">
        <f t="shared" si="156"/>
        <v>244.45149244446094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projet'!$B$16,Paramètres!$A$1:$I$88,3,0)*0.475*44/12</f>
        <v>0</v>
      </c>
      <c r="FR168" s="23">
        <f>EXP(-LN(2)/25)*FR167+(1-EXP(-LN(2)/25))/(LN(2)/25)*Calculateur!FM168*Calculateur!FO168*VLOOKUP('Données projet'!$B$16,Paramètres!$A$1:$I$88,3,0)*0.475*44/12</f>
        <v>0</v>
      </c>
      <c r="FS168" s="23">
        <f>EXP(-LN(2)/2)*FS167+(1-EXP(-LN(2)/2))/(LN(2)/2)*FM168*FP168*VLOOKUP('Données projet'!$B$16,Paramètres!$A$1:$I$88,3,0)*0.475*44/12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-5.1159076974727213E-13</v>
      </c>
      <c r="GA168" s="18">
        <f>FZ168*VLOOKUP('Données projet'!$B$17,Paramètres!$A$1:$I$88,3,0)*VLOOKUP('Données projet'!$B$17,Paramètres!$A$1:$I$88,5,0)</f>
        <v>-5.5067630455596371E-13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503.69304261527651</v>
      </c>
      <c r="GF168" s="62">
        <f t="shared" si="158"/>
        <v>267.2998309535638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projet'!$B$17,Paramètres!$A$1:$I$88,3,0)*0.475*44/12</f>
        <v>0</v>
      </c>
      <c r="GM168" s="23">
        <f>EXP(-LN(2)/25)*GM167+(1-EXP(-LN(2)/25))/(LN(2)/25)*Calculateur!GH168*Calculateur!GJ168*VLOOKUP('Données projet'!$B$17,Paramètres!$A$1:$I$88,3,0)*0.475*44/12</f>
        <v>0</v>
      </c>
      <c r="GN168" s="23">
        <f>EXP(-LN(2)/2)*GN167+(1-EXP(-LN(2)/2))/(LN(2)/2)*GH168*GK168*VLOOKUP('Données projet'!$B$17,Paramètres!$A$1:$I$88,3,0)*0.475*44/12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-3.979039320256561E-13</v>
      </c>
      <c r="GV168" s="18">
        <f>GU168*VLOOKUP('Données projet'!$B$18,Paramètres!$A$1:$I$88,3,0)*VLOOKUP('Données projet'!$B$18,Paramètres!$A$1:$I$88,5,0)</f>
        <v>-4.158891897532158E-13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582.89879210197682</v>
      </c>
      <c r="HA168" s="62">
        <f t="shared" si="160"/>
        <v>314.72094983133326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projet'!$B$18,Paramètres!$A$1:$I$88,3,0)*0.475*44/12</f>
        <v>0</v>
      </c>
      <c r="HH168" s="23">
        <f>EXP(-LN(2)/25)*HH167+(1-EXP(-LN(2)/25))/(LN(2)/25)*Calculateur!HC168*Calculateur!HE168*VLOOKUP('Données projet'!$B$18,Paramètres!$A$1:$I$88,3,0)*0.475*44/12</f>
        <v>0</v>
      </c>
      <c r="HI168" s="23">
        <f>EXP(-LN(2)/2)*HI167+(1-EXP(-LN(2)/2))/(LN(2)/2)*HC168*HF168*VLOOKUP('Données projet'!$B$18,Paramètres!$A$1:$I$88,3,0)*0.475*44/12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projet'!$B$9,Paramètres!$A$1:$I$88,3,0)*VLOOKUP('Données projet'!$B$9,Paramètres!$A$1:$I$88,5,0)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399.92909819003523</v>
      </c>
      <c r="T169" s="62">
        <f t="shared" si="142"/>
        <v>163.7053537268381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-3.979039320256561E-13</v>
      </c>
      <c r="AJ169" s="14">
        <f>AI169*VLOOKUP('Données projet'!$B$10,Paramètres!$A$1:$I$88,3,0)*VLOOKUP('Données projet'!$B$10,Paramètres!$A$1:$I$88,5,0)</f>
        <v>-3.6002347769681362E-13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510.56580450928806</v>
      </c>
      <c r="AO169" s="62">
        <f t="shared" si="144"/>
        <v>278.21741231699929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-5.1159076974727213E-13</v>
      </c>
      <c r="BE169" s="14">
        <f>BD169*VLOOKUP('Données projet'!$B$11,Paramètres!$A$1:$I$88,3,0)*VLOOKUP('Données projet'!$B$11,Paramètres!$A$1:$I$88,5,0)</f>
        <v>-4.8682977649150421E-13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525.51330555662139</v>
      </c>
      <c r="BJ169" s="62">
        <f t="shared" si="146"/>
        <v>357.72390083433635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1.7053025658242404E-13</v>
      </c>
      <c r="BZ169" s="14">
        <f>BY169*VLOOKUP('Données projet'!$B$12,Paramètres!$A$1:$I$88,3,0)*VLOOKUP('Données projet'!$B$12,Paramètres!$A$1:$I$88,5,0)</f>
        <v>1.0197709343628959E-13</v>
      </c>
      <c r="CA169" s="14">
        <f t="shared" si="170"/>
        <v>1.5284983994279675E-12</v>
      </c>
      <c r="CB169" s="22">
        <f t="shared" si="171"/>
        <v>2.839744816738581E-12</v>
      </c>
      <c r="CC169" s="62">
        <f t="shared" si="119"/>
        <v>293.33333333333616</v>
      </c>
      <c r="CD169" s="62">
        <f ca="1">AVERAGE(OFFSET($CC$3,0,0,'Données projet'!$E$12+1,1))-AVERAGE(OFFSET($H$3,0,0,'Données projet'!$E$12+1,1))</f>
        <v>227.46616726010473</v>
      </c>
      <c r="CE169" s="62">
        <f t="shared" si="148"/>
        <v>314.188568589113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8.140361826483641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4.7099008272529972E-17</v>
      </c>
      <c r="CN169" s="24">
        <f t="shared" si="172"/>
        <v>8.140361826483641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projet'!$B$13,Paramètres!$A$1:$I$88,3,0)*VLOOKUP('Données projet'!$B$13,Paramètres!$A$1:$I$88,5,0)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356.46794174556311</v>
      </c>
      <c r="CZ169" s="62">
        <f t="shared" si="150"/>
        <v>248.47107558211923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0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projet'!$B$14,Paramètres!$A$1:$I$88,3,0)*VLOOKUP('Données projet'!$B$14,Paramètres!$A$1:$I$88,5,0)</f>
        <v>6.3550942286383367E-14</v>
      </c>
      <c r="DQ169" s="14">
        <f t="shared" si="176"/>
        <v>1.0064464192543978E-12</v>
      </c>
      <c r="DR169" s="22">
        <f t="shared" si="177"/>
        <v>1.8635787380168604E-12</v>
      </c>
      <c r="DS169" s="62">
        <f t="shared" si="125"/>
        <v>293.33333333333519</v>
      </c>
      <c r="DT169" s="62">
        <f ca="1">AVERAGE(OFFSET($DS$3,0,0,'Données projet'!$E$14+1,1))-AVERAGE(OFFSET($H$3,0,0,'Données projet'!$E$14+1,1))</f>
        <v>397.04445188588369</v>
      </c>
      <c r="DU169" s="62">
        <f t="shared" si="152"/>
        <v>350.01856672839466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0.33946464917119701</v>
      </c>
      <c r="EB169" s="23">
        <f>EXP(-LN(2)/25)*EB168+(1-EXP(-LN(2)/25))/(LN(2)/25)*Calculateur!DW169*Calculateur!DY169*VLOOKUP('Données projet'!$B$14,Paramètres!$A$1:$I$88,3,0)*0.475*44/12</f>
        <v>0</v>
      </c>
      <c r="EC169" s="23">
        <f>EXP(-LN(2)/2)*EC168+(1-EXP(-LN(2)/2))/(LN(2)/2)*DW169*DZ169*VLOOKUP('Données projet'!$B$14,Paramètres!$A$1:$I$88,3,0)*0.475*44/12</f>
        <v>5.4896873012453997E-20</v>
      </c>
      <c r="ED169" s="24">
        <f t="shared" si="178"/>
        <v>0.33946464917119701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-1.9895196601282805E-13</v>
      </c>
      <c r="EK169" s="18">
        <f>EJ169*VLOOKUP('Données projet'!$B$15,Paramètres!$A$1:$I$88,3,0)*VLOOKUP('Données projet'!$B$15,Paramètres!$A$1:$I$88,5,0)</f>
        <v>-1.738044375088066E-13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202.5548390231225</v>
      </c>
      <c r="EP169" s="62">
        <f t="shared" si="154"/>
        <v>184.62184077734179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projet'!$B$15,Paramètres!$A$1:$I$88,3,0)*0.475*44/12</f>
        <v>0</v>
      </c>
      <c r="EW169" s="23">
        <f>EXP(-LN(2)/25)*EW168+(1-EXP(-LN(2)/25))/(LN(2)/25)*Calculateur!ER169*Calculateur!ET169*VLOOKUP('Données projet'!$B$15,Paramètres!$A$1:$I$88,3,0)*0.475*44/12</f>
        <v>0</v>
      </c>
      <c r="EX169" s="23">
        <f>EXP(-LN(2)/2)*EX168+(1-EXP(-LN(2)/2))/(LN(2)/2)*ER169*EU169*VLOOKUP('Données projet'!$B$15,Paramètres!$A$1:$I$88,3,0)*0.475*44/12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-5.1159076974727213E-13</v>
      </c>
      <c r="FF169" s="18">
        <f>FE169*VLOOKUP('Données projet'!$B$16,Paramètres!$A$1:$I$88,3,0)*VLOOKUP('Données projet'!$B$16,Paramètres!$A$1:$I$88,5,0)</f>
        <v>-4.9481059249956164E-13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456.96274622094955</v>
      </c>
      <c r="FK169" s="62">
        <f t="shared" si="156"/>
        <v>244.45149244446094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projet'!$B$16,Paramètres!$A$1:$I$88,3,0)*0.475*44/12</f>
        <v>0</v>
      </c>
      <c r="FR169" s="23">
        <f>EXP(-LN(2)/25)*FR168+(1-EXP(-LN(2)/25))/(LN(2)/25)*Calculateur!FM169*Calculateur!FO169*VLOOKUP('Données projet'!$B$16,Paramètres!$A$1:$I$88,3,0)*0.475*44/12</f>
        <v>0</v>
      </c>
      <c r="FS169" s="23">
        <f>EXP(-LN(2)/2)*FS168+(1-EXP(-LN(2)/2))/(LN(2)/2)*FM169*FP169*VLOOKUP('Données projet'!$B$16,Paramètres!$A$1:$I$88,3,0)*0.475*44/12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-5.1159076974727213E-13</v>
      </c>
      <c r="GA169" s="18">
        <f>FZ169*VLOOKUP('Données projet'!$B$17,Paramètres!$A$1:$I$88,3,0)*VLOOKUP('Données projet'!$B$17,Paramètres!$A$1:$I$88,5,0)</f>
        <v>-5.5067630455596371E-13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503.69304261527651</v>
      </c>
      <c r="GF169" s="62">
        <f t="shared" si="158"/>
        <v>267.2998309535638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projet'!$B$17,Paramètres!$A$1:$I$88,3,0)*0.475*44/12</f>
        <v>0</v>
      </c>
      <c r="GM169" s="23">
        <f>EXP(-LN(2)/25)*GM168+(1-EXP(-LN(2)/25))/(LN(2)/25)*Calculateur!GH169*Calculateur!GJ169*VLOOKUP('Données projet'!$B$17,Paramètres!$A$1:$I$88,3,0)*0.475*44/12</f>
        <v>0</v>
      </c>
      <c r="GN169" s="23">
        <f>EXP(-LN(2)/2)*GN168+(1-EXP(-LN(2)/2))/(LN(2)/2)*GH169*GK169*VLOOKUP('Données projet'!$B$17,Paramètres!$A$1:$I$88,3,0)*0.475*44/12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-3.979039320256561E-13</v>
      </c>
      <c r="GV169" s="18">
        <f>GU169*VLOOKUP('Données projet'!$B$18,Paramètres!$A$1:$I$88,3,0)*VLOOKUP('Données projet'!$B$18,Paramètres!$A$1:$I$88,5,0)</f>
        <v>-4.158891897532158E-13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582.89879210197682</v>
      </c>
      <c r="HA169" s="62">
        <f t="shared" si="160"/>
        <v>314.72094983133326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projet'!$B$18,Paramètres!$A$1:$I$88,3,0)*0.475*44/12</f>
        <v>0</v>
      </c>
      <c r="HH169" s="23">
        <f>EXP(-LN(2)/25)*HH168+(1-EXP(-LN(2)/25))/(LN(2)/25)*Calculateur!HC169*Calculateur!HE169*VLOOKUP('Données projet'!$B$18,Paramètres!$A$1:$I$88,3,0)*0.475*44/12</f>
        <v>0</v>
      </c>
      <c r="HI169" s="23">
        <f>EXP(-LN(2)/2)*HI168+(1-EXP(-LN(2)/2))/(LN(2)/2)*HC169*HF169*VLOOKUP('Données projet'!$B$18,Paramètres!$A$1:$I$88,3,0)*0.475*44/12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projet'!$B$9,Paramètres!$A$1:$I$88,3,0)*VLOOKUP('Données projet'!$B$9,Paramètres!$A$1:$I$88,5,0)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399.92909819003523</v>
      </c>
      <c r="T170" s="62">
        <f t="shared" si="142"/>
        <v>163.7053537268381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-3.979039320256561E-13</v>
      </c>
      <c r="AJ170" s="14">
        <f>AI170*VLOOKUP('Données projet'!$B$10,Paramètres!$A$1:$I$88,3,0)*VLOOKUP('Données projet'!$B$10,Paramètres!$A$1:$I$88,5,0)</f>
        <v>-3.6002347769681362E-13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510.56580450928806</v>
      </c>
      <c r="AO170" s="62">
        <f t="shared" si="144"/>
        <v>278.21741231699929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-5.1159076974727213E-13</v>
      </c>
      <c r="BE170" s="14">
        <f>BD170*VLOOKUP('Données projet'!$B$11,Paramètres!$A$1:$I$88,3,0)*VLOOKUP('Données projet'!$B$11,Paramètres!$A$1:$I$88,5,0)</f>
        <v>-4.8682977649150421E-13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525.51330555662139</v>
      </c>
      <c r="BJ170" s="62">
        <f t="shared" si="146"/>
        <v>357.72390083433635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1.7053025658242404E-13</v>
      </c>
      <c r="BZ170" s="14">
        <f>BY170*VLOOKUP('Données projet'!$B$12,Paramètres!$A$1:$I$88,3,0)*VLOOKUP('Données projet'!$B$12,Paramètres!$A$1:$I$88,5,0)</f>
        <v>1.0197709343628959E-13</v>
      </c>
      <c r="CA170" s="14">
        <f t="shared" si="170"/>
        <v>1.5284983994279675E-12</v>
      </c>
      <c r="CB170" s="22">
        <f t="shared" si="171"/>
        <v>2.839744816738581E-12</v>
      </c>
      <c r="CC170" s="62">
        <f t="shared" si="119"/>
        <v>293.33333333333616</v>
      </c>
      <c r="CD170" s="62">
        <f ca="1">AVERAGE(OFFSET($CC$3,0,0,'Données projet'!$E$12+1,1))-AVERAGE(OFFSET($H$3,0,0,'Données projet'!$E$12+1,1))</f>
        <v>227.46616726010473</v>
      </c>
      <c r="CE170" s="62">
        <f t="shared" si="148"/>
        <v>314.188568589113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7.9807342961967453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3.3304028136667242E-17</v>
      </c>
      <c r="CN170" s="24">
        <f t="shared" si="172"/>
        <v>7.9807342961967453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projet'!$B$13,Paramètres!$A$1:$I$88,3,0)*VLOOKUP('Données projet'!$B$13,Paramètres!$A$1:$I$88,5,0)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356.46794174556311</v>
      </c>
      <c r="CZ170" s="62">
        <f t="shared" si="150"/>
        <v>248.47107558211923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0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projet'!$B$14,Paramètres!$A$1:$I$88,3,0)*VLOOKUP('Données projet'!$B$14,Paramètres!$A$1:$I$88,5,0)</f>
        <v>6.3550942286383367E-14</v>
      </c>
      <c r="DQ170" s="14">
        <f t="shared" si="176"/>
        <v>1.0064464192543978E-12</v>
      </c>
      <c r="DR170" s="22">
        <f t="shared" si="177"/>
        <v>1.8635787380168604E-12</v>
      </c>
      <c r="DS170" s="62">
        <f t="shared" si="125"/>
        <v>293.33333333333519</v>
      </c>
      <c r="DT170" s="62">
        <f ca="1">AVERAGE(OFFSET($DS$3,0,0,'Données projet'!$E$14+1,1))-AVERAGE(OFFSET($H$3,0,0,'Données projet'!$E$14+1,1))</f>
        <v>397.04445188588369</v>
      </c>
      <c r="DU170" s="62">
        <f t="shared" si="152"/>
        <v>350.01856672839466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0.33280795445394107</v>
      </c>
      <c r="EB170" s="23">
        <f>EXP(-LN(2)/25)*EB169+(1-EXP(-LN(2)/25))/(LN(2)/25)*Calculateur!DW170*Calculateur!DY170*VLOOKUP('Données projet'!$B$14,Paramètres!$A$1:$I$88,3,0)*0.475*44/12</f>
        <v>0</v>
      </c>
      <c r="EC170" s="23">
        <f>EXP(-LN(2)/2)*EC169+(1-EXP(-LN(2)/2))/(LN(2)/2)*DW170*DZ170*VLOOKUP('Données projet'!$B$14,Paramètres!$A$1:$I$88,3,0)*0.475*44/12</f>
        <v>3.8817951173042995E-20</v>
      </c>
      <c r="ED170" s="24">
        <f t="shared" si="178"/>
        <v>0.33280795445394107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-1.9895196601282805E-13</v>
      </c>
      <c r="EK170" s="18">
        <f>EJ170*VLOOKUP('Données projet'!$B$15,Paramètres!$A$1:$I$88,3,0)*VLOOKUP('Données projet'!$B$15,Paramètres!$A$1:$I$88,5,0)</f>
        <v>-1.738044375088066E-13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202.5548390231225</v>
      </c>
      <c r="EP170" s="62">
        <f t="shared" si="154"/>
        <v>184.62184077734179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projet'!$B$15,Paramètres!$A$1:$I$88,3,0)*0.475*44/12</f>
        <v>0</v>
      </c>
      <c r="EW170" s="23">
        <f>EXP(-LN(2)/25)*EW169+(1-EXP(-LN(2)/25))/(LN(2)/25)*Calculateur!ER170*Calculateur!ET170*VLOOKUP('Données projet'!$B$15,Paramètres!$A$1:$I$88,3,0)*0.475*44/12</f>
        <v>0</v>
      </c>
      <c r="EX170" s="23">
        <f>EXP(-LN(2)/2)*EX169+(1-EXP(-LN(2)/2))/(LN(2)/2)*ER170*EU170*VLOOKUP('Données projet'!$B$15,Paramètres!$A$1:$I$88,3,0)*0.475*44/12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-5.1159076974727213E-13</v>
      </c>
      <c r="FF170" s="18">
        <f>FE170*VLOOKUP('Données projet'!$B$16,Paramètres!$A$1:$I$88,3,0)*VLOOKUP('Données projet'!$B$16,Paramètres!$A$1:$I$88,5,0)</f>
        <v>-4.9481059249956164E-13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456.96274622094955</v>
      </c>
      <c r="FK170" s="62">
        <f t="shared" si="156"/>
        <v>244.45149244446094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projet'!$B$16,Paramètres!$A$1:$I$88,3,0)*0.475*44/12</f>
        <v>0</v>
      </c>
      <c r="FR170" s="23">
        <f>EXP(-LN(2)/25)*FR169+(1-EXP(-LN(2)/25))/(LN(2)/25)*Calculateur!FM170*Calculateur!FO170*VLOOKUP('Données projet'!$B$16,Paramètres!$A$1:$I$88,3,0)*0.475*44/12</f>
        <v>0</v>
      </c>
      <c r="FS170" s="23">
        <f>EXP(-LN(2)/2)*FS169+(1-EXP(-LN(2)/2))/(LN(2)/2)*FM170*FP170*VLOOKUP('Données projet'!$B$16,Paramètres!$A$1:$I$88,3,0)*0.475*44/12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-5.1159076974727213E-13</v>
      </c>
      <c r="GA170" s="18">
        <f>FZ170*VLOOKUP('Données projet'!$B$17,Paramètres!$A$1:$I$88,3,0)*VLOOKUP('Données projet'!$B$17,Paramètres!$A$1:$I$88,5,0)</f>
        <v>-5.5067630455596371E-13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503.69304261527651</v>
      </c>
      <c r="GF170" s="62">
        <f t="shared" si="158"/>
        <v>267.2998309535638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projet'!$B$17,Paramètres!$A$1:$I$88,3,0)*0.475*44/12</f>
        <v>0</v>
      </c>
      <c r="GM170" s="23">
        <f>EXP(-LN(2)/25)*GM169+(1-EXP(-LN(2)/25))/(LN(2)/25)*Calculateur!GH170*Calculateur!GJ170*VLOOKUP('Données projet'!$B$17,Paramètres!$A$1:$I$88,3,0)*0.475*44/12</f>
        <v>0</v>
      </c>
      <c r="GN170" s="23">
        <f>EXP(-LN(2)/2)*GN169+(1-EXP(-LN(2)/2))/(LN(2)/2)*GH170*GK170*VLOOKUP('Données projet'!$B$17,Paramètres!$A$1:$I$88,3,0)*0.475*44/12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-3.979039320256561E-13</v>
      </c>
      <c r="GV170" s="18">
        <f>GU170*VLOOKUP('Données projet'!$B$18,Paramètres!$A$1:$I$88,3,0)*VLOOKUP('Données projet'!$B$18,Paramètres!$A$1:$I$88,5,0)</f>
        <v>-4.158891897532158E-13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582.89879210197682</v>
      </c>
      <c r="HA170" s="62">
        <f t="shared" si="160"/>
        <v>314.72094983133326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projet'!$B$18,Paramètres!$A$1:$I$88,3,0)*0.475*44/12</f>
        <v>0</v>
      </c>
      <c r="HH170" s="23">
        <f>EXP(-LN(2)/25)*HH169+(1-EXP(-LN(2)/25))/(LN(2)/25)*Calculateur!HC170*Calculateur!HE170*VLOOKUP('Données projet'!$B$18,Paramètres!$A$1:$I$88,3,0)*0.475*44/12</f>
        <v>0</v>
      </c>
      <c r="HI170" s="23">
        <f>EXP(-LN(2)/2)*HI169+(1-EXP(-LN(2)/2))/(LN(2)/2)*HC170*HF170*VLOOKUP('Données projet'!$B$18,Paramètres!$A$1:$I$88,3,0)*0.475*44/12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projet'!$B$9,Paramètres!$A$1:$I$88,3,0)*VLOOKUP('Données projet'!$B$9,Paramètres!$A$1:$I$88,5,0)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399.92909819003523</v>
      </c>
      <c r="T171" s="62">
        <f t="shared" si="142"/>
        <v>163.7053537268381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-3.979039320256561E-13</v>
      </c>
      <c r="AJ171" s="14">
        <f>AI171*VLOOKUP('Données projet'!$B$10,Paramètres!$A$1:$I$88,3,0)*VLOOKUP('Données projet'!$B$10,Paramètres!$A$1:$I$88,5,0)</f>
        <v>-3.6002347769681362E-13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510.56580450928806</v>
      </c>
      <c r="AO171" s="62">
        <f t="shared" si="144"/>
        <v>278.21741231699929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-5.1159076974727213E-13</v>
      </c>
      <c r="BE171" s="14">
        <f>BD171*VLOOKUP('Données projet'!$B$11,Paramètres!$A$1:$I$88,3,0)*VLOOKUP('Données projet'!$B$11,Paramètres!$A$1:$I$88,5,0)</f>
        <v>-4.8682977649150421E-13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525.51330555662139</v>
      </c>
      <c r="BJ171" s="62">
        <f t="shared" si="146"/>
        <v>357.72390083433635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1.7053025658242404E-13</v>
      </c>
      <c r="BZ171" s="14">
        <f>BY171*VLOOKUP('Données projet'!$B$12,Paramètres!$A$1:$I$88,3,0)*VLOOKUP('Données projet'!$B$12,Paramètres!$A$1:$I$88,5,0)</f>
        <v>1.0197709343628959E-13</v>
      </c>
      <c r="CA171" s="14">
        <f t="shared" si="170"/>
        <v>1.5284983994279675E-12</v>
      </c>
      <c r="CB171" s="22">
        <f t="shared" si="171"/>
        <v>2.839744816738581E-12</v>
      </c>
      <c r="CC171" s="62">
        <f t="shared" si="119"/>
        <v>293.33333333333616</v>
      </c>
      <c r="CD171" s="62">
        <f ca="1">AVERAGE(OFFSET($CC$3,0,0,'Données projet'!$E$12+1,1))-AVERAGE(OFFSET($H$3,0,0,'Données projet'!$E$12+1,1))</f>
        <v>227.46616726010473</v>
      </c>
      <c r="CE171" s="62">
        <f t="shared" si="148"/>
        <v>314.188568589113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7.8242369644155954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2.3549504136264986E-17</v>
      </c>
      <c r="CN171" s="24">
        <f t="shared" si="172"/>
        <v>7.8242369644155954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projet'!$B$13,Paramètres!$A$1:$I$88,3,0)*VLOOKUP('Données projet'!$B$13,Paramètres!$A$1:$I$88,5,0)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356.46794174556311</v>
      </c>
      <c r="CZ171" s="62">
        <f t="shared" si="150"/>
        <v>248.47107558211923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0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projet'!$B$14,Paramètres!$A$1:$I$88,3,0)*VLOOKUP('Données projet'!$B$14,Paramètres!$A$1:$I$88,5,0)</f>
        <v>6.3550942286383367E-14</v>
      </c>
      <c r="DQ171" s="14">
        <f t="shared" si="176"/>
        <v>1.0064464192543978E-12</v>
      </c>
      <c r="DR171" s="22">
        <f t="shared" si="177"/>
        <v>1.8635787380168604E-12</v>
      </c>
      <c r="DS171" s="62">
        <f t="shared" si="125"/>
        <v>293.33333333333519</v>
      </c>
      <c r="DT171" s="62">
        <f ca="1">AVERAGE(OFFSET($DS$3,0,0,'Données projet'!$E$14+1,1))-AVERAGE(OFFSET($H$3,0,0,'Données projet'!$E$14+1,1))</f>
        <v>397.04445188588369</v>
      </c>
      <c r="DU171" s="62">
        <f t="shared" si="152"/>
        <v>350.01856672839466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0.3262817934599076</v>
      </c>
      <c r="EB171" s="23">
        <f>EXP(-LN(2)/25)*EB170+(1-EXP(-LN(2)/25))/(LN(2)/25)*Calculateur!DW171*Calculateur!DY171*VLOOKUP('Données projet'!$B$14,Paramètres!$A$1:$I$88,3,0)*0.475*44/12</f>
        <v>0</v>
      </c>
      <c r="EC171" s="23">
        <f>EXP(-LN(2)/2)*EC170+(1-EXP(-LN(2)/2))/(LN(2)/2)*DW171*DZ171*VLOOKUP('Données projet'!$B$14,Paramètres!$A$1:$I$88,3,0)*0.475*44/12</f>
        <v>2.7448436506226999E-20</v>
      </c>
      <c r="ED171" s="24">
        <f t="shared" si="178"/>
        <v>0.3262817934599076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-1.9895196601282805E-13</v>
      </c>
      <c r="EK171" s="18">
        <f>EJ171*VLOOKUP('Données projet'!$B$15,Paramètres!$A$1:$I$88,3,0)*VLOOKUP('Données projet'!$B$15,Paramètres!$A$1:$I$88,5,0)</f>
        <v>-1.738044375088066E-13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202.5548390231225</v>
      </c>
      <c r="EP171" s="62">
        <f t="shared" si="154"/>
        <v>184.62184077734179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projet'!$B$15,Paramètres!$A$1:$I$88,3,0)*0.475*44/12</f>
        <v>0</v>
      </c>
      <c r="EW171" s="23">
        <f>EXP(-LN(2)/25)*EW170+(1-EXP(-LN(2)/25))/(LN(2)/25)*Calculateur!ER171*Calculateur!ET171*VLOOKUP('Données projet'!$B$15,Paramètres!$A$1:$I$88,3,0)*0.475*44/12</f>
        <v>0</v>
      </c>
      <c r="EX171" s="23">
        <f>EXP(-LN(2)/2)*EX170+(1-EXP(-LN(2)/2))/(LN(2)/2)*ER171*EU171*VLOOKUP('Données projet'!$B$15,Paramètres!$A$1:$I$88,3,0)*0.475*44/12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-5.1159076974727213E-13</v>
      </c>
      <c r="FF171" s="18">
        <f>FE171*VLOOKUP('Données projet'!$B$16,Paramètres!$A$1:$I$88,3,0)*VLOOKUP('Données projet'!$B$16,Paramètres!$A$1:$I$88,5,0)</f>
        <v>-4.9481059249956164E-13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456.96274622094955</v>
      </c>
      <c r="FK171" s="62">
        <f t="shared" si="156"/>
        <v>244.45149244446094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projet'!$B$16,Paramètres!$A$1:$I$88,3,0)*0.475*44/12</f>
        <v>0</v>
      </c>
      <c r="FR171" s="23">
        <f>EXP(-LN(2)/25)*FR170+(1-EXP(-LN(2)/25))/(LN(2)/25)*Calculateur!FM171*Calculateur!FO171*VLOOKUP('Données projet'!$B$16,Paramètres!$A$1:$I$88,3,0)*0.475*44/12</f>
        <v>0</v>
      </c>
      <c r="FS171" s="23">
        <f>EXP(-LN(2)/2)*FS170+(1-EXP(-LN(2)/2))/(LN(2)/2)*FM171*FP171*VLOOKUP('Données projet'!$B$16,Paramètres!$A$1:$I$88,3,0)*0.475*44/12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-5.1159076974727213E-13</v>
      </c>
      <c r="GA171" s="18">
        <f>FZ171*VLOOKUP('Données projet'!$B$17,Paramètres!$A$1:$I$88,3,0)*VLOOKUP('Données projet'!$B$17,Paramètres!$A$1:$I$88,5,0)</f>
        <v>-5.5067630455596371E-13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503.69304261527651</v>
      </c>
      <c r="GF171" s="62">
        <f t="shared" si="158"/>
        <v>267.2998309535638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projet'!$B$17,Paramètres!$A$1:$I$88,3,0)*0.475*44/12</f>
        <v>0</v>
      </c>
      <c r="GM171" s="23">
        <f>EXP(-LN(2)/25)*GM170+(1-EXP(-LN(2)/25))/(LN(2)/25)*Calculateur!GH171*Calculateur!GJ171*VLOOKUP('Données projet'!$B$17,Paramètres!$A$1:$I$88,3,0)*0.475*44/12</f>
        <v>0</v>
      </c>
      <c r="GN171" s="23">
        <f>EXP(-LN(2)/2)*GN170+(1-EXP(-LN(2)/2))/(LN(2)/2)*GH171*GK171*VLOOKUP('Données projet'!$B$17,Paramètres!$A$1:$I$88,3,0)*0.475*44/12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-3.979039320256561E-13</v>
      </c>
      <c r="GV171" s="18">
        <f>GU171*VLOOKUP('Données projet'!$B$18,Paramètres!$A$1:$I$88,3,0)*VLOOKUP('Données projet'!$B$18,Paramètres!$A$1:$I$88,5,0)</f>
        <v>-4.158891897532158E-13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582.89879210197682</v>
      </c>
      <c r="HA171" s="62">
        <f t="shared" si="160"/>
        <v>314.72094983133326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projet'!$B$18,Paramètres!$A$1:$I$88,3,0)*0.475*44/12</f>
        <v>0</v>
      </c>
      <c r="HH171" s="23">
        <f>EXP(-LN(2)/25)*HH170+(1-EXP(-LN(2)/25))/(LN(2)/25)*Calculateur!HC171*Calculateur!HE171*VLOOKUP('Données projet'!$B$18,Paramètres!$A$1:$I$88,3,0)*0.475*44/12</f>
        <v>0</v>
      </c>
      <c r="HI171" s="23">
        <f>EXP(-LN(2)/2)*HI170+(1-EXP(-LN(2)/2))/(LN(2)/2)*HC171*HF171*VLOOKUP('Données projet'!$B$18,Paramètres!$A$1:$I$88,3,0)*0.475*44/12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projet'!$B$9,Paramètres!$A$1:$I$88,3,0)*VLOOKUP('Données projet'!$B$9,Paramètres!$A$1:$I$88,5,0)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399.92909819003523</v>
      </c>
      <c r="T172" s="62">
        <f t="shared" si="142"/>
        <v>163.7053537268381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-3.979039320256561E-13</v>
      </c>
      <c r="AJ172" s="14">
        <f>AI172*VLOOKUP('Données projet'!$B$10,Paramètres!$A$1:$I$88,3,0)*VLOOKUP('Données projet'!$B$10,Paramètres!$A$1:$I$88,5,0)</f>
        <v>-3.6002347769681362E-13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510.56580450928806</v>
      </c>
      <c r="AO172" s="62">
        <f t="shared" si="144"/>
        <v>278.21741231699929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-5.1159076974727213E-13</v>
      </c>
      <c r="BE172" s="14">
        <f>BD172*VLOOKUP('Données projet'!$B$11,Paramètres!$A$1:$I$88,3,0)*VLOOKUP('Données projet'!$B$11,Paramètres!$A$1:$I$88,5,0)</f>
        <v>-4.8682977649150421E-13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525.51330555662139</v>
      </c>
      <c r="BJ172" s="62">
        <f t="shared" si="146"/>
        <v>357.72390083433635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1.7053025658242404E-13</v>
      </c>
      <c r="BZ172" s="14">
        <f>BY172*VLOOKUP('Données projet'!$B$12,Paramètres!$A$1:$I$88,3,0)*VLOOKUP('Données projet'!$B$12,Paramètres!$A$1:$I$88,5,0)</f>
        <v>1.0197709343628959E-13</v>
      </c>
      <c r="CA172" s="14">
        <f t="shared" si="170"/>
        <v>1.5284983994279675E-12</v>
      </c>
      <c r="CB172" s="22">
        <f t="shared" si="171"/>
        <v>2.839744816738581E-12</v>
      </c>
      <c r="CC172" s="62">
        <f t="shared" si="119"/>
        <v>293.33333333333616</v>
      </c>
      <c r="CD172" s="62">
        <f ca="1">AVERAGE(OFFSET($CC$3,0,0,'Données projet'!$E$12+1,1))-AVERAGE(OFFSET($H$3,0,0,'Données projet'!$E$12+1,1))</f>
        <v>227.46616726010473</v>
      </c>
      <c r="CE172" s="62">
        <f t="shared" si="148"/>
        <v>314.188568589113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7.6708084498567271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1.6652014068333621E-17</v>
      </c>
      <c r="CN172" s="24">
        <f t="shared" si="172"/>
        <v>7.6708084498567271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projet'!$B$13,Paramètres!$A$1:$I$88,3,0)*VLOOKUP('Données projet'!$B$13,Paramètres!$A$1:$I$88,5,0)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356.46794174556311</v>
      </c>
      <c r="CZ172" s="62">
        <f t="shared" si="150"/>
        <v>248.47107558211923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0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projet'!$B$14,Paramètres!$A$1:$I$88,3,0)*VLOOKUP('Données projet'!$B$14,Paramètres!$A$1:$I$88,5,0)</f>
        <v>6.3550942286383367E-14</v>
      </c>
      <c r="DQ172" s="14">
        <f t="shared" si="176"/>
        <v>1.0064464192543978E-12</v>
      </c>
      <c r="DR172" s="22">
        <f t="shared" si="177"/>
        <v>1.8635787380168604E-12</v>
      </c>
      <c r="DS172" s="62">
        <f t="shared" si="125"/>
        <v>293.33333333333519</v>
      </c>
      <c r="DT172" s="62">
        <f ca="1">AVERAGE(OFFSET($DS$3,0,0,'Données projet'!$E$14+1,1))-AVERAGE(OFFSET($H$3,0,0,'Données projet'!$E$14+1,1))</f>
        <v>397.04445188588369</v>
      </c>
      <c r="DU172" s="62">
        <f t="shared" si="152"/>
        <v>350.01856672839466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0.319883606502402</v>
      </c>
      <c r="EB172" s="23">
        <f>EXP(-LN(2)/25)*EB171+(1-EXP(-LN(2)/25))/(LN(2)/25)*Calculateur!DW172*Calculateur!DY172*VLOOKUP('Données projet'!$B$14,Paramètres!$A$1:$I$88,3,0)*0.475*44/12</f>
        <v>0</v>
      </c>
      <c r="EC172" s="23">
        <f>EXP(-LN(2)/2)*EC171+(1-EXP(-LN(2)/2))/(LN(2)/2)*DW172*DZ172*VLOOKUP('Données projet'!$B$14,Paramètres!$A$1:$I$88,3,0)*0.475*44/12</f>
        <v>1.9408975586521497E-20</v>
      </c>
      <c r="ED172" s="24">
        <f t="shared" si="178"/>
        <v>0.319883606502402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-1.9895196601282805E-13</v>
      </c>
      <c r="EK172" s="18">
        <f>EJ172*VLOOKUP('Données projet'!$B$15,Paramètres!$A$1:$I$88,3,0)*VLOOKUP('Données projet'!$B$15,Paramètres!$A$1:$I$88,5,0)</f>
        <v>-1.738044375088066E-13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202.5548390231225</v>
      </c>
      <c r="EP172" s="62">
        <f t="shared" si="154"/>
        <v>184.62184077734179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projet'!$B$15,Paramètres!$A$1:$I$88,3,0)*0.475*44/12</f>
        <v>0</v>
      </c>
      <c r="EW172" s="23">
        <f>EXP(-LN(2)/25)*EW171+(1-EXP(-LN(2)/25))/(LN(2)/25)*Calculateur!ER172*Calculateur!ET172*VLOOKUP('Données projet'!$B$15,Paramètres!$A$1:$I$88,3,0)*0.475*44/12</f>
        <v>0</v>
      </c>
      <c r="EX172" s="23">
        <f>EXP(-LN(2)/2)*EX171+(1-EXP(-LN(2)/2))/(LN(2)/2)*ER172*EU172*VLOOKUP('Données projet'!$B$15,Paramètres!$A$1:$I$88,3,0)*0.475*44/12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-5.1159076974727213E-13</v>
      </c>
      <c r="FF172" s="18">
        <f>FE172*VLOOKUP('Données projet'!$B$16,Paramètres!$A$1:$I$88,3,0)*VLOOKUP('Données projet'!$B$16,Paramètres!$A$1:$I$88,5,0)</f>
        <v>-4.9481059249956164E-13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456.96274622094955</v>
      </c>
      <c r="FK172" s="62">
        <f t="shared" si="156"/>
        <v>244.45149244446094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projet'!$B$16,Paramètres!$A$1:$I$88,3,0)*0.475*44/12</f>
        <v>0</v>
      </c>
      <c r="FR172" s="23">
        <f>EXP(-LN(2)/25)*FR171+(1-EXP(-LN(2)/25))/(LN(2)/25)*Calculateur!FM172*Calculateur!FO172*VLOOKUP('Données projet'!$B$16,Paramètres!$A$1:$I$88,3,0)*0.475*44/12</f>
        <v>0</v>
      </c>
      <c r="FS172" s="23">
        <f>EXP(-LN(2)/2)*FS171+(1-EXP(-LN(2)/2))/(LN(2)/2)*FM172*FP172*VLOOKUP('Données projet'!$B$16,Paramètres!$A$1:$I$88,3,0)*0.475*44/12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-5.1159076974727213E-13</v>
      </c>
      <c r="GA172" s="18">
        <f>FZ172*VLOOKUP('Données projet'!$B$17,Paramètres!$A$1:$I$88,3,0)*VLOOKUP('Données projet'!$B$17,Paramètres!$A$1:$I$88,5,0)</f>
        <v>-5.5067630455596371E-13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503.69304261527651</v>
      </c>
      <c r="GF172" s="62">
        <f t="shared" si="158"/>
        <v>267.2998309535638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projet'!$B$17,Paramètres!$A$1:$I$88,3,0)*0.475*44/12</f>
        <v>0</v>
      </c>
      <c r="GM172" s="23">
        <f>EXP(-LN(2)/25)*GM171+(1-EXP(-LN(2)/25))/(LN(2)/25)*Calculateur!GH172*Calculateur!GJ172*VLOOKUP('Données projet'!$B$17,Paramètres!$A$1:$I$88,3,0)*0.475*44/12</f>
        <v>0</v>
      </c>
      <c r="GN172" s="23">
        <f>EXP(-LN(2)/2)*GN171+(1-EXP(-LN(2)/2))/(LN(2)/2)*GH172*GK172*VLOOKUP('Données projet'!$B$17,Paramètres!$A$1:$I$88,3,0)*0.475*44/12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-3.979039320256561E-13</v>
      </c>
      <c r="GV172" s="18">
        <f>GU172*VLOOKUP('Données projet'!$B$18,Paramètres!$A$1:$I$88,3,0)*VLOOKUP('Données projet'!$B$18,Paramètres!$A$1:$I$88,5,0)</f>
        <v>-4.158891897532158E-13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582.89879210197682</v>
      </c>
      <c r="HA172" s="62">
        <f t="shared" si="160"/>
        <v>314.72094983133326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projet'!$B$18,Paramètres!$A$1:$I$88,3,0)*0.475*44/12</f>
        <v>0</v>
      </c>
      <c r="HH172" s="23">
        <f>EXP(-LN(2)/25)*HH171+(1-EXP(-LN(2)/25))/(LN(2)/25)*Calculateur!HC172*Calculateur!HE172*VLOOKUP('Données projet'!$B$18,Paramètres!$A$1:$I$88,3,0)*0.475*44/12</f>
        <v>0</v>
      </c>
      <c r="HI172" s="23">
        <f>EXP(-LN(2)/2)*HI171+(1-EXP(-LN(2)/2))/(LN(2)/2)*HC172*HF172*VLOOKUP('Données projet'!$B$18,Paramètres!$A$1:$I$88,3,0)*0.475*44/12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projet'!$B$9,Paramètres!$A$1:$I$88,3,0)*VLOOKUP('Données projet'!$B$9,Paramètres!$A$1:$I$88,5,0)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399.92909819003523</v>
      </c>
      <c r="T173" s="62">
        <f t="shared" si="142"/>
        <v>163.7053537268381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-3.979039320256561E-13</v>
      </c>
      <c r="AJ173" s="14">
        <f>AI173*VLOOKUP('Données projet'!$B$10,Paramètres!$A$1:$I$88,3,0)*VLOOKUP('Données projet'!$B$10,Paramètres!$A$1:$I$88,5,0)</f>
        <v>-3.6002347769681362E-13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510.56580450928806</v>
      </c>
      <c r="AO173" s="62">
        <f t="shared" si="144"/>
        <v>278.21741231699929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-5.1159076974727213E-13</v>
      </c>
      <c r="BE173" s="14">
        <f>BD173*VLOOKUP('Données projet'!$B$11,Paramètres!$A$1:$I$88,3,0)*VLOOKUP('Données projet'!$B$11,Paramètres!$A$1:$I$88,5,0)</f>
        <v>-4.8682977649150421E-13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525.51330555662139</v>
      </c>
      <c r="BJ173" s="62">
        <f t="shared" si="146"/>
        <v>357.72390083433635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1.7053025658242404E-13</v>
      </c>
      <c r="BZ173" s="14">
        <f>BY173*VLOOKUP('Données projet'!$B$12,Paramètres!$A$1:$I$88,3,0)*VLOOKUP('Données projet'!$B$12,Paramètres!$A$1:$I$88,5,0)</f>
        <v>1.0197709343628959E-13</v>
      </c>
      <c r="CA173" s="14">
        <f t="shared" si="170"/>
        <v>1.5284983994279675E-12</v>
      </c>
      <c r="CB173" s="22">
        <f t="shared" si="171"/>
        <v>2.839744816738581E-12</v>
      </c>
      <c r="CC173" s="62">
        <f t="shared" si="119"/>
        <v>293.33333333333616</v>
      </c>
      <c r="CD173" s="62">
        <f ca="1">AVERAGE(OFFSET($CC$3,0,0,'Données projet'!$E$12+1,1))-AVERAGE(OFFSET($H$3,0,0,'Données projet'!$E$12+1,1))</f>
        <v>227.46616726010473</v>
      </c>
      <c r="CE173" s="62">
        <f t="shared" si="148"/>
        <v>314.188568589113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7.5203885748862049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1.1774752068132493E-17</v>
      </c>
      <c r="CN173" s="24">
        <f t="shared" si="172"/>
        <v>7.5203885748862049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projet'!$B$13,Paramètres!$A$1:$I$88,3,0)*VLOOKUP('Données projet'!$B$13,Paramètres!$A$1:$I$88,5,0)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356.46794174556311</v>
      </c>
      <c r="CZ173" s="62">
        <f t="shared" si="150"/>
        <v>248.47107558211923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0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projet'!$B$14,Paramètres!$A$1:$I$88,3,0)*VLOOKUP('Données projet'!$B$14,Paramètres!$A$1:$I$88,5,0)</f>
        <v>6.3550942286383367E-14</v>
      </c>
      <c r="DQ173" s="14">
        <f t="shared" si="176"/>
        <v>1.0064464192543978E-12</v>
      </c>
      <c r="DR173" s="22">
        <f t="shared" si="177"/>
        <v>1.8635787380168604E-12</v>
      </c>
      <c r="DS173" s="62">
        <f t="shared" si="125"/>
        <v>293.33333333333519</v>
      </c>
      <c r="DT173" s="62">
        <f ca="1">AVERAGE(OFFSET($DS$3,0,0,'Données projet'!$E$14+1,1))-AVERAGE(OFFSET($H$3,0,0,'Données projet'!$E$14+1,1))</f>
        <v>397.04445188588369</v>
      </c>
      <c r="DU173" s="62">
        <f t="shared" si="152"/>
        <v>350.01856672839466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0.31361088408862436</v>
      </c>
      <c r="EB173" s="23">
        <f>EXP(-LN(2)/25)*EB172+(1-EXP(-LN(2)/25))/(LN(2)/25)*Calculateur!DW173*Calculateur!DY173*VLOOKUP('Données projet'!$B$14,Paramètres!$A$1:$I$88,3,0)*0.475*44/12</f>
        <v>0</v>
      </c>
      <c r="EC173" s="23">
        <f>EXP(-LN(2)/2)*EC172+(1-EXP(-LN(2)/2))/(LN(2)/2)*DW173*DZ173*VLOOKUP('Données projet'!$B$14,Paramètres!$A$1:$I$88,3,0)*0.475*44/12</f>
        <v>1.3724218253113499E-20</v>
      </c>
      <c r="ED173" s="24">
        <f t="shared" si="178"/>
        <v>0.31361088408862436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-1.9895196601282805E-13</v>
      </c>
      <c r="EK173" s="18">
        <f>EJ173*VLOOKUP('Données projet'!$B$15,Paramètres!$A$1:$I$88,3,0)*VLOOKUP('Données projet'!$B$15,Paramètres!$A$1:$I$88,5,0)</f>
        <v>-1.738044375088066E-13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202.5548390231225</v>
      </c>
      <c r="EP173" s="62">
        <f t="shared" si="154"/>
        <v>184.62184077734179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projet'!$B$15,Paramètres!$A$1:$I$88,3,0)*0.475*44/12</f>
        <v>0</v>
      </c>
      <c r="EW173" s="23">
        <f>EXP(-LN(2)/25)*EW172+(1-EXP(-LN(2)/25))/(LN(2)/25)*Calculateur!ER173*Calculateur!ET173*VLOOKUP('Données projet'!$B$15,Paramètres!$A$1:$I$88,3,0)*0.475*44/12</f>
        <v>0</v>
      </c>
      <c r="EX173" s="23">
        <f>EXP(-LN(2)/2)*EX172+(1-EXP(-LN(2)/2))/(LN(2)/2)*ER173*EU173*VLOOKUP('Données projet'!$B$15,Paramètres!$A$1:$I$88,3,0)*0.475*44/12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-5.1159076974727213E-13</v>
      </c>
      <c r="FF173" s="18">
        <f>FE173*VLOOKUP('Données projet'!$B$16,Paramètres!$A$1:$I$88,3,0)*VLOOKUP('Données projet'!$B$16,Paramètres!$A$1:$I$88,5,0)</f>
        <v>-4.9481059249956164E-13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456.96274622094955</v>
      </c>
      <c r="FK173" s="62">
        <f t="shared" si="156"/>
        <v>244.45149244446094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projet'!$B$16,Paramètres!$A$1:$I$88,3,0)*0.475*44/12</f>
        <v>0</v>
      </c>
      <c r="FR173" s="23">
        <f>EXP(-LN(2)/25)*FR172+(1-EXP(-LN(2)/25))/(LN(2)/25)*Calculateur!FM173*Calculateur!FO173*VLOOKUP('Données projet'!$B$16,Paramètres!$A$1:$I$88,3,0)*0.475*44/12</f>
        <v>0</v>
      </c>
      <c r="FS173" s="23">
        <f>EXP(-LN(2)/2)*FS172+(1-EXP(-LN(2)/2))/(LN(2)/2)*FM173*FP173*VLOOKUP('Données projet'!$B$16,Paramètres!$A$1:$I$88,3,0)*0.475*44/12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-5.1159076974727213E-13</v>
      </c>
      <c r="GA173" s="18">
        <f>FZ173*VLOOKUP('Données projet'!$B$17,Paramètres!$A$1:$I$88,3,0)*VLOOKUP('Données projet'!$B$17,Paramètres!$A$1:$I$88,5,0)</f>
        <v>-5.5067630455596371E-13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503.69304261527651</v>
      </c>
      <c r="GF173" s="62">
        <f t="shared" si="158"/>
        <v>267.2998309535638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projet'!$B$17,Paramètres!$A$1:$I$88,3,0)*0.475*44/12</f>
        <v>0</v>
      </c>
      <c r="GM173" s="23">
        <f>EXP(-LN(2)/25)*GM172+(1-EXP(-LN(2)/25))/(LN(2)/25)*Calculateur!GH173*Calculateur!GJ173*VLOOKUP('Données projet'!$B$17,Paramètres!$A$1:$I$88,3,0)*0.475*44/12</f>
        <v>0</v>
      </c>
      <c r="GN173" s="23">
        <f>EXP(-LN(2)/2)*GN172+(1-EXP(-LN(2)/2))/(LN(2)/2)*GH173*GK173*VLOOKUP('Données projet'!$B$17,Paramètres!$A$1:$I$88,3,0)*0.475*44/12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-3.979039320256561E-13</v>
      </c>
      <c r="GV173" s="18">
        <f>GU173*VLOOKUP('Données projet'!$B$18,Paramètres!$A$1:$I$88,3,0)*VLOOKUP('Données projet'!$B$18,Paramètres!$A$1:$I$88,5,0)</f>
        <v>-4.158891897532158E-13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582.89879210197682</v>
      </c>
      <c r="HA173" s="62">
        <f t="shared" si="160"/>
        <v>314.72094983133326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projet'!$B$18,Paramètres!$A$1:$I$88,3,0)*0.475*44/12</f>
        <v>0</v>
      </c>
      <c r="HH173" s="23">
        <f>EXP(-LN(2)/25)*HH172+(1-EXP(-LN(2)/25))/(LN(2)/25)*Calculateur!HC173*Calculateur!HE173*VLOOKUP('Données projet'!$B$18,Paramètres!$A$1:$I$88,3,0)*0.475*44/12</f>
        <v>0</v>
      </c>
      <c r="HI173" s="23">
        <f>EXP(-LN(2)/2)*HI172+(1-EXP(-LN(2)/2))/(LN(2)/2)*HC173*HF173*VLOOKUP('Données projet'!$B$18,Paramètres!$A$1:$I$88,3,0)*0.475*44/12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projet'!$B$9,Paramètres!$A$1:$I$88,3,0)*VLOOKUP('Données projet'!$B$9,Paramètres!$A$1:$I$88,5,0)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399.92909819003523</v>
      </c>
      <c r="T174" s="62">
        <f t="shared" si="142"/>
        <v>163.7053537268381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-3.979039320256561E-13</v>
      </c>
      <c r="AJ174" s="14">
        <f>AI174*VLOOKUP('Données projet'!$B$10,Paramètres!$A$1:$I$88,3,0)*VLOOKUP('Données projet'!$B$10,Paramètres!$A$1:$I$88,5,0)</f>
        <v>-3.6002347769681362E-13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510.56580450928806</v>
      </c>
      <c r="AO174" s="62">
        <f t="shared" si="144"/>
        <v>278.21741231699929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-5.1159076974727213E-13</v>
      </c>
      <c r="BE174" s="14">
        <f>BD174*VLOOKUP('Données projet'!$B$11,Paramètres!$A$1:$I$88,3,0)*VLOOKUP('Données projet'!$B$11,Paramètres!$A$1:$I$88,5,0)</f>
        <v>-4.8682977649150421E-13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525.51330555662139</v>
      </c>
      <c r="BJ174" s="62">
        <f t="shared" si="146"/>
        <v>357.72390083433635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1.7053025658242404E-13</v>
      </c>
      <c r="BZ174" s="14">
        <f>BY174*VLOOKUP('Données projet'!$B$12,Paramètres!$A$1:$I$88,3,0)*VLOOKUP('Données projet'!$B$12,Paramètres!$A$1:$I$88,5,0)</f>
        <v>1.0197709343628959E-13</v>
      </c>
      <c r="CA174" s="14">
        <f t="shared" si="170"/>
        <v>1.5284983994279675E-12</v>
      </c>
      <c r="CB174" s="22">
        <f t="shared" si="171"/>
        <v>2.839744816738581E-12</v>
      </c>
      <c r="CC174" s="62">
        <f t="shared" si="119"/>
        <v>293.33333333333616</v>
      </c>
      <c r="CD174" s="62">
        <f ca="1">AVERAGE(OFFSET($CC$3,0,0,'Données projet'!$E$12+1,1))-AVERAGE(OFFSET($H$3,0,0,'Données projet'!$E$12+1,1))</f>
        <v>227.46616726010473</v>
      </c>
      <c r="CE174" s="62">
        <f t="shared" si="148"/>
        <v>314.188568589113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7.3729183419167903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8.3260070341668106E-18</v>
      </c>
      <c r="CN174" s="24">
        <f t="shared" si="172"/>
        <v>7.3729183419167903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projet'!$B$13,Paramètres!$A$1:$I$88,3,0)*VLOOKUP('Données projet'!$B$13,Paramètres!$A$1:$I$88,5,0)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356.46794174556311</v>
      </c>
      <c r="CZ174" s="62">
        <f t="shared" si="150"/>
        <v>248.47107558211923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0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projet'!$B$14,Paramètres!$A$1:$I$88,3,0)*VLOOKUP('Données projet'!$B$14,Paramètres!$A$1:$I$88,5,0)</f>
        <v>6.3550942286383367E-14</v>
      </c>
      <c r="DQ174" s="14">
        <f t="shared" si="176"/>
        <v>1.0064464192543978E-12</v>
      </c>
      <c r="DR174" s="22">
        <f t="shared" si="177"/>
        <v>1.8635787380168604E-12</v>
      </c>
      <c r="DS174" s="62">
        <f t="shared" si="125"/>
        <v>293.33333333333519</v>
      </c>
      <c r="DT174" s="62">
        <f ca="1">AVERAGE(OFFSET($DS$3,0,0,'Données projet'!$E$14+1,1))-AVERAGE(OFFSET($H$3,0,0,'Données projet'!$E$14+1,1))</f>
        <v>397.04445188588369</v>
      </c>
      <c r="DU174" s="62">
        <f t="shared" si="152"/>
        <v>350.01856672839466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0.30746116593539802</v>
      </c>
      <c r="EB174" s="23">
        <f>EXP(-LN(2)/25)*EB173+(1-EXP(-LN(2)/25))/(LN(2)/25)*Calculateur!DW174*Calculateur!DY174*VLOOKUP('Données projet'!$B$14,Paramètres!$A$1:$I$88,3,0)*0.475*44/12</f>
        <v>0</v>
      </c>
      <c r="EC174" s="23">
        <f>EXP(-LN(2)/2)*EC173+(1-EXP(-LN(2)/2))/(LN(2)/2)*DW174*DZ174*VLOOKUP('Données projet'!$B$14,Paramètres!$A$1:$I$88,3,0)*0.475*44/12</f>
        <v>9.7044877932607487E-21</v>
      </c>
      <c r="ED174" s="24">
        <f t="shared" si="178"/>
        <v>0.30746116593539802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-1.9895196601282805E-13</v>
      </c>
      <c r="EK174" s="18">
        <f>EJ174*VLOOKUP('Données projet'!$B$15,Paramètres!$A$1:$I$88,3,0)*VLOOKUP('Données projet'!$B$15,Paramètres!$A$1:$I$88,5,0)</f>
        <v>-1.738044375088066E-13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202.5548390231225</v>
      </c>
      <c r="EP174" s="62">
        <f t="shared" si="154"/>
        <v>184.62184077734179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projet'!$B$15,Paramètres!$A$1:$I$88,3,0)*0.475*44/12</f>
        <v>0</v>
      </c>
      <c r="EW174" s="23">
        <f>EXP(-LN(2)/25)*EW173+(1-EXP(-LN(2)/25))/(LN(2)/25)*Calculateur!ER174*Calculateur!ET174*VLOOKUP('Données projet'!$B$15,Paramètres!$A$1:$I$88,3,0)*0.475*44/12</f>
        <v>0</v>
      </c>
      <c r="EX174" s="23">
        <f>EXP(-LN(2)/2)*EX173+(1-EXP(-LN(2)/2))/(LN(2)/2)*ER174*EU174*VLOOKUP('Données projet'!$B$15,Paramètres!$A$1:$I$88,3,0)*0.475*44/12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-5.1159076974727213E-13</v>
      </c>
      <c r="FF174" s="18">
        <f>FE174*VLOOKUP('Données projet'!$B$16,Paramètres!$A$1:$I$88,3,0)*VLOOKUP('Données projet'!$B$16,Paramètres!$A$1:$I$88,5,0)</f>
        <v>-4.9481059249956164E-13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456.96274622094955</v>
      </c>
      <c r="FK174" s="62">
        <f t="shared" si="156"/>
        <v>244.45149244446094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projet'!$B$16,Paramètres!$A$1:$I$88,3,0)*0.475*44/12</f>
        <v>0</v>
      </c>
      <c r="FR174" s="23">
        <f>EXP(-LN(2)/25)*FR173+(1-EXP(-LN(2)/25))/(LN(2)/25)*Calculateur!FM174*Calculateur!FO174*VLOOKUP('Données projet'!$B$16,Paramètres!$A$1:$I$88,3,0)*0.475*44/12</f>
        <v>0</v>
      </c>
      <c r="FS174" s="23">
        <f>EXP(-LN(2)/2)*FS173+(1-EXP(-LN(2)/2))/(LN(2)/2)*FM174*FP174*VLOOKUP('Données projet'!$B$16,Paramètres!$A$1:$I$88,3,0)*0.475*44/12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-5.1159076974727213E-13</v>
      </c>
      <c r="GA174" s="18">
        <f>FZ174*VLOOKUP('Données projet'!$B$17,Paramètres!$A$1:$I$88,3,0)*VLOOKUP('Données projet'!$B$17,Paramètres!$A$1:$I$88,5,0)</f>
        <v>-5.5067630455596371E-13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503.69304261527651</v>
      </c>
      <c r="GF174" s="62">
        <f t="shared" si="158"/>
        <v>267.2998309535638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projet'!$B$17,Paramètres!$A$1:$I$88,3,0)*0.475*44/12</f>
        <v>0</v>
      </c>
      <c r="GM174" s="23">
        <f>EXP(-LN(2)/25)*GM173+(1-EXP(-LN(2)/25))/(LN(2)/25)*Calculateur!GH174*Calculateur!GJ174*VLOOKUP('Données projet'!$B$17,Paramètres!$A$1:$I$88,3,0)*0.475*44/12</f>
        <v>0</v>
      </c>
      <c r="GN174" s="23">
        <f>EXP(-LN(2)/2)*GN173+(1-EXP(-LN(2)/2))/(LN(2)/2)*GH174*GK174*VLOOKUP('Données projet'!$B$17,Paramètres!$A$1:$I$88,3,0)*0.475*44/12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-3.979039320256561E-13</v>
      </c>
      <c r="GV174" s="18">
        <f>GU174*VLOOKUP('Données projet'!$B$18,Paramètres!$A$1:$I$88,3,0)*VLOOKUP('Données projet'!$B$18,Paramètres!$A$1:$I$88,5,0)</f>
        <v>-4.158891897532158E-13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582.89879210197682</v>
      </c>
      <c r="HA174" s="62">
        <f t="shared" si="160"/>
        <v>314.72094983133326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projet'!$B$18,Paramètres!$A$1:$I$88,3,0)*0.475*44/12</f>
        <v>0</v>
      </c>
      <c r="HH174" s="23">
        <f>EXP(-LN(2)/25)*HH173+(1-EXP(-LN(2)/25))/(LN(2)/25)*Calculateur!HC174*Calculateur!HE174*VLOOKUP('Données projet'!$B$18,Paramètres!$A$1:$I$88,3,0)*0.475*44/12</f>
        <v>0</v>
      </c>
      <c r="HI174" s="23">
        <f>EXP(-LN(2)/2)*HI173+(1-EXP(-LN(2)/2))/(LN(2)/2)*HC174*HF174*VLOOKUP('Données projet'!$B$18,Paramètres!$A$1:$I$88,3,0)*0.475*44/12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projet'!$B$9,Paramètres!$A$1:$I$88,3,0)*VLOOKUP('Données projet'!$B$9,Paramètres!$A$1:$I$88,5,0)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399.92909819003523</v>
      </c>
      <c r="T175" s="62">
        <f t="shared" si="142"/>
        <v>163.7053537268381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-3.979039320256561E-13</v>
      </c>
      <c r="AJ175" s="14">
        <f>AI175*VLOOKUP('Données projet'!$B$10,Paramètres!$A$1:$I$88,3,0)*VLOOKUP('Données projet'!$B$10,Paramètres!$A$1:$I$88,5,0)</f>
        <v>-3.6002347769681362E-13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510.56580450928806</v>
      </c>
      <c r="AO175" s="62">
        <f t="shared" si="144"/>
        <v>278.21741231699929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-5.1159076974727213E-13</v>
      </c>
      <c r="BE175" s="14">
        <f>BD175*VLOOKUP('Données projet'!$B$11,Paramètres!$A$1:$I$88,3,0)*VLOOKUP('Données projet'!$B$11,Paramètres!$A$1:$I$88,5,0)</f>
        <v>-4.8682977649150421E-13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525.51330555662139</v>
      </c>
      <c r="BJ175" s="62">
        <f t="shared" si="146"/>
        <v>357.72390083433635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1.7053025658242404E-13</v>
      </c>
      <c r="BZ175" s="14">
        <f>BY175*VLOOKUP('Données projet'!$B$12,Paramètres!$A$1:$I$88,3,0)*VLOOKUP('Données projet'!$B$12,Paramètres!$A$1:$I$88,5,0)</f>
        <v>1.0197709343628959E-13</v>
      </c>
      <c r="CA175" s="14">
        <f t="shared" si="170"/>
        <v>1.5284983994279675E-12</v>
      </c>
      <c r="CB175" s="22">
        <f t="shared" si="171"/>
        <v>2.839744816738581E-12</v>
      </c>
      <c r="CC175" s="62">
        <f t="shared" si="119"/>
        <v>293.33333333333616</v>
      </c>
      <c r="CD175" s="62">
        <f ca="1">AVERAGE(OFFSET($CC$3,0,0,'Données projet'!$E$12+1,1))-AVERAGE(OFFSET($H$3,0,0,'Données projet'!$E$12+1,1))</f>
        <v>227.46616726010473</v>
      </c>
      <c r="CE175" s="62">
        <f t="shared" si="148"/>
        <v>314.188568589113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7.2283399102679455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5.8873760340662465E-18</v>
      </c>
      <c r="CN175" s="24">
        <f t="shared" si="172"/>
        <v>7.2283399102679455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projet'!$B$13,Paramètres!$A$1:$I$88,3,0)*VLOOKUP('Données projet'!$B$13,Paramètres!$A$1:$I$88,5,0)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356.46794174556311</v>
      </c>
      <c r="CZ175" s="62">
        <f t="shared" si="150"/>
        <v>248.47107558211923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0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projet'!$B$14,Paramètres!$A$1:$I$88,3,0)*VLOOKUP('Données projet'!$B$14,Paramètres!$A$1:$I$88,5,0)</f>
        <v>6.3550942286383367E-14</v>
      </c>
      <c r="DQ175" s="14">
        <f t="shared" si="176"/>
        <v>1.0064464192543978E-12</v>
      </c>
      <c r="DR175" s="22">
        <f t="shared" si="177"/>
        <v>1.8635787380168604E-12</v>
      </c>
      <c r="DS175" s="62">
        <f t="shared" si="125"/>
        <v>293.33333333333519</v>
      </c>
      <c r="DT175" s="62">
        <f ca="1">AVERAGE(OFFSET($DS$3,0,0,'Données projet'!$E$14+1,1))-AVERAGE(OFFSET($H$3,0,0,'Données projet'!$E$14+1,1))</f>
        <v>397.04445188588369</v>
      </c>
      <c r="DU175" s="62">
        <f t="shared" si="152"/>
        <v>350.01856672839466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0.30143204000419876</v>
      </c>
      <c r="EB175" s="23">
        <f>EXP(-LN(2)/25)*EB174+(1-EXP(-LN(2)/25))/(LN(2)/25)*Calculateur!DW175*Calculateur!DY175*VLOOKUP('Données projet'!$B$14,Paramètres!$A$1:$I$88,3,0)*0.475*44/12</f>
        <v>0</v>
      </c>
      <c r="EC175" s="23">
        <f>EXP(-LN(2)/2)*EC174+(1-EXP(-LN(2)/2))/(LN(2)/2)*DW175*DZ175*VLOOKUP('Données projet'!$B$14,Paramètres!$A$1:$I$88,3,0)*0.475*44/12</f>
        <v>6.8621091265567497E-21</v>
      </c>
      <c r="ED175" s="24">
        <f t="shared" si="178"/>
        <v>0.30143204000419876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-1.9895196601282805E-13</v>
      </c>
      <c r="EK175" s="18">
        <f>EJ175*VLOOKUP('Données projet'!$B$15,Paramètres!$A$1:$I$88,3,0)*VLOOKUP('Données projet'!$B$15,Paramètres!$A$1:$I$88,5,0)</f>
        <v>-1.738044375088066E-13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202.5548390231225</v>
      </c>
      <c r="EP175" s="62">
        <f t="shared" si="154"/>
        <v>184.62184077734179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projet'!$B$15,Paramètres!$A$1:$I$88,3,0)*0.475*44/12</f>
        <v>0</v>
      </c>
      <c r="EW175" s="23">
        <f>EXP(-LN(2)/25)*EW174+(1-EXP(-LN(2)/25))/(LN(2)/25)*Calculateur!ER175*Calculateur!ET175*VLOOKUP('Données projet'!$B$15,Paramètres!$A$1:$I$88,3,0)*0.475*44/12</f>
        <v>0</v>
      </c>
      <c r="EX175" s="23">
        <f>EXP(-LN(2)/2)*EX174+(1-EXP(-LN(2)/2))/(LN(2)/2)*ER175*EU175*VLOOKUP('Données projet'!$B$15,Paramètres!$A$1:$I$88,3,0)*0.475*44/12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-5.1159076974727213E-13</v>
      </c>
      <c r="FF175" s="18">
        <f>FE175*VLOOKUP('Données projet'!$B$16,Paramètres!$A$1:$I$88,3,0)*VLOOKUP('Données projet'!$B$16,Paramètres!$A$1:$I$88,5,0)</f>
        <v>-4.9481059249956164E-13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456.96274622094955</v>
      </c>
      <c r="FK175" s="62">
        <f t="shared" si="156"/>
        <v>244.45149244446094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projet'!$B$16,Paramètres!$A$1:$I$88,3,0)*0.475*44/12</f>
        <v>0</v>
      </c>
      <c r="FR175" s="23">
        <f>EXP(-LN(2)/25)*FR174+(1-EXP(-LN(2)/25))/(LN(2)/25)*Calculateur!FM175*Calculateur!FO175*VLOOKUP('Données projet'!$B$16,Paramètres!$A$1:$I$88,3,0)*0.475*44/12</f>
        <v>0</v>
      </c>
      <c r="FS175" s="23">
        <f>EXP(-LN(2)/2)*FS174+(1-EXP(-LN(2)/2))/(LN(2)/2)*FM175*FP175*VLOOKUP('Données projet'!$B$16,Paramètres!$A$1:$I$88,3,0)*0.475*44/12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-5.1159076974727213E-13</v>
      </c>
      <c r="GA175" s="18">
        <f>FZ175*VLOOKUP('Données projet'!$B$17,Paramètres!$A$1:$I$88,3,0)*VLOOKUP('Données projet'!$B$17,Paramètres!$A$1:$I$88,5,0)</f>
        <v>-5.5067630455596371E-13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503.69304261527651</v>
      </c>
      <c r="GF175" s="62">
        <f t="shared" si="158"/>
        <v>267.2998309535638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projet'!$B$17,Paramètres!$A$1:$I$88,3,0)*0.475*44/12</f>
        <v>0</v>
      </c>
      <c r="GM175" s="23">
        <f>EXP(-LN(2)/25)*GM174+(1-EXP(-LN(2)/25))/(LN(2)/25)*Calculateur!GH175*Calculateur!GJ175*VLOOKUP('Données projet'!$B$17,Paramètres!$A$1:$I$88,3,0)*0.475*44/12</f>
        <v>0</v>
      </c>
      <c r="GN175" s="23">
        <f>EXP(-LN(2)/2)*GN174+(1-EXP(-LN(2)/2))/(LN(2)/2)*GH175*GK175*VLOOKUP('Données projet'!$B$17,Paramètres!$A$1:$I$88,3,0)*0.475*44/12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-3.979039320256561E-13</v>
      </c>
      <c r="GV175" s="18">
        <f>GU175*VLOOKUP('Données projet'!$B$18,Paramètres!$A$1:$I$88,3,0)*VLOOKUP('Données projet'!$B$18,Paramètres!$A$1:$I$88,5,0)</f>
        <v>-4.158891897532158E-13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582.89879210197682</v>
      </c>
      <c r="HA175" s="62">
        <f t="shared" si="160"/>
        <v>314.72094983133326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projet'!$B$18,Paramètres!$A$1:$I$88,3,0)*0.475*44/12</f>
        <v>0</v>
      </c>
      <c r="HH175" s="23">
        <f>EXP(-LN(2)/25)*HH174+(1-EXP(-LN(2)/25))/(LN(2)/25)*Calculateur!HC175*Calculateur!HE175*VLOOKUP('Données projet'!$B$18,Paramètres!$A$1:$I$88,3,0)*0.475*44/12</f>
        <v>0</v>
      </c>
      <c r="HI175" s="23">
        <f>EXP(-LN(2)/2)*HI174+(1-EXP(-LN(2)/2))/(LN(2)/2)*HC175*HF175*VLOOKUP('Données projet'!$B$18,Paramètres!$A$1:$I$88,3,0)*0.475*44/12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projet'!$B$9,Paramètres!$A$1:$I$88,3,0)*VLOOKUP('Données projet'!$B$9,Paramètres!$A$1:$I$88,5,0)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399.92909819003523</v>
      </c>
      <c r="T176" s="62">
        <f t="shared" si="142"/>
        <v>163.7053537268381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-3.979039320256561E-13</v>
      </c>
      <c r="AJ176" s="14">
        <f>AI176*VLOOKUP('Données projet'!$B$10,Paramètres!$A$1:$I$88,3,0)*VLOOKUP('Données projet'!$B$10,Paramètres!$A$1:$I$88,5,0)</f>
        <v>-3.6002347769681362E-13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510.56580450928806</v>
      </c>
      <c r="AO176" s="62">
        <f t="shared" si="144"/>
        <v>278.21741231699929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-5.1159076974727213E-13</v>
      </c>
      <c r="BE176" s="14">
        <f>BD176*VLOOKUP('Données projet'!$B$11,Paramètres!$A$1:$I$88,3,0)*VLOOKUP('Données projet'!$B$11,Paramètres!$A$1:$I$88,5,0)</f>
        <v>-4.8682977649150421E-13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525.51330555662139</v>
      </c>
      <c r="BJ176" s="62">
        <f t="shared" si="146"/>
        <v>357.72390083433635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1.7053025658242404E-13</v>
      </c>
      <c r="BZ176" s="14">
        <f>BY176*VLOOKUP('Données projet'!$B$12,Paramètres!$A$1:$I$88,3,0)*VLOOKUP('Données projet'!$B$12,Paramètres!$A$1:$I$88,5,0)</f>
        <v>1.0197709343628959E-13</v>
      </c>
      <c r="CA176" s="14">
        <f t="shared" si="170"/>
        <v>1.5284983994279675E-12</v>
      </c>
      <c r="CB176" s="22">
        <f t="shared" si="171"/>
        <v>2.839744816738581E-12</v>
      </c>
      <c r="CC176" s="62">
        <f t="shared" si="119"/>
        <v>293.33333333333616</v>
      </c>
      <c r="CD176" s="62">
        <f ca="1">AVERAGE(OFFSET($CC$3,0,0,'Données projet'!$E$12+1,1))-AVERAGE(OFFSET($H$3,0,0,'Données projet'!$E$12+1,1))</f>
        <v>227.46616726010473</v>
      </c>
      <c r="CE176" s="62">
        <f t="shared" si="148"/>
        <v>314.188568589113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7.0865965734795981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4.1630035170834053E-18</v>
      </c>
      <c r="CN176" s="24">
        <f t="shared" si="172"/>
        <v>7.0865965734795981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projet'!$B$13,Paramètres!$A$1:$I$88,3,0)*VLOOKUP('Données projet'!$B$13,Paramètres!$A$1:$I$88,5,0)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356.46794174556311</v>
      </c>
      <c r="CZ176" s="62">
        <f t="shared" si="150"/>
        <v>248.47107558211923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0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projet'!$B$14,Paramètres!$A$1:$I$88,3,0)*VLOOKUP('Données projet'!$B$14,Paramètres!$A$1:$I$88,5,0)</f>
        <v>6.3550942286383367E-14</v>
      </c>
      <c r="DQ176" s="14">
        <f t="shared" si="176"/>
        <v>1.0064464192543978E-12</v>
      </c>
      <c r="DR176" s="22">
        <f t="shared" si="177"/>
        <v>1.8635787380168604E-12</v>
      </c>
      <c r="DS176" s="62">
        <f t="shared" si="125"/>
        <v>293.33333333333519</v>
      </c>
      <c r="DT176" s="62">
        <f ca="1">AVERAGE(OFFSET($DS$3,0,0,'Données projet'!$E$14+1,1))-AVERAGE(OFFSET($H$3,0,0,'Données projet'!$E$14+1,1))</f>
        <v>397.04445188588369</v>
      </c>
      <c r="DU176" s="62">
        <f t="shared" si="152"/>
        <v>350.01856672839466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0.29552114155510661</v>
      </c>
      <c r="EB176" s="23">
        <f>EXP(-LN(2)/25)*EB175+(1-EXP(-LN(2)/25))/(LN(2)/25)*Calculateur!DW176*Calculateur!DY176*VLOOKUP('Données projet'!$B$14,Paramètres!$A$1:$I$88,3,0)*0.475*44/12</f>
        <v>0</v>
      </c>
      <c r="EC176" s="23">
        <f>EXP(-LN(2)/2)*EC175+(1-EXP(-LN(2)/2))/(LN(2)/2)*DW176*DZ176*VLOOKUP('Données projet'!$B$14,Paramètres!$A$1:$I$88,3,0)*0.475*44/12</f>
        <v>4.8522438966303743E-21</v>
      </c>
      <c r="ED176" s="24">
        <f t="shared" si="178"/>
        <v>0.29552114155510661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-1.9895196601282805E-13</v>
      </c>
      <c r="EK176" s="18">
        <f>EJ176*VLOOKUP('Données projet'!$B$15,Paramètres!$A$1:$I$88,3,0)*VLOOKUP('Données projet'!$B$15,Paramètres!$A$1:$I$88,5,0)</f>
        <v>-1.738044375088066E-13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202.5548390231225</v>
      </c>
      <c r="EP176" s="62">
        <f t="shared" si="154"/>
        <v>184.62184077734179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projet'!$B$15,Paramètres!$A$1:$I$88,3,0)*0.475*44/12</f>
        <v>0</v>
      </c>
      <c r="EW176" s="23">
        <f>EXP(-LN(2)/25)*EW175+(1-EXP(-LN(2)/25))/(LN(2)/25)*Calculateur!ER176*Calculateur!ET176*VLOOKUP('Données projet'!$B$15,Paramètres!$A$1:$I$88,3,0)*0.475*44/12</f>
        <v>0</v>
      </c>
      <c r="EX176" s="23">
        <f>EXP(-LN(2)/2)*EX175+(1-EXP(-LN(2)/2))/(LN(2)/2)*ER176*EU176*VLOOKUP('Données projet'!$B$15,Paramètres!$A$1:$I$88,3,0)*0.475*44/12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-5.1159076974727213E-13</v>
      </c>
      <c r="FF176" s="18">
        <f>FE176*VLOOKUP('Données projet'!$B$16,Paramètres!$A$1:$I$88,3,0)*VLOOKUP('Données projet'!$B$16,Paramètres!$A$1:$I$88,5,0)</f>
        <v>-4.9481059249956164E-13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456.96274622094955</v>
      </c>
      <c r="FK176" s="62">
        <f t="shared" si="156"/>
        <v>244.45149244446094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projet'!$B$16,Paramètres!$A$1:$I$88,3,0)*0.475*44/12</f>
        <v>0</v>
      </c>
      <c r="FR176" s="23">
        <f>EXP(-LN(2)/25)*FR175+(1-EXP(-LN(2)/25))/(LN(2)/25)*Calculateur!FM176*Calculateur!FO176*VLOOKUP('Données projet'!$B$16,Paramètres!$A$1:$I$88,3,0)*0.475*44/12</f>
        <v>0</v>
      </c>
      <c r="FS176" s="23">
        <f>EXP(-LN(2)/2)*FS175+(1-EXP(-LN(2)/2))/(LN(2)/2)*FM176*FP176*VLOOKUP('Données projet'!$B$16,Paramètres!$A$1:$I$88,3,0)*0.475*44/12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-5.1159076974727213E-13</v>
      </c>
      <c r="GA176" s="18">
        <f>FZ176*VLOOKUP('Données projet'!$B$17,Paramètres!$A$1:$I$88,3,0)*VLOOKUP('Données projet'!$B$17,Paramètres!$A$1:$I$88,5,0)</f>
        <v>-5.5067630455596371E-13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503.69304261527651</v>
      </c>
      <c r="GF176" s="62">
        <f t="shared" si="158"/>
        <v>267.2998309535638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projet'!$B$17,Paramètres!$A$1:$I$88,3,0)*0.475*44/12</f>
        <v>0</v>
      </c>
      <c r="GM176" s="23">
        <f>EXP(-LN(2)/25)*GM175+(1-EXP(-LN(2)/25))/(LN(2)/25)*Calculateur!GH176*Calculateur!GJ176*VLOOKUP('Données projet'!$B$17,Paramètres!$A$1:$I$88,3,0)*0.475*44/12</f>
        <v>0</v>
      </c>
      <c r="GN176" s="23">
        <f>EXP(-LN(2)/2)*GN175+(1-EXP(-LN(2)/2))/(LN(2)/2)*GH176*GK176*VLOOKUP('Données projet'!$B$17,Paramètres!$A$1:$I$88,3,0)*0.475*44/12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-3.979039320256561E-13</v>
      </c>
      <c r="GV176" s="18">
        <f>GU176*VLOOKUP('Données projet'!$B$18,Paramètres!$A$1:$I$88,3,0)*VLOOKUP('Données projet'!$B$18,Paramètres!$A$1:$I$88,5,0)</f>
        <v>-4.158891897532158E-13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582.89879210197682</v>
      </c>
      <c r="HA176" s="62">
        <f t="shared" si="160"/>
        <v>314.72094983133326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projet'!$B$18,Paramètres!$A$1:$I$88,3,0)*0.475*44/12</f>
        <v>0</v>
      </c>
      <c r="HH176" s="23">
        <f>EXP(-LN(2)/25)*HH175+(1-EXP(-LN(2)/25))/(LN(2)/25)*Calculateur!HC176*Calculateur!HE176*VLOOKUP('Données projet'!$B$18,Paramètres!$A$1:$I$88,3,0)*0.475*44/12</f>
        <v>0</v>
      </c>
      <c r="HI176" s="23">
        <f>EXP(-LN(2)/2)*HI175+(1-EXP(-LN(2)/2))/(LN(2)/2)*HC176*HF176*VLOOKUP('Données projet'!$B$18,Paramètres!$A$1:$I$88,3,0)*0.475*44/12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projet'!$B$9,Paramètres!$A$1:$I$88,3,0)*VLOOKUP('Données projet'!$B$9,Paramètres!$A$1:$I$88,5,0)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399.92909819003523</v>
      </c>
      <c r="T177" s="62">
        <f t="shared" si="142"/>
        <v>163.7053537268381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-3.979039320256561E-13</v>
      </c>
      <c r="AJ177" s="14">
        <f>AI177*VLOOKUP('Données projet'!$B$10,Paramètres!$A$1:$I$88,3,0)*VLOOKUP('Données projet'!$B$10,Paramètres!$A$1:$I$88,5,0)</f>
        <v>-3.6002347769681362E-13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510.56580450928806</v>
      </c>
      <c r="AO177" s="62">
        <f t="shared" si="144"/>
        <v>278.21741231699929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-5.1159076974727213E-13</v>
      </c>
      <c r="BE177" s="14">
        <f>BD177*VLOOKUP('Données projet'!$B$11,Paramètres!$A$1:$I$88,3,0)*VLOOKUP('Données projet'!$B$11,Paramètres!$A$1:$I$88,5,0)</f>
        <v>-4.8682977649150421E-13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525.51330555662139</v>
      </c>
      <c r="BJ177" s="62">
        <f t="shared" si="146"/>
        <v>357.72390083433635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1.7053025658242404E-13</v>
      </c>
      <c r="BZ177" s="14">
        <f>BY177*VLOOKUP('Données projet'!$B$12,Paramètres!$A$1:$I$88,3,0)*VLOOKUP('Données projet'!$B$12,Paramètres!$A$1:$I$88,5,0)</f>
        <v>1.0197709343628959E-13</v>
      </c>
      <c r="CA177" s="14">
        <f t="shared" si="170"/>
        <v>1.5284983994279675E-12</v>
      </c>
      <c r="CB177" s="22">
        <f t="shared" si="171"/>
        <v>2.839744816738581E-12</v>
      </c>
      <c r="CC177" s="62">
        <f t="shared" si="119"/>
        <v>293.33333333333616</v>
      </c>
      <c r="CD177" s="62">
        <f ca="1">AVERAGE(OFFSET($CC$3,0,0,'Données projet'!$E$12+1,1))-AVERAGE(OFFSET($H$3,0,0,'Données projet'!$E$12+1,1))</f>
        <v>227.46616726010473</v>
      </c>
      <c r="CE177" s="62">
        <f t="shared" si="148"/>
        <v>314.188568589113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6.947632737070772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2.9436880170331232E-18</v>
      </c>
      <c r="CN177" s="24">
        <f t="shared" si="172"/>
        <v>6.947632737070772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projet'!$B$13,Paramètres!$A$1:$I$88,3,0)*VLOOKUP('Données projet'!$B$13,Paramètres!$A$1:$I$88,5,0)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356.46794174556311</v>
      </c>
      <c r="CZ177" s="62">
        <f t="shared" si="150"/>
        <v>248.47107558211923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0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projet'!$B$14,Paramètres!$A$1:$I$88,3,0)*VLOOKUP('Données projet'!$B$14,Paramètres!$A$1:$I$88,5,0)</f>
        <v>6.3550942286383367E-14</v>
      </c>
      <c r="DQ177" s="14">
        <f t="shared" si="176"/>
        <v>1.0064464192543978E-12</v>
      </c>
      <c r="DR177" s="22">
        <f t="shared" si="177"/>
        <v>1.8635787380168604E-12</v>
      </c>
      <c r="DS177" s="62">
        <f t="shared" si="125"/>
        <v>293.33333333333519</v>
      </c>
      <c r="DT177" s="62">
        <f ca="1">AVERAGE(OFFSET($DS$3,0,0,'Données projet'!$E$14+1,1))-AVERAGE(OFFSET($H$3,0,0,'Données projet'!$E$14+1,1))</f>
        <v>397.04445188588369</v>
      </c>
      <c r="DU177" s="62">
        <f t="shared" si="152"/>
        <v>350.01856672839466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0.28972615221930909</v>
      </c>
      <c r="EB177" s="23">
        <f>EXP(-LN(2)/25)*EB176+(1-EXP(-LN(2)/25))/(LN(2)/25)*Calculateur!DW177*Calculateur!DY177*VLOOKUP('Données projet'!$B$14,Paramètres!$A$1:$I$88,3,0)*0.475*44/12</f>
        <v>0</v>
      </c>
      <c r="EC177" s="23">
        <f>EXP(-LN(2)/2)*EC176+(1-EXP(-LN(2)/2))/(LN(2)/2)*DW177*DZ177*VLOOKUP('Données projet'!$B$14,Paramètres!$A$1:$I$88,3,0)*0.475*44/12</f>
        <v>3.4310545632783748E-21</v>
      </c>
      <c r="ED177" s="24">
        <f t="shared" si="178"/>
        <v>0.28972615221930909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-1.9895196601282805E-13</v>
      </c>
      <c r="EK177" s="18">
        <f>EJ177*VLOOKUP('Données projet'!$B$15,Paramètres!$A$1:$I$88,3,0)*VLOOKUP('Données projet'!$B$15,Paramètres!$A$1:$I$88,5,0)</f>
        <v>-1.738044375088066E-13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202.5548390231225</v>
      </c>
      <c r="EP177" s="62">
        <f t="shared" si="154"/>
        <v>184.62184077734179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projet'!$B$15,Paramètres!$A$1:$I$88,3,0)*0.475*44/12</f>
        <v>0</v>
      </c>
      <c r="EW177" s="23">
        <f>EXP(-LN(2)/25)*EW176+(1-EXP(-LN(2)/25))/(LN(2)/25)*Calculateur!ER177*Calculateur!ET177*VLOOKUP('Données projet'!$B$15,Paramètres!$A$1:$I$88,3,0)*0.475*44/12</f>
        <v>0</v>
      </c>
      <c r="EX177" s="23">
        <f>EXP(-LN(2)/2)*EX176+(1-EXP(-LN(2)/2))/(LN(2)/2)*ER177*EU177*VLOOKUP('Données projet'!$B$15,Paramètres!$A$1:$I$88,3,0)*0.475*44/12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-5.1159076974727213E-13</v>
      </c>
      <c r="FF177" s="18">
        <f>FE177*VLOOKUP('Données projet'!$B$16,Paramètres!$A$1:$I$88,3,0)*VLOOKUP('Données projet'!$B$16,Paramètres!$A$1:$I$88,5,0)</f>
        <v>-4.9481059249956164E-13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456.96274622094955</v>
      </c>
      <c r="FK177" s="62">
        <f t="shared" si="156"/>
        <v>244.45149244446094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projet'!$B$16,Paramètres!$A$1:$I$88,3,0)*0.475*44/12</f>
        <v>0</v>
      </c>
      <c r="FR177" s="23">
        <f>EXP(-LN(2)/25)*FR176+(1-EXP(-LN(2)/25))/(LN(2)/25)*Calculateur!FM177*Calculateur!FO177*VLOOKUP('Données projet'!$B$16,Paramètres!$A$1:$I$88,3,0)*0.475*44/12</f>
        <v>0</v>
      </c>
      <c r="FS177" s="23">
        <f>EXP(-LN(2)/2)*FS176+(1-EXP(-LN(2)/2))/(LN(2)/2)*FM177*FP177*VLOOKUP('Données projet'!$B$16,Paramètres!$A$1:$I$88,3,0)*0.475*44/12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-5.1159076974727213E-13</v>
      </c>
      <c r="GA177" s="18">
        <f>FZ177*VLOOKUP('Données projet'!$B$17,Paramètres!$A$1:$I$88,3,0)*VLOOKUP('Données projet'!$B$17,Paramètres!$A$1:$I$88,5,0)</f>
        <v>-5.5067630455596371E-13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503.69304261527651</v>
      </c>
      <c r="GF177" s="62">
        <f t="shared" si="158"/>
        <v>267.2998309535638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projet'!$B$17,Paramètres!$A$1:$I$88,3,0)*0.475*44/12</f>
        <v>0</v>
      </c>
      <c r="GM177" s="23">
        <f>EXP(-LN(2)/25)*GM176+(1-EXP(-LN(2)/25))/(LN(2)/25)*Calculateur!GH177*Calculateur!GJ177*VLOOKUP('Données projet'!$B$17,Paramètres!$A$1:$I$88,3,0)*0.475*44/12</f>
        <v>0</v>
      </c>
      <c r="GN177" s="23">
        <f>EXP(-LN(2)/2)*GN176+(1-EXP(-LN(2)/2))/(LN(2)/2)*GH177*GK177*VLOOKUP('Données projet'!$B$17,Paramètres!$A$1:$I$88,3,0)*0.475*44/12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-3.979039320256561E-13</v>
      </c>
      <c r="GV177" s="18">
        <f>GU177*VLOOKUP('Données projet'!$B$18,Paramètres!$A$1:$I$88,3,0)*VLOOKUP('Données projet'!$B$18,Paramètres!$A$1:$I$88,5,0)</f>
        <v>-4.158891897532158E-13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582.89879210197682</v>
      </c>
      <c r="HA177" s="62">
        <f t="shared" si="160"/>
        <v>314.72094983133326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projet'!$B$18,Paramètres!$A$1:$I$88,3,0)*0.475*44/12</f>
        <v>0</v>
      </c>
      <c r="HH177" s="23">
        <f>EXP(-LN(2)/25)*HH176+(1-EXP(-LN(2)/25))/(LN(2)/25)*Calculateur!HC177*Calculateur!HE177*VLOOKUP('Données projet'!$B$18,Paramètres!$A$1:$I$88,3,0)*0.475*44/12</f>
        <v>0</v>
      </c>
      <c r="HI177" s="23">
        <f>EXP(-LN(2)/2)*HI176+(1-EXP(-LN(2)/2))/(LN(2)/2)*HC177*HF177*VLOOKUP('Données projet'!$B$18,Paramètres!$A$1:$I$88,3,0)*0.475*44/12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projet'!$B$9,Paramètres!$A$1:$I$88,3,0)*VLOOKUP('Données projet'!$B$9,Paramètres!$A$1:$I$88,5,0)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399.92909819003523</v>
      </c>
      <c r="T178" s="62">
        <f t="shared" si="142"/>
        <v>163.7053537268381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-3.979039320256561E-13</v>
      </c>
      <c r="AJ178" s="14">
        <f>AI178*VLOOKUP('Données projet'!$B$10,Paramètres!$A$1:$I$88,3,0)*VLOOKUP('Données projet'!$B$10,Paramètres!$A$1:$I$88,5,0)</f>
        <v>-3.6002347769681362E-13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510.56580450928806</v>
      </c>
      <c r="AO178" s="62">
        <f t="shared" si="144"/>
        <v>278.21741231699929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-5.1159076974727213E-13</v>
      </c>
      <c r="BE178" s="14">
        <f>BD178*VLOOKUP('Données projet'!$B$11,Paramètres!$A$1:$I$88,3,0)*VLOOKUP('Données projet'!$B$11,Paramètres!$A$1:$I$88,5,0)</f>
        <v>-4.8682977649150421E-13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525.51330555662139</v>
      </c>
      <c r="BJ178" s="62">
        <f t="shared" si="146"/>
        <v>357.72390083433635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1.7053025658242404E-13</v>
      </c>
      <c r="BZ178" s="14">
        <f>BY178*VLOOKUP('Données projet'!$B$12,Paramètres!$A$1:$I$88,3,0)*VLOOKUP('Données projet'!$B$12,Paramètres!$A$1:$I$88,5,0)</f>
        <v>1.0197709343628959E-13</v>
      </c>
      <c r="CA178" s="14">
        <f t="shared" si="170"/>
        <v>1.5284983994279675E-12</v>
      </c>
      <c r="CB178" s="22">
        <f t="shared" si="171"/>
        <v>2.839744816738581E-12</v>
      </c>
      <c r="CC178" s="62">
        <f t="shared" si="119"/>
        <v>293.33333333333616</v>
      </c>
      <c r="CD178" s="62">
        <f ca="1">AVERAGE(OFFSET($CC$3,0,0,'Données projet'!$E$12+1,1))-AVERAGE(OFFSET($H$3,0,0,'Données projet'!$E$12+1,1))</f>
        <v>227.46616726010473</v>
      </c>
      <c r="CE178" s="62">
        <f t="shared" si="148"/>
        <v>314.188568589113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6.8113938967343515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2.0815017585417027E-18</v>
      </c>
      <c r="CN178" s="24">
        <f t="shared" si="172"/>
        <v>6.8113938967343515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projet'!$B$13,Paramètres!$A$1:$I$88,3,0)*VLOOKUP('Données projet'!$B$13,Paramètres!$A$1:$I$88,5,0)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356.46794174556311</v>
      </c>
      <c r="CZ178" s="62">
        <f t="shared" si="150"/>
        <v>248.47107558211923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0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projet'!$B$14,Paramètres!$A$1:$I$88,3,0)*VLOOKUP('Données projet'!$B$14,Paramètres!$A$1:$I$88,5,0)</f>
        <v>6.3550942286383367E-14</v>
      </c>
      <c r="DQ178" s="14">
        <f t="shared" si="176"/>
        <v>1.0064464192543978E-12</v>
      </c>
      <c r="DR178" s="22">
        <f t="shared" si="177"/>
        <v>1.8635787380168604E-12</v>
      </c>
      <c r="DS178" s="62">
        <f t="shared" si="125"/>
        <v>293.33333333333519</v>
      </c>
      <c r="DT178" s="62">
        <f ca="1">AVERAGE(OFFSET($DS$3,0,0,'Données projet'!$E$14+1,1))-AVERAGE(OFFSET($H$3,0,0,'Données projet'!$E$14+1,1))</f>
        <v>397.04445188588369</v>
      </c>
      <c r="DU178" s="62">
        <f t="shared" si="152"/>
        <v>350.01856672839466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0.28404479908979208</v>
      </c>
      <c r="EB178" s="23">
        <f>EXP(-LN(2)/25)*EB177+(1-EXP(-LN(2)/25))/(LN(2)/25)*Calculateur!DW178*Calculateur!DY178*VLOOKUP('Données projet'!$B$14,Paramètres!$A$1:$I$88,3,0)*0.475*44/12</f>
        <v>0</v>
      </c>
      <c r="EC178" s="23">
        <f>EXP(-LN(2)/2)*EC177+(1-EXP(-LN(2)/2))/(LN(2)/2)*DW178*DZ178*VLOOKUP('Données projet'!$B$14,Paramètres!$A$1:$I$88,3,0)*0.475*44/12</f>
        <v>2.4261219483151872E-21</v>
      </c>
      <c r="ED178" s="24">
        <f t="shared" si="178"/>
        <v>0.28404479908979208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-1.9895196601282805E-13</v>
      </c>
      <c r="EK178" s="18">
        <f>EJ178*VLOOKUP('Données projet'!$B$15,Paramètres!$A$1:$I$88,3,0)*VLOOKUP('Données projet'!$B$15,Paramètres!$A$1:$I$88,5,0)</f>
        <v>-1.738044375088066E-13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202.5548390231225</v>
      </c>
      <c r="EP178" s="62">
        <f t="shared" si="154"/>
        <v>184.62184077734179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projet'!$B$15,Paramètres!$A$1:$I$88,3,0)*0.475*44/12</f>
        <v>0</v>
      </c>
      <c r="EW178" s="23">
        <f>EXP(-LN(2)/25)*EW177+(1-EXP(-LN(2)/25))/(LN(2)/25)*Calculateur!ER178*Calculateur!ET178*VLOOKUP('Données projet'!$B$15,Paramètres!$A$1:$I$88,3,0)*0.475*44/12</f>
        <v>0</v>
      </c>
      <c r="EX178" s="23">
        <f>EXP(-LN(2)/2)*EX177+(1-EXP(-LN(2)/2))/(LN(2)/2)*ER178*EU178*VLOOKUP('Données projet'!$B$15,Paramètres!$A$1:$I$88,3,0)*0.475*44/12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-5.1159076974727213E-13</v>
      </c>
      <c r="FF178" s="18">
        <f>FE178*VLOOKUP('Données projet'!$B$16,Paramètres!$A$1:$I$88,3,0)*VLOOKUP('Données projet'!$B$16,Paramètres!$A$1:$I$88,5,0)</f>
        <v>-4.9481059249956164E-13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456.96274622094955</v>
      </c>
      <c r="FK178" s="62">
        <f t="shared" si="156"/>
        <v>244.45149244446094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projet'!$B$16,Paramètres!$A$1:$I$88,3,0)*0.475*44/12</f>
        <v>0</v>
      </c>
      <c r="FR178" s="23">
        <f>EXP(-LN(2)/25)*FR177+(1-EXP(-LN(2)/25))/(LN(2)/25)*Calculateur!FM178*Calculateur!FO178*VLOOKUP('Données projet'!$B$16,Paramètres!$A$1:$I$88,3,0)*0.475*44/12</f>
        <v>0</v>
      </c>
      <c r="FS178" s="23">
        <f>EXP(-LN(2)/2)*FS177+(1-EXP(-LN(2)/2))/(LN(2)/2)*FM178*FP178*VLOOKUP('Données projet'!$B$16,Paramètres!$A$1:$I$88,3,0)*0.475*44/12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-5.1159076974727213E-13</v>
      </c>
      <c r="GA178" s="18">
        <f>FZ178*VLOOKUP('Données projet'!$B$17,Paramètres!$A$1:$I$88,3,0)*VLOOKUP('Données projet'!$B$17,Paramètres!$A$1:$I$88,5,0)</f>
        <v>-5.5067630455596371E-13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503.69304261527651</v>
      </c>
      <c r="GF178" s="62">
        <f t="shared" si="158"/>
        <v>267.2998309535638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projet'!$B$17,Paramètres!$A$1:$I$88,3,0)*0.475*44/12</f>
        <v>0</v>
      </c>
      <c r="GM178" s="23">
        <f>EXP(-LN(2)/25)*GM177+(1-EXP(-LN(2)/25))/(LN(2)/25)*Calculateur!GH178*Calculateur!GJ178*VLOOKUP('Données projet'!$B$17,Paramètres!$A$1:$I$88,3,0)*0.475*44/12</f>
        <v>0</v>
      </c>
      <c r="GN178" s="23">
        <f>EXP(-LN(2)/2)*GN177+(1-EXP(-LN(2)/2))/(LN(2)/2)*GH178*GK178*VLOOKUP('Données projet'!$B$17,Paramètres!$A$1:$I$88,3,0)*0.475*44/12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-3.979039320256561E-13</v>
      </c>
      <c r="GV178" s="18">
        <f>GU178*VLOOKUP('Données projet'!$B$18,Paramètres!$A$1:$I$88,3,0)*VLOOKUP('Données projet'!$B$18,Paramètres!$A$1:$I$88,5,0)</f>
        <v>-4.158891897532158E-13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582.89879210197682</v>
      </c>
      <c r="HA178" s="62">
        <f t="shared" si="160"/>
        <v>314.72094983133326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projet'!$B$18,Paramètres!$A$1:$I$88,3,0)*0.475*44/12</f>
        <v>0</v>
      </c>
      <c r="HH178" s="23">
        <f>EXP(-LN(2)/25)*HH177+(1-EXP(-LN(2)/25))/(LN(2)/25)*Calculateur!HC178*Calculateur!HE178*VLOOKUP('Données projet'!$B$18,Paramètres!$A$1:$I$88,3,0)*0.475*44/12</f>
        <v>0</v>
      </c>
      <c r="HI178" s="23">
        <f>EXP(-LN(2)/2)*HI177+(1-EXP(-LN(2)/2))/(LN(2)/2)*HC178*HF178*VLOOKUP('Données projet'!$B$18,Paramètres!$A$1:$I$88,3,0)*0.475*44/12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projet'!$B$9,Paramètres!$A$1:$I$88,3,0)*VLOOKUP('Données projet'!$B$9,Paramètres!$A$1:$I$88,5,0)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399.92909819003523</v>
      </c>
      <c r="T179" s="62">
        <f t="shared" si="142"/>
        <v>163.7053537268381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-3.979039320256561E-13</v>
      </c>
      <c r="AJ179" s="14">
        <f>AI179*VLOOKUP('Données projet'!$B$10,Paramètres!$A$1:$I$88,3,0)*VLOOKUP('Données projet'!$B$10,Paramètres!$A$1:$I$88,5,0)</f>
        <v>-3.6002347769681362E-13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510.56580450928806</v>
      </c>
      <c r="AO179" s="62">
        <f t="shared" si="144"/>
        <v>278.21741231699929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-5.1159076974727213E-13</v>
      </c>
      <c r="BE179" s="14">
        <f>BD179*VLOOKUP('Données projet'!$B$11,Paramètres!$A$1:$I$88,3,0)*VLOOKUP('Données projet'!$B$11,Paramètres!$A$1:$I$88,5,0)</f>
        <v>-4.8682977649150421E-13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525.51330555662139</v>
      </c>
      <c r="BJ179" s="62">
        <f t="shared" si="146"/>
        <v>357.72390083433635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1.7053025658242404E-13</v>
      </c>
      <c r="BZ179" s="14">
        <f>BY179*VLOOKUP('Données projet'!$B$12,Paramètres!$A$1:$I$88,3,0)*VLOOKUP('Données projet'!$B$12,Paramètres!$A$1:$I$88,5,0)</f>
        <v>1.0197709343628959E-13</v>
      </c>
      <c r="CA179" s="14">
        <f t="shared" si="170"/>
        <v>1.5284983994279675E-12</v>
      </c>
      <c r="CB179" s="22">
        <f t="shared" si="171"/>
        <v>2.839744816738581E-12</v>
      </c>
      <c r="CC179" s="62">
        <f t="shared" si="119"/>
        <v>293.33333333333616</v>
      </c>
      <c r="CD179" s="62">
        <f ca="1">AVERAGE(OFFSET($CC$3,0,0,'Données projet'!$E$12+1,1))-AVERAGE(OFFSET($H$3,0,0,'Données projet'!$E$12+1,1))</f>
        <v>227.46616726010473</v>
      </c>
      <c r="CE179" s="62">
        <f t="shared" si="148"/>
        <v>314.188568589113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6.6778266169594414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1.4718440085165616E-18</v>
      </c>
      <c r="CN179" s="24">
        <f t="shared" si="172"/>
        <v>6.6778266169594414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projet'!$B$13,Paramètres!$A$1:$I$88,3,0)*VLOOKUP('Données projet'!$B$13,Paramètres!$A$1:$I$88,5,0)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356.46794174556311</v>
      </c>
      <c r="CZ179" s="62">
        <f t="shared" si="150"/>
        <v>248.47107558211923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0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projet'!$B$14,Paramètres!$A$1:$I$88,3,0)*VLOOKUP('Données projet'!$B$14,Paramètres!$A$1:$I$88,5,0)</f>
        <v>6.3550942286383367E-14</v>
      </c>
      <c r="DQ179" s="14">
        <f t="shared" si="176"/>
        <v>1.0064464192543978E-12</v>
      </c>
      <c r="DR179" s="22">
        <f t="shared" si="177"/>
        <v>1.8635787380168604E-12</v>
      </c>
      <c r="DS179" s="62">
        <f t="shared" si="125"/>
        <v>293.33333333333519</v>
      </c>
      <c r="DT179" s="62">
        <f ca="1">AVERAGE(OFFSET($DS$3,0,0,'Données projet'!$E$14+1,1))-AVERAGE(OFFSET($H$3,0,0,'Données projet'!$E$14+1,1))</f>
        <v>397.04445188588369</v>
      </c>
      <c r="DU179" s="62">
        <f t="shared" si="152"/>
        <v>350.01856672839466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0.27847485382986165</v>
      </c>
      <c r="EB179" s="23">
        <f>EXP(-LN(2)/25)*EB178+(1-EXP(-LN(2)/25))/(LN(2)/25)*Calculateur!DW179*Calculateur!DY179*VLOOKUP('Données projet'!$B$14,Paramètres!$A$1:$I$88,3,0)*0.475*44/12</f>
        <v>0</v>
      </c>
      <c r="EC179" s="23">
        <f>EXP(-LN(2)/2)*EC178+(1-EXP(-LN(2)/2))/(LN(2)/2)*DW179*DZ179*VLOOKUP('Données projet'!$B$14,Paramètres!$A$1:$I$88,3,0)*0.475*44/12</f>
        <v>1.7155272816391874E-21</v>
      </c>
      <c r="ED179" s="24">
        <f t="shared" si="178"/>
        <v>0.27847485382986165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-1.9895196601282805E-13</v>
      </c>
      <c r="EK179" s="18">
        <f>EJ179*VLOOKUP('Données projet'!$B$15,Paramètres!$A$1:$I$88,3,0)*VLOOKUP('Données projet'!$B$15,Paramètres!$A$1:$I$88,5,0)</f>
        <v>-1.738044375088066E-13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202.5548390231225</v>
      </c>
      <c r="EP179" s="62">
        <f t="shared" si="154"/>
        <v>184.62184077734179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projet'!$B$15,Paramètres!$A$1:$I$88,3,0)*0.475*44/12</f>
        <v>0</v>
      </c>
      <c r="EW179" s="23">
        <f>EXP(-LN(2)/25)*EW178+(1-EXP(-LN(2)/25))/(LN(2)/25)*Calculateur!ER179*Calculateur!ET179*VLOOKUP('Données projet'!$B$15,Paramètres!$A$1:$I$88,3,0)*0.475*44/12</f>
        <v>0</v>
      </c>
      <c r="EX179" s="23">
        <f>EXP(-LN(2)/2)*EX178+(1-EXP(-LN(2)/2))/(LN(2)/2)*ER179*EU179*VLOOKUP('Données projet'!$B$15,Paramètres!$A$1:$I$88,3,0)*0.475*44/12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-5.1159076974727213E-13</v>
      </c>
      <c r="FF179" s="18">
        <f>FE179*VLOOKUP('Données projet'!$B$16,Paramètres!$A$1:$I$88,3,0)*VLOOKUP('Données projet'!$B$16,Paramètres!$A$1:$I$88,5,0)</f>
        <v>-4.9481059249956164E-13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456.96274622094955</v>
      </c>
      <c r="FK179" s="62">
        <f t="shared" si="156"/>
        <v>244.45149244446094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projet'!$B$16,Paramètres!$A$1:$I$88,3,0)*0.475*44/12</f>
        <v>0</v>
      </c>
      <c r="FR179" s="23">
        <f>EXP(-LN(2)/25)*FR178+(1-EXP(-LN(2)/25))/(LN(2)/25)*Calculateur!FM179*Calculateur!FO179*VLOOKUP('Données projet'!$B$16,Paramètres!$A$1:$I$88,3,0)*0.475*44/12</f>
        <v>0</v>
      </c>
      <c r="FS179" s="23">
        <f>EXP(-LN(2)/2)*FS178+(1-EXP(-LN(2)/2))/(LN(2)/2)*FM179*FP179*VLOOKUP('Données projet'!$B$16,Paramètres!$A$1:$I$88,3,0)*0.475*44/12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-5.1159076974727213E-13</v>
      </c>
      <c r="GA179" s="18">
        <f>FZ179*VLOOKUP('Données projet'!$B$17,Paramètres!$A$1:$I$88,3,0)*VLOOKUP('Données projet'!$B$17,Paramètres!$A$1:$I$88,5,0)</f>
        <v>-5.5067630455596371E-13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503.69304261527651</v>
      </c>
      <c r="GF179" s="62">
        <f t="shared" si="158"/>
        <v>267.2998309535638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projet'!$B$17,Paramètres!$A$1:$I$88,3,0)*0.475*44/12</f>
        <v>0</v>
      </c>
      <c r="GM179" s="23">
        <f>EXP(-LN(2)/25)*GM178+(1-EXP(-LN(2)/25))/(LN(2)/25)*Calculateur!GH179*Calculateur!GJ179*VLOOKUP('Données projet'!$B$17,Paramètres!$A$1:$I$88,3,0)*0.475*44/12</f>
        <v>0</v>
      </c>
      <c r="GN179" s="23">
        <f>EXP(-LN(2)/2)*GN178+(1-EXP(-LN(2)/2))/(LN(2)/2)*GH179*GK179*VLOOKUP('Données projet'!$B$17,Paramètres!$A$1:$I$88,3,0)*0.475*44/12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-3.979039320256561E-13</v>
      </c>
      <c r="GV179" s="18">
        <f>GU179*VLOOKUP('Données projet'!$B$18,Paramètres!$A$1:$I$88,3,0)*VLOOKUP('Données projet'!$B$18,Paramètres!$A$1:$I$88,5,0)</f>
        <v>-4.158891897532158E-13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582.89879210197682</v>
      </c>
      <c r="HA179" s="62">
        <f t="shared" si="160"/>
        <v>314.72094983133326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projet'!$B$18,Paramètres!$A$1:$I$88,3,0)*0.475*44/12</f>
        <v>0</v>
      </c>
      <c r="HH179" s="23">
        <f>EXP(-LN(2)/25)*HH178+(1-EXP(-LN(2)/25))/(LN(2)/25)*Calculateur!HC179*Calculateur!HE179*VLOOKUP('Données projet'!$B$18,Paramètres!$A$1:$I$88,3,0)*0.475*44/12</f>
        <v>0</v>
      </c>
      <c r="HI179" s="23">
        <f>EXP(-LN(2)/2)*HI178+(1-EXP(-LN(2)/2))/(LN(2)/2)*HC179*HF179*VLOOKUP('Données projet'!$B$18,Paramètres!$A$1:$I$88,3,0)*0.475*44/12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projet'!$B$9,Paramètres!$A$1:$I$88,3,0)*VLOOKUP('Données projet'!$B$9,Paramètres!$A$1:$I$88,5,0)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399.92909819003523</v>
      </c>
      <c r="T180" s="62">
        <f t="shared" si="142"/>
        <v>163.7053537268381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-3.979039320256561E-13</v>
      </c>
      <c r="AJ180" s="14">
        <f>AI180*VLOOKUP('Données projet'!$B$10,Paramètres!$A$1:$I$88,3,0)*VLOOKUP('Données projet'!$B$10,Paramètres!$A$1:$I$88,5,0)</f>
        <v>-3.6002347769681362E-13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510.56580450928806</v>
      </c>
      <c r="AO180" s="62">
        <f t="shared" si="144"/>
        <v>278.21741231699929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-5.1159076974727213E-13</v>
      </c>
      <c r="BE180" s="14">
        <f>BD180*VLOOKUP('Données projet'!$B$11,Paramètres!$A$1:$I$88,3,0)*VLOOKUP('Données projet'!$B$11,Paramètres!$A$1:$I$88,5,0)</f>
        <v>-4.8682977649150421E-13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525.51330555662139</v>
      </c>
      <c r="BJ180" s="62">
        <f t="shared" si="146"/>
        <v>357.72390083433635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1.7053025658242404E-13</v>
      </c>
      <c r="BZ180" s="14">
        <f>BY180*VLOOKUP('Données projet'!$B$12,Paramètres!$A$1:$I$88,3,0)*VLOOKUP('Données projet'!$B$12,Paramètres!$A$1:$I$88,5,0)</f>
        <v>1.0197709343628959E-13</v>
      </c>
      <c r="CA180" s="14">
        <f t="shared" si="170"/>
        <v>1.5284983994279675E-12</v>
      </c>
      <c r="CB180" s="22">
        <f t="shared" si="171"/>
        <v>2.839744816738581E-12</v>
      </c>
      <c r="CC180" s="62">
        <f t="shared" si="119"/>
        <v>293.33333333333616</v>
      </c>
      <c r="CD180" s="62">
        <f ca="1">AVERAGE(OFFSET($CC$3,0,0,'Données projet'!$E$12+1,1))-AVERAGE(OFFSET($H$3,0,0,'Données projet'!$E$12+1,1))</f>
        <v>227.46616726010473</v>
      </c>
      <c r="CE180" s="62">
        <f t="shared" si="148"/>
        <v>314.188568589113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6.5468785100729203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1.0407508792708513E-18</v>
      </c>
      <c r="CN180" s="24">
        <f t="shared" si="172"/>
        <v>6.5468785100729203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projet'!$B$13,Paramètres!$A$1:$I$88,3,0)*VLOOKUP('Données projet'!$B$13,Paramètres!$A$1:$I$88,5,0)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356.46794174556311</v>
      </c>
      <c r="CZ180" s="62">
        <f t="shared" si="150"/>
        <v>248.47107558211923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0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projet'!$B$14,Paramètres!$A$1:$I$88,3,0)*VLOOKUP('Données projet'!$B$14,Paramètres!$A$1:$I$88,5,0)</f>
        <v>6.3550942286383367E-14</v>
      </c>
      <c r="DQ180" s="14">
        <f t="shared" si="176"/>
        <v>1.0064464192543978E-12</v>
      </c>
      <c r="DR180" s="22">
        <f t="shared" si="177"/>
        <v>1.8635787380168604E-12</v>
      </c>
      <c r="DS180" s="62">
        <f t="shared" si="125"/>
        <v>293.33333333333519</v>
      </c>
      <c r="DT180" s="62">
        <f ca="1">AVERAGE(OFFSET($DS$3,0,0,'Données projet'!$E$14+1,1))-AVERAGE(OFFSET($H$3,0,0,'Données projet'!$E$14+1,1))</f>
        <v>397.04445188588369</v>
      </c>
      <c r="DU180" s="62">
        <f t="shared" si="152"/>
        <v>350.01856672839466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0.2730141317991473</v>
      </c>
      <c r="EB180" s="23">
        <f>EXP(-LN(2)/25)*EB179+(1-EXP(-LN(2)/25))/(LN(2)/25)*Calculateur!DW180*Calculateur!DY180*VLOOKUP('Données projet'!$B$14,Paramètres!$A$1:$I$88,3,0)*0.475*44/12</f>
        <v>0</v>
      </c>
      <c r="EC180" s="23">
        <f>EXP(-LN(2)/2)*EC179+(1-EXP(-LN(2)/2))/(LN(2)/2)*DW180*DZ180*VLOOKUP('Données projet'!$B$14,Paramètres!$A$1:$I$88,3,0)*0.475*44/12</f>
        <v>1.2130609741575936E-21</v>
      </c>
      <c r="ED180" s="24">
        <f t="shared" si="178"/>
        <v>0.2730141317991473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-1.9895196601282805E-13</v>
      </c>
      <c r="EK180" s="18">
        <f>EJ180*VLOOKUP('Données projet'!$B$15,Paramètres!$A$1:$I$88,3,0)*VLOOKUP('Données projet'!$B$15,Paramètres!$A$1:$I$88,5,0)</f>
        <v>-1.738044375088066E-13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202.5548390231225</v>
      </c>
      <c r="EP180" s="62">
        <f t="shared" si="154"/>
        <v>184.62184077734179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projet'!$B$15,Paramètres!$A$1:$I$88,3,0)*0.475*44/12</f>
        <v>0</v>
      </c>
      <c r="EW180" s="23">
        <f>EXP(-LN(2)/25)*EW179+(1-EXP(-LN(2)/25))/(LN(2)/25)*Calculateur!ER180*Calculateur!ET180*VLOOKUP('Données projet'!$B$15,Paramètres!$A$1:$I$88,3,0)*0.475*44/12</f>
        <v>0</v>
      </c>
      <c r="EX180" s="23">
        <f>EXP(-LN(2)/2)*EX179+(1-EXP(-LN(2)/2))/(LN(2)/2)*ER180*EU180*VLOOKUP('Données projet'!$B$15,Paramètres!$A$1:$I$88,3,0)*0.475*44/12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-5.1159076974727213E-13</v>
      </c>
      <c r="FF180" s="18">
        <f>FE180*VLOOKUP('Données projet'!$B$16,Paramètres!$A$1:$I$88,3,0)*VLOOKUP('Données projet'!$B$16,Paramètres!$A$1:$I$88,5,0)</f>
        <v>-4.9481059249956164E-13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456.96274622094955</v>
      </c>
      <c r="FK180" s="62">
        <f t="shared" si="156"/>
        <v>244.45149244446094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projet'!$B$16,Paramètres!$A$1:$I$88,3,0)*0.475*44/12</f>
        <v>0</v>
      </c>
      <c r="FR180" s="23">
        <f>EXP(-LN(2)/25)*FR179+(1-EXP(-LN(2)/25))/(LN(2)/25)*Calculateur!FM180*Calculateur!FO180*VLOOKUP('Données projet'!$B$16,Paramètres!$A$1:$I$88,3,0)*0.475*44/12</f>
        <v>0</v>
      </c>
      <c r="FS180" s="23">
        <f>EXP(-LN(2)/2)*FS179+(1-EXP(-LN(2)/2))/(LN(2)/2)*FM180*FP180*VLOOKUP('Données projet'!$B$16,Paramètres!$A$1:$I$88,3,0)*0.475*44/12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-5.1159076974727213E-13</v>
      </c>
      <c r="GA180" s="18">
        <f>FZ180*VLOOKUP('Données projet'!$B$17,Paramètres!$A$1:$I$88,3,0)*VLOOKUP('Données projet'!$B$17,Paramètres!$A$1:$I$88,5,0)</f>
        <v>-5.5067630455596371E-13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503.69304261527651</v>
      </c>
      <c r="GF180" s="62">
        <f t="shared" si="158"/>
        <v>267.2998309535638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projet'!$B$17,Paramètres!$A$1:$I$88,3,0)*0.475*44/12</f>
        <v>0</v>
      </c>
      <c r="GM180" s="23">
        <f>EXP(-LN(2)/25)*GM179+(1-EXP(-LN(2)/25))/(LN(2)/25)*Calculateur!GH180*Calculateur!GJ180*VLOOKUP('Données projet'!$B$17,Paramètres!$A$1:$I$88,3,0)*0.475*44/12</f>
        <v>0</v>
      </c>
      <c r="GN180" s="23">
        <f>EXP(-LN(2)/2)*GN179+(1-EXP(-LN(2)/2))/(LN(2)/2)*GH180*GK180*VLOOKUP('Données projet'!$B$17,Paramètres!$A$1:$I$88,3,0)*0.475*44/12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-3.979039320256561E-13</v>
      </c>
      <c r="GV180" s="18">
        <f>GU180*VLOOKUP('Données projet'!$B$18,Paramètres!$A$1:$I$88,3,0)*VLOOKUP('Données projet'!$B$18,Paramètres!$A$1:$I$88,5,0)</f>
        <v>-4.158891897532158E-13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582.89879210197682</v>
      </c>
      <c r="HA180" s="62">
        <f t="shared" si="160"/>
        <v>314.72094983133326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projet'!$B$18,Paramètres!$A$1:$I$88,3,0)*0.475*44/12</f>
        <v>0</v>
      </c>
      <c r="HH180" s="23">
        <f>EXP(-LN(2)/25)*HH179+(1-EXP(-LN(2)/25))/(LN(2)/25)*Calculateur!HC180*Calculateur!HE180*VLOOKUP('Données projet'!$B$18,Paramètres!$A$1:$I$88,3,0)*0.475*44/12</f>
        <v>0</v>
      </c>
      <c r="HI180" s="23">
        <f>EXP(-LN(2)/2)*HI179+(1-EXP(-LN(2)/2))/(LN(2)/2)*HC180*HF180*VLOOKUP('Données projet'!$B$18,Paramètres!$A$1:$I$88,3,0)*0.475*44/12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projet'!$B$9,Paramètres!$A$1:$I$88,3,0)*VLOOKUP('Données projet'!$B$9,Paramètres!$A$1:$I$88,5,0)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399.92909819003523</v>
      </c>
      <c r="T181" s="62">
        <f t="shared" si="142"/>
        <v>163.7053537268381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-3.979039320256561E-13</v>
      </c>
      <c r="AJ181" s="14">
        <f>AI181*VLOOKUP('Données projet'!$B$10,Paramètres!$A$1:$I$88,3,0)*VLOOKUP('Données projet'!$B$10,Paramètres!$A$1:$I$88,5,0)</f>
        <v>-3.6002347769681362E-13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510.56580450928806</v>
      </c>
      <c r="AO181" s="62">
        <f t="shared" si="144"/>
        <v>278.21741231699929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-5.1159076974727213E-13</v>
      </c>
      <c r="BE181" s="14">
        <f>BD181*VLOOKUP('Données projet'!$B$11,Paramètres!$A$1:$I$88,3,0)*VLOOKUP('Données projet'!$B$11,Paramètres!$A$1:$I$88,5,0)</f>
        <v>-4.8682977649150421E-13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525.51330555662139</v>
      </c>
      <c r="BJ181" s="62">
        <f t="shared" si="146"/>
        <v>357.72390083433635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1.7053025658242404E-13</v>
      </c>
      <c r="BZ181" s="14">
        <f>BY181*VLOOKUP('Données projet'!$B$12,Paramètres!$A$1:$I$88,3,0)*VLOOKUP('Données projet'!$B$12,Paramètres!$A$1:$I$88,5,0)</f>
        <v>1.0197709343628959E-13</v>
      </c>
      <c r="CA181" s="14">
        <f t="shared" si="170"/>
        <v>1.5284983994279675E-12</v>
      </c>
      <c r="CB181" s="22">
        <f t="shared" si="171"/>
        <v>2.839744816738581E-12</v>
      </c>
      <c r="CC181" s="62">
        <f t="shared" si="119"/>
        <v>293.33333333333616</v>
      </c>
      <c r="CD181" s="62">
        <f ca="1">AVERAGE(OFFSET($CC$3,0,0,'Données projet'!$E$12+1,1))-AVERAGE(OFFSET($H$3,0,0,'Données projet'!$E$12+1,1))</f>
        <v>227.46616726010473</v>
      </c>
      <c r="CE181" s="62">
        <f t="shared" si="148"/>
        <v>314.188568589113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6.4184982156919856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7.3592200425828081E-19</v>
      </c>
      <c r="CN181" s="24">
        <f t="shared" si="172"/>
        <v>6.4184982156919856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projet'!$B$13,Paramètres!$A$1:$I$88,3,0)*VLOOKUP('Données projet'!$B$13,Paramètres!$A$1:$I$88,5,0)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356.46794174556311</v>
      </c>
      <c r="CZ181" s="62">
        <f t="shared" si="150"/>
        <v>248.47107558211923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0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projet'!$B$14,Paramètres!$A$1:$I$88,3,0)*VLOOKUP('Données projet'!$B$14,Paramètres!$A$1:$I$88,5,0)</f>
        <v>6.3550942286383367E-14</v>
      </c>
      <c r="DQ181" s="14">
        <f t="shared" si="176"/>
        <v>1.0064464192543978E-12</v>
      </c>
      <c r="DR181" s="22">
        <f t="shared" si="177"/>
        <v>1.8635787380168604E-12</v>
      </c>
      <c r="DS181" s="62">
        <f t="shared" si="125"/>
        <v>293.33333333333519</v>
      </c>
      <c r="DT181" s="62">
        <f ca="1">AVERAGE(OFFSET($DS$3,0,0,'Données projet'!$E$14+1,1))-AVERAGE(OFFSET($H$3,0,0,'Données projet'!$E$14+1,1))</f>
        <v>397.04445188588369</v>
      </c>
      <c r="DU181" s="62">
        <f t="shared" si="152"/>
        <v>350.01856672839466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0.26766049119674373</v>
      </c>
      <c r="EB181" s="23">
        <f>EXP(-LN(2)/25)*EB180+(1-EXP(-LN(2)/25))/(LN(2)/25)*Calculateur!DW181*Calculateur!DY181*VLOOKUP('Données projet'!$B$14,Paramètres!$A$1:$I$88,3,0)*0.475*44/12</f>
        <v>0</v>
      </c>
      <c r="EC181" s="23">
        <f>EXP(-LN(2)/2)*EC180+(1-EXP(-LN(2)/2))/(LN(2)/2)*DW181*DZ181*VLOOKUP('Données projet'!$B$14,Paramètres!$A$1:$I$88,3,0)*0.475*44/12</f>
        <v>8.5776364081959371E-22</v>
      </c>
      <c r="ED181" s="24">
        <f t="shared" si="178"/>
        <v>0.26766049119674373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-1.9895196601282805E-13</v>
      </c>
      <c r="EK181" s="18">
        <f>EJ181*VLOOKUP('Données projet'!$B$15,Paramètres!$A$1:$I$88,3,0)*VLOOKUP('Données projet'!$B$15,Paramètres!$A$1:$I$88,5,0)</f>
        <v>-1.738044375088066E-13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202.5548390231225</v>
      </c>
      <c r="EP181" s="62">
        <f t="shared" si="154"/>
        <v>184.62184077734179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projet'!$B$15,Paramètres!$A$1:$I$88,3,0)*0.475*44/12</f>
        <v>0</v>
      </c>
      <c r="EW181" s="23">
        <f>EXP(-LN(2)/25)*EW180+(1-EXP(-LN(2)/25))/(LN(2)/25)*Calculateur!ER181*Calculateur!ET181*VLOOKUP('Données projet'!$B$15,Paramètres!$A$1:$I$88,3,0)*0.475*44/12</f>
        <v>0</v>
      </c>
      <c r="EX181" s="23">
        <f>EXP(-LN(2)/2)*EX180+(1-EXP(-LN(2)/2))/(LN(2)/2)*ER181*EU181*VLOOKUP('Données projet'!$B$15,Paramètres!$A$1:$I$88,3,0)*0.475*44/12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-5.1159076974727213E-13</v>
      </c>
      <c r="FF181" s="18">
        <f>FE181*VLOOKUP('Données projet'!$B$16,Paramètres!$A$1:$I$88,3,0)*VLOOKUP('Données projet'!$B$16,Paramètres!$A$1:$I$88,5,0)</f>
        <v>-4.9481059249956164E-13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456.96274622094955</v>
      </c>
      <c r="FK181" s="62">
        <f t="shared" si="156"/>
        <v>244.45149244446094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projet'!$B$16,Paramètres!$A$1:$I$88,3,0)*0.475*44/12</f>
        <v>0</v>
      </c>
      <c r="FR181" s="23">
        <f>EXP(-LN(2)/25)*FR180+(1-EXP(-LN(2)/25))/(LN(2)/25)*Calculateur!FM181*Calculateur!FO181*VLOOKUP('Données projet'!$B$16,Paramètres!$A$1:$I$88,3,0)*0.475*44/12</f>
        <v>0</v>
      </c>
      <c r="FS181" s="23">
        <f>EXP(-LN(2)/2)*FS180+(1-EXP(-LN(2)/2))/(LN(2)/2)*FM181*FP181*VLOOKUP('Données projet'!$B$16,Paramètres!$A$1:$I$88,3,0)*0.475*44/12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-5.1159076974727213E-13</v>
      </c>
      <c r="GA181" s="18">
        <f>FZ181*VLOOKUP('Données projet'!$B$17,Paramètres!$A$1:$I$88,3,0)*VLOOKUP('Données projet'!$B$17,Paramètres!$A$1:$I$88,5,0)</f>
        <v>-5.5067630455596371E-13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503.69304261527651</v>
      </c>
      <c r="GF181" s="62">
        <f t="shared" si="158"/>
        <v>267.2998309535638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projet'!$B$17,Paramètres!$A$1:$I$88,3,0)*0.475*44/12</f>
        <v>0</v>
      </c>
      <c r="GM181" s="23">
        <f>EXP(-LN(2)/25)*GM180+(1-EXP(-LN(2)/25))/(LN(2)/25)*Calculateur!GH181*Calculateur!GJ181*VLOOKUP('Données projet'!$B$17,Paramètres!$A$1:$I$88,3,0)*0.475*44/12</f>
        <v>0</v>
      </c>
      <c r="GN181" s="23">
        <f>EXP(-LN(2)/2)*GN180+(1-EXP(-LN(2)/2))/(LN(2)/2)*GH181*GK181*VLOOKUP('Données projet'!$B$17,Paramètres!$A$1:$I$88,3,0)*0.475*44/12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-3.979039320256561E-13</v>
      </c>
      <c r="GV181" s="18">
        <f>GU181*VLOOKUP('Données projet'!$B$18,Paramètres!$A$1:$I$88,3,0)*VLOOKUP('Données projet'!$B$18,Paramètres!$A$1:$I$88,5,0)</f>
        <v>-4.158891897532158E-13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582.89879210197682</v>
      </c>
      <c r="HA181" s="62">
        <f t="shared" si="160"/>
        <v>314.72094983133326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projet'!$B$18,Paramètres!$A$1:$I$88,3,0)*0.475*44/12</f>
        <v>0</v>
      </c>
      <c r="HH181" s="23">
        <f>EXP(-LN(2)/25)*HH180+(1-EXP(-LN(2)/25))/(LN(2)/25)*Calculateur!HC181*Calculateur!HE181*VLOOKUP('Données projet'!$B$18,Paramètres!$A$1:$I$88,3,0)*0.475*44/12</f>
        <v>0</v>
      </c>
      <c r="HI181" s="23">
        <f>EXP(-LN(2)/2)*HI180+(1-EXP(-LN(2)/2))/(LN(2)/2)*HC181*HF181*VLOOKUP('Données projet'!$B$18,Paramètres!$A$1:$I$88,3,0)*0.475*44/12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projet'!$B$9,Paramètres!$A$1:$I$88,3,0)*VLOOKUP('Données projet'!$B$9,Paramètres!$A$1:$I$88,5,0)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399.92909819003523</v>
      </c>
      <c r="T182" s="62">
        <f t="shared" si="142"/>
        <v>163.7053537268381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-3.979039320256561E-13</v>
      </c>
      <c r="AJ182" s="14">
        <f>AI182*VLOOKUP('Données projet'!$B$10,Paramètres!$A$1:$I$88,3,0)*VLOOKUP('Données projet'!$B$10,Paramètres!$A$1:$I$88,5,0)</f>
        <v>-3.6002347769681362E-13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510.56580450928806</v>
      </c>
      <c r="AO182" s="62">
        <f t="shared" si="144"/>
        <v>278.21741231699929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-5.1159076974727213E-13</v>
      </c>
      <c r="BE182" s="14">
        <f>BD182*VLOOKUP('Données projet'!$B$11,Paramètres!$A$1:$I$88,3,0)*VLOOKUP('Données projet'!$B$11,Paramètres!$A$1:$I$88,5,0)</f>
        <v>-4.8682977649150421E-13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525.51330555662139</v>
      </c>
      <c r="BJ182" s="62">
        <f t="shared" si="146"/>
        <v>357.72390083433635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1.7053025658242404E-13</v>
      </c>
      <c r="BZ182" s="14">
        <f>BY182*VLOOKUP('Données projet'!$B$12,Paramètres!$A$1:$I$88,3,0)*VLOOKUP('Données projet'!$B$12,Paramètres!$A$1:$I$88,5,0)</f>
        <v>1.0197709343628959E-13</v>
      </c>
      <c r="CA182" s="14">
        <f t="shared" si="170"/>
        <v>1.5284983994279675E-12</v>
      </c>
      <c r="CB182" s="22">
        <f t="shared" si="171"/>
        <v>2.839744816738581E-12</v>
      </c>
      <c r="CC182" s="62">
        <f t="shared" si="119"/>
        <v>293.33333333333616</v>
      </c>
      <c r="CD182" s="62">
        <f ca="1">AVERAGE(OFFSET($CC$3,0,0,'Données projet'!$E$12+1,1))-AVERAGE(OFFSET($H$3,0,0,'Données projet'!$E$12+1,1))</f>
        <v>227.46616726010473</v>
      </c>
      <c r="CE182" s="62">
        <f t="shared" si="148"/>
        <v>314.188568589113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6.2926353805796138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5.2037543963542566E-19</v>
      </c>
      <c r="CN182" s="24">
        <f t="shared" si="172"/>
        <v>6.2926353805796138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projet'!$B$13,Paramètres!$A$1:$I$88,3,0)*VLOOKUP('Données projet'!$B$13,Paramètres!$A$1:$I$88,5,0)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356.46794174556311</v>
      </c>
      <c r="CZ182" s="62">
        <f t="shared" si="150"/>
        <v>248.47107558211923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0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projet'!$B$14,Paramètres!$A$1:$I$88,3,0)*VLOOKUP('Données projet'!$B$14,Paramètres!$A$1:$I$88,5,0)</f>
        <v>6.3550942286383367E-14</v>
      </c>
      <c r="DQ182" s="14">
        <f t="shared" si="176"/>
        <v>1.0064464192543978E-12</v>
      </c>
      <c r="DR182" s="22">
        <f t="shared" si="177"/>
        <v>1.8635787380168604E-12</v>
      </c>
      <c r="DS182" s="62">
        <f t="shared" si="125"/>
        <v>293.33333333333519</v>
      </c>
      <c r="DT182" s="62">
        <f ca="1">AVERAGE(OFFSET($DS$3,0,0,'Données projet'!$E$14+1,1))-AVERAGE(OFFSET($H$3,0,0,'Données projet'!$E$14+1,1))</f>
        <v>397.04445188588369</v>
      </c>
      <c r="DU182" s="62">
        <f t="shared" si="152"/>
        <v>350.01856672839466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0.26241183222115494</v>
      </c>
      <c r="EB182" s="23">
        <f>EXP(-LN(2)/25)*EB181+(1-EXP(-LN(2)/25))/(LN(2)/25)*Calculateur!DW182*Calculateur!DY182*VLOOKUP('Données projet'!$B$14,Paramètres!$A$1:$I$88,3,0)*0.475*44/12</f>
        <v>0</v>
      </c>
      <c r="EC182" s="23">
        <f>EXP(-LN(2)/2)*EC181+(1-EXP(-LN(2)/2))/(LN(2)/2)*DW182*DZ182*VLOOKUP('Données projet'!$B$14,Paramètres!$A$1:$I$88,3,0)*0.475*44/12</f>
        <v>6.0653048707879679E-22</v>
      </c>
      <c r="ED182" s="24">
        <f t="shared" si="178"/>
        <v>0.26241183222115494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-1.9895196601282805E-13</v>
      </c>
      <c r="EK182" s="18">
        <f>EJ182*VLOOKUP('Données projet'!$B$15,Paramètres!$A$1:$I$88,3,0)*VLOOKUP('Données projet'!$B$15,Paramètres!$A$1:$I$88,5,0)</f>
        <v>-1.738044375088066E-13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202.5548390231225</v>
      </c>
      <c r="EP182" s="62">
        <f t="shared" si="154"/>
        <v>184.62184077734179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projet'!$B$15,Paramètres!$A$1:$I$88,3,0)*0.475*44/12</f>
        <v>0</v>
      </c>
      <c r="EW182" s="23">
        <f>EXP(-LN(2)/25)*EW181+(1-EXP(-LN(2)/25))/(LN(2)/25)*Calculateur!ER182*Calculateur!ET182*VLOOKUP('Données projet'!$B$15,Paramètres!$A$1:$I$88,3,0)*0.475*44/12</f>
        <v>0</v>
      </c>
      <c r="EX182" s="23">
        <f>EXP(-LN(2)/2)*EX181+(1-EXP(-LN(2)/2))/(LN(2)/2)*ER182*EU182*VLOOKUP('Données projet'!$B$15,Paramètres!$A$1:$I$88,3,0)*0.475*44/12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-5.1159076974727213E-13</v>
      </c>
      <c r="FF182" s="18">
        <f>FE182*VLOOKUP('Données projet'!$B$16,Paramètres!$A$1:$I$88,3,0)*VLOOKUP('Données projet'!$B$16,Paramètres!$A$1:$I$88,5,0)</f>
        <v>-4.9481059249956164E-13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456.96274622094955</v>
      </c>
      <c r="FK182" s="62">
        <f t="shared" si="156"/>
        <v>244.45149244446094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projet'!$B$16,Paramètres!$A$1:$I$88,3,0)*0.475*44/12</f>
        <v>0</v>
      </c>
      <c r="FR182" s="23">
        <f>EXP(-LN(2)/25)*FR181+(1-EXP(-LN(2)/25))/(LN(2)/25)*Calculateur!FM182*Calculateur!FO182*VLOOKUP('Données projet'!$B$16,Paramètres!$A$1:$I$88,3,0)*0.475*44/12</f>
        <v>0</v>
      </c>
      <c r="FS182" s="23">
        <f>EXP(-LN(2)/2)*FS181+(1-EXP(-LN(2)/2))/(LN(2)/2)*FM182*FP182*VLOOKUP('Données projet'!$B$16,Paramètres!$A$1:$I$88,3,0)*0.475*44/12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-5.1159076974727213E-13</v>
      </c>
      <c r="GA182" s="18">
        <f>FZ182*VLOOKUP('Données projet'!$B$17,Paramètres!$A$1:$I$88,3,0)*VLOOKUP('Données projet'!$B$17,Paramètres!$A$1:$I$88,5,0)</f>
        <v>-5.5067630455596371E-13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503.69304261527651</v>
      </c>
      <c r="GF182" s="62">
        <f t="shared" si="158"/>
        <v>267.2998309535638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projet'!$B$17,Paramètres!$A$1:$I$88,3,0)*0.475*44/12</f>
        <v>0</v>
      </c>
      <c r="GM182" s="23">
        <f>EXP(-LN(2)/25)*GM181+(1-EXP(-LN(2)/25))/(LN(2)/25)*Calculateur!GH182*Calculateur!GJ182*VLOOKUP('Données projet'!$B$17,Paramètres!$A$1:$I$88,3,0)*0.475*44/12</f>
        <v>0</v>
      </c>
      <c r="GN182" s="23">
        <f>EXP(-LN(2)/2)*GN181+(1-EXP(-LN(2)/2))/(LN(2)/2)*GH182*GK182*VLOOKUP('Données projet'!$B$17,Paramètres!$A$1:$I$88,3,0)*0.475*44/12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-3.979039320256561E-13</v>
      </c>
      <c r="GV182" s="18">
        <f>GU182*VLOOKUP('Données projet'!$B$18,Paramètres!$A$1:$I$88,3,0)*VLOOKUP('Données projet'!$B$18,Paramètres!$A$1:$I$88,5,0)</f>
        <v>-4.158891897532158E-13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582.89879210197682</v>
      </c>
      <c r="HA182" s="62">
        <f t="shared" si="160"/>
        <v>314.72094983133326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projet'!$B$18,Paramètres!$A$1:$I$88,3,0)*0.475*44/12</f>
        <v>0</v>
      </c>
      <c r="HH182" s="23">
        <f>EXP(-LN(2)/25)*HH181+(1-EXP(-LN(2)/25))/(LN(2)/25)*Calculateur!HC182*Calculateur!HE182*VLOOKUP('Données projet'!$B$18,Paramètres!$A$1:$I$88,3,0)*0.475*44/12</f>
        <v>0</v>
      </c>
      <c r="HI182" s="23">
        <f>EXP(-LN(2)/2)*HI181+(1-EXP(-LN(2)/2))/(LN(2)/2)*HC182*HF182*VLOOKUP('Données projet'!$B$18,Paramètres!$A$1:$I$88,3,0)*0.475*44/12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projet'!$B$9,Paramètres!$A$1:$I$88,3,0)*VLOOKUP('Données projet'!$B$9,Paramètres!$A$1:$I$88,5,0)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399.92909819003523</v>
      </c>
      <c r="T183" s="62">
        <f t="shared" si="142"/>
        <v>163.7053537268381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-3.979039320256561E-13</v>
      </c>
      <c r="AJ183" s="14">
        <f>AI183*VLOOKUP('Données projet'!$B$10,Paramètres!$A$1:$I$88,3,0)*VLOOKUP('Données projet'!$B$10,Paramètres!$A$1:$I$88,5,0)</f>
        <v>-3.6002347769681362E-13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510.56580450928806</v>
      </c>
      <c r="AO183" s="62">
        <f t="shared" si="144"/>
        <v>278.21741231699929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-5.1159076974727213E-13</v>
      </c>
      <c r="BE183" s="14">
        <f>BD183*VLOOKUP('Données projet'!$B$11,Paramètres!$A$1:$I$88,3,0)*VLOOKUP('Données projet'!$B$11,Paramètres!$A$1:$I$88,5,0)</f>
        <v>-4.8682977649150421E-13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525.51330555662139</v>
      </c>
      <c r="BJ183" s="62">
        <f t="shared" si="146"/>
        <v>357.72390083433635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1.7053025658242404E-13</v>
      </c>
      <c r="BZ183" s="14">
        <f>BY183*VLOOKUP('Données projet'!$B$12,Paramètres!$A$1:$I$88,3,0)*VLOOKUP('Données projet'!$B$12,Paramètres!$A$1:$I$88,5,0)</f>
        <v>1.0197709343628959E-13</v>
      </c>
      <c r="CA183" s="14">
        <f t="shared" si="170"/>
        <v>1.5284983994279675E-12</v>
      </c>
      <c r="CB183" s="22">
        <f t="shared" si="171"/>
        <v>2.839744816738581E-12</v>
      </c>
      <c r="CC183" s="62">
        <f t="shared" si="119"/>
        <v>293.33333333333616</v>
      </c>
      <c r="CD183" s="62">
        <f ca="1">AVERAGE(OFFSET($CC$3,0,0,'Données projet'!$E$12+1,1))-AVERAGE(OFFSET($H$3,0,0,'Données projet'!$E$12+1,1))</f>
        <v>227.46616726010473</v>
      </c>
      <c r="CE183" s="62">
        <f t="shared" si="148"/>
        <v>314.188568589113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6.1692406388950456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3.6796100212914041E-19</v>
      </c>
      <c r="CN183" s="24">
        <f t="shared" si="172"/>
        <v>6.1692406388950456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projet'!$B$13,Paramètres!$A$1:$I$88,3,0)*VLOOKUP('Données projet'!$B$13,Paramètres!$A$1:$I$88,5,0)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356.46794174556311</v>
      </c>
      <c r="CZ183" s="62">
        <f t="shared" si="150"/>
        <v>248.47107558211923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0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projet'!$B$14,Paramètres!$A$1:$I$88,3,0)*VLOOKUP('Données projet'!$B$14,Paramètres!$A$1:$I$88,5,0)</f>
        <v>6.3550942286383367E-14</v>
      </c>
      <c r="DQ183" s="14">
        <f t="shared" si="176"/>
        <v>1.0064464192543978E-12</v>
      </c>
      <c r="DR183" s="22">
        <f t="shared" si="177"/>
        <v>1.8635787380168604E-12</v>
      </c>
      <c r="DS183" s="62">
        <f t="shared" si="125"/>
        <v>293.33333333333519</v>
      </c>
      <c r="DT183" s="62">
        <f ca="1">AVERAGE(OFFSET($DS$3,0,0,'Données projet'!$E$14+1,1))-AVERAGE(OFFSET($H$3,0,0,'Données projet'!$E$14+1,1))</f>
        <v>397.04445188588369</v>
      </c>
      <c r="DU183" s="62">
        <f t="shared" si="152"/>
        <v>350.01856672839466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0.2572660962467116</v>
      </c>
      <c r="EB183" s="23">
        <f>EXP(-LN(2)/25)*EB182+(1-EXP(-LN(2)/25))/(LN(2)/25)*Calculateur!DW183*Calculateur!DY183*VLOOKUP('Données projet'!$B$14,Paramètres!$A$1:$I$88,3,0)*0.475*44/12</f>
        <v>0</v>
      </c>
      <c r="EC183" s="23">
        <f>EXP(-LN(2)/2)*EC182+(1-EXP(-LN(2)/2))/(LN(2)/2)*DW183*DZ183*VLOOKUP('Données projet'!$B$14,Paramètres!$A$1:$I$88,3,0)*0.475*44/12</f>
        <v>4.2888182040979685E-22</v>
      </c>
      <c r="ED183" s="24">
        <f t="shared" si="178"/>
        <v>0.2572660962467116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-1.9895196601282805E-13</v>
      </c>
      <c r="EK183" s="18">
        <f>EJ183*VLOOKUP('Données projet'!$B$15,Paramètres!$A$1:$I$88,3,0)*VLOOKUP('Données projet'!$B$15,Paramètres!$A$1:$I$88,5,0)</f>
        <v>-1.738044375088066E-13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202.5548390231225</v>
      </c>
      <c r="EP183" s="62">
        <f t="shared" si="154"/>
        <v>184.62184077734179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projet'!$B$15,Paramètres!$A$1:$I$88,3,0)*0.475*44/12</f>
        <v>0</v>
      </c>
      <c r="EW183" s="23">
        <f>EXP(-LN(2)/25)*EW182+(1-EXP(-LN(2)/25))/(LN(2)/25)*Calculateur!ER183*Calculateur!ET183*VLOOKUP('Données projet'!$B$15,Paramètres!$A$1:$I$88,3,0)*0.475*44/12</f>
        <v>0</v>
      </c>
      <c r="EX183" s="23">
        <f>EXP(-LN(2)/2)*EX182+(1-EXP(-LN(2)/2))/(LN(2)/2)*ER183*EU183*VLOOKUP('Données projet'!$B$15,Paramètres!$A$1:$I$88,3,0)*0.475*44/12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-5.1159076974727213E-13</v>
      </c>
      <c r="FF183" s="18">
        <f>FE183*VLOOKUP('Données projet'!$B$16,Paramètres!$A$1:$I$88,3,0)*VLOOKUP('Données projet'!$B$16,Paramètres!$A$1:$I$88,5,0)</f>
        <v>-4.9481059249956164E-13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456.96274622094955</v>
      </c>
      <c r="FK183" s="62">
        <f t="shared" si="156"/>
        <v>244.45149244446094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projet'!$B$16,Paramètres!$A$1:$I$88,3,0)*0.475*44/12</f>
        <v>0</v>
      </c>
      <c r="FR183" s="23">
        <f>EXP(-LN(2)/25)*FR182+(1-EXP(-LN(2)/25))/(LN(2)/25)*Calculateur!FM183*Calculateur!FO183*VLOOKUP('Données projet'!$B$16,Paramètres!$A$1:$I$88,3,0)*0.475*44/12</f>
        <v>0</v>
      </c>
      <c r="FS183" s="23">
        <f>EXP(-LN(2)/2)*FS182+(1-EXP(-LN(2)/2))/(LN(2)/2)*FM183*FP183*VLOOKUP('Données projet'!$B$16,Paramètres!$A$1:$I$88,3,0)*0.475*44/12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-5.1159076974727213E-13</v>
      </c>
      <c r="GA183" s="18">
        <f>FZ183*VLOOKUP('Données projet'!$B$17,Paramètres!$A$1:$I$88,3,0)*VLOOKUP('Données projet'!$B$17,Paramètres!$A$1:$I$88,5,0)</f>
        <v>-5.5067630455596371E-13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503.69304261527651</v>
      </c>
      <c r="GF183" s="62">
        <f t="shared" si="158"/>
        <v>267.2998309535638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projet'!$B$17,Paramètres!$A$1:$I$88,3,0)*0.475*44/12</f>
        <v>0</v>
      </c>
      <c r="GM183" s="23">
        <f>EXP(-LN(2)/25)*GM182+(1-EXP(-LN(2)/25))/(LN(2)/25)*Calculateur!GH183*Calculateur!GJ183*VLOOKUP('Données projet'!$B$17,Paramètres!$A$1:$I$88,3,0)*0.475*44/12</f>
        <v>0</v>
      </c>
      <c r="GN183" s="23">
        <f>EXP(-LN(2)/2)*GN182+(1-EXP(-LN(2)/2))/(LN(2)/2)*GH183*GK183*VLOOKUP('Données projet'!$B$17,Paramètres!$A$1:$I$88,3,0)*0.475*44/12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-3.979039320256561E-13</v>
      </c>
      <c r="GV183" s="18">
        <f>GU183*VLOOKUP('Données projet'!$B$18,Paramètres!$A$1:$I$88,3,0)*VLOOKUP('Données projet'!$B$18,Paramètres!$A$1:$I$88,5,0)</f>
        <v>-4.158891897532158E-13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582.89879210197682</v>
      </c>
      <c r="HA183" s="62">
        <f t="shared" si="160"/>
        <v>314.72094983133326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projet'!$B$18,Paramètres!$A$1:$I$88,3,0)*0.475*44/12</f>
        <v>0</v>
      </c>
      <c r="HH183" s="23">
        <f>EXP(-LN(2)/25)*HH182+(1-EXP(-LN(2)/25))/(LN(2)/25)*Calculateur!HC183*Calculateur!HE183*VLOOKUP('Données projet'!$B$18,Paramètres!$A$1:$I$88,3,0)*0.475*44/12</f>
        <v>0</v>
      </c>
      <c r="HI183" s="23">
        <f>EXP(-LN(2)/2)*HI182+(1-EXP(-LN(2)/2))/(LN(2)/2)*HC183*HF183*VLOOKUP('Données projet'!$B$18,Paramètres!$A$1:$I$88,3,0)*0.475*44/12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projet'!$B$9,Paramètres!$A$1:$I$88,3,0)*VLOOKUP('Données projet'!$B$9,Paramètres!$A$1:$I$88,5,0)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399.92909819003523</v>
      </c>
      <c r="T184" s="62">
        <f t="shared" si="142"/>
        <v>163.7053537268381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-3.979039320256561E-13</v>
      </c>
      <c r="AJ184" s="14">
        <f>AI184*VLOOKUP('Données projet'!$B$10,Paramètres!$A$1:$I$88,3,0)*VLOOKUP('Données projet'!$B$10,Paramètres!$A$1:$I$88,5,0)</f>
        <v>-3.6002347769681362E-13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510.56580450928806</v>
      </c>
      <c r="AO184" s="62">
        <f t="shared" si="144"/>
        <v>278.21741231699929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-5.1159076974727213E-13</v>
      </c>
      <c r="BE184" s="14">
        <f>BD184*VLOOKUP('Données projet'!$B$11,Paramètres!$A$1:$I$88,3,0)*VLOOKUP('Données projet'!$B$11,Paramètres!$A$1:$I$88,5,0)</f>
        <v>-4.8682977649150421E-13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525.51330555662139</v>
      </c>
      <c r="BJ184" s="62">
        <f t="shared" si="146"/>
        <v>357.72390083433635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1.7053025658242404E-13</v>
      </c>
      <c r="BZ184" s="14">
        <f>BY184*VLOOKUP('Données projet'!$B$12,Paramètres!$A$1:$I$88,3,0)*VLOOKUP('Données projet'!$B$12,Paramètres!$A$1:$I$88,5,0)</f>
        <v>1.0197709343628959E-13</v>
      </c>
      <c r="CA184" s="14">
        <f t="shared" si="170"/>
        <v>1.5284983994279675E-12</v>
      </c>
      <c r="CB184" s="22">
        <f t="shared" si="171"/>
        <v>2.839744816738581E-12</v>
      </c>
      <c r="CC184" s="62">
        <f t="shared" si="119"/>
        <v>293.33333333333616</v>
      </c>
      <c r="CD184" s="62">
        <f ca="1">AVERAGE(OFFSET($CC$3,0,0,'Données projet'!$E$12+1,1))-AVERAGE(OFFSET($H$3,0,0,'Données projet'!$E$12+1,1))</f>
        <v>227.46616726010473</v>
      </c>
      <c r="CE184" s="62">
        <f t="shared" si="148"/>
        <v>314.188568589113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6.0482655928315516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2.6018771981771283E-19</v>
      </c>
      <c r="CN184" s="24">
        <f t="shared" si="172"/>
        <v>6.0482655928315516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projet'!$B$13,Paramètres!$A$1:$I$88,3,0)*VLOOKUP('Données projet'!$B$13,Paramètres!$A$1:$I$88,5,0)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356.46794174556311</v>
      </c>
      <c r="CZ184" s="62">
        <f t="shared" si="150"/>
        <v>248.47107558211923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0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projet'!$B$14,Paramètres!$A$1:$I$88,3,0)*VLOOKUP('Données projet'!$B$14,Paramètres!$A$1:$I$88,5,0)</f>
        <v>6.3550942286383367E-14</v>
      </c>
      <c r="DQ184" s="14">
        <f t="shared" si="176"/>
        <v>1.0064464192543978E-12</v>
      </c>
      <c r="DR184" s="22">
        <f t="shared" si="177"/>
        <v>1.8635787380168604E-12</v>
      </c>
      <c r="DS184" s="62">
        <f t="shared" si="125"/>
        <v>293.33333333333519</v>
      </c>
      <c r="DT184" s="62">
        <f ca="1">AVERAGE(OFFSET($DS$3,0,0,'Données projet'!$E$14+1,1))-AVERAGE(OFFSET($H$3,0,0,'Données projet'!$E$14+1,1))</f>
        <v>397.04445188588369</v>
      </c>
      <c r="DU184" s="62">
        <f t="shared" si="152"/>
        <v>350.01856672839466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0.25222126501613806</v>
      </c>
      <c r="EB184" s="23">
        <f>EXP(-LN(2)/25)*EB183+(1-EXP(-LN(2)/25))/(LN(2)/25)*Calculateur!DW184*Calculateur!DY184*VLOOKUP('Données projet'!$B$14,Paramètres!$A$1:$I$88,3,0)*0.475*44/12</f>
        <v>0</v>
      </c>
      <c r="EC184" s="23">
        <f>EXP(-LN(2)/2)*EC183+(1-EXP(-LN(2)/2))/(LN(2)/2)*DW184*DZ184*VLOOKUP('Données projet'!$B$14,Paramètres!$A$1:$I$88,3,0)*0.475*44/12</f>
        <v>3.032652435393984E-22</v>
      </c>
      <c r="ED184" s="24">
        <f t="shared" si="178"/>
        <v>0.25222126501613806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-1.9895196601282805E-13</v>
      </c>
      <c r="EK184" s="18">
        <f>EJ184*VLOOKUP('Données projet'!$B$15,Paramètres!$A$1:$I$88,3,0)*VLOOKUP('Données projet'!$B$15,Paramètres!$A$1:$I$88,5,0)</f>
        <v>-1.738044375088066E-13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202.5548390231225</v>
      </c>
      <c r="EP184" s="62">
        <f t="shared" si="154"/>
        <v>184.62184077734179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projet'!$B$15,Paramètres!$A$1:$I$88,3,0)*0.475*44/12</f>
        <v>0</v>
      </c>
      <c r="EW184" s="23">
        <f>EXP(-LN(2)/25)*EW183+(1-EXP(-LN(2)/25))/(LN(2)/25)*Calculateur!ER184*Calculateur!ET184*VLOOKUP('Données projet'!$B$15,Paramètres!$A$1:$I$88,3,0)*0.475*44/12</f>
        <v>0</v>
      </c>
      <c r="EX184" s="23">
        <f>EXP(-LN(2)/2)*EX183+(1-EXP(-LN(2)/2))/(LN(2)/2)*ER184*EU184*VLOOKUP('Données projet'!$B$15,Paramètres!$A$1:$I$88,3,0)*0.475*44/12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-5.1159076974727213E-13</v>
      </c>
      <c r="FF184" s="18">
        <f>FE184*VLOOKUP('Données projet'!$B$16,Paramètres!$A$1:$I$88,3,0)*VLOOKUP('Données projet'!$B$16,Paramètres!$A$1:$I$88,5,0)</f>
        <v>-4.9481059249956164E-13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456.96274622094955</v>
      </c>
      <c r="FK184" s="62">
        <f t="shared" si="156"/>
        <v>244.45149244446094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projet'!$B$16,Paramètres!$A$1:$I$88,3,0)*0.475*44/12</f>
        <v>0</v>
      </c>
      <c r="FR184" s="23">
        <f>EXP(-LN(2)/25)*FR183+(1-EXP(-LN(2)/25))/(LN(2)/25)*Calculateur!FM184*Calculateur!FO184*VLOOKUP('Données projet'!$B$16,Paramètres!$A$1:$I$88,3,0)*0.475*44/12</f>
        <v>0</v>
      </c>
      <c r="FS184" s="23">
        <f>EXP(-LN(2)/2)*FS183+(1-EXP(-LN(2)/2))/(LN(2)/2)*FM184*FP184*VLOOKUP('Données projet'!$B$16,Paramètres!$A$1:$I$88,3,0)*0.475*44/12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-5.1159076974727213E-13</v>
      </c>
      <c r="GA184" s="18">
        <f>FZ184*VLOOKUP('Données projet'!$B$17,Paramètres!$A$1:$I$88,3,0)*VLOOKUP('Données projet'!$B$17,Paramètres!$A$1:$I$88,5,0)</f>
        <v>-5.5067630455596371E-13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503.69304261527651</v>
      </c>
      <c r="GF184" s="62">
        <f t="shared" si="158"/>
        <v>267.2998309535638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projet'!$B$17,Paramètres!$A$1:$I$88,3,0)*0.475*44/12</f>
        <v>0</v>
      </c>
      <c r="GM184" s="23">
        <f>EXP(-LN(2)/25)*GM183+(1-EXP(-LN(2)/25))/(LN(2)/25)*Calculateur!GH184*Calculateur!GJ184*VLOOKUP('Données projet'!$B$17,Paramètres!$A$1:$I$88,3,0)*0.475*44/12</f>
        <v>0</v>
      </c>
      <c r="GN184" s="23">
        <f>EXP(-LN(2)/2)*GN183+(1-EXP(-LN(2)/2))/(LN(2)/2)*GH184*GK184*VLOOKUP('Données projet'!$B$17,Paramètres!$A$1:$I$88,3,0)*0.475*44/12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-3.979039320256561E-13</v>
      </c>
      <c r="GV184" s="18">
        <f>GU184*VLOOKUP('Données projet'!$B$18,Paramètres!$A$1:$I$88,3,0)*VLOOKUP('Données projet'!$B$18,Paramètres!$A$1:$I$88,5,0)</f>
        <v>-4.158891897532158E-13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582.89879210197682</v>
      </c>
      <c r="HA184" s="62">
        <f t="shared" si="160"/>
        <v>314.72094983133326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projet'!$B$18,Paramètres!$A$1:$I$88,3,0)*0.475*44/12</f>
        <v>0</v>
      </c>
      <c r="HH184" s="23">
        <f>EXP(-LN(2)/25)*HH183+(1-EXP(-LN(2)/25))/(LN(2)/25)*Calculateur!HC184*Calculateur!HE184*VLOOKUP('Données projet'!$B$18,Paramètres!$A$1:$I$88,3,0)*0.475*44/12</f>
        <v>0</v>
      </c>
      <c r="HI184" s="23">
        <f>EXP(-LN(2)/2)*HI183+(1-EXP(-LN(2)/2))/(LN(2)/2)*HC184*HF184*VLOOKUP('Données projet'!$B$18,Paramètres!$A$1:$I$88,3,0)*0.475*44/12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projet'!$B$9,Paramètres!$A$1:$I$88,3,0)*VLOOKUP('Données projet'!$B$9,Paramètres!$A$1:$I$88,5,0)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399.92909819003523</v>
      </c>
      <c r="T185" s="62">
        <f t="shared" si="142"/>
        <v>163.7053537268381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-3.979039320256561E-13</v>
      </c>
      <c r="AJ185" s="14">
        <f>AI185*VLOOKUP('Données projet'!$B$10,Paramètres!$A$1:$I$88,3,0)*VLOOKUP('Données projet'!$B$10,Paramètres!$A$1:$I$88,5,0)</f>
        <v>-3.6002347769681362E-13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510.56580450928806</v>
      </c>
      <c r="AO185" s="62">
        <f t="shared" si="144"/>
        <v>278.21741231699929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-5.1159076974727213E-13</v>
      </c>
      <c r="BE185" s="14">
        <f>BD185*VLOOKUP('Données projet'!$B$11,Paramètres!$A$1:$I$88,3,0)*VLOOKUP('Données projet'!$B$11,Paramètres!$A$1:$I$88,5,0)</f>
        <v>-4.8682977649150421E-13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525.51330555662139</v>
      </c>
      <c r="BJ185" s="62">
        <f t="shared" si="146"/>
        <v>357.72390083433635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1.7053025658242404E-13</v>
      </c>
      <c r="BZ185" s="14">
        <f>BY185*VLOOKUP('Données projet'!$B$12,Paramètres!$A$1:$I$88,3,0)*VLOOKUP('Données projet'!$B$12,Paramètres!$A$1:$I$88,5,0)</f>
        <v>1.0197709343628959E-13</v>
      </c>
      <c r="CA185" s="14">
        <f t="shared" si="170"/>
        <v>1.5284983994279675E-12</v>
      </c>
      <c r="CB185" s="22">
        <f t="shared" si="171"/>
        <v>2.839744816738581E-12</v>
      </c>
      <c r="CC185" s="62">
        <f t="shared" si="119"/>
        <v>293.33333333333616</v>
      </c>
      <c r="CD185" s="62">
        <f ca="1">AVERAGE(OFFSET($CC$3,0,0,'Données projet'!$E$12+1,1))-AVERAGE(OFFSET($H$3,0,0,'Données projet'!$E$12+1,1))</f>
        <v>227.46616726010473</v>
      </c>
      <c r="CE185" s="62">
        <f t="shared" si="148"/>
        <v>314.188568589113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5.9296627936338702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1.839805010645702E-19</v>
      </c>
      <c r="CN185" s="24">
        <f t="shared" si="172"/>
        <v>5.9296627936338702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projet'!$B$13,Paramètres!$A$1:$I$88,3,0)*VLOOKUP('Données projet'!$B$13,Paramètres!$A$1:$I$88,5,0)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356.46794174556311</v>
      </c>
      <c r="CZ185" s="62">
        <f t="shared" si="150"/>
        <v>248.47107558211923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0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projet'!$B$14,Paramètres!$A$1:$I$88,3,0)*VLOOKUP('Données projet'!$B$14,Paramètres!$A$1:$I$88,5,0)</f>
        <v>6.3550942286383367E-14</v>
      </c>
      <c r="DQ185" s="14">
        <f t="shared" si="176"/>
        <v>1.0064464192543978E-12</v>
      </c>
      <c r="DR185" s="22">
        <f t="shared" si="177"/>
        <v>1.8635787380168604E-12</v>
      </c>
      <c r="DS185" s="62">
        <f t="shared" si="125"/>
        <v>293.33333333333519</v>
      </c>
      <c r="DT185" s="62">
        <f ca="1">AVERAGE(OFFSET($DS$3,0,0,'Données projet'!$E$14+1,1))-AVERAGE(OFFSET($H$3,0,0,'Données projet'!$E$14+1,1))</f>
        <v>397.04445188588369</v>
      </c>
      <c r="DU185" s="62">
        <f t="shared" si="152"/>
        <v>350.01856672839466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0.24727535984895285</v>
      </c>
      <c r="EB185" s="23">
        <f>EXP(-LN(2)/25)*EB184+(1-EXP(-LN(2)/25))/(LN(2)/25)*Calculateur!DW185*Calculateur!DY185*VLOOKUP('Données projet'!$B$14,Paramètres!$A$1:$I$88,3,0)*0.475*44/12</f>
        <v>0</v>
      </c>
      <c r="EC185" s="23">
        <f>EXP(-LN(2)/2)*EC184+(1-EXP(-LN(2)/2))/(LN(2)/2)*DW185*DZ185*VLOOKUP('Données projet'!$B$14,Paramètres!$A$1:$I$88,3,0)*0.475*44/12</f>
        <v>2.1444091020489843E-22</v>
      </c>
      <c r="ED185" s="24">
        <f t="shared" si="178"/>
        <v>0.24727535984895285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-1.9895196601282805E-13</v>
      </c>
      <c r="EK185" s="18">
        <f>EJ185*VLOOKUP('Données projet'!$B$15,Paramètres!$A$1:$I$88,3,0)*VLOOKUP('Données projet'!$B$15,Paramètres!$A$1:$I$88,5,0)</f>
        <v>-1.738044375088066E-13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202.5548390231225</v>
      </c>
      <c r="EP185" s="62">
        <f t="shared" si="154"/>
        <v>184.62184077734179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projet'!$B$15,Paramètres!$A$1:$I$88,3,0)*0.475*44/12</f>
        <v>0</v>
      </c>
      <c r="EW185" s="23">
        <f>EXP(-LN(2)/25)*EW184+(1-EXP(-LN(2)/25))/(LN(2)/25)*Calculateur!ER185*Calculateur!ET185*VLOOKUP('Données projet'!$B$15,Paramètres!$A$1:$I$88,3,0)*0.475*44/12</f>
        <v>0</v>
      </c>
      <c r="EX185" s="23">
        <f>EXP(-LN(2)/2)*EX184+(1-EXP(-LN(2)/2))/(LN(2)/2)*ER185*EU185*VLOOKUP('Données projet'!$B$15,Paramètres!$A$1:$I$88,3,0)*0.475*44/12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-5.1159076974727213E-13</v>
      </c>
      <c r="FF185" s="18">
        <f>FE185*VLOOKUP('Données projet'!$B$16,Paramètres!$A$1:$I$88,3,0)*VLOOKUP('Données projet'!$B$16,Paramètres!$A$1:$I$88,5,0)</f>
        <v>-4.9481059249956164E-13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456.96274622094955</v>
      </c>
      <c r="FK185" s="62">
        <f t="shared" si="156"/>
        <v>244.45149244446094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projet'!$B$16,Paramètres!$A$1:$I$88,3,0)*0.475*44/12</f>
        <v>0</v>
      </c>
      <c r="FR185" s="23">
        <f>EXP(-LN(2)/25)*FR184+(1-EXP(-LN(2)/25))/(LN(2)/25)*Calculateur!FM185*Calculateur!FO185*VLOOKUP('Données projet'!$B$16,Paramètres!$A$1:$I$88,3,0)*0.475*44/12</f>
        <v>0</v>
      </c>
      <c r="FS185" s="23">
        <f>EXP(-LN(2)/2)*FS184+(1-EXP(-LN(2)/2))/(LN(2)/2)*FM185*FP185*VLOOKUP('Données projet'!$B$16,Paramètres!$A$1:$I$88,3,0)*0.475*44/12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-5.1159076974727213E-13</v>
      </c>
      <c r="GA185" s="18">
        <f>FZ185*VLOOKUP('Données projet'!$B$17,Paramètres!$A$1:$I$88,3,0)*VLOOKUP('Données projet'!$B$17,Paramètres!$A$1:$I$88,5,0)</f>
        <v>-5.5067630455596371E-13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503.69304261527651</v>
      </c>
      <c r="GF185" s="62">
        <f t="shared" si="158"/>
        <v>267.2998309535638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projet'!$B$17,Paramètres!$A$1:$I$88,3,0)*0.475*44/12</f>
        <v>0</v>
      </c>
      <c r="GM185" s="23">
        <f>EXP(-LN(2)/25)*GM184+(1-EXP(-LN(2)/25))/(LN(2)/25)*Calculateur!GH185*Calculateur!GJ185*VLOOKUP('Données projet'!$B$17,Paramètres!$A$1:$I$88,3,0)*0.475*44/12</f>
        <v>0</v>
      </c>
      <c r="GN185" s="23">
        <f>EXP(-LN(2)/2)*GN184+(1-EXP(-LN(2)/2))/(LN(2)/2)*GH185*GK185*VLOOKUP('Données projet'!$B$17,Paramètres!$A$1:$I$88,3,0)*0.475*44/12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-3.979039320256561E-13</v>
      </c>
      <c r="GV185" s="18">
        <f>GU185*VLOOKUP('Données projet'!$B$18,Paramètres!$A$1:$I$88,3,0)*VLOOKUP('Données projet'!$B$18,Paramètres!$A$1:$I$88,5,0)</f>
        <v>-4.158891897532158E-13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582.89879210197682</v>
      </c>
      <c r="HA185" s="62">
        <f t="shared" si="160"/>
        <v>314.72094983133326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projet'!$B$18,Paramètres!$A$1:$I$88,3,0)*0.475*44/12</f>
        <v>0</v>
      </c>
      <c r="HH185" s="23">
        <f>EXP(-LN(2)/25)*HH184+(1-EXP(-LN(2)/25))/(LN(2)/25)*Calculateur!HC185*Calculateur!HE185*VLOOKUP('Données projet'!$B$18,Paramètres!$A$1:$I$88,3,0)*0.475*44/12</f>
        <v>0</v>
      </c>
      <c r="HI185" s="23">
        <f>EXP(-LN(2)/2)*HI184+(1-EXP(-LN(2)/2))/(LN(2)/2)*HC185*HF185*VLOOKUP('Données projet'!$B$18,Paramètres!$A$1:$I$88,3,0)*0.475*44/12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projet'!$B$9,Paramètres!$A$1:$I$88,3,0)*VLOOKUP('Données projet'!$B$9,Paramètres!$A$1:$I$88,5,0)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399.92909819003523</v>
      </c>
      <c r="T186" s="62">
        <f t="shared" si="142"/>
        <v>163.7053537268381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-3.979039320256561E-13</v>
      </c>
      <c r="AJ186" s="14">
        <f>AI186*VLOOKUP('Données projet'!$B$10,Paramètres!$A$1:$I$88,3,0)*VLOOKUP('Données projet'!$B$10,Paramètres!$A$1:$I$88,5,0)</f>
        <v>-3.6002347769681362E-13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510.56580450928806</v>
      </c>
      <c r="AO186" s="62">
        <f t="shared" si="144"/>
        <v>278.21741231699929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-5.1159076974727213E-13</v>
      </c>
      <c r="BE186" s="14">
        <f>BD186*VLOOKUP('Données projet'!$B$11,Paramètres!$A$1:$I$88,3,0)*VLOOKUP('Données projet'!$B$11,Paramètres!$A$1:$I$88,5,0)</f>
        <v>-4.8682977649150421E-13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525.51330555662139</v>
      </c>
      <c r="BJ186" s="62">
        <f t="shared" si="146"/>
        <v>357.72390083433635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1.7053025658242404E-13</v>
      </c>
      <c r="BZ186" s="14">
        <f>BY186*VLOOKUP('Données projet'!$B$12,Paramètres!$A$1:$I$88,3,0)*VLOOKUP('Données projet'!$B$12,Paramètres!$A$1:$I$88,5,0)</f>
        <v>1.0197709343628959E-13</v>
      </c>
      <c r="CA186" s="14">
        <f t="shared" si="170"/>
        <v>1.5284983994279675E-12</v>
      </c>
      <c r="CB186" s="22">
        <f t="shared" si="171"/>
        <v>2.839744816738581E-12</v>
      </c>
      <c r="CC186" s="62">
        <f t="shared" si="119"/>
        <v>293.33333333333616</v>
      </c>
      <c r="CD186" s="62">
        <f ca="1">AVERAGE(OFFSET($CC$3,0,0,'Données projet'!$E$12+1,1))-AVERAGE(OFFSET($H$3,0,0,'Données projet'!$E$12+1,1))</f>
        <v>227.46616726010473</v>
      </c>
      <c r="CE186" s="62">
        <f t="shared" si="148"/>
        <v>314.188568589113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5.8133857229878911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1.3009385990885642E-19</v>
      </c>
      <c r="CN186" s="24">
        <f t="shared" si="172"/>
        <v>5.8133857229878911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projet'!$B$13,Paramètres!$A$1:$I$88,3,0)*VLOOKUP('Données projet'!$B$13,Paramètres!$A$1:$I$88,5,0)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356.46794174556311</v>
      </c>
      <c r="CZ186" s="62">
        <f t="shared" si="150"/>
        <v>248.47107558211923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0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projet'!$B$14,Paramètres!$A$1:$I$88,3,0)*VLOOKUP('Données projet'!$B$14,Paramètres!$A$1:$I$88,5,0)</f>
        <v>6.3550942286383367E-14</v>
      </c>
      <c r="DQ186" s="14">
        <f t="shared" si="176"/>
        <v>1.0064464192543978E-12</v>
      </c>
      <c r="DR186" s="22">
        <f t="shared" si="177"/>
        <v>1.8635787380168604E-12</v>
      </c>
      <c r="DS186" s="62">
        <f t="shared" si="125"/>
        <v>293.33333333333519</v>
      </c>
      <c r="DT186" s="62">
        <f ca="1">AVERAGE(OFFSET($DS$3,0,0,'Données projet'!$E$14+1,1))-AVERAGE(OFFSET($H$3,0,0,'Données projet'!$E$14+1,1))</f>
        <v>397.04445188588369</v>
      </c>
      <c r="DU186" s="62">
        <f t="shared" si="152"/>
        <v>350.01856672839466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0.24242644086539186</v>
      </c>
      <c r="EB186" s="23">
        <f>EXP(-LN(2)/25)*EB185+(1-EXP(-LN(2)/25))/(LN(2)/25)*Calculateur!DW186*Calculateur!DY186*VLOOKUP('Données projet'!$B$14,Paramètres!$A$1:$I$88,3,0)*0.475*44/12</f>
        <v>0</v>
      </c>
      <c r="EC186" s="23">
        <f>EXP(-LN(2)/2)*EC185+(1-EXP(-LN(2)/2))/(LN(2)/2)*DW186*DZ186*VLOOKUP('Données projet'!$B$14,Paramètres!$A$1:$I$88,3,0)*0.475*44/12</f>
        <v>1.516326217696992E-22</v>
      </c>
      <c r="ED186" s="24">
        <f t="shared" si="178"/>
        <v>0.24242644086539186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-1.9895196601282805E-13</v>
      </c>
      <c r="EK186" s="18">
        <f>EJ186*VLOOKUP('Données projet'!$B$15,Paramètres!$A$1:$I$88,3,0)*VLOOKUP('Données projet'!$B$15,Paramètres!$A$1:$I$88,5,0)</f>
        <v>-1.738044375088066E-13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202.5548390231225</v>
      </c>
      <c r="EP186" s="62">
        <f t="shared" si="154"/>
        <v>184.62184077734179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projet'!$B$15,Paramètres!$A$1:$I$88,3,0)*0.475*44/12</f>
        <v>0</v>
      </c>
      <c r="EW186" s="23">
        <f>EXP(-LN(2)/25)*EW185+(1-EXP(-LN(2)/25))/(LN(2)/25)*Calculateur!ER186*Calculateur!ET186*VLOOKUP('Données projet'!$B$15,Paramètres!$A$1:$I$88,3,0)*0.475*44/12</f>
        <v>0</v>
      </c>
      <c r="EX186" s="23">
        <f>EXP(-LN(2)/2)*EX185+(1-EXP(-LN(2)/2))/(LN(2)/2)*ER186*EU186*VLOOKUP('Données projet'!$B$15,Paramètres!$A$1:$I$88,3,0)*0.475*44/12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-5.1159076974727213E-13</v>
      </c>
      <c r="FF186" s="18">
        <f>FE186*VLOOKUP('Données projet'!$B$16,Paramètres!$A$1:$I$88,3,0)*VLOOKUP('Données projet'!$B$16,Paramètres!$A$1:$I$88,5,0)</f>
        <v>-4.9481059249956164E-13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456.96274622094955</v>
      </c>
      <c r="FK186" s="62">
        <f t="shared" si="156"/>
        <v>244.45149244446094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projet'!$B$16,Paramètres!$A$1:$I$88,3,0)*0.475*44/12</f>
        <v>0</v>
      </c>
      <c r="FR186" s="23">
        <f>EXP(-LN(2)/25)*FR185+(1-EXP(-LN(2)/25))/(LN(2)/25)*Calculateur!FM186*Calculateur!FO186*VLOOKUP('Données projet'!$B$16,Paramètres!$A$1:$I$88,3,0)*0.475*44/12</f>
        <v>0</v>
      </c>
      <c r="FS186" s="23">
        <f>EXP(-LN(2)/2)*FS185+(1-EXP(-LN(2)/2))/(LN(2)/2)*FM186*FP186*VLOOKUP('Données projet'!$B$16,Paramètres!$A$1:$I$88,3,0)*0.475*44/12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-5.1159076974727213E-13</v>
      </c>
      <c r="GA186" s="18">
        <f>FZ186*VLOOKUP('Données projet'!$B$17,Paramètres!$A$1:$I$88,3,0)*VLOOKUP('Données projet'!$B$17,Paramètres!$A$1:$I$88,5,0)</f>
        <v>-5.5067630455596371E-13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503.69304261527651</v>
      </c>
      <c r="GF186" s="62">
        <f t="shared" si="158"/>
        <v>267.2998309535638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projet'!$B$17,Paramètres!$A$1:$I$88,3,0)*0.475*44/12</f>
        <v>0</v>
      </c>
      <c r="GM186" s="23">
        <f>EXP(-LN(2)/25)*GM185+(1-EXP(-LN(2)/25))/(LN(2)/25)*Calculateur!GH186*Calculateur!GJ186*VLOOKUP('Données projet'!$B$17,Paramètres!$A$1:$I$88,3,0)*0.475*44/12</f>
        <v>0</v>
      </c>
      <c r="GN186" s="23">
        <f>EXP(-LN(2)/2)*GN185+(1-EXP(-LN(2)/2))/(LN(2)/2)*GH186*GK186*VLOOKUP('Données projet'!$B$17,Paramètres!$A$1:$I$88,3,0)*0.475*44/12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-3.979039320256561E-13</v>
      </c>
      <c r="GV186" s="18">
        <f>GU186*VLOOKUP('Données projet'!$B$18,Paramètres!$A$1:$I$88,3,0)*VLOOKUP('Données projet'!$B$18,Paramètres!$A$1:$I$88,5,0)</f>
        <v>-4.158891897532158E-13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582.89879210197682</v>
      </c>
      <c r="HA186" s="62">
        <f t="shared" si="160"/>
        <v>314.72094983133326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projet'!$B$18,Paramètres!$A$1:$I$88,3,0)*0.475*44/12</f>
        <v>0</v>
      </c>
      <c r="HH186" s="23">
        <f>EXP(-LN(2)/25)*HH185+(1-EXP(-LN(2)/25))/(LN(2)/25)*Calculateur!HC186*Calculateur!HE186*VLOOKUP('Données projet'!$B$18,Paramètres!$A$1:$I$88,3,0)*0.475*44/12</f>
        <v>0</v>
      </c>
      <c r="HI186" s="23">
        <f>EXP(-LN(2)/2)*HI185+(1-EXP(-LN(2)/2))/(LN(2)/2)*HC186*HF186*VLOOKUP('Données projet'!$B$18,Paramètres!$A$1:$I$88,3,0)*0.475*44/12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projet'!$B$9,Paramètres!$A$1:$I$88,3,0)*VLOOKUP('Données projet'!$B$9,Paramètres!$A$1:$I$88,5,0)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399.92909819003523</v>
      </c>
      <c r="T187" s="62">
        <f t="shared" si="142"/>
        <v>163.7053537268381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-3.979039320256561E-13</v>
      </c>
      <c r="AJ187" s="14">
        <f>AI187*VLOOKUP('Données projet'!$B$10,Paramètres!$A$1:$I$88,3,0)*VLOOKUP('Données projet'!$B$10,Paramètres!$A$1:$I$88,5,0)</f>
        <v>-3.6002347769681362E-13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510.56580450928806</v>
      </c>
      <c r="AO187" s="62">
        <f t="shared" si="144"/>
        <v>278.21741231699929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-5.1159076974727213E-13</v>
      </c>
      <c r="BE187" s="14">
        <f>BD187*VLOOKUP('Données projet'!$B$11,Paramètres!$A$1:$I$88,3,0)*VLOOKUP('Données projet'!$B$11,Paramètres!$A$1:$I$88,5,0)</f>
        <v>-4.8682977649150421E-13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525.51330555662139</v>
      </c>
      <c r="BJ187" s="62">
        <f t="shared" si="146"/>
        <v>357.72390083433635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1.7053025658242404E-13</v>
      </c>
      <c r="BZ187" s="14">
        <f>BY187*VLOOKUP('Données projet'!$B$12,Paramètres!$A$1:$I$88,3,0)*VLOOKUP('Données projet'!$B$12,Paramètres!$A$1:$I$88,5,0)</f>
        <v>1.0197709343628959E-13</v>
      </c>
      <c r="CA187" s="14">
        <f t="shared" si="170"/>
        <v>1.5284983994279675E-12</v>
      </c>
      <c r="CB187" s="22">
        <f t="shared" si="171"/>
        <v>2.839744816738581E-12</v>
      </c>
      <c r="CC187" s="62">
        <f t="shared" si="119"/>
        <v>293.33333333333616</v>
      </c>
      <c r="CD187" s="62">
        <f ca="1">AVERAGE(OFFSET($CC$3,0,0,'Données projet'!$E$12+1,1))-AVERAGE(OFFSET($H$3,0,0,'Données projet'!$E$12+1,1))</f>
        <v>227.46616726010473</v>
      </c>
      <c r="CE187" s="62">
        <f t="shared" si="148"/>
        <v>314.188568589113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5.6993887747752696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9.1990250532285101E-20</v>
      </c>
      <c r="CN187" s="24">
        <f t="shared" si="172"/>
        <v>5.6993887747752696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projet'!$B$13,Paramètres!$A$1:$I$88,3,0)*VLOOKUP('Données projet'!$B$13,Paramètres!$A$1:$I$88,5,0)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356.46794174556311</v>
      </c>
      <c r="CZ187" s="62">
        <f t="shared" si="150"/>
        <v>248.47107558211923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0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projet'!$B$14,Paramètres!$A$1:$I$88,3,0)*VLOOKUP('Données projet'!$B$14,Paramètres!$A$1:$I$88,5,0)</f>
        <v>6.3550942286383367E-14</v>
      </c>
      <c r="DQ187" s="14">
        <f t="shared" si="176"/>
        <v>1.0064464192543978E-12</v>
      </c>
      <c r="DR187" s="22">
        <f t="shared" si="177"/>
        <v>1.8635787380168604E-12</v>
      </c>
      <c r="DS187" s="62">
        <f t="shared" si="125"/>
        <v>293.33333333333519</v>
      </c>
      <c r="DT187" s="62">
        <f ca="1">AVERAGE(OFFSET($DS$3,0,0,'Données projet'!$E$14+1,1))-AVERAGE(OFFSET($H$3,0,0,'Données projet'!$E$14+1,1))</f>
        <v>397.04445188588369</v>
      </c>
      <c r="DU187" s="62">
        <f t="shared" si="152"/>
        <v>350.01856672839466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0.23767260622554995</v>
      </c>
      <c r="EB187" s="23">
        <f>EXP(-LN(2)/25)*EB186+(1-EXP(-LN(2)/25))/(LN(2)/25)*Calculateur!DW187*Calculateur!DY187*VLOOKUP('Données projet'!$B$14,Paramètres!$A$1:$I$88,3,0)*0.475*44/12</f>
        <v>0</v>
      </c>
      <c r="EC187" s="23">
        <f>EXP(-LN(2)/2)*EC186+(1-EXP(-LN(2)/2))/(LN(2)/2)*DW187*DZ187*VLOOKUP('Données projet'!$B$14,Paramètres!$A$1:$I$88,3,0)*0.475*44/12</f>
        <v>1.0722045510244921E-22</v>
      </c>
      <c r="ED187" s="24">
        <f t="shared" si="178"/>
        <v>0.23767260622554995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-1.9895196601282805E-13</v>
      </c>
      <c r="EK187" s="18">
        <f>EJ187*VLOOKUP('Données projet'!$B$15,Paramètres!$A$1:$I$88,3,0)*VLOOKUP('Données projet'!$B$15,Paramètres!$A$1:$I$88,5,0)</f>
        <v>-1.738044375088066E-13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202.5548390231225</v>
      </c>
      <c r="EP187" s="62">
        <f t="shared" si="154"/>
        <v>184.62184077734179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projet'!$B$15,Paramètres!$A$1:$I$88,3,0)*0.475*44/12</f>
        <v>0</v>
      </c>
      <c r="EW187" s="23">
        <f>EXP(-LN(2)/25)*EW186+(1-EXP(-LN(2)/25))/(LN(2)/25)*Calculateur!ER187*Calculateur!ET187*VLOOKUP('Données projet'!$B$15,Paramètres!$A$1:$I$88,3,0)*0.475*44/12</f>
        <v>0</v>
      </c>
      <c r="EX187" s="23">
        <f>EXP(-LN(2)/2)*EX186+(1-EXP(-LN(2)/2))/(LN(2)/2)*ER187*EU187*VLOOKUP('Données projet'!$B$15,Paramètres!$A$1:$I$88,3,0)*0.475*44/12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-5.1159076974727213E-13</v>
      </c>
      <c r="FF187" s="18">
        <f>FE187*VLOOKUP('Données projet'!$B$16,Paramètres!$A$1:$I$88,3,0)*VLOOKUP('Données projet'!$B$16,Paramètres!$A$1:$I$88,5,0)</f>
        <v>-4.9481059249956164E-13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456.96274622094955</v>
      </c>
      <c r="FK187" s="62">
        <f t="shared" si="156"/>
        <v>244.45149244446094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projet'!$B$16,Paramètres!$A$1:$I$88,3,0)*0.475*44/12</f>
        <v>0</v>
      </c>
      <c r="FR187" s="23">
        <f>EXP(-LN(2)/25)*FR186+(1-EXP(-LN(2)/25))/(LN(2)/25)*Calculateur!FM187*Calculateur!FO187*VLOOKUP('Données projet'!$B$16,Paramètres!$A$1:$I$88,3,0)*0.475*44/12</f>
        <v>0</v>
      </c>
      <c r="FS187" s="23">
        <f>EXP(-LN(2)/2)*FS186+(1-EXP(-LN(2)/2))/(LN(2)/2)*FM187*FP187*VLOOKUP('Données projet'!$B$16,Paramètres!$A$1:$I$88,3,0)*0.475*44/12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-5.1159076974727213E-13</v>
      </c>
      <c r="GA187" s="18">
        <f>FZ187*VLOOKUP('Données projet'!$B$17,Paramètres!$A$1:$I$88,3,0)*VLOOKUP('Données projet'!$B$17,Paramètres!$A$1:$I$88,5,0)</f>
        <v>-5.5067630455596371E-13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503.69304261527651</v>
      </c>
      <c r="GF187" s="62">
        <f t="shared" si="158"/>
        <v>267.2998309535638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projet'!$B$17,Paramètres!$A$1:$I$88,3,0)*0.475*44/12</f>
        <v>0</v>
      </c>
      <c r="GM187" s="23">
        <f>EXP(-LN(2)/25)*GM186+(1-EXP(-LN(2)/25))/(LN(2)/25)*Calculateur!GH187*Calculateur!GJ187*VLOOKUP('Données projet'!$B$17,Paramètres!$A$1:$I$88,3,0)*0.475*44/12</f>
        <v>0</v>
      </c>
      <c r="GN187" s="23">
        <f>EXP(-LN(2)/2)*GN186+(1-EXP(-LN(2)/2))/(LN(2)/2)*GH187*GK187*VLOOKUP('Données projet'!$B$17,Paramètres!$A$1:$I$88,3,0)*0.475*44/12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-3.979039320256561E-13</v>
      </c>
      <c r="GV187" s="18">
        <f>GU187*VLOOKUP('Données projet'!$B$18,Paramètres!$A$1:$I$88,3,0)*VLOOKUP('Données projet'!$B$18,Paramètres!$A$1:$I$88,5,0)</f>
        <v>-4.158891897532158E-13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582.89879210197682</v>
      </c>
      <c r="HA187" s="62">
        <f t="shared" si="160"/>
        <v>314.72094983133326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projet'!$B$18,Paramètres!$A$1:$I$88,3,0)*0.475*44/12</f>
        <v>0</v>
      </c>
      <c r="HH187" s="23">
        <f>EXP(-LN(2)/25)*HH186+(1-EXP(-LN(2)/25))/(LN(2)/25)*Calculateur!HC187*Calculateur!HE187*VLOOKUP('Données projet'!$B$18,Paramètres!$A$1:$I$88,3,0)*0.475*44/12</f>
        <v>0</v>
      </c>
      <c r="HI187" s="23">
        <f>EXP(-LN(2)/2)*HI186+(1-EXP(-LN(2)/2))/(LN(2)/2)*HC187*HF187*VLOOKUP('Données projet'!$B$18,Paramètres!$A$1:$I$88,3,0)*0.475*44/12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projet'!$B$9,Paramètres!$A$1:$I$88,3,0)*VLOOKUP('Données projet'!$B$9,Paramètres!$A$1:$I$88,5,0)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399.92909819003523</v>
      </c>
      <c r="T188" s="62">
        <f t="shared" si="142"/>
        <v>163.7053537268381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-3.979039320256561E-13</v>
      </c>
      <c r="AJ188" s="14">
        <f>AI188*VLOOKUP('Données projet'!$B$10,Paramètres!$A$1:$I$88,3,0)*VLOOKUP('Données projet'!$B$10,Paramètres!$A$1:$I$88,5,0)</f>
        <v>-3.6002347769681362E-13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510.56580450928806</v>
      </c>
      <c r="AO188" s="62">
        <f t="shared" si="144"/>
        <v>278.21741231699929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-5.1159076974727213E-13</v>
      </c>
      <c r="BE188" s="14">
        <f>BD188*VLOOKUP('Données projet'!$B$11,Paramètres!$A$1:$I$88,3,0)*VLOOKUP('Données projet'!$B$11,Paramètres!$A$1:$I$88,5,0)</f>
        <v>-4.8682977649150421E-13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525.51330555662139</v>
      </c>
      <c r="BJ188" s="62">
        <f t="shared" si="146"/>
        <v>357.72390083433635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1.7053025658242404E-13</v>
      </c>
      <c r="BZ188" s="14">
        <f>BY188*VLOOKUP('Données projet'!$B$12,Paramètres!$A$1:$I$88,3,0)*VLOOKUP('Données projet'!$B$12,Paramètres!$A$1:$I$88,5,0)</f>
        <v>1.0197709343628959E-13</v>
      </c>
      <c r="CA188" s="14">
        <f t="shared" si="170"/>
        <v>1.5284983994279675E-12</v>
      </c>
      <c r="CB188" s="22">
        <f t="shared" si="171"/>
        <v>2.839744816738581E-12</v>
      </c>
      <c r="CC188" s="62">
        <f t="shared" si="119"/>
        <v>293.33333333333616</v>
      </c>
      <c r="CD188" s="62">
        <f ca="1">AVERAGE(OFFSET($CC$3,0,0,'Données projet'!$E$12+1,1))-AVERAGE(OFFSET($H$3,0,0,'Données projet'!$E$12+1,1))</f>
        <v>227.46616726010473</v>
      </c>
      <c r="CE188" s="62">
        <f t="shared" si="148"/>
        <v>314.188568589113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5.5876272371858251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6.5046929954428208E-20</v>
      </c>
      <c r="CN188" s="24">
        <f t="shared" si="172"/>
        <v>5.5876272371858251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projet'!$B$13,Paramètres!$A$1:$I$88,3,0)*VLOOKUP('Données projet'!$B$13,Paramètres!$A$1:$I$88,5,0)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356.46794174556311</v>
      </c>
      <c r="CZ188" s="62">
        <f t="shared" si="150"/>
        <v>248.47107558211923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0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projet'!$B$14,Paramètres!$A$1:$I$88,3,0)*VLOOKUP('Données projet'!$B$14,Paramètres!$A$1:$I$88,5,0)</f>
        <v>6.3550942286383367E-14</v>
      </c>
      <c r="DQ188" s="14">
        <f t="shared" si="176"/>
        <v>1.0064464192543978E-12</v>
      </c>
      <c r="DR188" s="22">
        <f t="shared" si="177"/>
        <v>1.8635787380168604E-12</v>
      </c>
      <c r="DS188" s="62">
        <f t="shared" si="125"/>
        <v>293.33333333333519</v>
      </c>
      <c r="DT188" s="62">
        <f ca="1">AVERAGE(OFFSET($DS$3,0,0,'Données projet'!$E$14+1,1))-AVERAGE(OFFSET($H$3,0,0,'Données projet'!$E$14+1,1))</f>
        <v>397.04445188588369</v>
      </c>
      <c r="DU188" s="62">
        <f t="shared" si="152"/>
        <v>350.01856672839466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0.2330119913834425</v>
      </c>
      <c r="EB188" s="23">
        <f>EXP(-LN(2)/25)*EB187+(1-EXP(-LN(2)/25))/(LN(2)/25)*Calculateur!DW188*Calculateur!DY188*VLOOKUP('Données projet'!$B$14,Paramètres!$A$1:$I$88,3,0)*0.475*44/12</f>
        <v>0</v>
      </c>
      <c r="EC188" s="23">
        <f>EXP(-LN(2)/2)*EC187+(1-EXP(-LN(2)/2))/(LN(2)/2)*DW188*DZ188*VLOOKUP('Données projet'!$B$14,Paramètres!$A$1:$I$88,3,0)*0.475*44/12</f>
        <v>7.5816310884849599E-23</v>
      </c>
      <c r="ED188" s="24">
        <f t="shared" si="178"/>
        <v>0.2330119913834425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-1.9895196601282805E-13</v>
      </c>
      <c r="EK188" s="18">
        <f>EJ188*VLOOKUP('Données projet'!$B$15,Paramètres!$A$1:$I$88,3,0)*VLOOKUP('Données projet'!$B$15,Paramètres!$A$1:$I$88,5,0)</f>
        <v>-1.738044375088066E-13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202.5548390231225</v>
      </c>
      <c r="EP188" s="62">
        <f t="shared" si="154"/>
        <v>184.62184077734179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projet'!$B$15,Paramètres!$A$1:$I$88,3,0)*0.475*44/12</f>
        <v>0</v>
      </c>
      <c r="EW188" s="23">
        <f>EXP(-LN(2)/25)*EW187+(1-EXP(-LN(2)/25))/(LN(2)/25)*Calculateur!ER188*Calculateur!ET188*VLOOKUP('Données projet'!$B$15,Paramètres!$A$1:$I$88,3,0)*0.475*44/12</f>
        <v>0</v>
      </c>
      <c r="EX188" s="23">
        <f>EXP(-LN(2)/2)*EX187+(1-EXP(-LN(2)/2))/(LN(2)/2)*ER188*EU188*VLOOKUP('Données projet'!$B$15,Paramètres!$A$1:$I$88,3,0)*0.475*44/12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-5.1159076974727213E-13</v>
      </c>
      <c r="FF188" s="18">
        <f>FE188*VLOOKUP('Données projet'!$B$16,Paramètres!$A$1:$I$88,3,0)*VLOOKUP('Données projet'!$B$16,Paramètres!$A$1:$I$88,5,0)</f>
        <v>-4.9481059249956164E-13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456.96274622094955</v>
      </c>
      <c r="FK188" s="62">
        <f t="shared" si="156"/>
        <v>244.45149244446094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projet'!$B$16,Paramètres!$A$1:$I$88,3,0)*0.475*44/12</f>
        <v>0</v>
      </c>
      <c r="FR188" s="23">
        <f>EXP(-LN(2)/25)*FR187+(1-EXP(-LN(2)/25))/(LN(2)/25)*Calculateur!FM188*Calculateur!FO188*VLOOKUP('Données projet'!$B$16,Paramètres!$A$1:$I$88,3,0)*0.475*44/12</f>
        <v>0</v>
      </c>
      <c r="FS188" s="23">
        <f>EXP(-LN(2)/2)*FS187+(1-EXP(-LN(2)/2))/(LN(2)/2)*FM188*FP188*VLOOKUP('Données projet'!$B$16,Paramètres!$A$1:$I$88,3,0)*0.475*44/12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-5.1159076974727213E-13</v>
      </c>
      <c r="GA188" s="18">
        <f>FZ188*VLOOKUP('Données projet'!$B$17,Paramètres!$A$1:$I$88,3,0)*VLOOKUP('Données projet'!$B$17,Paramètres!$A$1:$I$88,5,0)</f>
        <v>-5.5067630455596371E-13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503.69304261527651</v>
      </c>
      <c r="GF188" s="62">
        <f t="shared" si="158"/>
        <v>267.2998309535638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projet'!$B$17,Paramètres!$A$1:$I$88,3,0)*0.475*44/12</f>
        <v>0</v>
      </c>
      <c r="GM188" s="23">
        <f>EXP(-LN(2)/25)*GM187+(1-EXP(-LN(2)/25))/(LN(2)/25)*Calculateur!GH188*Calculateur!GJ188*VLOOKUP('Données projet'!$B$17,Paramètres!$A$1:$I$88,3,0)*0.475*44/12</f>
        <v>0</v>
      </c>
      <c r="GN188" s="23">
        <f>EXP(-LN(2)/2)*GN187+(1-EXP(-LN(2)/2))/(LN(2)/2)*GH188*GK188*VLOOKUP('Données projet'!$B$17,Paramètres!$A$1:$I$88,3,0)*0.475*44/12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-3.979039320256561E-13</v>
      </c>
      <c r="GV188" s="18">
        <f>GU188*VLOOKUP('Données projet'!$B$18,Paramètres!$A$1:$I$88,3,0)*VLOOKUP('Données projet'!$B$18,Paramètres!$A$1:$I$88,5,0)</f>
        <v>-4.158891897532158E-13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582.89879210197682</v>
      </c>
      <c r="HA188" s="62">
        <f t="shared" si="160"/>
        <v>314.72094983133326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projet'!$B$18,Paramètres!$A$1:$I$88,3,0)*0.475*44/12</f>
        <v>0</v>
      </c>
      <c r="HH188" s="23">
        <f>EXP(-LN(2)/25)*HH187+(1-EXP(-LN(2)/25))/(LN(2)/25)*Calculateur!HC188*Calculateur!HE188*VLOOKUP('Données projet'!$B$18,Paramètres!$A$1:$I$88,3,0)*0.475*44/12</f>
        <v>0</v>
      </c>
      <c r="HI188" s="23">
        <f>EXP(-LN(2)/2)*HI187+(1-EXP(-LN(2)/2))/(LN(2)/2)*HC188*HF188*VLOOKUP('Données projet'!$B$18,Paramètres!$A$1:$I$88,3,0)*0.475*44/12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projet'!$B$9,Paramètres!$A$1:$I$88,3,0)*VLOOKUP('Données projet'!$B$9,Paramètres!$A$1:$I$88,5,0)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399.92909819003523</v>
      </c>
      <c r="T189" s="62">
        <f t="shared" si="142"/>
        <v>163.7053537268381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-3.979039320256561E-13</v>
      </c>
      <c r="AJ189" s="14">
        <f>AI189*VLOOKUP('Données projet'!$B$10,Paramètres!$A$1:$I$88,3,0)*VLOOKUP('Données projet'!$B$10,Paramètres!$A$1:$I$88,5,0)</f>
        <v>-3.6002347769681362E-13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510.56580450928806</v>
      </c>
      <c r="AO189" s="62">
        <f t="shared" si="144"/>
        <v>278.21741231699929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-5.1159076974727213E-13</v>
      </c>
      <c r="BE189" s="14">
        <f>BD189*VLOOKUP('Données projet'!$B$11,Paramètres!$A$1:$I$88,3,0)*VLOOKUP('Données projet'!$B$11,Paramètres!$A$1:$I$88,5,0)</f>
        <v>-4.8682977649150421E-13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525.51330555662139</v>
      </c>
      <c r="BJ189" s="62">
        <f t="shared" si="146"/>
        <v>357.72390083433635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1.7053025658242404E-13</v>
      </c>
      <c r="BZ189" s="14">
        <f>BY189*VLOOKUP('Données projet'!$B$12,Paramètres!$A$1:$I$88,3,0)*VLOOKUP('Données projet'!$B$12,Paramètres!$A$1:$I$88,5,0)</f>
        <v>1.0197709343628959E-13</v>
      </c>
      <c r="CA189" s="14">
        <f t="shared" si="170"/>
        <v>1.5284983994279675E-12</v>
      </c>
      <c r="CB189" s="22">
        <f t="shared" si="171"/>
        <v>2.839744816738581E-12</v>
      </c>
      <c r="CC189" s="62">
        <f t="shared" si="119"/>
        <v>293.33333333333616</v>
      </c>
      <c r="CD189" s="62">
        <f ca="1">AVERAGE(OFFSET($CC$3,0,0,'Données projet'!$E$12+1,1))-AVERAGE(OFFSET($H$3,0,0,'Données projet'!$E$12+1,1))</f>
        <v>227.46616726010473</v>
      </c>
      <c r="CE189" s="62">
        <f t="shared" si="148"/>
        <v>314.188568589113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5.478057275180702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4.5995125266142551E-20</v>
      </c>
      <c r="CN189" s="24">
        <f t="shared" si="172"/>
        <v>5.478057275180702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projet'!$B$13,Paramètres!$A$1:$I$88,3,0)*VLOOKUP('Données projet'!$B$13,Paramètres!$A$1:$I$88,5,0)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356.46794174556311</v>
      </c>
      <c r="CZ189" s="62">
        <f t="shared" si="150"/>
        <v>248.47107558211923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0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projet'!$B$14,Paramètres!$A$1:$I$88,3,0)*VLOOKUP('Données projet'!$B$14,Paramètres!$A$1:$I$88,5,0)</f>
        <v>6.3550942286383367E-14</v>
      </c>
      <c r="DQ189" s="14">
        <f t="shared" si="176"/>
        <v>1.0064464192543978E-12</v>
      </c>
      <c r="DR189" s="22">
        <f t="shared" si="177"/>
        <v>1.8635787380168604E-12</v>
      </c>
      <c r="DS189" s="62">
        <f t="shared" si="125"/>
        <v>293.33333333333519</v>
      </c>
      <c r="DT189" s="62">
        <f ca="1">AVERAGE(OFFSET($DS$3,0,0,'Données projet'!$E$14+1,1))-AVERAGE(OFFSET($H$3,0,0,'Données projet'!$E$14+1,1))</f>
        <v>397.04445188588369</v>
      </c>
      <c r="DU189" s="62">
        <f t="shared" si="152"/>
        <v>350.01856672839466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0.22844276835569444</v>
      </c>
      <c r="EB189" s="23">
        <f>EXP(-LN(2)/25)*EB188+(1-EXP(-LN(2)/25))/(LN(2)/25)*Calculateur!DW189*Calculateur!DY189*VLOOKUP('Données projet'!$B$14,Paramètres!$A$1:$I$88,3,0)*0.475*44/12</f>
        <v>0</v>
      </c>
      <c r="EC189" s="23">
        <f>EXP(-LN(2)/2)*EC188+(1-EXP(-LN(2)/2))/(LN(2)/2)*DW189*DZ189*VLOOKUP('Données projet'!$B$14,Paramètres!$A$1:$I$88,3,0)*0.475*44/12</f>
        <v>5.3610227551224607E-23</v>
      </c>
      <c r="ED189" s="24">
        <f t="shared" si="178"/>
        <v>0.22844276835569444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-1.9895196601282805E-13</v>
      </c>
      <c r="EK189" s="18">
        <f>EJ189*VLOOKUP('Données projet'!$B$15,Paramètres!$A$1:$I$88,3,0)*VLOOKUP('Données projet'!$B$15,Paramètres!$A$1:$I$88,5,0)</f>
        <v>-1.738044375088066E-13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202.5548390231225</v>
      </c>
      <c r="EP189" s="62">
        <f t="shared" si="154"/>
        <v>184.62184077734179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projet'!$B$15,Paramètres!$A$1:$I$88,3,0)*0.475*44/12</f>
        <v>0</v>
      </c>
      <c r="EW189" s="23">
        <f>EXP(-LN(2)/25)*EW188+(1-EXP(-LN(2)/25))/(LN(2)/25)*Calculateur!ER189*Calculateur!ET189*VLOOKUP('Données projet'!$B$15,Paramètres!$A$1:$I$88,3,0)*0.475*44/12</f>
        <v>0</v>
      </c>
      <c r="EX189" s="23">
        <f>EXP(-LN(2)/2)*EX188+(1-EXP(-LN(2)/2))/(LN(2)/2)*ER189*EU189*VLOOKUP('Données projet'!$B$15,Paramètres!$A$1:$I$88,3,0)*0.475*44/12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-5.1159076974727213E-13</v>
      </c>
      <c r="FF189" s="18">
        <f>FE189*VLOOKUP('Données projet'!$B$16,Paramètres!$A$1:$I$88,3,0)*VLOOKUP('Données projet'!$B$16,Paramètres!$A$1:$I$88,5,0)</f>
        <v>-4.9481059249956164E-13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456.96274622094955</v>
      </c>
      <c r="FK189" s="62">
        <f t="shared" si="156"/>
        <v>244.45149244446094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projet'!$B$16,Paramètres!$A$1:$I$88,3,0)*0.475*44/12</f>
        <v>0</v>
      </c>
      <c r="FR189" s="23">
        <f>EXP(-LN(2)/25)*FR188+(1-EXP(-LN(2)/25))/(LN(2)/25)*Calculateur!FM189*Calculateur!FO189*VLOOKUP('Données projet'!$B$16,Paramètres!$A$1:$I$88,3,0)*0.475*44/12</f>
        <v>0</v>
      </c>
      <c r="FS189" s="23">
        <f>EXP(-LN(2)/2)*FS188+(1-EXP(-LN(2)/2))/(LN(2)/2)*FM189*FP189*VLOOKUP('Données projet'!$B$16,Paramètres!$A$1:$I$88,3,0)*0.475*44/12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-5.1159076974727213E-13</v>
      </c>
      <c r="GA189" s="18">
        <f>FZ189*VLOOKUP('Données projet'!$B$17,Paramètres!$A$1:$I$88,3,0)*VLOOKUP('Données projet'!$B$17,Paramètres!$A$1:$I$88,5,0)</f>
        <v>-5.5067630455596371E-13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503.69304261527651</v>
      </c>
      <c r="GF189" s="62">
        <f t="shared" si="158"/>
        <v>267.2998309535638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projet'!$B$17,Paramètres!$A$1:$I$88,3,0)*0.475*44/12</f>
        <v>0</v>
      </c>
      <c r="GM189" s="23">
        <f>EXP(-LN(2)/25)*GM188+(1-EXP(-LN(2)/25))/(LN(2)/25)*Calculateur!GH189*Calculateur!GJ189*VLOOKUP('Données projet'!$B$17,Paramètres!$A$1:$I$88,3,0)*0.475*44/12</f>
        <v>0</v>
      </c>
      <c r="GN189" s="23">
        <f>EXP(-LN(2)/2)*GN188+(1-EXP(-LN(2)/2))/(LN(2)/2)*GH189*GK189*VLOOKUP('Données projet'!$B$17,Paramètres!$A$1:$I$88,3,0)*0.475*44/12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-3.979039320256561E-13</v>
      </c>
      <c r="GV189" s="18">
        <f>GU189*VLOOKUP('Données projet'!$B$18,Paramètres!$A$1:$I$88,3,0)*VLOOKUP('Données projet'!$B$18,Paramètres!$A$1:$I$88,5,0)</f>
        <v>-4.158891897532158E-13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582.89879210197682</v>
      </c>
      <c r="HA189" s="62">
        <f t="shared" si="160"/>
        <v>314.72094983133326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projet'!$B$18,Paramètres!$A$1:$I$88,3,0)*0.475*44/12</f>
        <v>0</v>
      </c>
      <c r="HH189" s="23">
        <f>EXP(-LN(2)/25)*HH188+(1-EXP(-LN(2)/25))/(LN(2)/25)*Calculateur!HC189*Calculateur!HE189*VLOOKUP('Données projet'!$B$18,Paramètres!$A$1:$I$88,3,0)*0.475*44/12</f>
        <v>0</v>
      </c>
      <c r="HI189" s="23">
        <f>EXP(-LN(2)/2)*HI188+(1-EXP(-LN(2)/2))/(LN(2)/2)*HC189*HF189*VLOOKUP('Données projet'!$B$18,Paramètres!$A$1:$I$88,3,0)*0.475*44/12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projet'!$B$9,Paramètres!$A$1:$I$88,3,0)*VLOOKUP('Données projet'!$B$9,Paramètres!$A$1:$I$88,5,0)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399.92909819003523</v>
      </c>
      <c r="T190" s="62">
        <f t="shared" si="142"/>
        <v>163.7053537268381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-3.979039320256561E-13</v>
      </c>
      <c r="AJ190" s="14">
        <f>AI190*VLOOKUP('Données projet'!$B$10,Paramètres!$A$1:$I$88,3,0)*VLOOKUP('Données projet'!$B$10,Paramètres!$A$1:$I$88,5,0)</f>
        <v>-3.6002347769681362E-13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510.56580450928806</v>
      </c>
      <c r="AO190" s="62">
        <f t="shared" si="144"/>
        <v>278.21741231699929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-5.1159076974727213E-13</v>
      </c>
      <c r="BE190" s="14">
        <f>BD190*VLOOKUP('Données projet'!$B$11,Paramètres!$A$1:$I$88,3,0)*VLOOKUP('Données projet'!$B$11,Paramètres!$A$1:$I$88,5,0)</f>
        <v>-4.8682977649150421E-13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525.51330555662139</v>
      </c>
      <c r="BJ190" s="62">
        <f t="shared" si="146"/>
        <v>357.72390083433635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1.7053025658242404E-13</v>
      </c>
      <c r="BZ190" s="14">
        <f>BY190*VLOOKUP('Données projet'!$B$12,Paramètres!$A$1:$I$88,3,0)*VLOOKUP('Données projet'!$B$12,Paramètres!$A$1:$I$88,5,0)</f>
        <v>1.0197709343628959E-13</v>
      </c>
      <c r="CA190" s="14">
        <f t="shared" si="170"/>
        <v>1.5284983994279675E-12</v>
      </c>
      <c r="CB190" s="22">
        <f t="shared" si="171"/>
        <v>2.839744816738581E-12</v>
      </c>
      <c r="CC190" s="62">
        <f t="shared" si="119"/>
        <v>293.33333333333616</v>
      </c>
      <c r="CD190" s="62">
        <f ca="1">AVERAGE(OFFSET($CC$3,0,0,'Données projet'!$E$12+1,1))-AVERAGE(OFFSET($H$3,0,0,'Données projet'!$E$12+1,1))</f>
        <v>227.46616726010473</v>
      </c>
      <c r="CE190" s="62">
        <f t="shared" si="148"/>
        <v>314.188568589113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5.3706359132994219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3.2523464977214104E-20</v>
      </c>
      <c r="CN190" s="24">
        <f t="shared" si="172"/>
        <v>5.3706359132994219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projet'!$B$13,Paramètres!$A$1:$I$88,3,0)*VLOOKUP('Données projet'!$B$13,Paramètres!$A$1:$I$88,5,0)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356.46794174556311</v>
      </c>
      <c r="CZ190" s="62">
        <f t="shared" si="150"/>
        <v>248.47107558211923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0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projet'!$B$14,Paramètres!$A$1:$I$88,3,0)*VLOOKUP('Données projet'!$B$14,Paramètres!$A$1:$I$88,5,0)</f>
        <v>6.3550942286383367E-14</v>
      </c>
      <c r="DQ190" s="14">
        <f t="shared" si="176"/>
        <v>1.0064464192543978E-12</v>
      </c>
      <c r="DR190" s="22">
        <f t="shared" si="177"/>
        <v>1.8635787380168604E-12</v>
      </c>
      <c r="DS190" s="62">
        <f t="shared" si="125"/>
        <v>293.33333333333519</v>
      </c>
      <c r="DT190" s="62">
        <f ca="1">AVERAGE(OFFSET($DS$3,0,0,'Données projet'!$E$14+1,1))-AVERAGE(OFFSET($H$3,0,0,'Données projet'!$E$14+1,1))</f>
        <v>397.04445188588369</v>
      </c>
      <c r="DU190" s="62">
        <f t="shared" si="152"/>
        <v>350.01856672839466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0.22396314500456965</v>
      </c>
      <c r="EB190" s="23">
        <f>EXP(-LN(2)/25)*EB189+(1-EXP(-LN(2)/25))/(LN(2)/25)*Calculateur!DW190*Calculateur!DY190*VLOOKUP('Données projet'!$B$14,Paramètres!$A$1:$I$88,3,0)*0.475*44/12</f>
        <v>0</v>
      </c>
      <c r="EC190" s="23">
        <f>EXP(-LN(2)/2)*EC189+(1-EXP(-LN(2)/2))/(LN(2)/2)*DW190*DZ190*VLOOKUP('Données projet'!$B$14,Paramètres!$A$1:$I$88,3,0)*0.475*44/12</f>
        <v>3.79081554424248E-23</v>
      </c>
      <c r="ED190" s="24">
        <f t="shared" si="178"/>
        <v>0.22396314500456965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-1.9895196601282805E-13</v>
      </c>
      <c r="EK190" s="18">
        <f>EJ190*VLOOKUP('Données projet'!$B$15,Paramètres!$A$1:$I$88,3,0)*VLOOKUP('Données projet'!$B$15,Paramètres!$A$1:$I$88,5,0)</f>
        <v>-1.738044375088066E-13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202.5548390231225</v>
      </c>
      <c r="EP190" s="62">
        <f t="shared" si="154"/>
        <v>184.62184077734179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projet'!$B$15,Paramètres!$A$1:$I$88,3,0)*0.475*44/12</f>
        <v>0</v>
      </c>
      <c r="EW190" s="23">
        <f>EXP(-LN(2)/25)*EW189+(1-EXP(-LN(2)/25))/(LN(2)/25)*Calculateur!ER190*Calculateur!ET190*VLOOKUP('Données projet'!$B$15,Paramètres!$A$1:$I$88,3,0)*0.475*44/12</f>
        <v>0</v>
      </c>
      <c r="EX190" s="23">
        <f>EXP(-LN(2)/2)*EX189+(1-EXP(-LN(2)/2))/(LN(2)/2)*ER190*EU190*VLOOKUP('Données projet'!$B$15,Paramètres!$A$1:$I$88,3,0)*0.475*44/12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-5.1159076974727213E-13</v>
      </c>
      <c r="FF190" s="18">
        <f>FE190*VLOOKUP('Données projet'!$B$16,Paramètres!$A$1:$I$88,3,0)*VLOOKUP('Données projet'!$B$16,Paramètres!$A$1:$I$88,5,0)</f>
        <v>-4.9481059249956164E-13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456.96274622094955</v>
      </c>
      <c r="FK190" s="62">
        <f t="shared" si="156"/>
        <v>244.45149244446094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projet'!$B$16,Paramètres!$A$1:$I$88,3,0)*0.475*44/12</f>
        <v>0</v>
      </c>
      <c r="FR190" s="23">
        <f>EXP(-LN(2)/25)*FR189+(1-EXP(-LN(2)/25))/(LN(2)/25)*Calculateur!FM190*Calculateur!FO190*VLOOKUP('Données projet'!$B$16,Paramètres!$A$1:$I$88,3,0)*0.475*44/12</f>
        <v>0</v>
      </c>
      <c r="FS190" s="23">
        <f>EXP(-LN(2)/2)*FS189+(1-EXP(-LN(2)/2))/(LN(2)/2)*FM190*FP190*VLOOKUP('Données projet'!$B$16,Paramètres!$A$1:$I$88,3,0)*0.475*44/12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-5.1159076974727213E-13</v>
      </c>
      <c r="GA190" s="18">
        <f>FZ190*VLOOKUP('Données projet'!$B$17,Paramètres!$A$1:$I$88,3,0)*VLOOKUP('Données projet'!$B$17,Paramètres!$A$1:$I$88,5,0)</f>
        <v>-5.5067630455596371E-13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503.69304261527651</v>
      </c>
      <c r="GF190" s="62">
        <f t="shared" si="158"/>
        <v>267.2998309535638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projet'!$B$17,Paramètres!$A$1:$I$88,3,0)*0.475*44/12</f>
        <v>0</v>
      </c>
      <c r="GM190" s="23">
        <f>EXP(-LN(2)/25)*GM189+(1-EXP(-LN(2)/25))/(LN(2)/25)*Calculateur!GH190*Calculateur!GJ190*VLOOKUP('Données projet'!$B$17,Paramètres!$A$1:$I$88,3,0)*0.475*44/12</f>
        <v>0</v>
      </c>
      <c r="GN190" s="23">
        <f>EXP(-LN(2)/2)*GN189+(1-EXP(-LN(2)/2))/(LN(2)/2)*GH190*GK190*VLOOKUP('Données projet'!$B$17,Paramètres!$A$1:$I$88,3,0)*0.475*44/12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-3.979039320256561E-13</v>
      </c>
      <c r="GV190" s="18">
        <f>GU190*VLOOKUP('Données projet'!$B$18,Paramètres!$A$1:$I$88,3,0)*VLOOKUP('Données projet'!$B$18,Paramètres!$A$1:$I$88,5,0)</f>
        <v>-4.158891897532158E-13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582.89879210197682</v>
      </c>
      <c r="HA190" s="62">
        <f t="shared" si="160"/>
        <v>314.72094983133326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projet'!$B$18,Paramètres!$A$1:$I$88,3,0)*0.475*44/12</f>
        <v>0</v>
      </c>
      <c r="HH190" s="23">
        <f>EXP(-LN(2)/25)*HH189+(1-EXP(-LN(2)/25))/(LN(2)/25)*Calculateur!HC190*Calculateur!HE190*VLOOKUP('Données projet'!$B$18,Paramètres!$A$1:$I$88,3,0)*0.475*44/12</f>
        <v>0</v>
      </c>
      <c r="HI190" s="23">
        <f>EXP(-LN(2)/2)*HI189+(1-EXP(-LN(2)/2))/(LN(2)/2)*HC190*HF190*VLOOKUP('Données projet'!$B$18,Paramètres!$A$1:$I$88,3,0)*0.475*44/12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projet'!$B$9,Paramètres!$A$1:$I$88,3,0)*VLOOKUP('Données projet'!$B$9,Paramètres!$A$1:$I$88,5,0)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399.92909819003523</v>
      </c>
      <c r="T191" s="62">
        <f t="shared" si="142"/>
        <v>163.7053537268381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-3.979039320256561E-13</v>
      </c>
      <c r="AJ191" s="14">
        <f>AI191*VLOOKUP('Données projet'!$B$10,Paramètres!$A$1:$I$88,3,0)*VLOOKUP('Données projet'!$B$10,Paramètres!$A$1:$I$88,5,0)</f>
        <v>-3.6002347769681362E-13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510.56580450928806</v>
      </c>
      <c r="AO191" s="62">
        <f t="shared" si="144"/>
        <v>278.21741231699929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-5.1159076974727213E-13</v>
      </c>
      <c r="BE191" s="14">
        <f>BD191*VLOOKUP('Données projet'!$B$11,Paramètres!$A$1:$I$88,3,0)*VLOOKUP('Données projet'!$B$11,Paramètres!$A$1:$I$88,5,0)</f>
        <v>-4.8682977649150421E-13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525.51330555662139</v>
      </c>
      <c r="BJ191" s="62">
        <f t="shared" si="146"/>
        <v>357.72390083433635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1.7053025658242404E-13</v>
      </c>
      <c r="BZ191" s="14">
        <f>BY191*VLOOKUP('Données projet'!$B$12,Paramètres!$A$1:$I$88,3,0)*VLOOKUP('Données projet'!$B$12,Paramètres!$A$1:$I$88,5,0)</f>
        <v>1.0197709343628959E-13</v>
      </c>
      <c r="CA191" s="14">
        <f t="shared" si="170"/>
        <v>1.5284983994279675E-12</v>
      </c>
      <c r="CB191" s="22">
        <f t="shared" si="171"/>
        <v>2.839744816738581E-12</v>
      </c>
      <c r="CC191" s="62">
        <f t="shared" si="119"/>
        <v>293.33333333333616</v>
      </c>
      <c r="CD191" s="62">
        <f ca="1">AVERAGE(OFFSET($CC$3,0,0,'Données projet'!$E$12+1,1))-AVERAGE(OFFSET($H$3,0,0,'Données projet'!$E$12+1,1))</f>
        <v>227.46616726010473</v>
      </c>
      <c r="CE191" s="62">
        <f t="shared" si="148"/>
        <v>314.188568589113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5.2653210188040722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2.2997562633071275E-20</v>
      </c>
      <c r="CN191" s="24">
        <f t="shared" si="172"/>
        <v>5.2653210188040722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projet'!$B$13,Paramètres!$A$1:$I$88,3,0)*VLOOKUP('Données projet'!$B$13,Paramètres!$A$1:$I$88,5,0)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356.46794174556311</v>
      </c>
      <c r="CZ191" s="62">
        <f t="shared" si="150"/>
        <v>248.47107558211923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0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projet'!$B$14,Paramètres!$A$1:$I$88,3,0)*VLOOKUP('Données projet'!$B$14,Paramètres!$A$1:$I$88,5,0)</f>
        <v>6.3550942286383367E-14</v>
      </c>
      <c r="DQ191" s="14">
        <f t="shared" si="176"/>
        <v>1.0064464192543978E-12</v>
      </c>
      <c r="DR191" s="22">
        <f t="shared" si="177"/>
        <v>1.8635787380168604E-12</v>
      </c>
      <c r="DS191" s="62">
        <f t="shared" si="125"/>
        <v>293.33333333333519</v>
      </c>
      <c r="DT191" s="62">
        <f ca="1">AVERAGE(OFFSET($DS$3,0,0,'Données projet'!$E$14+1,1))-AVERAGE(OFFSET($H$3,0,0,'Données projet'!$E$14+1,1))</f>
        <v>397.04445188588369</v>
      </c>
      <c r="DU191" s="62">
        <f t="shared" si="152"/>
        <v>350.01856672839466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0.21957136433505997</v>
      </c>
      <c r="EB191" s="23">
        <f>EXP(-LN(2)/25)*EB190+(1-EXP(-LN(2)/25))/(LN(2)/25)*Calculateur!DW191*Calculateur!DY191*VLOOKUP('Données projet'!$B$14,Paramètres!$A$1:$I$88,3,0)*0.475*44/12</f>
        <v>0</v>
      </c>
      <c r="EC191" s="23">
        <f>EXP(-LN(2)/2)*EC190+(1-EXP(-LN(2)/2))/(LN(2)/2)*DW191*DZ191*VLOOKUP('Données projet'!$B$14,Paramètres!$A$1:$I$88,3,0)*0.475*44/12</f>
        <v>2.6805113775612303E-23</v>
      </c>
      <c r="ED191" s="24">
        <f t="shared" si="178"/>
        <v>0.21957136433505997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-1.9895196601282805E-13</v>
      </c>
      <c r="EK191" s="18">
        <f>EJ191*VLOOKUP('Données projet'!$B$15,Paramètres!$A$1:$I$88,3,0)*VLOOKUP('Données projet'!$B$15,Paramètres!$A$1:$I$88,5,0)</f>
        <v>-1.738044375088066E-13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202.5548390231225</v>
      </c>
      <c r="EP191" s="62">
        <f t="shared" si="154"/>
        <v>184.62184077734179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projet'!$B$15,Paramètres!$A$1:$I$88,3,0)*0.475*44/12</f>
        <v>0</v>
      </c>
      <c r="EW191" s="23">
        <f>EXP(-LN(2)/25)*EW190+(1-EXP(-LN(2)/25))/(LN(2)/25)*Calculateur!ER191*Calculateur!ET191*VLOOKUP('Données projet'!$B$15,Paramètres!$A$1:$I$88,3,0)*0.475*44/12</f>
        <v>0</v>
      </c>
      <c r="EX191" s="23">
        <f>EXP(-LN(2)/2)*EX190+(1-EXP(-LN(2)/2))/(LN(2)/2)*ER191*EU191*VLOOKUP('Données projet'!$B$15,Paramètres!$A$1:$I$88,3,0)*0.475*44/12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-5.1159076974727213E-13</v>
      </c>
      <c r="FF191" s="18">
        <f>FE191*VLOOKUP('Données projet'!$B$16,Paramètres!$A$1:$I$88,3,0)*VLOOKUP('Données projet'!$B$16,Paramètres!$A$1:$I$88,5,0)</f>
        <v>-4.9481059249956164E-13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456.96274622094955</v>
      </c>
      <c r="FK191" s="62">
        <f t="shared" si="156"/>
        <v>244.45149244446094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projet'!$B$16,Paramètres!$A$1:$I$88,3,0)*0.475*44/12</f>
        <v>0</v>
      </c>
      <c r="FR191" s="23">
        <f>EXP(-LN(2)/25)*FR190+(1-EXP(-LN(2)/25))/(LN(2)/25)*Calculateur!FM191*Calculateur!FO191*VLOOKUP('Données projet'!$B$16,Paramètres!$A$1:$I$88,3,0)*0.475*44/12</f>
        <v>0</v>
      </c>
      <c r="FS191" s="23">
        <f>EXP(-LN(2)/2)*FS190+(1-EXP(-LN(2)/2))/(LN(2)/2)*FM191*FP191*VLOOKUP('Données projet'!$B$16,Paramètres!$A$1:$I$88,3,0)*0.475*44/12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-5.1159076974727213E-13</v>
      </c>
      <c r="GA191" s="18">
        <f>FZ191*VLOOKUP('Données projet'!$B$17,Paramètres!$A$1:$I$88,3,0)*VLOOKUP('Données projet'!$B$17,Paramètres!$A$1:$I$88,5,0)</f>
        <v>-5.5067630455596371E-13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503.69304261527651</v>
      </c>
      <c r="GF191" s="62">
        <f t="shared" si="158"/>
        <v>267.2998309535638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projet'!$B$17,Paramètres!$A$1:$I$88,3,0)*0.475*44/12</f>
        <v>0</v>
      </c>
      <c r="GM191" s="23">
        <f>EXP(-LN(2)/25)*GM190+(1-EXP(-LN(2)/25))/(LN(2)/25)*Calculateur!GH191*Calculateur!GJ191*VLOOKUP('Données projet'!$B$17,Paramètres!$A$1:$I$88,3,0)*0.475*44/12</f>
        <v>0</v>
      </c>
      <c r="GN191" s="23">
        <f>EXP(-LN(2)/2)*GN190+(1-EXP(-LN(2)/2))/(LN(2)/2)*GH191*GK191*VLOOKUP('Données projet'!$B$17,Paramètres!$A$1:$I$88,3,0)*0.475*44/12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-3.979039320256561E-13</v>
      </c>
      <c r="GV191" s="18">
        <f>GU191*VLOOKUP('Données projet'!$B$18,Paramètres!$A$1:$I$88,3,0)*VLOOKUP('Données projet'!$B$18,Paramètres!$A$1:$I$88,5,0)</f>
        <v>-4.158891897532158E-13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582.89879210197682</v>
      </c>
      <c r="HA191" s="62">
        <f t="shared" si="160"/>
        <v>314.72094983133326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projet'!$B$18,Paramètres!$A$1:$I$88,3,0)*0.475*44/12</f>
        <v>0</v>
      </c>
      <c r="HH191" s="23">
        <f>EXP(-LN(2)/25)*HH190+(1-EXP(-LN(2)/25))/(LN(2)/25)*Calculateur!HC191*Calculateur!HE191*VLOOKUP('Données projet'!$B$18,Paramètres!$A$1:$I$88,3,0)*0.475*44/12</f>
        <v>0</v>
      </c>
      <c r="HI191" s="23">
        <f>EXP(-LN(2)/2)*HI190+(1-EXP(-LN(2)/2))/(LN(2)/2)*HC191*HF191*VLOOKUP('Données projet'!$B$18,Paramètres!$A$1:$I$88,3,0)*0.475*44/12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projet'!$B$9,Paramètres!$A$1:$I$88,3,0)*VLOOKUP('Données projet'!$B$9,Paramètres!$A$1:$I$88,5,0)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399.92909819003523</v>
      </c>
      <c r="T192" s="62">
        <f t="shared" si="142"/>
        <v>163.7053537268381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-3.979039320256561E-13</v>
      </c>
      <c r="AJ192" s="14">
        <f>AI192*VLOOKUP('Données projet'!$B$10,Paramètres!$A$1:$I$88,3,0)*VLOOKUP('Données projet'!$B$10,Paramètres!$A$1:$I$88,5,0)</f>
        <v>-3.6002347769681362E-13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510.56580450928806</v>
      </c>
      <c r="AO192" s="62">
        <f t="shared" si="144"/>
        <v>278.21741231699929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-5.1159076974727213E-13</v>
      </c>
      <c r="BE192" s="14">
        <f>BD192*VLOOKUP('Données projet'!$B$11,Paramètres!$A$1:$I$88,3,0)*VLOOKUP('Données projet'!$B$11,Paramètres!$A$1:$I$88,5,0)</f>
        <v>-4.8682977649150421E-13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525.51330555662139</v>
      </c>
      <c r="BJ192" s="62">
        <f t="shared" si="146"/>
        <v>357.72390083433635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1.7053025658242404E-13</v>
      </c>
      <c r="BZ192" s="14">
        <f>BY192*VLOOKUP('Données projet'!$B$12,Paramètres!$A$1:$I$88,3,0)*VLOOKUP('Données projet'!$B$12,Paramètres!$A$1:$I$88,5,0)</f>
        <v>1.0197709343628959E-13</v>
      </c>
      <c r="CA192" s="14">
        <f t="shared" si="170"/>
        <v>1.5284983994279675E-12</v>
      </c>
      <c r="CB192" s="22">
        <f t="shared" si="171"/>
        <v>2.839744816738581E-12</v>
      </c>
      <c r="CC192" s="62">
        <f t="shared" si="119"/>
        <v>293.33333333333616</v>
      </c>
      <c r="CD192" s="62">
        <f ca="1">AVERAGE(OFFSET($CC$3,0,0,'Données projet'!$E$12+1,1))-AVERAGE(OFFSET($H$3,0,0,'Données projet'!$E$12+1,1))</f>
        <v>227.46616726010473</v>
      </c>
      <c r="CE192" s="62">
        <f t="shared" si="148"/>
        <v>314.188568589113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5.1620712851540338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1.6261732488607052E-20</v>
      </c>
      <c r="CN192" s="24">
        <f t="shared" si="172"/>
        <v>5.1620712851540338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projet'!$B$13,Paramètres!$A$1:$I$88,3,0)*VLOOKUP('Données projet'!$B$13,Paramètres!$A$1:$I$88,5,0)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356.46794174556311</v>
      </c>
      <c r="CZ192" s="62">
        <f t="shared" si="150"/>
        <v>248.47107558211923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0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projet'!$B$14,Paramètres!$A$1:$I$88,3,0)*VLOOKUP('Données projet'!$B$14,Paramètres!$A$1:$I$88,5,0)</f>
        <v>6.3550942286383367E-14</v>
      </c>
      <c r="DQ192" s="14">
        <f t="shared" si="176"/>
        <v>1.0064464192543978E-12</v>
      </c>
      <c r="DR192" s="22">
        <f t="shared" si="177"/>
        <v>1.8635787380168604E-12</v>
      </c>
      <c r="DS192" s="62">
        <f t="shared" si="125"/>
        <v>293.33333333333519</v>
      </c>
      <c r="DT192" s="62">
        <f ca="1">AVERAGE(OFFSET($DS$3,0,0,'Données projet'!$E$14+1,1))-AVERAGE(OFFSET($H$3,0,0,'Données projet'!$E$14+1,1))</f>
        <v>397.04445188588369</v>
      </c>
      <c r="DU192" s="62">
        <f t="shared" si="152"/>
        <v>350.01856672839466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0.21526570380575766</v>
      </c>
      <c r="EB192" s="23">
        <f>EXP(-LN(2)/25)*EB191+(1-EXP(-LN(2)/25))/(LN(2)/25)*Calculateur!DW192*Calculateur!DY192*VLOOKUP('Données projet'!$B$14,Paramètres!$A$1:$I$88,3,0)*0.475*44/12</f>
        <v>0</v>
      </c>
      <c r="EC192" s="23">
        <f>EXP(-LN(2)/2)*EC191+(1-EXP(-LN(2)/2))/(LN(2)/2)*DW192*DZ192*VLOOKUP('Données projet'!$B$14,Paramètres!$A$1:$I$88,3,0)*0.475*44/12</f>
        <v>1.89540777212124E-23</v>
      </c>
      <c r="ED192" s="24">
        <f t="shared" si="178"/>
        <v>0.21526570380575766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-1.9895196601282805E-13</v>
      </c>
      <c r="EK192" s="18">
        <f>EJ192*VLOOKUP('Données projet'!$B$15,Paramètres!$A$1:$I$88,3,0)*VLOOKUP('Données projet'!$B$15,Paramètres!$A$1:$I$88,5,0)</f>
        <v>-1.738044375088066E-13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202.5548390231225</v>
      </c>
      <c r="EP192" s="62">
        <f t="shared" si="154"/>
        <v>184.62184077734179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projet'!$B$15,Paramètres!$A$1:$I$88,3,0)*0.475*44/12</f>
        <v>0</v>
      </c>
      <c r="EW192" s="23">
        <f>EXP(-LN(2)/25)*EW191+(1-EXP(-LN(2)/25))/(LN(2)/25)*Calculateur!ER192*Calculateur!ET192*VLOOKUP('Données projet'!$B$15,Paramètres!$A$1:$I$88,3,0)*0.475*44/12</f>
        <v>0</v>
      </c>
      <c r="EX192" s="23">
        <f>EXP(-LN(2)/2)*EX191+(1-EXP(-LN(2)/2))/(LN(2)/2)*ER192*EU192*VLOOKUP('Données projet'!$B$15,Paramètres!$A$1:$I$88,3,0)*0.475*44/12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-5.1159076974727213E-13</v>
      </c>
      <c r="FF192" s="18">
        <f>FE192*VLOOKUP('Données projet'!$B$16,Paramètres!$A$1:$I$88,3,0)*VLOOKUP('Données projet'!$B$16,Paramètres!$A$1:$I$88,5,0)</f>
        <v>-4.9481059249956164E-13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456.96274622094955</v>
      </c>
      <c r="FK192" s="62">
        <f t="shared" si="156"/>
        <v>244.45149244446094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projet'!$B$16,Paramètres!$A$1:$I$88,3,0)*0.475*44/12</f>
        <v>0</v>
      </c>
      <c r="FR192" s="23">
        <f>EXP(-LN(2)/25)*FR191+(1-EXP(-LN(2)/25))/(LN(2)/25)*Calculateur!FM192*Calculateur!FO192*VLOOKUP('Données projet'!$B$16,Paramètres!$A$1:$I$88,3,0)*0.475*44/12</f>
        <v>0</v>
      </c>
      <c r="FS192" s="23">
        <f>EXP(-LN(2)/2)*FS191+(1-EXP(-LN(2)/2))/(LN(2)/2)*FM192*FP192*VLOOKUP('Données projet'!$B$16,Paramètres!$A$1:$I$88,3,0)*0.475*44/12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-5.1159076974727213E-13</v>
      </c>
      <c r="GA192" s="18">
        <f>FZ192*VLOOKUP('Données projet'!$B$17,Paramètres!$A$1:$I$88,3,0)*VLOOKUP('Données projet'!$B$17,Paramètres!$A$1:$I$88,5,0)</f>
        <v>-5.5067630455596371E-13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503.69304261527651</v>
      </c>
      <c r="GF192" s="62">
        <f t="shared" si="158"/>
        <v>267.2998309535638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projet'!$B$17,Paramètres!$A$1:$I$88,3,0)*0.475*44/12</f>
        <v>0</v>
      </c>
      <c r="GM192" s="23">
        <f>EXP(-LN(2)/25)*GM191+(1-EXP(-LN(2)/25))/(LN(2)/25)*Calculateur!GH192*Calculateur!GJ192*VLOOKUP('Données projet'!$B$17,Paramètres!$A$1:$I$88,3,0)*0.475*44/12</f>
        <v>0</v>
      </c>
      <c r="GN192" s="23">
        <f>EXP(-LN(2)/2)*GN191+(1-EXP(-LN(2)/2))/(LN(2)/2)*GH192*GK192*VLOOKUP('Données projet'!$B$17,Paramètres!$A$1:$I$88,3,0)*0.475*44/12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-3.979039320256561E-13</v>
      </c>
      <c r="GV192" s="18">
        <f>GU192*VLOOKUP('Données projet'!$B$18,Paramètres!$A$1:$I$88,3,0)*VLOOKUP('Données projet'!$B$18,Paramètres!$A$1:$I$88,5,0)</f>
        <v>-4.158891897532158E-13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582.89879210197682</v>
      </c>
      <c r="HA192" s="62">
        <f t="shared" si="160"/>
        <v>314.72094983133326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projet'!$B$18,Paramètres!$A$1:$I$88,3,0)*0.475*44/12</f>
        <v>0</v>
      </c>
      <c r="HH192" s="23">
        <f>EXP(-LN(2)/25)*HH191+(1-EXP(-LN(2)/25))/(LN(2)/25)*Calculateur!HC192*Calculateur!HE192*VLOOKUP('Données projet'!$B$18,Paramètres!$A$1:$I$88,3,0)*0.475*44/12</f>
        <v>0</v>
      </c>
      <c r="HI192" s="23">
        <f>EXP(-LN(2)/2)*HI191+(1-EXP(-LN(2)/2))/(LN(2)/2)*HC192*HF192*VLOOKUP('Données projet'!$B$18,Paramètres!$A$1:$I$88,3,0)*0.475*44/12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projet'!$B$9,Paramètres!$A$1:$I$88,3,0)*VLOOKUP('Données projet'!$B$9,Paramètres!$A$1:$I$88,5,0)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399.92909819003523</v>
      </c>
      <c r="T193" s="62">
        <f t="shared" si="142"/>
        <v>163.7053537268381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-3.979039320256561E-13</v>
      </c>
      <c r="AJ193" s="14">
        <f>AI193*VLOOKUP('Données projet'!$B$10,Paramètres!$A$1:$I$88,3,0)*VLOOKUP('Données projet'!$B$10,Paramètres!$A$1:$I$88,5,0)</f>
        <v>-3.6002347769681362E-13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510.56580450928806</v>
      </c>
      <c r="AO193" s="62">
        <f t="shared" si="144"/>
        <v>278.21741231699929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-5.1159076974727213E-13</v>
      </c>
      <c r="BE193" s="14">
        <f>BD193*VLOOKUP('Données projet'!$B$11,Paramètres!$A$1:$I$88,3,0)*VLOOKUP('Données projet'!$B$11,Paramètres!$A$1:$I$88,5,0)</f>
        <v>-4.8682977649150421E-13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525.51330555662139</v>
      </c>
      <c r="BJ193" s="62">
        <f t="shared" si="146"/>
        <v>357.72390083433635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1.7053025658242404E-13</v>
      </c>
      <c r="BZ193" s="14">
        <f>BY193*VLOOKUP('Données projet'!$B$12,Paramètres!$A$1:$I$88,3,0)*VLOOKUP('Données projet'!$B$12,Paramètres!$A$1:$I$88,5,0)</f>
        <v>1.0197709343628959E-13</v>
      </c>
      <c r="CA193" s="14">
        <f t="shared" si="170"/>
        <v>1.5284983994279675E-12</v>
      </c>
      <c r="CB193" s="22">
        <f t="shared" si="171"/>
        <v>2.839744816738581E-12</v>
      </c>
      <c r="CC193" s="62">
        <f t="shared" si="119"/>
        <v>293.33333333333616</v>
      </c>
      <c r="CD193" s="62">
        <f ca="1">AVERAGE(OFFSET($CC$3,0,0,'Données projet'!$E$12+1,1))-AVERAGE(OFFSET($H$3,0,0,'Données projet'!$E$12+1,1))</f>
        <v>227.46616726010473</v>
      </c>
      <c r="CE193" s="62">
        <f t="shared" si="148"/>
        <v>314.188568589113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5.0608462158047534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1.1498781316535638E-20</v>
      </c>
      <c r="CN193" s="24">
        <f t="shared" si="172"/>
        <v>5.0608462158047534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projet'!$B$13,Paramètres!$A$1:$I$88,3,0)*VLOOKUP('Données projet'!$B$13,Paramètres!$A$1:$I$88,5,0)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356.46794174556311</v>
      </c>
      <c r="CZ193" s="62">
        <f t="shared" si="150"/>
        <v>248.47107558211923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0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projet'!$B$14,Paramètres!$A$1:$I$88,3,0)*VLOOKUP('Données projet'!$B$14,Paramètres!$A$1:$I$88,5,0)</f>
        <v>6.3550942286383367E-14</v>
      </c>
      <c r="DQ193" s="14">
        <f t="shared" si="176"/>
        <v>1.0064464192543978E-12</v>
      </c>
      <c r="DR193" s="22">
        <f t="shared" si="177"/>
        <v>1.8635787380168604E-12</v>
      </c>
      <c r="DS193" s="62">
        <f t="shared" si="125"/>
        <v>293.33333333333519</v>
      </c>
      <c r="DT193" s="62">
        <f ca="1">AVERAGE(OFFSET($DS$3,0,0,'Données projet'!$E$14+1,1))-AVERAGE(OFFSET($H$3,0,0,'Données projet'!$E$14+1,1))</f>
        <v>397.04445188588369</v>
      </c>
      <c r="DU193" s="62">
        <f t="shared" si="152"/>
        <v>350.01856672839466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0.21104447465324136</v>
      </c>
      <c r="EB193" s="23">
        <f>EXP(-LN(2)/25)*EB192+(1-EXP(-LN(2)/25))/(LN(2)/25)*Calculateur!DW193*Calculateur!DY193*VLOOKUP('Données projet'!$B$14,Paramètres!$A$1:$I$88,3,0)*0.475*44/12</f>
        <v>0</v>
      </c>
      <c r="EC193" s="23">
        <f>EXP(-LN(2)/2)*EC192+(1-EXP(-LN(2)/2))/(LN(2)/2)*DW193*DZ193*VLOOKUP('Données projet'!$B$14,Paramètres!$A$1:$I$88,3,0)*0.475*44/12</f>
        <v>1.3402556887806152E-23</v>
      </c>
      <c r="ED193" s="24">
        <f t="shared" si="178"/>
        <v>0.21104447465324136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-1.9895196601282805E-13</v>
      </c>
      <c r="EK193" s="18">
        <f>EJ193*VLOOKUP('Données projet'!$B$15,Paramètres!$A$1:$I$88,3,0)*VLOOKUP('Données projet'!$B$15,Paramètres!$A$1:$I$88,5,0)</f>
        <v>-1.738044375088066E-13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202.5548390231225</v>
      </c>
      <c r="EP193" s="62">
        <f t="shared" si="154"/>
        <v>184.62184077734179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projet'!$B$15,Paramètres!$A$1:$I$88,3,0)*0.475*44/12</f>
        <v>0</v>
      </c>
      <c r="EW193" s="23">
        <f>EXP(-LN(2)/25)*EW192+(1-EXP(-LN(2)/25))/(LN(2)/25)*Calculateur!ER193*Calculateur!ET193*VLOOKUP('Données projet'!$B$15,Paramètres!$A$1:$I$88,3,0)*0.475*44/12</f>
        <v>0</v>
      </c>
      <c r="EX193" s="23">
        <f>EXP(-LN(2)/2)*EX192+(1-EXP(-LN(2)/2))/(LN(2)/2)*ER193*EU193*VLOOKUP('Données projet'!$B$15,Paramètres!$A$1:$I$88,3,0)*0.475*44/12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-5.1159076974727213E-13</v>
      </c>
      <c r="FF193" s="18">
        <f>FE193*VLOOKUP('Données projet'!$B$16,Paramètres!$A$1:$I$88,3,0)*VLOOKUP('Données projet'!$B$16,Paramètres!$A$1:$I$88,5,0)</f>
        <v>-4.9481059249956164E-13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456.96274622094955</v>
      </c>
      <c r="FK193" s="62">
        <f t="shared" si="156"/>
        <v>244.45149244446094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projet'!$B$16,Paramètres!$A$1:$I$88,3,0)*0.475*44/12</f>
        <v>0</v>
      </c>
      <c r="FR193" s="23">
        <f>EXP(-LN(2)/25)*FR192+(1-EXP(-LN(2)/25))/(LN(2)/25)*Calculateur!FM193*Calculateur!FO193*VLOOKUP('Données projet'!$B$16,Paramètres!$A$1:$I$88,3,0)*0.475*44/12</f>
        <v>0</v>
      </c>
      <c r="FS193" s="23">
        <f>EXP(-LN(2)/2)*FS192+(1-EXP(-LN(2)/2))/(LN(2)/2)*FM193*FP193*VLOOKUP('Données projet'!$B$16,Paramètres!$A$1:$I$88,3,0)*0.475*44/12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-5.1159076974727213E-13</v>
      </c>
      <c r="GA193" s="18">
        <f>FZ193*VLOOKUP('Données projet'!$B$17,Paramètres!$A$1:$I$88,3,0)*VLOOKUP('Données projet'!$B$17,Paramètres!$A$1:$I$88,5,0)</f>
        <v>-5.5067630455596371E-13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503.69304261527651</v>
      </c>
      <c r="GF193" s="62">
        <f t="shared" si="158"/>
        <v>267.2998309535638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projet'!$B$17,Paramètres!$A$1:$I$88,3,0)*0.475*44/12</f>
        <v>0</v>
      </c>
      <c r="GM193" s="23">
        <f>EXP(-LN(2)/25)*GM192+(1-EXP(-LN(2)/25))/(LN(2)/25)*Calculateur!GH193*Calculateur!GJ193*VLOOKUP('Données projet'!$B$17,Paramètres!$A$1:$I$88,3,0)*0.475*44/12</f>
        <v>0</v>
      </c>
      <c r="GN193" s="23">
        <f>EXP(-LN(2)/2)*GN192+(1-EXP(-LN(2)/2))/(LN(2)/2)*GH193*GK193*VLOOKUP('Données projet'!$B$17,Paramètres!$A$1:$I$88,3,0)*0.475*44/12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-3.979039320256561E-13</v>
      </c>
      <c r="GV193" s="18">
        <f>GU193*VLOOKUP('Données projet'!$B$18,Paramètres!$A$1:$I$88,3,0)*VLOOKUP('Données projet'!$B$18,Paramètres!$A$1:$I$88,5,0)</f>
        <v>-4.158891897532158E-13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582.89879210197682</v>
      </c>
      <c r="HA193" s="62">
        <f t="shared" si="160"/>
        <v>314.72094983133326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projet'!$B$18,Paramètres!$A$1:$I$88,3,0)*0.475*44/12</f>
        <v>0</v>
      </c>
      <c r="HH193" s="23">
        <f>EXP(-LN(2)/25)*HH192+(1-EXP(-LN(2)/25))/(LN(2)/25)*Calculateur!HC193*Calculateur!HE193*VLOOKUP('Données projet'!$B$18,Paramètres!$A$1:$I$88,3,0)*0.475*44/12</f>
        <v>0</v>
      </c>
      <c r="HI193" s="23">
        <f>EXP(-LN(2)/2)*HI192+(1-EXP(-LN(2)/2))/(LN(2)/2)*HC193*HF193*VLOOKUP('Données projet'!$B$18,Paramètres!$A$1:$I$88,3,0)*0.475*44/12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projet'!$B$9,Paramètres!$A$1:$I$88,3,0)*VLOOKUP('Données projet'!$B$9,Paramètres!$A$1:$I$88,5,0)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399.92909819003523</v>
      </c>
      <c r="T194" s="62">
        <f t="shared" si="142"/>
        <v>163.7053537268381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-3.979039320256561E-13</v>
      </c>
      <c r="AJ194" s="14">
        <f>AI194*VLOOKUP('Données projet'!$B$10,Paramètres!$A$1:$I$88,3,0)*VLOOKUP('Données projet'!$B$10,Paramètres!$A$1:$I$88,5,0)</f>
        <v>-3.6002347769681362E-13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510.56580450928806</v>
      </c>
      <c r="AO194" s="62">
        <f t="shared" si="144"/>
        <v>278.21741231699929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-5.1159076974727213E-13</v>
      </c>
      <c r="BE194" s="14">
        <f>BD194*VLOOKUP('Données projet'!$B$11,Paramètres!$A$1:$I$88,3,0)*VLOOKUP('Données projet'!$B$11,Paramètres!$A$1:$I$88,5,0)</f>
        <v>-4.8682977649150421E-13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525.51330555662139</v>
      </c>
      <c r="BJ194" s="62">
        <f t="shared" si="146"/>
        <v>357.72390083433635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1.7053025658242404E-13</v>
      </c>
      <c r="BZ194" s="14">
        <f>BY194*VLOOKUP('Données projet'!$B$12,Paramètres!$A$1:$I$88,3,0)*VLOOKUP('Données projet'!$B$12,Paramètres!$A$1:$I$88,5,0)</f>
        <v>1.0197709343628959E-13</v>
      </c>
      <c r="CA194" s="14">
        <f t="shared" si="170"/>
        <v>1.5284983994279675E-12</v>
      </c>
      <c r="CB194" s="22">
        <f t="shared" si="171"/>
        <v>2.839744816738581E-12</v>
      </c>
      <c r="CC194" s="62">
        <f t="shared" si="119"/>
        <v>293.33333333333616</v>
      </c>
      <c r="CD194" s="62">
        <f ca="1">AVERAGE(OFFSET($CC$3,0,0,'Données projet'!$E$12+1,1))-AVERAGE(OFFSET($H$3,0,0,'Données projet'!$E$12+1,1))</f>
        <v>227.46616726010473</v>
      </c>
      <c r="CE194" s="62">
        <f t="shared" si="148"/>
        <v>314.188568589113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4.9616061083242169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8.130866244303526E-21</v>
      </c>
      <c r="CN194" s="24">
        <f t="shared" si="172"/>
        <v>4.9616061083242169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projet'!$B$13,Paramètres!$A$1:$I$88,3,0)*VLOOKUP('Données projet'!$B$13,Paramètres!$A$1:$I$88,5,0)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356.46794174556311</v>
      </c>
      <c r="CZ194" s="62">
        <f t="shared" si="150"/>
        <v>248.47107558211923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0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projet'!$B$14,Paramètres!$A$1:$I$88,3,0)*VLOOKUP('Données projet'!$B$14,Paramètres!$A$1:$I$88,5,0)</f>
        <v>6.3550942286383367E-14</v>
      </c>
      <c r="DQ194" s="14">
        <f t="shared" si="176"/>
        <v>1.0064464192543978E-12</v>
      </c>
      <c r="DR194" s="22">
        <f t="shared" si="177"/>
        <v>1.8635787380168604E-12</v>
      </c>
      <c r="DS194" s="62">
        <f t="shared" si="125"/>
        <v>293.33333333333519</v>
      </c>
      <c r="DT194" s="62">
        <f ca="1">AVERAGE(OFFSET($DS$3,0,0,'Données projet'!$E$14+1,1))-AVERAGE(OFFSET($H$3,0,0,'Données projet'!$E$14+1,1))</f>
        <v>397.04445188588369</v>
      </c>
      <c r="DU194" s="62">
        <f t="shared" si="152"/>
        <v>350.01856672839466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0.20690602122971036</v>
      </c>
      <c r="EB194" s="23">
        <f>EXP(-LN(2)/25)*EB193+(1-EXP(-LN(2)/25))/(LN(2)/25)*Calculateur!DW194*Calculateur!DY194*VLOOKUP('Données projet'!$B$14,Paramètres!$A$1:$I$88,3,0)*0.475*44/12</f>
        <v>0</v>
      </c>
      <c r="EC194" s="23">
        <f>EXP(-LN(2)/2)*EC193+(1-EXP(-LN(2)/2))/(LN(2)/2)*DW194*DZ194*VLOOKUP('Données projet'!$B$14,Paramètres!$A$1:$I$88,3,0)*0.475*44/12</f>
        <v>9.4770388606061999E-24</v>
      </c>
      <c r="ED194" s="24">
        <f t="shared" si="178"/>
        <v>0.20690602122971036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-1.9895196601282805E-13</v>
      </c>
      <c r="EK194" s="18">
        <f>EJ194*VLOOKUP('Données projet'!$B$15,Paramètres!$A$1:$I$88,3,0)*VLOOKUP('Données projet'!$B$15,Paramètres!$A$1:$I$88,5,0)</f>
        <v>-1.738044375088066E-13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202.5548390231225</v>
      </c>
      <c r="EP194" s="62">
        <f t="shared" si="154"/>
        <v>184.62184077734179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projet'!$B$15,Paramètres!$A$1:$I$88,3,0)*0.475*44/12</f>
        <v>0</v>
      </c>
      <c r="EW194" s="23">
        <f>EXP(-LN(2)/25)*EW193+(1-EXP(-LN(2)/25))/(LN(2)/25)*Calculateur!ER194*Calculateur!ET194*VLOOKUP('Données projet'!$B$15,Paramètres!$A$1:$I$88,3,0)*0.475*44/12</f>
        <v>0</v>
      </c>
      <c r="EX194" s="23">
        <f>EXP(-LN(2)/2)*EX193+(1-EXP(-LN(2)/2))/(LN(2)/2)*ER194*EU194*VLOOKUP('Données projet'!$B$15,Paramètres!$A$1:$I$88,3,0)*0.475*44/12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-5.1159076974727213E-13</v>
      </c>
      <c r="FF194" s="18">
        <f>FE194*VLOOKUP('Données projet'!$B$16,Paramètres!$A$1:$I$88,3,0)*VLOOKUP('Données projet'!$B$16,Paramètres!$A$1:$I$88,5,0)</f>
        <v>-4.9481059249956164E-13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456.96274622094955</v>
      </c>
      <c r="FK194" s="62">
        <f t="shared" si="156"/>
        <v>244.45149244446094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projet'!$B$16,Paramètres!$A$1:$I$88,3,0)*0.475*44/12</f>
        <v>0</v>
      </c>
      <c r="FR194" s="23">
        <f>EXP(-LN(2)/25)*FR193+(1-EXP(-LN(2)/25))/(LN(2)/25)*Calculateur!FM194*Calculateur!FO194*VLOOKUP('Données projet'!$B$16,Paramètres!$A$1:$I$88,3,0)*0.475*44/12</f>
        <v>0</v>
      </c>
      <c r="FS194" s="23">
        <f>EXP(-LN(2)/2)*FS193+(1-EXP(-LN(2)/2))/(LN(2)/2)*FM194*FP194*VLOOKUP('Données projet'!$B$16,Paramètres!$A$1:$I$88,3,0)*0.475*44/12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-5.1159076974727213E-13</v>
      </c>
      <c r="GA194" s="18">
        <f>FZ194*VLOOKUP('Données projet'!$B$17,Paramètres!$A$1:$I$88,3,0)*VLOOKUP('Données projet'!$B$17,Paramètres!$A$1:$I$88,5,0)</f>
        <v>-5.5067630455596371E-13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503.69304261527651</v>
      </c>
      <c r="GF194" s="62">
        <f t="shared" si="158"/>
        <v>267.2998309535638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projet'!$B$17,Paramètres!$A$1:$I$88,3,0)*0.475*44/12</f>
        <v>0</v>
      </c>
      <c r="GM194" s="23">
        <f>EXP(-LN(2)/25)*GM193+(1-EXP(-LN(2)/25))/(LN(2)/25)*Calculateur!GH194*Calculateur!GJ194*VLOOKUP('Données projet'!$B$17,Paramètres!$A$1:$I$88,3,0)*0.475*44/12</f>
        <v>0</v>
      </c>
      <c r="GN194" s="23">
        <f>EXP(-LN(2)/2)*GN193+(1-EXP(-LN(2)/2))/(LN(2)/2)*GH194*GK194*VLOOKUP('Données projet'!$B$17,Paramètres!$A$1:$I$88,3,0)*0.475*44/12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-3.979039320256561E-13</v>
      </c>
      <c r="GV194" s="18">
        <f>GU194*VLOOKUP('Données projet'!$B$18,Paramètres!$A$1:$I$88,3,0)*VLOOKUP('Données projet'!$B$18,Paramètres!$A$1:$I$88,5,0)</f>
        <v>-4.158891897532158E-13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582.89879210197682</v>
      </c>
      <c r="HA194" s="62">
        <f t="shared" si="160"/>
        <v>314.72094983133326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projet'!$B$18,Paramètres!$A$1:$I$88,3,0)*0.475*44/12</f>
        <v>0</v>
      </c>
      <c r="HH194" s="23">
        <f>EXP(-LN(2)/25)*HH193+(1-EXP(-LN(2)/25))/(LN(2)/25)*Calculateur!HC194*Calculateur!HE194*VLOOKUP('Données projet'!$B$18,Paramètres!$A$1:$I$88,3,0)*0.475*44/12</f>
        <v>0</v>
      </c>
      <c r="HI194" s="23">
        <f>EXP(-LN(2)/2)*HI193+(1-EXP(-LN(2)/2))/(LN(2)/2)*HC194*HF194*VLOOKUP('Données projet'!$B$18,Paramètres!$A$1:$I$88,3,0)*0.475*44/12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projet'!$B$9,Paramètres!$A$1:$I$88,3,0)*VLOOKUP('Données projet'!$B$9,Paramètres!$A$1:$I$88,5,0)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399.92909819003523</v>
      </c>
      <c r="T195" s="62">
        <f t="shared" si="142"/>
        <v>163.7053537268381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-3.979039320256561E-13</v>
      </c>
      <c r="AJ195" s="14">
        <f>AI195*VLOOKUP('Données projet'!$B$10,Paramètres!$A$1:$I$88,3,0)*VLOOKUP('Données projet'!$B$10,Paramètres!$A$1:$I$88,5,0)</f>
        <v>-3.6002347769681362E-13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510.56580450928806</v>
      </c>
      <c r="AO195" s="62">
        <f t="shared" si="144"/>
        <v>278.21741231699929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-5.1159076974727213E-13</v>
      </c>
      <c r="BE195" s="14">
        <f>BD195*VLOOKUP('Données projet'!$B$11,Paramètres!$A$1:$I$88,3,0)*VLOOKUP('Données projet'!$B$11,Paramètres!$A$1:$I$88,5,0)</f>
        <v>-4.8682977649150421E-13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525.51330555662139</v>
      </c>
      <c r="BJ195" s="62">
        <f t="shared" si="146"/>
        <v>357.72390083433635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1.7053025658242404E-13</v>
      </c>
      <c r="BZ195" s="14">
        <f>BY195*VLOOKUP('Données projet'!$B$12,Paramètres!$A$1:$I$88,3,0)*VLOOKUP('Données projet'!$B$12,Paramètres!$A$1:$I$88,5,0)</f>
        <v>1.0197709343628959E-13</v>
      </c>
      <c r="CA195" s="14">
        <f t="shared" si="170"/>
        <v>1.5284983994279675E-12</v>
      </c>
      <c r="CB195" s="22">
        <f t="shared" si="171"/>
        <v>2.839744816738581E-12</v>
      </c>
      <c r="CC195" s="62">
        <f t="shared" si="119"/>
        <v>293.33333333333616</v>
      </c>
      <c r="CD195" s="62">
        <f ca="1">AVERAGE(OFFSET($CC$3,0,0,'Données projet'!$E$12+1,1))-AVERAGE(OFFSET($H$3,0,0,'Données projet'!$E$12+1,1))</f>
        <v>227.46616726010473</v>
      </c>
      <c r="CE195" s="62">
        <f t="shared" si="148"/>
        <v>314.188568589113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4.8643120388208843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5.7493906582678188E-21</v>
      </c>
      <c r="CN195" s="24">
        <f t="shared" si="172"/>
        <v>4.8643120388208843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projet'!$B$13,Paramètres!$A$1:$I$88,3,0)*VLOOKUP('Données projet'!$B$13,Paramètres!$A$1:$I$88,5,0)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356.46794174556311</v>
      </c>
      <c r="CZ195" s="62">
        <f t="shared" si="150"/>
        <v>248.47107558211923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0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projet'!$B$14,Paramètres!$A$1:$I$88,3,0)*VLOOKUP('Données projet'!$B$14,Paramètres!$A$1:$I$88,5,0)</f>
        <v>6.3550942286383367E-14</v>
      </c>
      <c r="DQ195" s="14">
        <f t="shared" si="176"/>
        <v>1.0064464192543978E-12</v>
      </c>
      <c r="DR195" s="22">
        <f t="shared" si="177"/>
        <v>1.8635787380168604E-12</v>
      </c>
      <c r="DS195" s="62">
        <f t="shared" si="125"/>
        <v>293.33333333333519</v>
      </c>
      <c r="DT195" s="62">
        <f ca="1">AVERAGE(OFFSET($DS$3,0,0,'Données projet'!$E$14+1,1))-AVERAGE(OFFSET($H$3,0,0,'Données projet'!$E$14+1,1))</f>
        <v>397.04445188588369</v>
      </c>
      <c r="DU195" s="62">
        <f t="shared" si="152"/>
        <v>350.01856672839466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0.20284872035360746</v>
      </c>
      <c r="EB195" s="23">
        <f>EXP(-LN(2)/25)*EB194+(1-EXP(-LN(2)/25))/(LN(2)/25)*Calculateur!DW195*Calculateur!DY195*VLOOKUP('Données projet'!$B$14,Paramètres!$A$1:$I$88,3,0)*0.475*44/12</f>
        <v>0</v>
      </c>
      <c r="EC195" s="23">
        <f>EXP(-LN(2)/2)*EC194+(1-EXP(-LN(2)/2))/(LN(2)/2)*DW195*DZ195*VLOOKUP('Données projet'!$B$14,Paramètres!$A$1:$I$88,3,0)*0.475*44/12</f>
        <v>6.7012784439030759E-24</v>
      </c>
      <c r="ED195" s="24">
        <f t="shared" si="178"/>
        <v>0.20284872035360746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-1.9895196601282805E-13</v>
      </c>
      <c r="EK195" s="18">
        <f>EJ195*VLOOKUP('Données projet'!$B$15,Paramètres!$A$1:$I$88,3,0)*VLOOKUP('Données projet'!$B$15,Paramètres!$A$1:$I$88,5,0)</f>
        <v>-1.738044375088066E-13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202.5548390231225</v>
      </c>
      <c r="EP195" s="62">
        <f t="shared" si="154"/>
        <v>184.62184077734179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projet'!$B$15,Paramètres!$A$1:$I$88,3,0)*0.475*44/12</f>
        <v>0</v>
      </c>
      <c r="EW195" s="23">
        <f>EXP(-LN(2)/25)*EW194+(1-EXP(-LN(2)/25))/(LN(2)/25)*Calculateur!ER195*Calculateur!ET195*VLOOKUP('Données projet'!$B$15,Paramètres!$A$1:$I$88,3,0)*0.475*44/12</f>
        <v>0</v>
      </c>
      <c r="EX195" s="23">
        <f>EXP(-LN(2)/2)*EX194+(1-EXP(-LN(2)/2))/(LN(2)/2)*ER195*EU195*VLOOKUP('Données projet'!$B$15,Paramètres!$A$1:$I$88,3,0)*0.475*44/12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-5.1159076974727213E-13</v>
      </c>
      <c r="FF195" s="18">
        <f>FE195*VLOOKUP('Données projet'!$B$16,Paramètres!$A$1:$I$88,3,0)*VLOOKUP('Données projet'!$B$16,Paramètres!$A$1:$I$88,5,0)</f>
        <v>-4.9481059249956164E-13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456.96274622094955</v>
      </c>
      <c r="FK195" s="62">
        <f t="shared" si="156"/>
        <v>244.45149244446094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projet'!$B$16,Paramètres!$A$1:$I$88,3,0)*0.475*44/12</f>
        <v>0</v>
      </c>
      <c r="FR195" s="23">
        <f>EXP(-LN(2)/25)*FR194+(1-EXP(-LN(2)/25))/(LN(2)/25)*Calculateur!FM195*Calculateur!FO195*VLOOKUP('Données projet'!$B$16,Paramètres!$A$1:$I$88,3,0)*0.475*44/12</f>
        <v>0</v>
      </c>
      <c r="FS195" s="23">
        <f>EXP(-LN(2)/2)*FS194+(1-EXP(-LN(2)/2))/(LN(2)/2)*FM195*FP195*VLOOKUP('Données projet'!$B$16,Paramètres!$A$1:$I$88,3,0)*0.475*44/12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-5.1159076974727213E-13</v>
      </c>
      <c r="GA195" s="18">
        <f>FZ195*VLOOKUP('Données projet'!$B$17,Paramètres!$A$1:$I$88,3,0)*VLOOKUP('Données projet'!$B$17,Paramètres!$A$1:$I$88,5,0)</f>
        <v>-5.5067630455596371E-13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503.69304261527651</v>
      </c>
      <c r="GF195" s="62">
        <f t="shared" si="158"/>
        <v>267.2998309535638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projet'!$B$17,Paramètres!$A$1:$I$88,3,0)*0.475*44/12</f>
        <v>0</v>
      </c>
      <c r="GM195" s="23">
        <f>EXP(-LN(2)/25)*GM194+(1-EXP(-LN(2)/25))/(LN(2)/25)*Calculateur!GH195*Calculateur!GJ195*VLOOKUP('Données projet'!$B$17,Paramètres!$A$1:$I$88,3,0)*0.475*44/12</f>
        <v>0</v>
      </c>
      <c r="GN195" s="23">
        <f>EXP(-LN(2)/2)*GN194+(1-EXP(-LN(2)/2))/(LN(2)/2)*GH195*GK195*VLOOKUP('Données projet'!$B$17,Paramètres!$A$1:$I$88,3,0)*0.475*44/12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-3.979039320256561E-13</v>
      </c>
      <c r="GV195" s="18">
        <f>GU195*VLOOKUP('Données projet'!$B$18,Paramètres!$A$1:$I$88,3,0)*VLOOKUP('Données projet'!$B$18,Paramètres!$A$1:$I$88,5,0)</f>
        <v>-4.158891897532158E-13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582.89879210197682</v>
      </c>
      <c r="HA195" s="62">
        <f t="shared" si="160"/>
        <v>314.72094983133326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projet'!$B$18,Paramètres!$A$1:$I$88,3,0)*0.475*44/12</f>
        <v>0</v>
      </c>
      <c r="HH195" s="23">
        <f>EXP(-LN(2)/25)*HH194+(1-EXP(-LN(2)/25))/(LN(2)/25)*Calculateur!HC195*Calculateur!HE195*VLOOKUP('Données projet'!$B$18,Paramètres!$A$1:$I$88,3,0)*0.475*44/12</f>
        <v>0</v>
      </c>
      <c r="HI195" s="23">
        <f>EXP(-LN(2)/2)*HI194+(1-EXP(-LN(2)/2))/(LN(2)/2)*HC195*HF195*VLOOKUP('Données projet'!$B$18,Paramètres!$A$1:$I$88,3,0)*0.475*44/12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projet'!$B$9,Paramètres!$A$1:$I$88,3,0)*VLOOKUP('Données projet'!$B$9,Paramètres!$A$1:$I$88,5,0)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399.92909819003523</v>
      </c>
      <c r="T196" s="62">
        <f t="shared" si="142"/>
        <v>163.7053537268381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-3.979039320256561E-13</v>
      </c>
      <c r="AJ196" s="14">
        <f>AI196*VLOOKUP('Données projet'!$B$10,Paramètres!$A$1:$I$88,3,0)*VLOOKUP('Données projet'!$B$10,Paramètres!$A$1:$I$88,5,0)</f>
        <v>-3.6002347769681362E-13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510.56580450928806</v>
      </c>
      <c r="AO196" s="62">
        <f t="shared" si="144"/>
        <v>278.21741231699929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-5.1159076974727213E-13</v>
      </c>
      <c r="BE196" s="14">
        <f>BD196*VLOOKUP('Données projet'!$B$11,Paramètres!$A$1:$I$88,3,0)*VLOOKUP('Données projet'!$B$11,Paramètres!$A$1:$I$88,5,0)</f>
        <v>-4.8682977649150421E-13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525.51330555662139</v>
      </c>
      <c r="BJ196" s="62">
        <f t="shared" si="146"/>
        <v>357.72390083433635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1.7053025658242404E-13</v>
      </c>
      <c r="BZ196" s="14">
        <f>BY196*VLOOKUP('Données projet'!$B$12,Paramètres!$A$1:$I$88,3,0)*VLOOKUP('Données projet'!$B$12,Paramètres!$A$1:$I$88,5,0)</f>
        <v>1.0197709343628959E-13</v>
      </c>
      <c r="CA196" s="14">
        <f t="shared" si="170"/>
        <v>1.5284983994279675E-12</v>
      </c>
      <c r="CB196" s="22">
        <f t="shared" si="171"/>
        <v>2.839744816738581E-12</v>
      </c>
      <c r="CC196" s="62">
        <f t="shared" ref="CC196:CC203" si="195">CB196+(BT196+BU196)*44/12</f>
        <v>293.33333333333616</v>
      </c>
      <c r="CD196" s="62">
        <f ca="1">AVERAGE(OFFSET($CC$3,0,0,'Données projet'!$E$12+1,1))-AVERAGE(OFFSET($H$3,0,0,'Données projet'!$E$12+1,1))</f>
        <v>227.46616726010473</v>
      </c>
      <c r="CE196" s="62">
        <f t="shared" si="148"/>
        <v>314.188568589113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4.7689258466769893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4.065433122151763E-21</v>
      </c>
      <c r="CN196" s="24">
        <f t="shared" si="172"/>
        <v>4.7689258466769893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projet'!$B$13,Paramètres!$A$1:$I$88,3,0)*VLOOKUP('Données projet'!$B$13,Paramètres!$A$1:$I$88,5,0)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356.46794174556311</v>
      </c>
      <c r="CZ196" s="62">
        <f t="shared" si="150"/>
        <v>248.47107558211923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0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projet'!$B$14,Paramètres!$A$1:$I$88,3,0)*VLOOKUP('Données projet'!$B$14,Paramètres!$A$1:$I$88,5,0)</f>
        <v>6.3550942286383367E-14</v>
      </c>
      <c r="DQ196" s="14">
        <f t="shared" si="176"/>
        <v>1.0064464192543978E-12</v>
      </c>
      <c r="DR196" s="22">
        <f t="shared" si="177"/>
        <v>1.8635787380168604E-12</v>
      </c>
      <c r="DS196" s="62">
        <f t="shared" ref="DS196:DS203" si="197">DR196+(DJ196+DK196)*44/12</f>
        <v>293.33333333333519</v>
      </c>
      <c r="DT196" s="62">
        <f ca="1">AVERAGE(OFFSET($DS$3,0,0,'Données projet'!$E$14+1,1))-AVERAGE(OFFSET($H$3,0,0,'Données projet'!$E$14+1,1))</f>
        <v>397.04445188588369</v>
      </c>
      <c r="DU196" s="62">
        <f t="shared" si="152"/>
        <v>350.01856672839466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0.19887098067297576</v>
      </c>
      <c r="EB196" s="23">
        <f>EXP(-LN(2)/25)*EB195+(1-EXP(-LN(2)/25))/(LN(2)/25)*Calculateur!DW196*Calculateur!DY196*VLOOKUP('Données projet'!$B$14,Paramètres!$A$1:$I$88,3,0)*0.475*44/12</f>
        <v>0</v>
      </c>
      <c r="EC196" s="23">
        <f>EXP(-LN(2)/2)*EC195+(1-EXP(-LN(2)/2))/(LN(2)/2)*DW196*DZ196*VLOOKUP('Données projet'!$B$14,Paramètres!$A$1:$I$88,3,0)*0.475*44/12</f>
        <v>4.7385194303030999E-24</v>
      </c>
      <c r="ED196" s="24">
        <f t="shared" si="178"/>
        <v>0.19887098067297576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-1.9895196601282805E-13</v>
      </c>
      <c r="EK196" s="18">
        <f>EJ196*VLOOKUP('Données projet'!$B$15,Paramètres!$A$1:$I$88,3,0)*VLOOKUP('Données projet'!$B$15,Paramètres!$A$1:$I$88,5,0)</f>
        <v>-1.738044375088066E-13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202.5548390231225</v>
      </c>
      <c r="EP196" s="62">
        <f t="shared" si="154"/>
        <v>184.62184077734179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projet'!$B$15,Paramètres!$A$1:$I$88,3,0)*0.475*44/12</f>
        <v>0</v>
      </c>
      <c r="EW196" s="23">
        <f>EXP(-LN(2)/25)*EW195+(1-EXP(-LN(2)/25))/(LN(2)/25)*Calculateur!ER196*Calculateur!ET196*VLOOKUP('Données projet'!$B$15,Paramètres!$A$1:$I$88,3,0)*0.475*44/12</f>
        <v>0</v>
      </c>
      <c r="EX196" s="23">
        <f>EXP(-LN(2)/2)*EX195+(1-EXP(-LN(2)/2))/(LN(2)/2)*ER196*EU196*VLOOKUP('Données projet'!$B$15,Paramètres!$A$1:$I$88,3,0)*0.475*44/12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-5.1159076974727213E-13</v>
      </c>
      <c r="FF196" s="18">
        <f>FE196*VLOOKUP('Données projet'!$B$16,Paramètres!$A$1:$I$88,3,0)*VLOOKUP('Données projet'!$B$16,Paramètres!$A$1:$I$88,5,0)</f>
        <v>-4.9481059249956164E-13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456.96274622094955</v>
      </c>
      <c r="FK196" s="62">
        <f t="shared" si="156"/>
        <v>244.45149244446094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projet'!$B$16,Paramètres!$A$1:$I$88,3,0)*0.475*44/12</f>
        <v>0</v>
      </c>
      <c r="FR196" s="23">
        <f>EXP(-LN(2)/25)*FR195+(1-EXP(-LN(2)/25))/(LN(2)/25)*Calculateur!FM196*Calculateur!FO196*VLOOKUP('Données projet'!$B$16,Paramètres!$A$1:$I$88,3,0)*0.475*44/12</f>
        <v>0</v>
      </c>
      <c r="FS196" s="23">
        <f>EXP(-LN(2)/2)*FS195+(1-EXP(-LN(2)/2))/(LN(2)/2)*FM196*FP196*VLOOKUP('Données projet'!$B$16,Paramètres!$A$1:$I$88,3,0)*0.475*44/12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-5.1159076974727213E-13</v>
      </c>
      <c r="GA196" s="18">
        <f>FZ196*VLOOKUP('Données projet'!$B$17,Paramètres!$A$1:$I$88,3,0)*VLOOKUP('Données projet'!$B$17,Paramètres!$A$1:$I$88,5,0)</f>
        <v>-5.5067630455596371E-13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503.69304261527651</v>
      </c>
      <c r="GF196" s="62">
        <f t="shared" si="158"/>
        <v>267.2998309535638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projet'!$B$17,Paramètres!$A$1:$I$88,3,0)*0.475*44/12</f>
        <v>0</v>
      </c>
      <c r="GM196" s="23">
        <f>EXP(-LN(2)/25)*GM195+(1-EXP(-LN(2)/25))/(LN(2)/25)*Calculateur!GH196*Calculateur!GJ196*VLOOKUP('Données projet'!$B$17,Paramètres!$A$1:$I$88,3,0)*0.475*44/12</f>
        <v>0</v>
      </c>
      <c r="GN196" s="23">
        <f>EXP(-LN(2)/2)*GN195+(1-EXP(-LN(2)/2))/(LN(2)/2)*GH196*GK196*VLOOKUP('Données projet'!$B$17,Paramètres!$A$1:$I$88,3,0)*0.475*44/12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-3.979039320256561E-13</v>
      </c>
      <c r="GV196" s="18">
        <f>GU196*VLOOKUP('Données projet'!$B$18,Paramètres!$A$1:$I$88,3,0)*VLOOKUP('Données projet'!$B$18,Paramètres!$A$1:$I$88,5,0)</f>
        <v>-4.158891897532158E-13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582.89879210197682</v>
      </c>
      <c r="HA196" s="62">
        <f t="shared" si="160"/>
        <v>314.72094983133326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projet'!$B$18,Paramètres!$A$1:$I$88,3,0)*0.475*44/12</f>
        <v>0</v>
      </c>
      <c r="HH196" s="23">
        <f>EXP(-LN(2)/25)*HH195+(1-EXP(-LN(2)/25))/(LN(2)/25)*Calculateur!HC196*Calculateur!HE196*VLOOKUP('Données projet'!$B$18,Paramètres!$A$1:$I$88,3,0)*0.475*44/12</f>
        <v>0</v>
      </c>
      <c r="HI196" s="23">
        <f>EXP(-LN(2)/2)*HI195+(1-EXP(-LN(2)/2))/(LN(2)/2)*HC196*HF196*VLOOKUP('Données projet'!$B$18,Paramètres!$A$1:$I$88,3,0)*0.475*44/12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projet'!$B$9,Paramètres!$A$1:$I$88,3,0)*VLOOKUP('Données projet'!$B$9,Paramètres!$A$1:$I$88,5,0)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399.92909819003523</v>
      </c>
      <c r="T197" s="62">
        <f t="shared" ref="T197:T203" si="204">$T$3</f>
        <v>163.7053537268381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-3.979039320256561E-13</v>
      </c>
      <c r="AJ197" s="14">
        <f>AI197*VLOOKUP('Données projet'!$B$10,Paramètres!$A$1:$I$88,3,0)*VLOOKUP('Données projet'!$B$10,Paramètres!$A$1:$I$88,5,0)</f>
        <v>-3.6002347769681362E-13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510.56580450928806</v>
      </c>
      <c r="AO197" s="62">
        <f t="shared" ref="AO197:AO203" si="205">$AO$3</f>
        <v>278.21741231699929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-5.1159076974727213E-13</v>
      </c>
      <c r="BE197" s="14">
        <f>BD197*VLOOKUP('Données projet'!$B$11,Paramètres!$A$1:$I$88,3,0)*VLOOKUP('Données projet'!$B$11,Paramètres!$A$1:$I$88,5,0)</f>
        <v>-4.8682977649150421E-13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525.51330555662139</v>
      </c>
      <c r="BJ197" s="62">
        <f t="shared" ref="BJ197:BJ203" si="206">$BJ$3</f>
        <v>357.72390083433635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1.7053025658242404E-13</v>
      </c>
      <c r="BZ197" s="14">
        <f>BY197*VLOOKUP('Données projet'!$B$12,Paramètres!$A$1:$I$88,3,0)*VLOOKUP('Données projet'!$B$12,Paramètres!$A$1:$I$88,5,0)</f>
        <v>1.0197709343628959E-13</v>
      </c>
      <c r="CA197" s="14">
        <f t="shared" si="170"/>
        <v>1.5284983994279675E-12</v>
      </c>
      <c r="CB197" s="22">
        <f t="shared" si="171"/>
        <v>2.839744816738581E-12</v>
      </c>
      <c r="CC197" s="62">
        <f t="shared" si="195"/>
        <v>293.33333333333616</v>
      </c>
      <c r="CD197" s="62">
        <f ca="1">AVERAGE(OFFSET($CC$3,0,0,'Données projet'!$E$12+1,1))-AVERAGE(OFFSET($H$3,0,0,'Données projet'!$E$12+1,1))</f>
        <v>227.46616726010473</v>
      </c>
      <c r="CE197" s="62">
        <f t="shared" ref="CE197:CE203" si="207">$CE$3</f>
        <v>314.188568589113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4.6754101195812039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2.8746953291339094E-21</v>
      </c>
      <c r="CN197" s="24">
        <f t="shared" si="172"/>
        <v>4.6754101195812039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projet'!$B$13,Paramètres!$A$1:$I$88,3,0)*VLOOKUP('Données projet'!$B$13,Paramètres!$A$1:$I$88,5,0)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356.46794174556311</v>
      </c>
      <c r="CZ197" s="62">
        <f t="shared" ref="CZ197:CZ203" si="208">$CZ$3</f>
        <v>248.47107558211923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0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projet'!$B$14,Paramètres!$A$1:$I$88,3,0)*VLOOKUP('Données projet'!$B$14,Paramètres!$A$1:$I$88,5,0)</f>
        <v>6.3550942286383367E-14</v>
      </c>
      <c r="DQ197" s="14">
        <f t="shared" si="176"/>
        <v>1.0064464192543978E-12</v>
      </c>
      <c r="DR197" s="22">
        <f t="shared" si="177"/>
        <v>1.8635787380168604E-12</v>
      </c>
      <c r="DS197" s="62">
        <f t="shared" si="197"/>
        <v>293.33333333333519</v>
      </c>
      <c r="DT197" s="62">
        <f ca="1">AVERAGE(OFFSET($DS$3,0,0,'Données projet'!$E$14+1,1))-AVERAGE(OFFSET($H$3,0,0,'Données projet'!$E$14+1,1))</f>
        <v>397.04445188588369</v>
      </c>
      <c r="DU197" s="62">
        <f t="shared" ref="DU197:DU203" si="209">$DU$3</f>
        <v>350.01856672839466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0.19497124204129959</v>
      </c>
      <c r="EB197" s="23">
        <f>EXP(-LN(2)/25)*EB196+(1-EXP(-LN(2)/25))/(LN(2)/25)*Calculateur!DW197*Calculateur!DY197*VLOOKUP('Données projet'!$B$14,Paramètres!$A$1:$I$88,3,0)*0.475*44/12</f>
        <v>0</v>
      </c>
      <c r="EC197" s="23">
        <f>EXP(-LN(2)/2)*EC196+(1-EXP(-LN(2)/2))/(LN(2)/2)*DW197*DZ197*VLOOKUP('Données projet'!$B$14,Paramètres!$A$1:$I$88,3,0)*0.475*44/12</f>
        <v>3.3506392219515379E-24</v>
      </c>
      <c r="ED197" s="24">
        <f t="shared" si="178"/>
        <v>0.19497124204129959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-1.9895196601282805E-13</v>
      </c>
      <c r="EK197" s="18">
        <f>EJ197*VLOOKUP('Données projet'!$B$15,Paramètres!$A$1:$I$88,3,0)*VLOOKUP('Données projet'!$B$15,Paramètres!$A$1:$I$88,5,0)</f>
        <v>-1.738044375088066E-13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202.5548390231225</v>
      </c>
      <c r="EP197" s="62">
        <f t="shared" ref="EP197:EP203" si="210">$EP$3</f>
        <v>184.62184077734179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projet'!$B$15,Paramètres!$A$1:$I$88,3,0)*0.475*44/12</f>
        <v>0</v>
      </c>
      <c r="EW197" s="23">
        <f>EXP(-LN(2)/25)*EW196+(1-EXP(-LN(2)/25))/(LN(2)/25)*Calculateur!ER197*Calculateur!ET197*VLOOKUP('Données projet'!$B$15,Paramètres!$A$1:$I$88,3,0)*0.475*44/12</f>
        <v>0</v>
      </c>
      <c r="EX197" s="23">
        <f>EXP(-LN(2)/2)*EX196+(1-EXP(-LN(2)/2))/(LN(2)/2)*ER197*EU197*VLOOKUP('Données projet'!$B$15,Paramètres!$A$1:$I$88,3,0)*0.475*44/12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-5.1159076974727213E-13</v>
      </c>
      <c r="FF197" s="18">
        <f>FE197*VLOOKUP('Données projet'!$B$16,Paramètres!$A$1:$I$88,3,0)*VLOOKUP('Données projet'!$B$16,Paramètres!$A$1:$I$88,5,0)</f>
        <v>-4.9481059249956164E-13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456.96274622094955</v>
      </c>
      <c r="FK197" s="62">
        <f t="shared" ref="FK197:FK203" si="211">$FK$3</f>
        <v>244.45149244446094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projet'!$B$16,Paramètres!$A$1:$I$88,3,0)*0.475*44/12</f>
        <v>0</v>
      </c>
      <c r="FR197" s="23">
        <f>EXP(-LN(2)/25)*FR196+(1-EXP(-LN(2)/25))/(LN(2)/25)*Calculateur!FM197*Calculateur!FO197*VLOOKUP('Données projet'!$B$16,Paramètres!$A$1:$I$88,3,0)*0.475*44/12</f>
        <v>0</v>
      </c>
      <c r="FS197" s="23">
        <f>EXP(-LN(2)/2)*FS196+(1-EXP(-LN(2)/2))/(LN(2)/2)*FM197*FP197*VLOOKUP('Données projet'!$B$16,Paramètres!$A$1:$I$88,3,0)*0.475*44/12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-5.1159076974727213E-13</v>
      </c>
      <c r="GA197" s="18">
        <f>FZ197*VLOOKUP('Données projet'!$B$17,Paramètres!$A$1:$I$88,3,0)*VLOOKUP('Données projet'!$B$17,Paramètres!$A$1:$I$88,5,0)</f>
        <v>-5.5067630455596371E-13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503.69304261527651</v>
      </c>
      <c r="GF197" s="62">
        <f t="shared" ref="GF197:GF203" si="212">$GF$3</f>
        <v>267.2998309535638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projet'!$B$17,Paramètres!$A$1:$I$88,3,0)*0.475*44/12</f>
        <v>0</v>
      </c>
      <c r="GM197" s="23">
        <f>EXP(-LN(2)/25)*GM196+(1-EXP(-LN(2)/25))/(LN(2)/25)*Calculateur!GH197*Calculateur!GJ197*VLOOKUP('Données projet'!$B$17,Paramètres!$A$1:$I$88,3,0)*0.475*44/12</f>
        <v>0</v>
      </c>
      <c r="GN197" s="23">
        <f>EXP(-LN(2)/2)*GN196+(1-EXP(-LN(2)/2))/(LN(2)/2)*GH197*GK197*VLOOKUP('Données projet'!$B$17,Paramètres!$A$1:$I$88,3,0)*0.475*44/12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-3.979039320256561E-13</v>
      </c>
      <c r="GV197" s="18">
        <f>GU197*VLOOKUP('Données projet'!$B$18,Paramètres!$A$1:$I$88,3,0)*VLOOKUP('Données projet'!$B$18,Paramètres!$A$1:$I$88,5,0)</f>
        <v>-4.158891897532158E-13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582.89879210197682</v>
      </c>
      <c r="HA197" s="62">
        <f t="shared" ref="HA197:HA203" si="213">$HA$3</f>
        <v>314.72094983133326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projet'!$B$18,Paramètres!$A$1:$I$88,3,0)*0.475*44/12</f>
        <v>0</v>
      </c>
      <c r="HH197" s="23">
        <f>EXP(-LN(2)/25)*HH196+(1-EXP(-LN(2)/25))/(LN(2)/25)*Calculateur!HC197*Calculateur!HE197*VLOOKUP('Données projet'!$B$18,Paramètres!$A$1:$I$88,3,0)*0.475*44/12</f>
        <v>0</v>
      </c>
      <c r="HI197" s="23">
        <f>EXP(-LN(2)/2)*HI196+(1-EXP(-LN(2)/2))/(LN(2)/2)*HC197*HF197*VLOOKUP('Données projet'!$B$18,Paramètres!$A$1:$I$88,3,0)*0.475*44/12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projet'!$B$9,Paramètres!$A$1:$I$88,3,0)*VLOOKUP('Données projet'!$B$9,Paramètres!$A$1:$I$88,5,0)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399.92909819003523</v>
      </c>
      <c r="T198" s="62">
        <f t="shared" si="204"/>
        <v>163.7053537268381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-3.979039320256561E-13</v>
      </c>
      <c r="AJ198" s="14">
        <f>AI198*VLOOKUP('Données projet'!$B$10,Paramètres!$A$1:$I$88,3,0)*VLOOKUP('Données projet'!$B$10,Paramètres!$A$1:$I$88,5,0)</f>
        <v>-3.6002347769681362E-13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510.56580450928806</v>
      </c>
      <c r="AO198" s="62">
        <f t="shared" si="205"/>
        <v>278.21741231699929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-5.1159076974727213E-13</v>
      </c>
      <c r="BE198" s="14">
        <f>BD198*VLOOKUP('Données projet'!$B$11,Paramètres!$A$1:$I$88,3,0)*VLOOKUP('Données projet'!$B$11,Paramètres!$A$1:$I$88,5,0)</f>
        <v>-4.8682977649150421E-13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525.51330555662139</v>
      </c>
      <c r="BJ198" s="62">
        <f t="shared" si="206"/>
        <v>357.72390083433635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1.7053025658242404E-13</v>
      </c>
      <c r="BZ198" s="14">
        <f>BY198*VLOOKUP('Données projet'!$B$12,Paramètres!$A$1:$I$88,3,0)*VLOOKUP('Données projet'!$B$12,Paramètres!$A$1:$I$88,5,0)</f>
        <v>1.0197709343628959E-13</v>
      </c>
      <c r="CA198" s="14">
        <f t="shared" si="170"/>
        <v>1.5284983994279675E-12</v>
      </c>
      <c r="CB198" s="22">
        <f t="shared" si="171"/>
        <v>2.839744816738581E-12</v>
      </c>
      <c r="CC198" s="62">
        <f t="shared" si="195"/>
        <v>293.33333333333616</v>
      </c>
      <c r="CD198" s="62">
        <f ca="1">AVERAGE(OFFSET($CC$3,0,0,'Données projet'!$E$12+1,1))-AVERAGE(OFFSET($H$3,0,0,'Données projet'!$E$12+1,1))</f>
        <v>227.46616726010473</v>
      </c>
      <c r="CE198" s="62">
        <f t="shared" si="207"/>
        <v>314.188568589113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4.5837281788548054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2.0327165610758815E-21</v>
      </c>
      <c r="CN198" s="24">
        <f t="shared" si="172"/>
        <v>4.5837281788548054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projet'!$B$13,Paramètres!$A$1:$I$88,3,0)*VLOOKUP('Données projet'!$B$13,Paramètres!$A$1:$I$88,5,0)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356.46794174556311</v>
      </c>
      <c r="CZ198" s="62">
        <f t="shared" si="208"/>
        <v>248.47107558211923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0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projet'!$B$14,Paramètres!$A$1:$I$88,3,0)*VLOOKUP('Données projet'!$B$14,Paramètres!$A$1:$I$88,5,0)</f>
        <v>6.3550942286383367E-14</v>
      </c>
      <c r="DQ198" s="14">
        <f t="shared" si="176"/>
        <v>1.0064464192543978E-12</v>
      </c>
      <c r="DR198" s="22">
        <f t="shared" si="177"/>
        <v>1.8635787380168604E-12</v>
      </c>
      <c r="DS198" s="62">
        <f t="shared" si="197"/>
        <v>293.33333333333519</v>
      </c>
      <c r="DT198" s="62">
        <f ca="1">AVERAGE(OFFSET($DS$3,0,0,'Données projet'!$E$14+1,1))-AVERAGE(OFFSET($H$3,0,0,'Données projet'!$E$14+1,1))</f>
        <v>397.04445188588369</v>
      </c>
      <c r="DU198" s="62">
        <f t="shared" si="209"/>
        <v>350.01856672839466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0.19114797490558491</v>
      </c>
      <c r="EB198" s="23">
        <f>EXP(-LN(2)/25)*EB197+(1-EXP(-LN(2)/25))/(LN(2)/25)*Calculateur!DW198*Calculateur!DY198*VLOOKUP('Données projet'!$B$14,Paramètres!$A$1:$I$88,3,0)*0.475*44/12</f>
        <v>0</v>
      </c>
      <c r="EC198" s="23">
        <f>EXP(-LN(2)/2)*EC197+(1-EXP(-LN(2)/2))/(LN(2)/2)*DW198*DZ198*VLOOKUP('Données projet'!$B$14,Paramètres!$A$1:$I$88,3,0)*0.475*44/12</f>
        <v>2.36925971515155E-24</v>
      </c>
      <c r="ED198" s="24">
        <f t="shared" si="178"/>
        <v>0.19114797490558491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-1.9895196601282805E-13</v>
      </c>
      <c r="EK198" s="18">
        <f>EJ198*VLOOKUP('Données projet'!$B$15,Paramètres!$A$1:$I$88,3,0)*VLOOKUP('Données projet'!$B$15,Paramètres!$A$1:$I$88,5,0)</f>
        <v>-1.738044375088066E-13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202.5548390231225</v>
      </c>
      <c r="EP198" s="62">
        <f t="shared" si="210"/>
        <v>184.62184077734179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projet'!$B$15,Paramètres!$A$1:$I$88,3,0)*0.475*44/12</f>
        <v>0</v>
      </c>
      <c r="EW198" s="23">
        <f>EXP(-LN(2)/25)*EW197+(1-EXP(-LN(2)/25))/(LN(2)/25)*Calculateur!ER198*Calculateur!ET198*VLOOKUP('Données projet'!$B$15,Paramètres!$A$1:$I$88,3,0)*0.475*44/12</f>
        <v>0</v>
      </c>
      <c r="EX198" s="23">
        <f>EXP(-LN(2)/2)*EX197+(1-EXP(-LN(2)/2))/(LN(2)/2)*ER198*EU198*VLOOKUP('Données projet'!$B$15,Paramètres!$A$1:$I$88,3,0)*0.475*44/12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-5.1159076974727213E-13</v>
      </c>
      <c r="FF198" s="18">
        <f>FE198*VLOOKUP('Données projet'!$B$16,Paramètres!$A$1:$I$88,3,0)*VLOOKUP('Données projet'!$B$16,Paramètres!$A$1:$I$88,5,0)</f>
        <v>-4.9481059249956164E-13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456.96274622094955</v>
      </c>
      <c r="FK198" s="62">
        <f t="shared" si="211"/>
        <v>244.45149244446094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projet'!$B$16,Paramètres!$A$1:$I$88,3,0)*0.475*44/12</f>
        <v>0</v>
      </c>
      <c r="FR198" s="23">
        <f>EXP(-LN(2)/25)*FR197+(1-EXP(-LN(2)/25))/(LN(2)/25)*Calculateur!FM198*Calculateur!FO198*VLOOKUP('Données projet'!$B$16,Paramètres!$A$1:$I$88,3,0)*0.475*44/12</f>
        <v>0</v>
      </c>
      <c r="FS198" s="23">
        <f>EXP(-LN(2)/2)*FS197+(1-EXP(-LN(2)/2))/(LN(2)/2)*FM198*FP198*VLOOKUP('Données projet'!$B$16,Paramètres!$A$1:$I$88,3,0)*0.475*44/12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-5.1159076974727213E-13</v>
      </c>
      <c r="GA198" s="18">
        <f>FZ198*VLOOKUP('Données projet'!$B$17,Paramètres!$A$1:$I$88,3,0)*VLOOKUP('Données projet'!$B$17,Paramètres!$A$1:$I$88,5,0)</f>
        <v>-5.5067630455596371E-13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503.69304261527651</v>
      </c>
      <c r="GF198" s="62">
        <f t="shared" si="212"/>
        <v>267.2998309535638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projet'!$B$17,Paramètres!$A$1:$I$88,3,0)*0.475*44/12</f>
        <v>0</v>
      </c>
      <c r="GM198" s="23">
        <f>EXP(-LN(2)/25)*GM197+(1-EXP(-LN(2)/25))/(LN(2)/25)*Calculateur!GH198*Calculateur!GJ198*VLOOKUP('Données projet'!$B$17,Paramètres!$A$1:$I$88,3,0)*0.475*44/12</f>
        <v>0</v>
      </c>
      <c r="GN198" s="23">
        <f>EXP(-LN(2)/2)*GN197+(1-EXP(-LN(2)/2))/(LN(2)/2)*GH198*GK198*VLOOKUP('Données projet'!$B$17,Paramètres!$A$1:$I$88,3,0)*0.475*44/12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-3.979039320256561E-13</v>
      </c>
      <c r="GV198" s="18">
        <f>GU198*VLOOKUP('Données projet'!$B$18,Paramètres!$A$1:$I$88,3,0)*VLOOKUP('Données projet'!$B$18,Paramètres!$A$1:$I$88,5,0)</f>
        <v>-4.158891897532158E-13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582.89879210197682</v>
      </c>
      <c r="HA198" s="62">
        <f t="shared" si="213"/>
        <v>314.72094983133326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projet'!$B$18,Paramètres!$A$1:$I$88,3,0)*0.475*44/12</f>
        <v>0</v>
      </c>
      <c r="HH198" s="23">
        <f>EXP(-LN(2)/25)*HH197+(1-EXP(-LN(2)/25))/(LN(2)/25)*Calculateur!HC198*Calculateur!HE198*VLOOKUP('Données projet'!$B$18,Paramètres!$A$1:$I$88,3,0)*0.475*44/12</f>
        <v>0</v>
      </c>
      <c r="HI198" s="23">
        <f>EXP(-LN(2)/2)*HI197+(1-EXP(-LN(2)/2))/(LN(2)/2)*HC198*HF198*VLOOKUP('Données projet'!$B$18,Paramètres!$A$1:$I$88,3,0)*0.475*44/12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projet'!$B$9,Paramètres!$A$1:$I$88,3,0)*VLOOKUP('Données projet'!$B$9,Paramètres!$A$1:$I$88,5,0)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399.92909819003523</v>
      </c>
      <c r="T199" s="62">
        <f t="shared" si="204"/>
        <v>163.7053537268381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-3.979039320256561E-13</v>
      </c>
      <c r="AJ199" s="14">
        <f>AI199*VLOOKUP('Données projet'!$B$10,Paramètres!$A$1:$I$88,3,0)*VLOOKUP('Données projet'!$B$10,Paramètres!$A$1:$I$88,5,0)</f>
        <v>-3.6002347769681362E-13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510.56580450928806</v>
      </c>
      <c r="AO199" s="62">
        <f t="shared" si="205"/>
        <v>278.21741231699929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-5.1159076974727213E-13</v>
      </c>
      <c r="BE199" s="14">
        <f>BD199*VLOOKUP('Données projet'!$B$11,Paramètres!$A$1:$I$88,3,0)*VLOOKUP('Données projet'!$B$11,Paramètres!$A$1:$I$88,5,0)</f>
        <v>-4.8682977649150421E-13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525.51330555662139</v>
      </c>
      <c r="BJ199" s="62">
        <f t="shared" si="206"/>
        <v>357.72390083433635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1.7053025658242404E-13</v>
      </c>
      <c r="BZ199" s="14">
        <f>BY199*VLOOKUP('Données projet'!$B$12,Paramètres!$A$1:$I$88,3,0)*VLOOKUP('Données projet'!$B$12,Paramètres!$A$1:$I$88,5,0)</f>
        <v>1.0197709343628959E-13</v>
      </c>
      <c r="CA199" s="14">
        <f t="shared" si="170"/>
        <v>1.5284983994279675E-12</v>
      </c>
      <c r="CB199" s="22">
        <f t="shared" si="171"/>
        <v>2.839744816738581E-12</v>
      </c>
      <c r="CC199" s="62">
        <f t="shared" si="195"/>
        <v>293.33333333333616</v>
      </c>
      <c r="CD199" s="62">
        <f ca="1">AVERAGE(OFFSET($CC$3,0,0,'Données projet'!$E$12+1,1))-AVERAGE(OFFSET($H$3,0,0,'Données projet'!$E$12+1,1))</f>
        <v>227.46616726010473</v>
      </c>
      <c r="CE199" s="62">
        <f t="shared" si="207"/>
        <v>314.188568589113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4.4938440650655895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1.4373476645669547E-21</v>
      </c>
      <c r="CN199" s="24">
        <f t="shared" si="172"/>
        <v>4.4938440650655895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projet'!$B$13,Paramètres!$A$1:$I$88,3,0)*VLOOKUP('Données projet'!$B$13,Paramètres!$A$1:$I$88,5,0)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356.46794174556311</v>
      </c>
      <c r="CZ199" s="62">
        <f t="shared" si="208"/>
        <v>248.47107558211923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0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projet'!$B$14,Paramètres!$A$1:$I$88,3,0)*VLOOKUP('Données projet'!$B$14,Paramètres!$A$1:$I$88,5,0)</f>
        <v>6.3550942286383367E-14</v>
      </c>
      <c r="DQ199" s="14">
        <f t="shared" si="176"/>
        <v>1.0064464192543978E-12</v>
      </c>
      <c r="DR199" s="22">
        <f t="shared" si="177"/>
        <v>1.8635787380168604E-12</v>
      </c>
      <c r="DS199" s="62">
        <f t="shared" si="197"/>
        <v>293.33333333333519</v>
      </c>
      <c r="DT199" s="62">
        <f ca="1">AVERAGE(OFFSET($DS$3,0,0,'Données projet'!$E$14+1,1))-AVERAGE(OFFSET($H$3,0,0,'Données projet'!$E$14+1,1))</f>
        <v>397.04445188588369</v>
      </c>
      <c r="DU199" s="62">
        <f t="shared" si="209"/>
        <v>350.01856672839466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0.18739967970643889</v>
      </c>
      <c r="EB199" s="23">
        <f>EXP(-LN(2)/25)*EB198+(1-EXP(-LN(2)/25))/(LN(2)/25)*Calculateur!DW199*Calculateur!DY199*VLOOKUP('Données projet'!$B$14,Paramètres!$A$1:$I$88,3,0)*0.475*44/12</f>
        <v>0</v>
      </c>
      <c r="EC199" s="23">
        <f>EXP(-LN(2)/2)*EC198+(1-EXP(-LN(2)/2))/(LN(2)/2)*DW199*DZ199*VLOOKUP('Données projet'!$B$14,Paramètres!$A$1:$I$88,3,0)*0.475*44/12</f>
        <v>1.675319610975769E-24</v>
      </c>
      <c r="ED199" s="24">
        <f t="shared" si="178"/>
        <v>0.18739967970643889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-1.9895196601282805E-13</v>
      </c>
      <c r="EK199" s="18">
        <f>EJ199*VLOOKUP('Données projet'!$B$15,Paramètres!$A$1:$I$88,3,0)*VLOOKUP('Données projet'!$B$15,Paramètres!$A$1:$I$88,5,0)</f>
        <v>-1.738044375088066E-13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202.5548390231225</v>
      </c>
      <c r="EP199" s="62">
        <f t="shared" si="210"/>
        <v>184.62184077734179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projet'!$B$15,Paramètres!$A$1:$I$88,3,0)*0.475*44/12</f>
        <v>0</v>
      </c>
      <c r="EW199" s="23">
        <f>EXP(-LN(2)/25)*EW198+(1-EXP(-LN(2)/25))/(LN(2)/25)*Calculateur!ER199*Calculateur!ET199*VLOOKUP('Données projet'!$B$15,Paramètres!$A$1:$I$88,3,0)*0.475*44/12</f>
        <v>0</v>
      </c>
      <c r="EX199" s="23">
        <f>EXP(-LN(2)/2)*EX198+(1-EXP(-LN(2)/2))/(LN(2)/2)*ER199*EU199*VLOOKUP('Données projet'!$B$15,Paramètres!$A$1:$I$88,3,0)*0.475*44/12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-5.1159076974727213E-13</v>
      </c>
      <c r="FF199" s="18">
        <f>FE199*VLOOKUP('Données projet'!$B$16,Paramètres!$A$1:$I$88,3,0)*VLOOKUP('Données projet'!$B$16,Paramètres!$A$1:$I$88,5,0)</f>
        <v>-4.9481059249956164E-13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456.96274622094955</v>
      </c>
      <c r="FK199" s="62">
        <f t="shared" si="211"/>
        <v>244.45149244446094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projet'!$B$16,Paramètres!$A$1:$I$88,3,0)*0.475*44/12</f>
        <v>0</v>
      </c>
      <c r="FR199" s="23">
        <f>EXP(-LN(2)/25)*FR198+(1-EXP(-LN(2)/25))/(LN(2)/25)*Calculateur!FM199*Calculateur!FO199*VLOOKUP('Données projet'!$B$16,Paramètres!$A$1:$I$88,3,0)*0.475*44/12</f>
        <v>0</v>
      </c>
      <c r="FS199" s="23">
        <f>EXP(-LN(2)/2)*FS198+(1-EXP(-LN(2)/2))/(LN(2)/2)*FM199*FP199*VLOOKUP('Données projet'!$B$16,Paramètres!$A$1:$I$88,3,0)*0.475*44/12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-5.1159076974727213E-13</v>
      </c>
      <c r="GA199" s="18">
        <f>FZ199*VLOOKUP('Données projet'!$B$17,Paramètres!$A$1:$I$88,3,0)*VLOOKUP('Données projet'!$B$17,Paramètres!$A$1:$I$88,5,0)</f>
        <v>-5.5067630455596371E-13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503.69304261527651</v>
      </c>
      <c r="GF199" s="62">
        <f t="shared" si="212"/>
        <v>267.2998309535638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projet'!$B$17,Paramètres!$A$1:$I$88,3,0)*0.475*44/12</f>
        <v>0</v>
      </c>
      <c r="GM199" s="23">
        <f>EXP(-LN(2)/25)*GM198+(1-EXP(-LN(2)/25))/(LN(2)/25)*Calculateur!GH199*Calculateur!GJ199*VLOOKUP('Données projet'!$B$17,Paramètres!$A$1:$I$88,3,0)*0.475*44/12</f>
        <v>0</v>
      </c>
      <c r="GN199" s="23">
        <f>EXP(-LN(2)/2)*GN198+(1-EXP(-LN(2)/2))/(LN(2)/2)*GH199*GK199*VLOOKUP('Données projet'!$B$17,Paramètres!$A$1:$I$88,3,0)*0.475*44/12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-3.979039320256561E-13</v>
      </c>
      <c r="GV199" s="18">
        <f>GU199*VLOOKUP('Données projet'!$B$18,Paramètres!$A$1:$I$88,3,0)*VLOOKUP('Données projet'!$B$18,Paramètres!$A$1:$I$88,5,0)</f>
        <v>-4.158891897532158E-13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582.89879210197682</v>
      </c>
      <c r="HA199" s="62">
        <f t="shared" si="213"/>
        <v>314.72094983133326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projet'!$B$18,Paramètres!$A$1:$I$88,3,0)*0.475*44/12</f>
        <v>0</v>
      </c>
      <c r="HH199" s="23">
        <f>EXP(-LN(2)/25)*HH198+(1-EXP(-LN(2)/25))/(LN(2)/25)*Calculateur!HC199*Calculateur!HE199*VLOOKUP('Données projet'!$B$18,Paramètres!$A$1:$I$88,3,0)*0.475*44/12</f>
        <v>0</v>
      </c>
      <c r="HI199" s="23">
        <f>EXP(-LN(2)/2)*HI198+(1-EXP(-LN(2)/2))/(LN(2)/2)*HC199*HF199*VLOOKUP('Données projet'!$B$18,Paramètres!$A$1:$I$88,3,0)*0.475*44/12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projet'!$B$9,Paramètres!$A$1:$I$88,3,0)*VLOOKUP('Données projet'!$B$9,Paramètres!$A$1:$I$88,5,0)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399.92909819003523</v>
      </c>
      <c r="T200" s="62">
        <f t="shared" si="204"/>
        <v>163.7053537268381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-3.979039320256561E-13</v>
      </c>
      <c r="AJ200" s="14">
        <f>AI200*VLOOKUP('Données projet'!$B$10,Paramètres!$A$1:$I$88,3,0)*VLOOKUP('Données projet'!$B$10,Paramètres!$A$1:$I$88,5,0)</f>
        <v>-3.6002347769681362E-13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510.56580450928806</v>
      </c>
      <c r="AO200" s="62">
        <f t="shared" si="205"/>
        <v>278.21741231699929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-5.1159076974727213E-13</v>
      </c>
      <c r="BE200" s="14">
        <f>BD200*VLOOKUP('Données projet'!$B$11,Paramètres!$A$1:$I$88,3,0)*VLOOKUP('Données projet'!$B$11,Paramètres!$A$1:$I$88,5,0)</f>
        <v>-4.8682977649150421E-13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525.51330555662139</v>
      </c>
      <c r="BJ200" s="62">
        <f t="shared" si="206"/>
        <v>357.72390083433635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1.7053025658242404E-13</v>
      </c>
      <c r="BZ200" s="14">
        <f>BY200*VLOOKUP('Données projet'!$B$12,Paramètres!$A$1:$I$88,3,0)*VLOOKUP('Données projet'!$B$12,Paramètres!$A$1:$I$88,5,0)</f>
        <v>1.0197709343628959E-13</v>
      </c>
      <c r="CA200" s="14">
        <f t="shared" si="170"/>
        <v>1.5284983994279675E-12</v>
      </c>
      <c r="CB200" s="22">
        <f t="shared" si="171"/>
        <v>2.839744816738581E-12</v>
      </c>
      <c r="CC200" s="62">
        <f t="shared" si="195"/>
        <v>293.33333333333616</v>
      </c>
      <c r="CD200" s="62">
        <f ca="1">AVERAGE(OFFSET($CC$3,0,0,'Données projet'!$E$12+1,1))-AVERAGE(OFFSET($H$3,0,0,'Données projet'!$E$12+1,1))</f>
        <v>227.46616726010473</v>
      </c>
      <c r="CE200" s="62">
        <f t="shared" si="207"/>
        <v>314.188568589113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4.4057225239238846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1.0163582805379407E-21</v>
      </c>
      <c r="CN200" s="24">
        <f t="shared" si="172"/>
        <v>4.4057225239238846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projet'!$B$13,Paramètres!$A$1:$I$88,3,0)*VLOOKUP('Données projet'!$B$13,Paramètres!$A$1:$I$88,5,0)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356.46794174556311</v>
      </c>
      <c r="CZ200" s="62">
        <f t="shared" si="208"/>
        <v>248.47107558211923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0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projet'!$B$14,Paramètres!$A$1:$I$88,3,0)*VLOOKUP('Données projet'!$B$14,Paramètres!$A$1:$I$88,5,0)</f>
        <v>6.3550942286383367E-14</v>
      </c>
      <c r="DQ200" s="14">
        <f t="shared" si="176"/>
        <v>1.0064464192543978E-12</v>
      </c>
      <c r="DR200" s="22">
        <f t="shared" si="177"/>
        <v>1.8635787380168604E-12</v>
      </c>
      <c r="DS200" s="62">
        <f t="shared" si="197"/>
        <v>293.33333333333519</v>
      </c>
      <c r="DT200" s="62">
        <f ca="1">AVERAGE(OFFSET($DS$3,0,0,'Données projet'!$E$14+1,1))-AVERAGE(OFFSET($H$3,0,0,'Données projet'!$E$14+1,1))</f>
        <v>397.04445188588369</v>
      </c>
      <c r="DU200" s="62">
        <f t="shared" si="209"/>
        <v>350.01856672839466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0.18372488628991382</v>
      </c>
      <c r="EB200" s="23">
        <f>EXP(-LN(2)/25)*EB199+(1-EXP(-LN(2)/25))/(LN(2)/25)*Calculateur!DW200*Calculateur!DY200*VLOOKUP('Données projet'!$B$14,Paramètres!$A$1:$I$88,3,0)*0.475*44/12</f>
        <v>0</v>
      </c>
      <c r="EC200" s="23">
        <f>EXP(-LN(2)/2)*EC199+(1-EXP(-LN(2)/2))/(LN(2)/2)*DW200*DZ200*VLOOKUP('Données projet'!$B$14,Paramètres!$A$1:$I$88,3,0)*0.475*44/12</f>
        <v>1.184629857575775E-24</v>
      </c>
      <c r="ED200" s="24">
        <f t="shared" si="178"/>
        <v>0.18372488628991382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-1.9895196601282805E-13</v>
      </c>
      <c r="EK200" s="18">
        <f>EJ200*VLOOKUP('Données projet'!$B$15,Paramètres!$A$1:$I$88,3,0)*VLOOKUP('Données projet'!$B$15,Paramètres!$A$1:$I$88,5,0)</f>
        <v>-1.738044375088066E-13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202.5548390231225</v>
      </c>
      <c r="EP200" s="62">
        <f t="shared" si="210"/>
        <v>184.62184077734179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projet'!$B$15,Paramètres!$A$1:$I$88,3,0)*0.475*44/12</f>
        <v>0</v>
      </c>
      <c r="EW200" s="23">
        <f>EXP(-LN(2)/25)*EW199+(1-EXP(-LN(2)/25))/(LN(2)/25)*Calculateur!ER200*Calculateur!ET200*VLOOKUP('Données projet'!$B$15,Paramètres!$A$1:$I$88,3,0)*0.475*44/12</f>
        <v>0</v>
      </c>
      <c r="EX200" s="23">
        <f>EXP(-LN(2)/2)*EX199+(1-EXP(-LN(2)/2))/(LN(2)/2)*ER200*EU200*VLOOKUP('Données projet'!$B$15,Paramètres!$A$1:$I$88,3,0)*0.475*44/12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-5.1159076974727213E-13</v>
      </c>
      <c r="FF200" s="18">
        <f>FE200*VLOOKUP('Données projet'!$B$16,Paramètres!$A$1:$I$88,3,0)*VLOOKUP('Données projet'!$B$16,Paramètres!$A$1:$I$88,5,0)</f>
        <v>-4.9481059249956164E-13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456.96274622094955</v>
      </c>
      <c r="FK200" s="62">
        <f t="shared" si="211"/>
        <v>244.45149244446094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projet'!$B$16,Paramètres!$A$1:$I$88,3,0)*0.475*44/12</f>
        <v>0</v>
      </c>
      <c r="FR200" s="23">
        <f>EXP(-LN(2)/25)*FR199+(1-EXP(-LN(2)/25))/(LN(2)/25)*Calculateur!FM200*Calculateur!FO200*VLOOKUP('Données projet'!$B$16,Paramètres!$A$1:$I$88,3,0)*0.475*44/12</f>
        <v>0</v>
      </c>
      <c r="FS200" s="23">
        <f>EXP(-LN(2)/2)*FS199+(1-EXP(-LN(2)/2))/(LN(2)/2)*FM200*FP200*VLOOKUP('Données projet'!$B$16,Paramètres!$A$1:$I$88,3,0)*0.475*44/12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-5.1159076974727213E-13</v>
      </c>
      <c r="GA200" s="18">
        <f>FZ200*VLOOKUP('Données projet'!$B$17,Paramètres!$A$1:$I$88,3,0)*VLOOKUP('Données projet'!$B$17,Paramètres!$A$1:$I$88,5,0)</f>
        <v>-5.5067630455596371E-13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503.69304261527651</v>
      </c>
      <c r="GF200" s="62">
        <f t="shared" si="212"/>
        <v>267.2998309535638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projet'!$B$17,Paramètres!$A$1:$I$88,3,0)*0.475*44/12</f>
        <v>0</v>
      </c>
      <c r="GM200" s="23">
        <f>EXP(-LN(2)/25)*GM199+(1-EXP(-LN(2)/25))/(LN(2)/25)*Calculateur!GH200*Calculateur!GJ200*VLOOKUP('Données projet'!$B$17,Paramètres!$A$1:$I$88,3,0)*0.475*44/12</f>
        <v>0</v>
      </c>
      <c r="GN200" s="23">
        <f>EXP(-LN(2)/2)*GN199+(1-EXP(-LN(2)/2))/(LN(2)/2)*GH200*GK200*VLOOKUP('Données projet'!$B$17,Paramètres!$A$1:$I$88,3,0)*0.475*44/12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-3.979039320256561E-13</v>
      </c>
      <c r="GV200" s="18">
        <f>GU200*VLOOKUP('Données projet'!$B$18,Paramètres!$A$1:$I$88,3,0)*VLOOKUP('Données projet'!$B$18,Paramètres!$A$1:$I$88,5,0)</f>
        <v>-4.158891897532158E-13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582.89879210197682</v>
      </c>
      <c r="HA200" s="62">
        <f t="shared" si="213"/>
        <v>314.72094983133326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projet'!$B$18,Paramètres!$A$1:$I$88,3,0)*0.475*44/12</f>
        <v>0</v>
      </c>
      <c r="HH200" s="23">
        <f>EXP(-LN(2)/25)*HH199+(1-EXP(-LN(2)/25))/(LN(2)/25)*Calculateur!HC200*Calculateur!HE200*VLOOKUP('Données projet'!$B$18,Paramètres!$A$1:$I$88,3,0)*0.475*44/12</f>
        <v>0</v>
      </c>
      <c r="HI200" s="23">
        <f>EXP(-LN(2)/2)*HI199+(1-EXP(-LN(2)/2))/(LN(2)/2)*HC200*HF200*VLOOKUP('Données projet'!$B$18,Paramètres!$A$1:$I$88,3,0)*0.475*44/12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projet'!$B$9,Paramètres!$A$1:$I$88,3,0)*VLOOKUP('Données projet'!$B$9,Paramètres!$A$1:$I$88,5,0)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399.92909819003523</v>
      </c>
      <c r="T201" s="62">
        <f t="shared" si="204"/>
        <v>163.7053537268381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-3.979039320256561E-13</v>
      </c>
      <c r="AJ201" s="14">
        <f>AI201*VLOOKUP('Données projet'!$B$10,Paramètres!$A$1:$I$88,3,0)*VLOOKUP('Données projet'!$B$10,Paramètres!$A$1:$I$88,5,0)</f>
        <v>-3.6002347769681362E-13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510.56580450928806</v>
      </c>
      <c r="AO201" s="62">
        <f t="shared" si="205"/>
        <v>278.21741231699929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-5.1159076974727213E-13</v>
      </c>
      <c r="BE201" s="14">
        <f>BD201*VLOOKUP('Données projet'!$B$11,Paramètres!$A$1:$I$88,3,0)*VLOOKUP('Données projet'!$B$11,Paramètres!$A$1:$I$88,5,0)</f>
        <v>-4.8682977649150421E-13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525.51330555662139</v>
      </c>
      <c r="BJ201" s="62">
        <f t="shared" si="206"/>
        <v>357.72390083433635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1.7053025658242404E-13</v>
      </c>
      <c r="BZ201" s="14">
        <f>BY201*VLOOKUP('Données projet'!$B$12,Paramètres!$A$1:$I$88,3,0)*VLOOKUP('Données projet'!$B$12,Paramètres!$A$1:$I$88,5,0)</f>
        <v>1.0197709343628959E-13</v>
      </c>
      <c r="CA201" s="14">
        <f t="shared" si="170"/>
        <v>1.5284983994279675E-12</v>
      </c>
      <c r="CB201" s="22">
        <f t="shared" si="171"/>
        <v>2.839744816738581E-12</v>
      </c>
      <c r="CC201" s="62">
        <f t="shared" si="195"/>
        <v>293.33333333333616</v>
      </c>
      <c r="CD201" s="62">
        <f ca="1">AVERAGE(OFFSET($CC$3,0,0,'Données projet'!$E$12+1,1))-AVERAGE(OFFSET($H$3,0,0,'Données projet'!$E$12+1,1))</f>
        <v>227.46616726010473</v>
      </c>
      <c r="CE201" s="62">
        <f t="shared" si="207"/>
        <v>314.188568589113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4.3193289924551355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7.1867383228347736E-22</v>
      </c>
      <c r="CN201" s="24">
        <f t="shared" si="172"/>
        <v>4.3193289924551355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projet'!$B$13,Paramètres!$A$1:$I$88,3,0)*VLOOKUP('Données projet'!$B$13,Paramètres!$A$1:$I$88,5,0)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356.46794174556311</v>
      </c>
      <c r="CZ201" s="62">
        <f t="shared" si="208"/>
        <v>248.47107558211923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0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projet'!$B$14,Paramètres!$A$1:$I$88,3,0)*VLOOKUP('Données projet'!$B$14,Paramètres!$A$1:$I$88,5,0)</f>
        <v>6.3550942286383367E-14</v>
      </c>
      <c r="DQ201" s="14">
        <f t="shared" si="176"/>
        <v>1.0064464192543978E-12</v>
      </c>
      <c r="DR201" s="22">
        <f t="shared" si="177"/>
        <v>1.8635787380168604E-12</v>
      </c>
      <c r="DS201" s="62">
        <f t="shared" si="197"/>
        <v>293.33333333333519</v>
      </c>
      <c r="DT201" s="62">
        <f ca="1">AVERAGE(OFFSET($DS$3,0,0,'Données projet'!$E$14+1,1))-AVERAGE(OFFSET($H$3,0,0,'Données projet'!$E$14+1,1))</f>
        <v>397.04445188588369</v>
      </c>
      <c r="DU201" s="62">
        <f t="shared" si="209"/>
        <v>350.01856672839466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0.18012215333088413</v>
      </c>
      <c r="EB201" s="23">
        <f>EXP(-LN(2)/25)*EB200+(1-EXP(-LN(2)/25))/(LN(2)/25)*Calculateur!DW201*Calculateur!DY201*VLOOKUP('Données projet'!$B$14,Paramètres!$A$1:$I$88,3,0)*0.475*44/12</f>
        <v>0</v>
      </c>
      <c r="EC201" s="23">
        <f>EXP(-LN(2)/2)*EC200+(1-EXP(-LN(2)/2))/(LN(2)/2)*DW201*DZ201*VLOOKUP('Données projet'!$B$14,Paramètres!$A$1:$I$88,3,0)*0.475*44/12</f>
        <v>8.3765980548788448E-25</v>
      </c>
      <c r="ED201" s="24">
        <f t="shared" si="178"/>
        <v>0.18012215333088413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-1.9895196601282805E-13</v>
      </c>
      <c r="EK201" s="18">
        <f>EJ201*VLOOKUP('Données projet'!$B$15,Paramètres!$A$1:$I$88,3,0)*VLOOKUP('Données projet'!$B$15,Paramètres!$A$1:$I$88,5,0)</f>
        <v>-1.738044375088066E-13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202.5548390231225</v>
      </c>
      <c r="EP201" s="62">
        <f t="shared" si="210"/>
        <v>184.62184077734179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projet'!$B$15,Paramètres!$A$1:$I$88,3,0)*0.475*44/12</f>
        <v>0</v>
      </c>
      <c r="EW201" s="23">
        <f>EXP(-LN(2)/25)*EW200+(1-EXP(-LN(2)/25))/(LN(2)/25)*Calculateur!ER201*Calculateur!ET201*VLOOKUP('Données projet'!$B$15,Paramètres!$A$1:$I$88,3,0)*0.475*44/12</f>
        <v>0</v>
      </c>
      <c r="EX201" s="23">
        <f>EXP(-LN(2)/2)*EX200+(1-EXP(-LN(2)/2))/(LN(2)/2)*ER201*EU201*VLOOKUP('Données projet'!$B$15,Paramètres!$A$1:$I$88,3,0)*0.475*44/12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-5.1159076974727213E-13</v>
      </c>
      <c r="FF201" s="18">
        <f>FE201*VLOOKUP('Données projet'!$B$16,Paramètres!$A$1:$I$88,3,0)*VLOOKUP('Données projet'!$B$16,Paramètres!$A$1:$I$88,5,0)</f>
        <v>-4.9481059249956164E-13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456.96274622094955</v>
      </c>
      <c r="FK201" s="62">
        <f t="shared" si="211"/>
        <v>244.45149244446094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projet'!$B$16,Paramètres!$A$1:$I$88,3,0)*0.475*44/12</f>
        <v>0</v>
      </c>
      <c r="FR201" s="23">
        <f>EXP(-LN(2)/25)*FR200+(1-EXP(-LN(2)/25))/(LN(2)/25)*Calculateur!FM201*Calculateur!FO201*VLOOKUP('Données projet'!$B$16,Paramètres!$A$1:$I$88,3,0)*0.475*44/12</f>
        <v>0</v>
      </c>
      <c r="FS201" s="23">
        <f>EXP(-LN(2)/2)*FS200+(1-EXP(-LN(2)/2))/(LN(2)/2)*FM201*FP201*VLOOKUP('Données projet'!$B$16,Paramètres!$A$1:$I$88,3,0)*0.475*44/12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-5.1159076974727213E-13</v>
      </c>
      <c r="GA201" s="18">
        <f>FZ201*VLOOKUP('Données projet'!$B$17,Paramètres!$A$1:$I$88,3,0)*VLOOKUP('Données projet'!$B$17,Paramètres!$A$1:$I$88,5,0)</f>
        <v>-5.5067630455596371E-13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503.69304261527651</v>
      </c>
      <c r="GF201" s="62">
        <f t="shared" si="212"/>
        <v>267.2998309535638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projet'!$B$17,Paramètres!$A$1:$I$88,3,0)*0.475*44/12</f>
        <v>0</v>
      </c>
      <c r="GM201" s="23">
        <f>EXP(-LN(2)/25)*GM200+(1-EXP(-LN(2)/25))/(LN(2)/25)*Calculateur!GH201*Calculateur!GJ201*VLOOKUP('Données projet'!$B$17,Paramètres!$A$1:$I$88,3,0)*0.475*44/12</f>
        <v>0</v>
      </c>
      <c r="GN201" s="23">
        <f>EXP(-LN(2)/2)*GN200+(1-EXP(-LN(2)/2))/(LN(2)/2)*GH201*GK201*VLOOKUP('Données projet'!$B$17,Paramètres!$A$1:$I$88,3,0)*0.475*44/12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-3.979039320256561E-13</v>
      </c>
      <c r="GV201" s="18">
        <f>GU201*VLOOKUP('Données projet'!$B$18,Paramètres!$A$1:$I$88,3,0)*VLOOKUP('Données projet'!$B$18,Paramètres!$A$1:$I$88,5,0)</f>
        <v>-4.158891897532158E-13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582.89879210197682</v>
      </c>
      <c r="HA201" s="62">
        <f t="shared" si="213"/>
        <v>314.72094983133326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projet'!$B$18,Paramètres!$A$1:$I$88,3,0)*0.475*44/12</f>
        <v>0</v>
      </c>
      <c r="HH201" s="23">
        <f>EXP(-LN(2)/25)*HH200+(1-EXP(-LN(2)/25))/(LN(2)/25)*Calculateur!HC201*Calculateur!HE201*VLOOKUP('Données projet'!$B$18,Paramètres!$A$1:$I$88,3,0)*0.475*44/12</f>
        <v>0</v>
      </c>
      <c r="HI201" s="23">
        <f>EXP(-LN(2)/2)*HI200+(1-EXP(-LN(2)/2))/(LN(2)/2)*HC201*HF201*VLOOKUP('Données projet'!$B$18,Paramètres!$A$1:$I$88,3,0)*0.475*44/12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projet'!$B$9,Paramètres!$A$1:$I$88,3,0)*VLOOKUP('Données projet'!$B$9,Paramètres!$A$1:$I$88,5,0)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399.92909819003523</v>
      </c>
      <c r="T202" s="62">
        <f t="shared" si="204"/>
        <v>163.7053537268381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-3.979039320256561E-13</v>
      </c>
      <c r="AJ202" s="14">
        <f>AI202*VLOOKUP('Données projet'!$B$10,Paramètres!$A$1:$I$88,3,0)*VLOOKUP('Données projet'!$B$10,Paramètres!$A$1:$I$88,5,0)</f>
        <v>-3.6002347769681362E-13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510.56580450928806</v>
      </c>
      <c r="AO202" s="62">
        <f t="shared" si="205"/>
        <v>278.21741231699929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-5.1159076974727213E-13</v>
      </c>
      <c r="BE202" s="14">
        <f>BD202*VLOOKUP('Données projet'!$B$11,Paramètres!$A$1:$I$88,3,0)*VLOOKUP('Données projet'!$B$11,Paramètres!$A$1:$I$88,5,0)</f>
        <v>-4.8682977649150421E-13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525.51330555662139</v>
      </c>
      <c r="BJ202" s="62">
        <f t="shared" si="206"/>
        <v>357.72390083433635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1.7053025658242404E-13</v>
      </c>
      <c r="BZ202" s="14">
        <f>BY202*VLOOKUP('Données projet'!$B$12,Paramètres!$A$1:$I$88,3,0)*VLOOKUP('Données projet'!$B$12,Paramètres!$A$1:$I$88,5,0)</f>
        <v>1.0197709343628959E-13</v>
      </c>
      <c r="CA202" s="14">
        <f t="shared" si="170"/>
        <v>1.5284983994279675E-12</v>
      </c>
      <c r="CB202" s="22">
        <f t="shared" si="171"/>
        <v>2.839744816738581E-12</v>
      </c>
      <c r="CC202" s="62">
        <f t="shared" si="195"/>
        <v>293.33333333333616</v>
      </c>
      <c r="CD202" s="62">
        <f ca="1">AVERAGE(OFFSET($CC$3,0,0,'Données projet'!$E$12+1,1))-AVERAGE(OFFSET($H$3,0,0,'Données projet'!$E$12+1,1))</f>
        <v>227.46616726010473</v>
      </c>
      <c r="CE202" s="62">
        <f t="shared" si="207"/>
        <v>314.188568589113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4.2346295854436375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5.0817914026897037E-22</v>
      </c>
      <c r="CN202" s="24">
        <f t="shared" si="172"/>
        <v>4.2346295854436375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projet'!$B$13,Paramètres!$A$1:$I$88,3,0)*VLOOKUP('Données projet'!$B$13,Paramètres!$A$1:$I$88,5,0)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356.46794174556311</v>
      </c>
      <c r="CZ202" s="62">
        <f t="shared" si="208"/>
        <v>248.47107558211923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0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projet'!$B$14,Paramètres!$A$1:$I$88,3,0)*VLOOKUP('Données projet'!$B$14,Paramètres!$A$1:$I$88,5,0)</f>
        <v>6.3550942286383367E-14</v>
      </c>
      <c r="DQ202" s="14">
        <f t="shared" si="176"/>
        <v>1.0064464192543978E-12</v>
      </c>
      <c r="DR202" s="22">
        <f t="shared" si="177"/>
        <v>1.8635787380168604E-12</v>
      </c>
      <c r="DS202" s="62">
        <f t="shared" si="197"/>
        <v>293.33333333333519</v>
      </c>
      <c r="DT202" s="62">
        <f ca="1">AVERAGE(OFFSET($DS$3,0,0,'Données projet'!$E$14+1,1))-AVERAGE(OFFSET($H$3,0,0,'Données projet'!$E$14+1,1))</f>
        <v>397.04445188588369</v>
      </c>
      <c r="DU202" s="62">
        <f t="shared" si="209"/>
        <v>350.01856672839466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0.1765900677677309</v>
      </c>
      <c r="EB202" s="23">
        <f>EXP(-LN(2)/25)*EB201+(1-EXP(-LN(2)/25))/(LN(2)/25)*Calculateur!DW202*Calculateur!DY202*VLOOKUP('Données projet'!$B$14,Paramètres!$A$1:$I$88,3,0)*0.475*44/12</f>
        <v>0</v>
      </c>
      <c r="EC202" s="23">
        <f>EXP(-LN(2)/2)*EC201+(1-EXP(-LN(2)/2))/(LN(2)/2)*DW202*DZ202*VLOOKUP('Données projet'!$B$14,Paramètres!$A$1:$I$88,3,0)*0.475*44/12</f>
        <v>5.9231492878788749E-25</v>
      </c>
      <c r="ED202" s="24">
        <f t="shared" si="178"/>
        <v>0.1765900677677309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-1.9895196601282805E-13</v>
      </c>
      <c r="EK202" s="18">
        <f>EJ202*VLOOKUP('Données projet'!$B$15,Paramètres!$A$1:$I$88,3,0)*VLOOKUP('Données projet'!$B$15,Paramètres!$A$1:$I$88,5,0)</f>
        <v>-1.738044375088066E-13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202.5548390231225</v>
      </c>
      <c r="EP202" s="62">
        <f t="shared" si="210"/>
        <v>184.62184077734179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projet'!$B$15,Paramètres!$A$1:$I$88,3,0)*0.475*44/12</f>
        <v>0</v>
      </c>
      <c r="EW202" s="23">
        <f>EXP(-LN(2)/25)*EW201+(1-EXP(-LN(2)/25))/(LN(2)/25)*Calculateur!ER202*Calculateur!ET202*VLOOKUP('Données projet'!$B$15,Paramètres!$A$1:$I$88,3,0)*0.475*44/12</f>
        <v>0</v>
      </c>
      <c r="EX202" s="23">
        <f>EXP(-LN(2)/2)*EX201+(1-EXP(-LN(2)/2))/(LN(2)/2)*ER202*EU202*VLOOKUP('Données projet'!$B$15,Paramètres!$A$1:$I$88,3,0)*0.475*44/12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-5.1159076974727213E-13</v>
      </c>
      <c r="FF202" s="18">
        <f>FE202*VLOOKUP('Données projet'!$B$16,Paramètres!$A$1:$I$88,3,0)*VLOOKUP('Données projet'!$B$16,Paramètres!$A$1:$I$88,5,0)</f>
        <v>-4.9481059249956164E-13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456.96274622094955</v>
      </c>
      <c r="FK202" s="62">
        <f t="shared" si="211"/>
        <v>244.45149244446094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projet'!$B$16,Paramètres!$A$1:$I$88,3,0)*0.475*44/12</f>
        <v>0</v>
      </c>
      <c r="FR202" s="23">
        <f>EXP(-LN(2)/25)*FR201+(1-EXP(-LN(2)/25))/(LN(2)/25)*Calculateur!FM202*Calculateur!FO202*VLOOKUP('Données projet'!$B$16,Paramètres!$A$1:$I$88,3,0)*0.475*44/12</f>
        <v>0</v>
      </c>
      <c r="FS202" s="23">
        <f>EXP(-LN(2)/2)*FS201+(1-EXP(-LN(2)/2))/(LN(2)/2)*FM202*FP202*VLOOKUP('Données projet'!$B$16,Paramètres!$A$1:$I$88,3,0)*0.475*44/12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-5.1159076974727213E-13</v>
      </c>
      <c r="GA202" s="18">
        <f>FZ202*VLOOKUP('Données projet'!$B$17,Paramètres!$A$1:$I$88,3,0)*VLOOKUP('Données projet'!$B$17,Paramètres!$A$1:$I$88,5,0)</f>
        <v>-5.5067630455596371E-13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503.69304261527651</v>
      </c>
      <c r="GF202" s="62">
        <f t="shared" si="212"/>
        <v>267.2998309535638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projet'!$B$17,Paramètres!$A$1:$I$88,3,0)*0.475*44/12</f>
        <v>0</v>
      </c>
      <c r="GM202" s="23">
        <f>EXP(-LN(2)/25)*GM201+(1-EXP(-LN(2)/25))/(LN(2)/25)*Calculateur!GH202*Calculateur!GJ202*VLOOKUP('Données projet'!$B$17,Paramètres!$A$1:$I$88,3,0)*0.475*44/12</f>
        <v>0</v>
      </c>
      <c r="GN202" s="23">
        <f>EXP(-LN(2)/2)*GN201+(1-EXP(-LN(2)/2))/(LN(2)/2)*GH202*GK202*VLOOKUP('Données projet'!$B$17,Paramètres!$A$1:$I$88,3,0)*0.475*44/12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-3.979039320256561E-13</v>
      </c>
      <c r="GV202" s="18">
        <f>GU202*VLOOKUP('Données projet'!$B$18,Paramètres!$A$1:$I$88,3,0)*VLOOKUP('Données projet'!$B$18,Paramètres!$A$1:$I$88,5,0)</f>
        <v>-4.158891897532158E-13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582.89879210197682</v>
      </c>
      <c r="HA202" s="62">
        <f t="shared" si="213"/>
        <v>314.72094983133326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projet'!$B$18,Paramètres!$A$1:$I$88,3,0)*0.475*44/12</f>
        <v>0</v>
      </c>
      <c r="HH202" s="23">
        <f>EXP(-LN(2)/25)*HH201+(1-EXP(-LN(2)/25))/(LN(2)/25)*Calculateur!HC202*Calculateur!HE202*VLOOKUP('Données projet'!$B$18,Paramètres!$A$1:$I$88,3,0)*0.475*44/12</f>
        <v>0</v>
      </c>
      <c r="HI202" s="23">
        <f>EXP(-LN(2)/2)*HI201+(1-EXP(-LN(2)/2))/(LN(2)/2)*HC202*HF202*VLOOKUP('Données projet'!$B$18,Paramètres!$A$1:$I$88,3,0)*0.475*44/12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projet'!$B$9,Paramètres!$A$1:$I$88,3,0)*VLOOKUP('Données projet'!$B$9,Paramètres!$A$1:$I$88,5,0)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399.92909819003523</v>
      </c>
      <c r="T203" s="62">
        <f t="shared" si="204"/>
        <v>163.7053537268381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-3.979039320256561E-13</v>
      </c>
      <c r="AJ203" s="14">
        <f>AI203*VLOOKUP('Données projet'!$B$10,Paramètres!$A$1:$I$88,3,0)*VLOOKUP('Données projet'!$B$10,Paramètres!$A$1:$I$88,5,0)</f>
        <v>-3.6002347769681362E-13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510.56580450928806</v>
      </c>
      <c r="AO203" s="62">
        <f t="shared" si="205"/>
        <v>278.21741231699929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-5.1159076974727213E-13</v>
      </c>
      <c r="BE203" s="14">
        <f>BD203*VLOOKUP('Données projet'!$B$11,Paramètres!$A$1:$I$88,3,0)*VLOOKUP('Données projet'!$B$11,Paramètres!$A$1:$I$88,5,0)</f>
        <v>-4.8682977649150421E-13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525.51330555662139</v>
      </c>
      <c r="BJ203" s="62">
        <f t="shared" si="206"/>
        <v>357.72390083433635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1.7053025658242404E-13</v>
      </c>
      <c r="BZ203" s="14">
        <f>BY203*VLOOKUP('Données projet'!$B$12,Paramètres!$A$1:$I$88,3,0)*VLOOKUP('Données projet'!$B$12,Paramètres!$A$1:$I$88,5,0)</f>
        <v>1.0197709343628959E-13</v>
      </c>
      <c r="CA203" s="14">
        <f t="shared" si="170"/>
        <v>1.5284983994279675E-12</v>
      </c>
      <c r="CB203" s="22">
        <f t="shared" si="171"/>
        <v>2.839744816738581E-12</v>
      </c>
      <c r="CC203" s="62">
        <f t="shared" si="195"/>
        <v>293.33333333333616</v>
      </c>
      <c r="CD203" s="62">
        <f ca="1">AVERAGE(OFFSET($CC$3,0,0,'Données projet'!$E$12+1,1))-AVERAGE(OFFSET($H$3,0,0,'Données projet'!$E$12+1,1))</f>
        <v>227.46616726010473</v>
      </c>
      <c r="CE203" s="62">
        <f t="shared" si="207"/>
        <v>314.188568589113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4.1515910821420974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3.5933691614173868E-22</v>
      </c>
      <c r="CN203" s="24">
        <f t="shared" si="172"/>
        <v>4.1515910821420974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projet'!$B$13,Paramètres!$A$1:$I$88,3,0)*VLOOKUP('Données projet'!$B$13,Paramètres!$A$1:$I$88,5,0)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356.46794174556311</v>
      </c>
      <c r="CZ203" s="62">
        <f t="shared" si="208"/>
        <v>248.47107558211923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0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projet'!$B$14,Paramètres!$A$1:$I$88,3,0)*VLOOKUP('Données projet'!$B$14,Paramètres!$A$1:$I$88,5,0)</f>
        <v>6.3550942286383367E-14</v>
      </c>
      <c r="DQ203" s="14">
        <f t="shared" si="176"/>
        <v>1.0064464192543978E-12</v>
      </c>
      <c r="DR203" s="22">
        <f t="shared" si="177"/>
        <v>1.8635787380168604E-12</v>
      </c>
      <c r="DS203" s="62">
        <f t="shared" si="197"/>
        <v>293.33333333333519</v>
      </c>
      <c r="DT203" s="62">
        <f ca="1">AVERAGE(OFFSET($DS$3,0,0,'Données projet'!$E$14+1,1))-AVERAGE(OFFSET($H$3,0,0,'Données projet'!$E$14+1,1))</f>
        <v>397.04445188588369</v>
      </c>
      <c r="DU203" s="62">
        <f t="shared" si="209"/>
        <v>350.01856672839466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0.17312724424811163</v>
      </c>
      <c r="EB203" s="23">
        <f>EXP(-LN(2)/25)*EB202+(1-EXP(-LN(2)/25))/(LN(2)/25)*Calculateur!DW203*Calculateur!DY203*VLOOKUP('Données projet'!$B$14,Paramètres!$A$1:$I$88,3,0)*0.475*44/12</f>
        <v>0</v>
      </c>
      <c r="EC203" s="23">
        <f>EXP(-LN(2)/2)*EC202+(1-EXP(-LN(2)/2))/(LN(2)/2)*DW203*DZ203*VLOOKUP('Données projet'!$B$14,Paramètres!$A$1:$I$88,3,0)*0.475*44/12</f>
        <v>4.1882990274394224E-25</v>
      </c>
      <c r="ED203" s="24">
        <f t="shared" si="178"/>
        <v>0.17312724424811163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-1.9895196601282805E-13</v>
      </c>
      <c r="EK203" s="18">
        <f>EJ203*VLOOKUP('Données projet'!$B$15,Paramètres!$A$1:$I$88,3,0)*VLOOKUP('Données projet'!$B$15,Paramètres!$A$1:$I$88,5,0)</f>
        <v>-1.738044375088066E-13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202.5548390231225</v>
      </c>
      <c r="EP203" s="62">
        <f t="shared" si="210"/>
        <v>184.62184077734179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projet'!$B$15,Paramètres!$A$1:$I$88,3,0)*0.475*44/12</f>
        <v>0</v>
      </c>
      <c r="EW203" s="23">
        <f>EXP(-LN(2)/25)*EW202+(1-EXP(-LN(2)/25))/(LN(2)/25)*Calculateur!ER203*Calculateur!ET203*VLOOKUP('Données projet'!$B$15,Paramètres!$A$1:$I$88,3,0)*0.475*44/12</f>
        <v>0</v>
      </c>
      <c r="EX203" s="23">
        <f>EXP(-LN(2)/2)*EX202+(1-EXP(-LN(2)/2))/(LN(2)/2)*ER203*EU203*VLOOKUP('Données projet'!$B$15,Paramètres!$A$1:$I$88,3,0)*0.475*44/12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-5.1159076974727213E-13</v>
      </c>
      <c r="FF203" s="18">
        <f>FE203*VLOOKUP('Données projet'!$B$16,Paramètres!$A$1:$I$88,3,0)*VLOOKUP('Données projet'!$B$16,Paramètres!$A$1:$I$88,5,0)</f>
        <v>-4.9481059249956164E-13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456.96274622094955</v>
      </c>
      <c r="FK203" s="62">
        <f t="shared" si="211"/>
        <v>244.45149244446094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projet'!$B$16,Paramètres!$A$1:$I$88,3,0)*0.475*44/12</f>
        <v>0</v>
      </c>
      <c r="FR203" s="23">
        <f>EXP(-LN(2)/25)*FR202+(1-EXP(-LN(2)/25))/(LN(2)/25)*Calculateur!FM203*Calculateur!FO203*VLOOKUP('Données projet'!$B$16,Paramètres!$A$1:$I$88,3,0)*0.475*44/12</f>
        <v>0</v>
      </c>
      <c r="FS203" s="23">
        <f>EXP(-LN(2)/2)*FS202+(1-EXP(-LN(2)/2))/(LN(2)/2)*FM203*FP203*VLOOKUP('Données projet'!$B$16,Paramètres!$A$1:$I$88,3,0)*0.475*44/12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-5.1159076974727213E-13</v>
      </c>
      <c r="GA203" s="18">
        <f>FZ203*VLOOKUP('Données projet'!$B$17,Paramètres!$A$1:$I$88,3,0)*VLOOKUP('Données projet'!$B$17,Paramètres!$A$1:$I$88,5,0)</f>
        <v>-5.5067630455596371E-13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503.69304261527651</v>
      </c>
      <c r="GF203" s="62">
        <f t="shared" si="212"/>
        <v>267.2998309535638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projet'!$B$17,Paramètres!$A$1:$I$88,3,0)*0.475*44/12</f>
        <v>0</v>
      </c>
      <c r="GM203" s="23">
        <f>EXP(-LN(2)/25)*GM202+(1-EXP(-LN(2)/25))/(LN(2)/25)*Calculateur!GH203*Calculateur!GJ203*VLOOKUP('Données projet'!$B$17,Paramètres!$A$1:$I$88,3,0)*0.475*44/12</f>
        <v>0</v>
      </c>
      <c r="GN203" s="23">
        <f>EXP(-LN(2)/2)*GN202+(1-EXP(-LN(2)/2))/(LN(2)/2)*GH203*GK203*VLOOKUP('Données projet'!$B$17,Paramètres!$A$1:$I$88,3,0)*0.475*44/12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-3.979039320256561E-13</v>
      </c>
      <c r="GV203" s="18">
        <f>GU203*VLOOKUP('Données projet'!$B$18,Paramètres!$A$1:$I$88,3,0)*VLOOKUP('Données projet'!$B$18,Paramètres!$A$1:$I$88,5,0)</f>
        <v>-4.158891897532158E-13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582.89879210197682</v>
      </c>
      <c r="HA203" s="62">
        <f t="shared" si="213"/>
        <v>314.72094983133326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projet'!$B$18,Paramètres!$A$1:$I$88,3,0)*0.475*44/12</f>
        <v>0</v>
      </c>
      <c r="HH203" s="23">
        <f>EXP(-LN(2)/25)*HH202+(1-EXP(-LN(2)/25))/(LN(2)/25)*Calculateur!HC203*Calculateur!HE203*VLOOKUP('Données projet'!$B$18,Paramètres!$A$1:$I$88,3,0)*0.475*44/12</f>
        <v>0</v>
      </c>
      <c r="HI203" s="23">
        <f>EXP(-LN(2)/2)*HI202+(1-EXP(-LN(2)/2))/(LN(2)/2)*HC203*HF203*VLOOKUP('Données projet'!$B$18,Paramètres!$A$1:$I$88,3,0)*0.475*44/12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1.1812937373976771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1.2582929395612836</v>
      </c>
      <c r="BV205" s="88">
        <f>EXP(LN('Données projet'!B114)/'Données projet'!A114)</f>
        <v>1.3566516392624868</v>
      </c>
      <c r="CQ205" s="88">
        <f>EXP(LN('Données projet'!B140)/'Données projet'!A140)</f>
        <v>1.2195888395871217</v>
      </c>
      <c r="DL205" s="88">
        <f>EXP(LN('Données projet'!B166)/'Données projet'!A166)</f>
        <v>1.289976715395158</v>
      </c>
      <c r="EG205" s="88">
        <f>EXP(LN('Données projet'!B192)/'Données projet'!A192)</f>
        <v>1.1564385340088972</v>
      </c>
      <c r="FB205" s="88">
        <f>EXP(LN('Données projet'!B218)/'Données projet'!A218)</f>
        <v>1.2054868146447177</v>
      </c>
      <c r="FW205" s="88">
        <f>EXP(LN('Données projet'!B244)/'Données projet'!A244)</f>
        <v>1.2054868146447177</v>
      </c>
      <c r="GR205" s="88">
        <f>EXP(LN('Données projet'!B270)/'Données projet'!A270)</f>
        <v>1.2392705892426346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25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.75" thickBot="1" x14ac:dyDescent="0.3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.75" thickBot="1" x14ac:dyDescent="0.3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25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25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25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.75" thickBot="1" x14ac:dyDescent="0.3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.75" thickBot="1" x14ac:dyDescent="0.3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25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.75" thickBot="1" x14ac:dyDescent="0.3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25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25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25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25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25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25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25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25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25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25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25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25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25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25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25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25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25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25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25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25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25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25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25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25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25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25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25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25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25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25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25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25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25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25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25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25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25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25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25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25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25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25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25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25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25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25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25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25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25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25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25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25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25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25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25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25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25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25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25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25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25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25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25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25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25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25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25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25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25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25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25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25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25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25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25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25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.75" thickBot="1" x14ac:dyDescent="0.3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25">
      <c r="A92" s="132" t="s">
        <v>208</v>
      </c>
    </row>
    <row r="93" spans="1:14" x14ac:dyDescent="0.25">
      <c r="A93" s="132" t="s">
        <v>209</v>
      </c>
    </row>
    <row r="94" spans="1:14" x14ac:dyDescent="0.25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J7" workbookViewId="0">
      <selection activeCell="D19" sqref="D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5" t="str">
        <f>IF('Données projet'!$B$9="","",'Données projet'!$B$9)</f>
        <v>Cèdre de l'Atlas</v>
      </c>
      <c r="B6" s="156">
        <f>'Données projet'!D9</f>
        <v>1.729452</v>
      </c>
      <c r="C6" s="157">
        <f ca="1">IF(OR('Données projet'!B9="",'Données projet'!C9="",'Données projet'!C9=0%),0,Calculateur!S3)</f>
        <v>399.92909819003523</v>
      </c>
      <c r="D6" s="157">
        <f>IF(OR('Données projet'!B9="",'Données projet'!C9="",'Données projet'!C9=0%),0,Calculateur!T3)</f>
        <v>163.7053537268381</v>
      </c>
      <c r="E6" s="157">
        <f ca="1">MIN(C6,D6)</f>
        <v>163.7053537268381</v>
      </c>
      <c r="F6" s="157">
        <f ca="1">E6*B6</f>
        <v>283.12055141358758</v>
      </c>
      <c r="G6" s="157">
        <f ca="1">F6*(100%-'Données projet'!$C$24)*(100%-'Données projet'!$C$25)*(100%-'Données projet'!$C$26)*(100%-'Données projet'!$C$27)</f>
        <v>254.80849627222884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0</v>
      </c>
      <c r="K6" s="161">
        <f>J6*(100%-'Données projet'!$C$24)*(100%-'Données projet'!$C$25)*(100%-'Données projet'!$C$26)*(100%-'Données projet'!$C$27)</f>
        <v>0</v>
      </c>
      <c r="L6" s="162">
        <f ca="1">G6+I6+K6</f>
        <v>254.80849627222884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3" t="str">
        <f>IF('Données projet'!$B$10="","",'Données projet'!$B$10)</f>
        <v>Chêne sessile</v>
      </c>
      <c r="B7" s="164">
        <f>'Données projet'!D10</f>
        <v>2.4639180000000001</v>
      </c>
      <c r="C7" s="157">
        <f ca="1">IF(OR('Données projet'!B10="",'Données projet'!C10="",'Données projet'!C10=0%),0,Calculateur!AN3)</f>
        <v>510.56580450928806</v>
      </c>
      <c r="D7" s="157">
        <f>IF(OR('Données projet'!B10="",'Données projet'!C10="",'Données projet'!C10=0%),0,Calculateur!AO3)</f>
        <v>278.21741231699929</v>
      </c>
      <c r="E7" s="157">
        <f t="shared" ref="E7:E15" ca="1" si="0">MIN(C7,D7)</f>
        <v>278.21741231699929</v>
      </c>
      <c r="F7" s="157">
        <f t="shared" ref="F7:F15" ca="1" si="1">E7*B7</f>
        <v>685.50489012127628</v>
      </c>
      <c r="G7" s="157">
        <f ca="1">F7*(100%-'Données projet'!$C$24)*(100%-'Données projet'!$C$25)*(100%-'Données projet'!$C$26)*(100%-'Données projet'!$C$27)</f>
        <v>616.95440110914865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20.943303</v>
      </c>
      <c r="K7" s="161">
        <f>J7*(100%-'Données projet'!$C$24)*(100%-'Données projet'!$C$25)*(100%-'Données projet'!$C$26)*(100%-'Données projet'!$C$27)</f>
        <v>18.848972700000001</v>
      </c>
      <c r="L7" s="162">
        <f t="shared" ref="L7:L15" ca="1" si="2">G7+I7+K7</f>
        <v>635.80337380914864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3" t="str">
        <f>IF('Données projet'!$B$11="","",'Données projet'!$B$11)</f>
        <v>Charme</v>
      </c>
      <c r="B8" s="164">
        <f>'Données projet'!D11</f>
        <v>1.910814</v>
      </c>
      <c r="C8" s="157">
        <f ca="1">IF(OR('Données projet'!B11="",'Données projet'!C11="",'Données projet'!C11=0%),0,Calculateur!BI3)</f>
        <v>525.51330555662139</v>
      </c>
      <c r="D8" s="157">
        <f>IF(OR('Données projet'!B11="",'Données projet'!C11="",'Données projet'!C11=0%),0,Calculateur!BJ3)</f>
        <v>357.72390083433635</v>
      </c>
      <c r="E8" s="157">
        <f t="shared" ca="1" si="0"/>
        <v>357.72390083433635</v>
      </c>
      <c r="F8" s="157">
        <f t="shared" ca="1" si="1"/>
        <v>683.54383784886159</v>
      </c>
      <c r="G8" s="157">
        <f ca="1">F8*(100%-'Données projet'!$C$24)*(100%-'Données projet'!$C$25)*(100%-'Données projet'!$C$26)*(100%-'Données projet'!$C$27)</f>
        <v>615.1894540639754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20.063547</v>
      </c>
      <c r="K8" s="161">
        <f>J8*(100%-'Données projet'!$C$24)*(100%-'Données projet'!$C$25)*(100%-'Données projet'!$C$26)*(100%-'Données projet'!$C$27)</f>
        <v>18.057192300000001</v>
      </c>
      <c r="L8" s="162">
        <f t="shared" ca="1" si="2"/>
        <v>633.2466463639754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3" t="str">
        <f>IF('Données projet'!$B$12="","",'Données projet'!$B$12)</f>
        <v>Pin maritime</v>
      </c>
      <c r="B9" s="164">
        <f>'Données projet'!D12</f>
        <v>0.29959799999999998</v>
      </c>
      <c r="C9" s="157">
        <f ca="1">IF(OR('Données projet'!B12="",'Données projet'!C12="",'Données projet'!C12=0%),0,Calculateur!CD3)</f>
        <v>227.46616726010473</v>
      </c>
      <c r="D9" s="157">
        <f>IF(OR('Données projet'!B12="",'Données projet'!C12="",'Données projet'!C12=0%),0,Calculateur!CE3)</f>
        <v>314.188568589113</v>
      </c>
      <c r="E9" s="157">
        <f t="shared" ca="1" si="0"/>
        <v>227.46616726010473</v>
      </c>
      <c r="F9" s="157">
        <f t="shared" ca="1" si="1"/>
        <v>68.148408778792856</v>
      </c>
      <c r="G9" s="157">
        <f ca="1">F9*(100%-'Données projet'!$C$24)*(100%-'Données projet'!$C$25)*(100%-'Données projet'!$C$26)*(100%-'Données projet'!$C$27)</f>
        <v>61.333567900913572</v>
      </c>
      <c r="H9" s="165">
        <f>IF(OR('Données projet'!B12="",'Données projet'!C12="",'Données projet'!C12=0%),0,AVERAGE(Calculateur!$CN$3:$CN$33)*B9)</f>
        <v>2.238321444755663</v>
      </c>
      <c r="I9" s="159">
        <f>H9*(100%-'Données projet'!$C$24)*(100%-'Données projet'!$C$25)*(100%-'Données projet'!$C$26)*(100%-'Données projet'!$C$27)</f>
        <v>2.0144893002800965</v>
      </c>
      <c r="J9" s="160">
        <f>IF(OR('Données projet'!B12="",'Données projet'!C12="",'Données projet'!C12=0%),0,SUM(Calculateur!$CG$3:$CG$33)*VLOOKUP('Données projet'!$B$12,Paramètres!$A$1:$I$88,9,0)*B9)</f>
        <v>19.779759557999999</v>
      </c>
      <c r="K9" s="161">
        <f>J9*(100%-'Données projet'!$C$24)*(100%-'Données projet'!$C$25)*(100%-'Données projet'!$C$26)*(100%-'Données projet'!$C$27)</f>
        <v>17.8017836022</v>
      </c>
      <c r="L9" s="162">
        <f t="shared" ca="1" si="2"/>
        <v>81.149840803393673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3" t="str">
        <f>IF('Données projet'!$B$13="","",'Données projet'!$B$13)</f>
        <v>Pin laricio</v>
      </c>
      <c r="B10" s="164">
        <f>'Données projet'!D13</f>
        <v>1.100196</v>
      </c>
      <c r="C10" s="157">
        <f ca="1">IF(OR('Données projet'!B13="",'Données projet'!C13="",'Données projet'!C13=0%),0,Calculateur!CY3)</f>
        <v>356.46794174556311</v>
      </c>
      <c r="D10" s="157">
        <f>IF(OR('Données projet'!B13="",'Données projet'!C13="",'Données projet'!C13=0%),0,Calculateur!CZ3)</f>
        <v>248.47107558211923</v>
      </c>
      <c r="E10" s="157">
        <f t="shared" ca="1" si="0"/>
        <v>248.47107558211923</v>
      </c>
      <c r="F10" s="157">
        <f t="shared" ca="1" si="1"/>
        <v>273.36688347114523</v>
      </c>
      <c r="G10" s="157">
        <f ca="1">F10*(100%-'Données projet'!$C$24)*(100%-'Données projet'!$C$25)*(100%-'Données projet'!$C$26)*(100%-'Données projet'!$C$27)</f>
        <v>246.03019512403071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15.611781239999999</v>
      </c>
      <c r="K10" s="161">
        <f>J10*(100%-'Données projet'!$C$24)*(100%-'Données projet'!$C$25)*(100%-'Données projet'!$C$26)*(100%-'Données projet'!$C$27)</f>
        <v>14.050603116</v>
      </c>
      <c r="L10" s="162">
        <f t="shared" ca="1" si="2"/>
        <v>260.08079824003073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3" t="str">
        <f>IF('Données projet'!$B$14="","",'Données projet'!$B$14)</f>
        <v>Douglas</v>
      </c>
      <c r="B11" s="164">
        <f>'Données projet'!D14</f>
        <v>0.64829399999999993</v>
      </c>
      <c r="C11" s="157">
        <f ca="1">IF(OR('Données projet'!B14="",'Données projet'!C14="",'Données projet'!C14=0%),0,Calculateur!DT3)</f>
        <v>397.04445188588369</v>
      </c>
      <c r="D11" s="157">
        <f>IF(OR('Données projet'!B14="",'Données projet'!C14="",'Données projet'!C14=0%),0,Calculateur!DU3)</f>
        <v>350.01856672839466</v>
      </c>
      <c r="E11" s="157">
        <f t="shared" ca="1" si="0"/>
        <v>350.01856672839466</v>
      </c>
      <c r="F11" s="157">
        <f t="shared" ca="1" si="1"/>
        <v>226.91493669861785</v>
      </c>
      <c r="G11" s="157">
        <f ca="1">F11*(100%-'Données projet'!$C$24)*(100%-'Données projet'!$C$25)*(100%-'Données projet'!$C$26)*(100%-'Données projet'!$C$27)</f>
        <v>204.22344302875607</v>
      </c>
      <c r="H11" s="165">
        <f>IF(OR('Données projet'!B14="",'Données projet'!C14="",'Données projet'!C14=0%),0,AVERAGE(Calculateur!$ED$3:$ED$33)*B11)</f>
        <v>1.8168666399401749</v>
      </c>
      <c r="I11" s="159">
        <f>H11*(100%-'Données projet'!$C$24)*(100%-'Données projet'!$C$25)*(100%-'Données projet'!$C$26)*(100%-'Données projet'!$C$27)</f>
        <v>1.6351799759461574</v>
      </c>
      <c r="J11" s="160">
        <f>IF(OR('Données projet'!B14="",'Données projet'!C14="",'Données projet'!C14=0%),0,SUM(Calculateur!$DW$3:$DW$33)*VLOOKUP('Données projet'!$B$14,Paramètres!$A$1:$I$88,9,0)*B11)</f>
        <v>17.841050879999997</v>
      </c>
      <c r="K11" s="161">
        <f>J11*(100%-'Données projet'!$C$24)*(100%-'Données projet'!$C$25)*(100%-'Données projet'!$C$26)*(100%-'Données projet'!$C$27)</f>
        <v>16.056945791999997</v>
      </c>
      <c r="L11" s="162">
        <f t="shared" ca="1" si="2"/>
        <v>221.91556879670222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3" t="str">
        <f>IF('Données projet'!$B$15="","",'Données projet'!$B$15)</f>
        <v>Erable champêtre</v>
      </c>
      <c r="B12" s="164">
        <f>'Données projet'!D15</f>
        <v>0.78456599999999987</v>
      </c>
      <c r="C12" s="157">
        <f ca="1">IF(OR('Données projet'!B15="",'Données projet'!C15="",'Données projet'!C15=0%),0,Calculateur!EO3)</f>
        <v>202.5548390231225</v>
      </c>
      <c r="D12" s="157">
        <f>IF(OR('Données projet'!B15="",'Données projet'!C15="",'Données projet'!C15=0%),0,Calculateur!EP3)</f>
        <v>184.62184077734179</v>
      </c>
      <c r="E12" s="157">
        <f t="shared" ca="1" si="0"/>
        <v>184.62184077734179</v>
      </c>
      <c r="F12" s="157">
        <f t="shared" ca="1" si="1"/>
        <v>144.84801913131591</v>
      </c>
      <c r="G12" s="157">
        <f ca="1">F12*(100%-'Données projet'!$C$24)*(100%-'Données projet'!$C$25)*(100%-'Données projet'!$C$26)*(100%-'Données projet'!$C$27)</f>
        <v>130.36321721818433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3.3932479499999997</v>
      </c>
      <c r="K12" s="161">
        <f>J12*(100%-'Données projet'!$C$24)*(100%-'Données projet'!$C$25)*(100%-'Données projet'!$C$26)*(100%-'Données projet'!$C$27)</f>
        <v>3.0539231549999997</v>
      </c>
      <c r="L12" s="162">
        <f t="shared" ca="1" si="2"/>
        <v>133.41714037318434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3" t="str">
        <f>IF('Données projet'!$B$16="","",'Données projet'!$B$16)</f>
        <v>Alisier torminal</v>
      </c>
      <c r="B13" s="164">
        <f>'Données projet'!D16</f>
        <v>7.5149999999999995E-2</v>
      </c>
      <c r="C13" s="157">
        <f ca="1">IF(OR('Données projet'!B16="",'Données projet'!C16="",'Données projet'!C16=0%),0,Calculateur!FJ3)</f>
        <v>456.96274622094955</v>
      </c>
      <c r="D13" s="157">
        <f>IF(OR('Données projet'!B16="",'Données projet'!C16="",'Données projet'!C16=0%),0,Calculateur!FK3)</f>
        <v>244.45149244446094</v>
      </c>
      <c r="E13" s="157">
        <f t="shared" ca="1" si="0"/>
        <v>244.45149244446094</v>
      </c>
      <c r="F13" s="157">
        <f t="shared" ca="1" si="1"/>
        <v>18.370529657201239</v>
      </c>
      <c r="G13" s="157">
        <f ca="1">F13*(100%-'Données projet'!$C$24)*(100%-'Données projet'!$C$25)*(100%-'Données projet'!$C$26)*(100%-'Données projet'!$C$27)</f>
        <v>16.533476691481116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0.15029999999999999</v>
      </c>
      <c r="K13" s="161">
        <f>J13*(100%-'Données projet'!$C$24)*(100%-'Données projet'!$C$25)*(100%-'Données projet'!$C$26)*(100%-'Données projet'!$C$27)</f>
        <v>0.13527</v>
      </c>
      <c r="L13" s="162">
        <f t="shared" ca="1" si="2"/>
        <v>16.668746691481115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3" t="str">
        <f>IF('Données projet'!$B$17="","",'Données projet'!$B$17)</f>
        <v>Cormier</v>
      </c>
      <c r="B14" s="164">
        <f>'Données projet'!D17</f>
        <v>7.5149999999999995E-2</v>
      </c>
      <c r="C14" s="157">
        <f ca="1">IF(OR('Données projet'!B17="",'Données projet'!C17="",'Données projet'!C17=0%),0,Calculateur!GE3)</f>
        <v>503.69304261527651</v>
      </c>
      <c r="D14" s="157">
        <f>IF(OR('Données projet'!B17="",'Données projet'!C17="",'Données projet'!C17=0%),0,Calculateur!GF3)</f>
        <v>267.2998309535638</v>
      </c>
      <c r="E14" s="157">
        <f t="shared" ca="1" si="0"/>
        <v>267.2998309535638</v>
      </c>
      <c r="F14" s="157">
        <f t="shared" ca="1" si="1"/>
        <v>20.087582296160317</v>
      </c>
      <c r="G14" s="157">
        <f ca="1">F14*(100%-'Données projet'!$C$24)*(100%-'Données projet'!$C$25)*(100%-'Données projet'!$C$26)*(100%-'Données projet'!$C$27)</f>
        <v>18.078824066544286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0.15029999999999999</v>
      </c>
      <c r="K14" s="161">
        <f>J14*(100%-'Données projet'!$C$24)*(100%-'Données projet'!$C$25)*(100%-'Données projet'!$C$26)*(100%-'Données projet'!$C$27)</f>
        <v>0.13527</v>
      </c>
      <c r="L14" s="162">
        <f t="shared" ca="1" si="2"/>
        <v>18.214094066544284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6" t="str">
        <f>IF('Données projet'!B18="","",'Données projet'!B18)</f>
        <v>Chêne chevelu</v>
      </c>
      <c r="B15" s="167">
        <f>'Données projet'!D18</f>
        <v>0.29959799999999998</v>
      </c>
      <c r="C15" s="168">
        <f ca="1">IF(OR('Données projet'!B18="",'Données projet'!C18="",'Données projet'!C18=0%),0,Calculateur!GZ3)</f>
        <v>582.89879210197682</v>
      </c>
      <c r="D15" s="168">
        <f>IF(OR('Données projet'!B18="",'Données projet'!C18="",'Données projet'!C18=0%),0,Calculateur!HA3)</f>
        <v>314.72094983133326</v>
      </c>
      <c r="E15" s="168">
        <f t="shared" ca="1" si="0"/>
        <v>314.72094983133326</v>
      </c>
      <c r="F15" s="169">
        <f t="shared" ca="1" si="1"/>
        <v>94.289767127567771</v>
      </c>
      <c r="G15" s="169">
        <f ca="1">F15*(100%-'Données projet'!$C$24)*(100%-'Données projet'!$C$25)*(100%-'Données projet'!$C$26)*(100%-'Données projet'!$C$27)</f>
        <v>84.860790414810992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2.5465829999999996</v>
      </c>
      <c r="K15" s="173">
        <f>J15*(100%-'Données projet'!$C$24)*(100%-'Données projet'!$C$25)*(100%-'Données projet'!$C$26)*(100%-'Données projet'!$C$27)</f>
        <v>2.2919246999999996</v>
      </c>
      <c r="L15" s="174">
        <f t="shared" ca="1" si="2"/>
        <v>87.152715114810988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37"/>
      <c r="B16" s="247"/>
      <c r="C16" s="248"/>
      <c r="D16" s="25"/>
      <c r="E16" s="25"/>
      <c r="F16" s="175">
        <f t="shared" ref="F16:L16" ca="1" si="3">SUM(F6:F15)</f>
        <v>2498.1954065445266</v>
      </c>
      <c r="G16" s="176">
        <f t="shared" ca="1" si="3"/>
        <v>2248.3758658900742</v>
      </c>
      <c r="H16" s="177">
        <f t="shared" si="3"/>
        <v>4.0551880846958381</v>
      </c>
      <c r="I16" s="177">
        <f t="shared" si="3"/>
        <v>3.6496692762262537</v>
      </c>
      <c r="J16" s="178">
        <f t="shared" si="3"/>
        <v>100.479872628</v>
      </c>
      <c r="K16" s="178">
        <f t="shared" si="3"/>
        <v>90.431885365200017</v>
      </c>
      <c r="L16" s="179">
        <f t="shared" ca="1" si="3"/>
        <v>2342.4574205315007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80" t="str">
        <f>A6</f>
        <v>Cèdre de l'Atlas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80" t="str">
        <f>A7</f>
        <v>Chêne sessile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80" t="str">
        <f>A8</f>
        <v>Charme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80" t="str">
        <f>A9</f>
        <v>Pin maritime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80" t="str">
        <f>A10</f>
        <v>Pin laricio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80" t="str">
        <f>A11</f>
        <v>Douglas</v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80" t="str">
        <f>A12</f>
        <v>Erable champêtre</v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80" t="str">
        <f>A13</f>
        <v>Alisier torminal</v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80" t="str">
        <f>A14</f>
        <v>Cormier</v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80" t="str">
        <f>A15</f>
        <v>Chêne chevelu</v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I8" zoomScale="85" zoomScaleNormal="85" workbookViewId="0">
      <selection activeCell="J13" sqref="J1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3" customWidth="1"/>
    <col min="7" max="7" width="11.42578125" style="3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45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25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25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25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.25" x14ac:dyDescent="0.4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25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v>4294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25"/>
      <c r="B13" s="25"/>
      <c r="C13" s="25"/>
      <c r="D13" s="25"/>
      <c r="E13" s="25"/>
      <c r="F13" s="234"/>
      <c r="G13" s="243"/>
      <c r="H13" s="25"/>
      <c r="I13" s="207"/>
      <c r="J13" s="208"/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25"/>
      <c r="B14" s="25"/>
      <c r="C14" s="25"/>
      <c r="D14" s="25"/>
      <c r="E14" s="25"/>
      <c r="F14" s="234"/>
      <c r="G14" s="243"/>
      <c r="H14" s="25"/>
      <c r="I14" s="207"/>
      <c r="J14" s="208"/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25"/>
      <c r="B15" s="25"/>
      <c r="C15" s="25"/>
      <c r="D15" s="25"/>
      <c r="E15" s="25"/>
      <c r="F15" s="234"/>
      <c r="G15" s="243"/>
      <c r="H15" s="25"/>
      <c r="I15" s="207"/>
      <c r="J15" s="208"/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25"/>
      <c r="B16" s="25"/>
      <c r="C16" s="25"/>
      <c r="D16" s="25"/>
      <c r="E16" s="25"/>
      <c r="F16" s="234"/>
      <c r="G16" s="243"/>
      <c r="H16" s="25"/>
      <c r="I16" s="207"/>
      <c r="J16" s="208"/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5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49" t="s">
        <v>165</v>
      </c>
      <c r="B18" s="189" t="str">
        <f>IF('Données projet'!$B$9="","",'Données projet'!$B$9)</f>
        <v>Cèdre de l'Atlas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5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Cèdre de l'Atlas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1804.5384800045708</v>
      </c>
      <c r="K20" s="193">
        <f>'Données projet'!D9</f>
        <v>1.729452</v>
      </c>
      <c r="L20" s="192">
        <f>K20*J20</f>
        <v>3120.862683320865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25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>Chêne sessile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991.35517488469088</v>
      </c>
      <c r="K21" s="193">
        <f>'Données projet'!D10</f>
        <v>2.4639180000000001</v>
      </c>
      <c r="L21" s="192">
        <f t="shared" ref="L21:L29" si="0">K21*J21</f>
        <v>2442.6178597915377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195">
        <f>'Données projet'!A36</f>
        <v>20</v>
      </c>
      <c r="B22" s="196">
        <f>'Données projet'!D36</f>
        <v>0</v>
      </c>
      <c r="C22" s="210"/>
      <c r="D22" s="197">
        <f>B22*C22</f>
        <v>0</v>
      </c>
      <c r="E22" s="210"/>
      <c r="F22" s="218"/>
      <c r="G22" s="227"/>
      <c r="H22" s="25"/>
      <c r="I22" s="188" t="str">
        <f>B70</f>
        <v>Charme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549.77264862921652</v>
      </c>
      <c r="K22" s="193">
        <f>'Données projet'!D11</f>
        <v>1.910814</v>
      </c>
      <c r="L22" s="192">
        <f t="shared" si="0"/>
        <v>1050.5132738177876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195">
        <f>'Données projet'!A37</f>
        <v>30</v>
      </c>
      <c r="B23" s="196">
        <f>'Données projet'!D37</f>
        <v>0</v>
      </c>
      <c r="C23" s="210"/>
      <c r="D23" s="197">
        <f t="shared" ref="D23:D41" si="1">B23*C23</f>
        <v>0</v>
      </c>
      <c r="E23" s="210"/>
      <c r="F23" s="219"/>
      <c r="G23" s="227"/>
      <c r="H23" s="25"/>
      <c r="I23" s="188" t="str">
        <f>B96</f>
        <v>Pin maritime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3714.926795174697</v>
      </c>
      <c r="K23" s="193">
        <f>'Données projet'!D12</f>
        <v>0.29959799999999998</v>
      </c>
      <c r="L23" s="192">
        <f t="shared" si="0"/>
        <v>1112.9846379807489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25">
      <c r="A24" s="195">
        <f>'Données projet'!A38</f>
        <v>40</v>
      </c>
      <c r="B24" s="196">
        <f>'Données projet'!D38</f>
        <v>91</v>
      </c>
      <c r="C24" s="210">
        <v>10</v>
      </c>
      <c r="D24" s="197">
        <f t="shared" si="1"/>
        <v>910</v>
      </c>
      <c r="E24" s="210"/>
      <c r="F24" s="219"/>
      <c r="G24" s="227"/>
      <c r="H24" s="25"/>
      <c r="I24" s="188" t="str">
        <f>B122</f>
        <v>Pin laricio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1532.0148063954307</v>
      </c>
      <c r="K24" s="193">
        <f>'Données projet'!D13</f>
        <v>1.100196</v>
      </c>
      <c r="L24" s="192">
        <f t="shared" si="0"/>
        <v>1685.5165619370273</v>
      </c>
      <c r="M24" s="25"/>
      <c r="N24" s="186"/>
      <c r="O24" s="312" t="s">
        <v>286</v>
      </c>
      <c r="P24" s="312"/>
      <c r="Q24" s="312"/>
      <c r="R24" s="312"/>
      <c r="S24" s="312"/>
      <c r="T24" s="209">
        <v>150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25">
      <c r="A25" s="195">
        <f>'Données projet'!A39</f>
        <v>50</v>
      </c>
      <c r="B25" s="196">
        <f>'Données projet'!D39</f>
        <v>91</v>
      </c>
      <c r="C25" s="210">
        <v>20</v>
      </c>
      <c r="D25" s="197">
        <f t="shared" si="1"/>
        <v>1820</v>
      </c>
      <c r="E25" s="210"/>
      <c r="F25" s="219"/>
      <c r="G25" s="227"/>
      <c r="H25" s="25"/>
      <c r="I25" s="188" t="str">
        <f>B148</f>
        <v>Douglas</v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3098.2758405122559</v>
      </c>
      <c r="K25" s="193">
        <f>'Données projet'!D14</f>
        <v>0.64829399999999993</v>
      </c>
      <c r="L25" s="192">
        <f t="shared" si="0"/>
        <v>2008.5936377490523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5">
      <c r="A26" s="195">
        <f>'Données projet'!A40</f>
        <v>60</v>
      </c>
      <c r="B26" s="196">
        <f>'Données projet'!D40</f>
        <v>112</v>
      </c>
      <c r="C26" s="210">
        <v>30</v>
      </c>
      <c r="D26" s="197">
        <f t="shared" si="1"/>
        <v>3360</v>
      </c>
      <c r="E26" s="210"/>
      <c r="F26" s="219"/>
      <c r="G26" s="227"/>
      <c r="H26" s="25"/>
      <c r="I26" s="188" t="str">
        <f>B174</f>
        <v>Erable champêtre</v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575.40187419919198</v>
      </c>
      <c r="K26" s="193">
        <f>'Données projet'!D15</f>
        <v>0.78456599999999987</v>
      </c>
      <c r="L26" s="192">
        <f t="shared" si="0"/>
        <v>451.44074683296316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25">
      <c r="A27" s="195">
        <f>'Données projet'!A41</f>
        <v>70</v>
      </c>
      <c r="B27" s="196">
        <f>'Données projet'!D41</f>
        <v>109</v>
      </c>
      <c r="C27" s="210">
        <v>40</v>
      </c>
      <c r="D27" s="197">
        <f t="shared" si="1"/>
        <v>4360</v>
      </c>
      <c r="E27" s="210"/>
      <c r="F27" s="219"/>
      <c r="G27" s="227"/>
      <c r="H27" s="25"/>
      <c r="I27" s="188" t="str">
        <f>B200</f>
        <v>Alisier torminal</v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439.0612859799715</v>
      </c>
      <c r="K27" s="193">
        <f>'Données projet'!D16</f>
        <v>7.5149999999999995E-2</v>
      </c>
      <c r="L27" s="192">
        <f t="shared" si="0"/>
        <v>32.995455641394855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25">
      <c r="A28" s="195">
        <f>'Données projet'!A42</f>
        <v>80</v>
      </c>
      <c r="B28" s="196">
        <f>'Données projet'!D42</f>
        <v>110</v>
      </c>
      <c r="C28" s="210">
        <v>50</v>
      </c>
      <c r="D28" s="197">
        <f t="shared" si="1"/>
        <v>5500</v>
      </c>
      <c r="E28" s="210"/>
      <c r="F28" s="219"/>
      <c r="G28" s="227"/>
      <c r="H28" s="25"/>
      <c r="I28" s="188" t="str">
        <f>B226</f>
        <v>Cormier</v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439.0612859799715</v>
      </c>
      <c r="K28" s="193">
        <f>'Données projet'!D17</f>
        <v>7.5149999999999995E-2</v>
      </c>
      <c r="L28" s="192">
        <f t="shared" si="0"/>
        <v>32.995455641394855</v>
      </c>
      <c r="M28" s="25"/>
      <c r="N28" s="186"/>
      <c r="O28" s="188" t="s">
        <v>259</v>
      </c>
      <c r="P28" s="200">
        <f ca="1">SUM(OFFSET($S$29,0,0,MIN('Données projet'!$E$9:$E$18)+1,1))</f>
        <v>3002.7574580463588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5">
      <c r="A29" s="195">
        <f>'Données projet'!A43</f>
        <v>90</v>
      </c>
      <c r="B29" s="196">
        <f>'Données projet'!D43</f>
        <v>97</v>
      </c>
      <c r="C29" s="210">
        <v>60</v>
      </c>
      <c r="D29" s="197">
        <f t="shared" si="1"/>
        <v>5820</v>
      </c>
      <c r="E29" s="210"/>
      <c r="F29" s="219"/>
      <c r="G29" s="227"/>
      <c r="H29" s="25"/>
      <c r="I29" s="188" t="str">
        <f>B252</f>
        <v>Chêne chevelu</v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724.10221897874965</v>
      </c>
      <c r="K29" s="193">
        <f>'Données projet'!D18</f>
        <v>0.29959799999999998</v>
      </c>
      <c r="L29" s="192">
        <f t="shared" si="0"/>
        <v>216.93957660159541</v>
      </c>
      <c r="M29" s="25"/>
      <c r="N29" s="186"/>
      <c r="O29" s="5"/>
      <c r="P29" s="5"/>
      <c r="Q29" s="5"/>
      <c r="R29" s="211">
        <v>0</v>
      </c>
      <c r="S29" s="201">
        <f>$T$24/(1+$J$6)^R29</f>
        <v>150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5">
      <c r="A30" s="195">
        <f>'Données projet'!A44</f>
        <v>100</v>
      </c>
      <c r="B30" s="196">
        <f>'Données projet'!D44</f>
        <v>855</v>
      </c>
      <c r="C30" s="210">
        <v>70</v>
      </c>
      <c r="D30" s="197">
        <f t="shared" si="1"/>
        <v>59850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143.54066985645935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5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137.35949268560705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5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131.44449060823641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5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-30870.420110685634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125.78420153898223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5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30087.629729624514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120.36765697510262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-60958.049840310152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115.18436074172502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110.22426865236844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105.47776904532867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100.93566415820926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96.589152304506499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92.429810817709566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5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88.449579729865633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25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84.640746152981464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25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80.995929332996624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s="49" t="s">
        <v>166</v>
      </c>
      <c r="B44" s="189" t="str">
        <f>IF('Données projet'!$B$10="","",'Données projet'!$B$10)</f>
        <v>Chêne sessile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77.508066347365187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5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74.170398418531306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25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70.976457816776374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25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67.920055327058748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s="195">
        <f>'Données projet'!A62</f>
        <v>20</v>
      </c>
      <c r="B48" s="196">
        <f>'Données projet'!D62</f>
        <v>0</v>
      </c>
      <c r="C48" s="208"/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64.995268255558614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5">
      <c r="A49" s="195">
        <f>'Données projet'!A63</f>
        <v>25</v>
      </c>
      <c r="B49" s="196">
        <f>'Données projet'!D63</f>
        <v>34</v>
      </c>
      <c r="C49" s="208">
        <v>10</v>
      </c>
      <c r="D49" s="194">
        <f t="shared" ref="D49:D67" si="4">B49*C49</f>
        <v>340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62.196428952687683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195">
        <f>'Données projet'!A64</f>
        <v>30</v>
      </c>
      <c r="B50" s="196">
        <f>'Données projet'!D64</f>
        <v>0</v>
      </c>
      <c r="C50" s="208"/>
      <c r="D50" s="194">
        <f t="shared" si="4"/>
        <v>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59.518113830323131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195">
        <f>'Données projet'!A65</f>
        <v>35</v>
      </c>
      <c r="B51" s="196">
        <f>'Données projet'!D65</f>
        <v>56</v>
      </c>
      <c r="C51" s="208">
        <v>10</v>
      </c>
      <c r="D51" s="194">
        <f t="shared" si="4"/>
        <v>560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56.955132851983883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195">
        <f>'Données projet'!A66</f>
        <v>40</v>
      </c>
      <c r="B52" s="196">
        <f>'Données projet'!D66</f>
        <v>0</v>
      </c>
      <c r="C52" s="208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54.502519475582659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5">
      <c r="A53" s="195">
        <f>'Données projet'!A67</f>
        <v>45</v>
      </c>
      <c r="B53" s="196">
        <f>'Données projet'!D67</f>
        <v>56</v>
      </c>
      <c r="C53" s="208">
        <v>20</v>
      </c>
      <c r="D53" s="194">
        <f t="shared" si="4"/>
        <v>1120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52.155521029265714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5">
      <c r="A54" s="195">
        <f>'Données projet'!A68</f>
        <v>50</v>
      </c>
      <c r="B54" s="196">
        <f>'Données projet'!D68</f>
        <v>0</v>
      </c>
      <c r="C54" s="208"/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49.90958950168968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5">
      <c r="A55" s="195">
        <f>'Données projet'!A69</f>
        <v>55</v>
      </c>
      <c r="B55" s="196">
        <f>'Données projet'!D69</f>
        <v>56</v>
      </c>
      <c r="C55" s="208">
        <v>30</v>
      </c>
      <c r="D55" s="194">
        <f t="shared" si="4"/>
        <v>1680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47.760372728889656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5">
      <c r="A56" s="195">
        <f>'Données projet'!A70</f>
        <v>60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45.70370596065996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5">
      <c r="A57" s="195">
        <f>'Données projet'!A71</f>
        <v>65</v>
      </c>
      <c r="B57" s="196">
        <f>'Données projet'!D71</f>
        <v>56</v>
      </c>
      <c r="C57" s="208">
        <v>40</v>
      </c>
      <c r="D57" s="194">
        <f t="shared" si="4"/>
        <v>2240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43.735603790105237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195">
        <f>'Données projet'!A72</f>
        <v>70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41.852252430722707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5">
      <c r="A59" s="195">
        <f>'Données projet'!A73</f>
        <v>75</v>
      </c>
      <c r="B59" s="196">
        <f>'Données projet'!D73</f>
        <v>56</v>
      </c>
      <c r="C59" s="208">
        <v>50</v>
      </c>
      <c r="D59" s="194">
        <f t="shared" si="4"/>
        <v>2800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40.050002326050453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5">
      <c r="A60" s="195">
        <f>'Données projet'!A74</f>
        <v>85</v>
      </c>
      <c r="B60" s="196">
        <f>'Données projet'!D74</f>
        <v>56</v>
      </c>
      <c r="C60" s="208">
        <v>60</v>
      </c>
      <c r="D60" s="194">
        <f t="shared" si="4"/>
        <v>3360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38.325361077560231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5">
      <c r="A61" s="195">
        <f>'Données projet'!A75</f>
        <v>95</v>
      </c>
      <c r="B61" s="196">
        <f>'Données projet'!D75</f>
        <v>56</v>
      </c>
      <c r="C61" s="208">
        <v>70</v>
      </c>
      <c r="D61" s="194">
        <f t="shared" si="4"/>
        <v>3920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36.674986677091148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5">
      <c r="A62" s="195">
        <f>'Données projet'!A76</f>
        <v>105</v>
      </c>
      <c r="B62" s="196">
        <f>'Données projet'!D76</f>
        <v>53</v>
      </c>
      <c r="C62" s="208">
        <v>80</v>
      </c>
      <c r="D62" s="194">
        <f t="shared" si="4"/>
        <v>4240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35.095681030709244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5">
      <c r="A63" s="195">
        <f>'Données projet'!A77</f>
        <v>115</v>
      </c>
      <c r="B63" s="196">
        <f>'Données projet'!D77</f>
        <v>49</v>
      </c>
      <c r="C63" s="208">
        <v>90</v>
      </c>
      <c r="D63" s="194">
        <f t="shared" si="4"/>
        <v>4410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33.584383761444251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5">
      <c r="A64" s="195">
        <f>'Données projet'!A78</f>
        <v>125</v>
      </c>
      <c r="B64" s="196">
        <f>'Données projet'!D78</f>
        <v>45</v>
      </c>
      <c r="C64" s="208">
        <v>100</v>
      </c>
      <c r="D64" s="194">
        <f t="shared" si="4"/>
        <v>4500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32.138166278894019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5">
      <c r="A65" s="195">
        <f>'Données projet'!A79</f>
        <v>135</v>
      </c>
      <c r="B65" s="196">
        <f>'Données projet'!D79</f>
        <v>43</v>
      </c>
      <c r="C65" s="208">
        <v>110</v>
      </c>
      <c r="D65" s="194">
        <f t="shared" si="4"/>
        <v>4730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30.754226104204811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5">
      <c r="A66" s="195">
        <f>'Données projet'!A80</f>
        <v>145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29.429881439430442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5">
      <c r="A67" s="195">
        <f>'Données projet'!A81</f>
        <v>150</v>
      </c>
      <c r="B67" s="196">
        <f>'Données projet'!D81</f>
        <v>355</v>
      </c>
      <c r="C67" s="208">
        <v>200</v>
      </c>
      <c r="D67" s="194">
        <f t="shared" si="4"/>
        <v>71000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28.16256597074684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5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26.949823895451523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5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25.789305163111511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5">
      <c r="A70" s="49" t="s">
        <v>167</v>
      </c>
      <c r="B70" s="189" t="str">
        <f>IF('Données projet'!B11="","",'Données projet'!B11)</f>
        <v>Charme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24.678760921637814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5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23.616039159462026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25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22.599080535370359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25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21.625914387914221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5">
      <c r="A74" s="195">
        <f>'Données projet'!A88</f>
        <v>20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 t="str">
        <f>IF(R73+1&lt;=MIN('Données projet'!$E$9:$E$18),R73+1,"STOP")</f>
        <v>STOP</v>
      </c>
      <c r="S74" s="201" t="e">
        <f t="shared" si="6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5">
      <c r="A75" s="195">
        <f>'Données projet'!A89</f>
        <v>25</v>
      </c>
      <c r="B75" s="196">
        <f>'Données projet'!D89</f>
        <v>42</v>
      </c>
      <c r="C75" s="208">
        <v>10</v>
      </c>
      <c r="D75" s="194">
        <f t="shared" ref="D75:D93" si="7">B75*C75</f>
        <v>420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 t="e">
        <f>IF(R74+1&lt;=MIN('Données projet'!$E$9:$E$18),R74+1,"STOP")</f>
        <v>#VALUE!</v>
      </c>
      <c r="S75" s="201" t="e">
        <f t="shared" si="6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5">
      <c r="A76" s="195">
        <f>'Données projet'!A90</f>
        <v>30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 t="e">
        <f>IF(R75+1&lt;=MIN('Données projet'!$E$9:$E$18),R75+1,"STOP")</f>
        <v>#VALUE!</v>
      </c>
      <c r="S76" s="201" t="e">
        <f t="shared" si="6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195">
        <f>'Données projet'!A91</f>
        <v>35</v>
      </c>
      <c r="B77" s="196">
        <f>'Données projet'!D91</f>
        <v>41</v>
      </c>
      <c r="C77" s="208">
        <v>10</v>
      </c>
      <c r="D77" s="194">
        <f t="shared" si="7"/>
        <v>410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 t="e">
        <f>IF(R76+1&lt;=MIN('Données projet'!$E$9:$E$18),R76+1,"STOP")</f>
        <v>#VALUE!</v>
      </c>
      <c r="S77" s="201" t="e">
        <f t="shared" si="6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5">
      <c r="A78" s="195">
        <f>'Données projet'!A92</f>
        <v>40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 t="e">
        <f>IF(R77+1&lt;=MIN('Données projet'!$E$9:$E$18),R77+1,"STOP")</f>
        <v>#VALUE!</v>
      </c>
      <c r="S78" s="201" t="e">
        <f t="shared" si="6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5">
      <c r="A79" s="195">
        <f>'Données projet'!A93</f>
        <v>45</v>
      </c>
      <c r="B79" s="196">
        <f>'Données projet'!D93</f>
        <v>44</v>
      </c>
      <c r="C79" s="208">
        <v>10</v>
      </c>
      <c r="D79" s="194">
        <f t="shared" si="7"/>
        <v>440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 t="e">
        <f>IF(R78+1&lt;=MIN('Données projet'!$E$9:$E$18),R78+1,"STOP")</f>
        <v>#VALUE!</v>
      </c>
      <c r="S79" s="201" t="e">
        <f t="shared" si="6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5">
      <c r="A80" s="195">
        <f>'Données projet'!A94</f>
        <v>50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e">
        <f>IF(R79+1&lt;=MIN('Données projet'!$E$9:$E$18),R79+1,"STOP")</f>
        <v>#VALUE!</v>
      </c>
      <c r="S80" s="201" t="e">
        <f t="shared" si="6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5">
      <c r="A81" s="195">
        <f>'Données projet'!A95</f>
        <v>55</v>
      </c>
      <c r="B81" s="196">
        <f>'Données projet'!D95</f>
        <v>44</v>
      </c>
      <c r="C81" s="208">
        <v>15</v>
      </c>
      <c r="D81" s="194">
        <f t="shared" si="7"/>
        <v>660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6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5">
      <c r="A82" s="195">
        <f>'Données projet'!A96</f>
        <v>60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6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5">
      <c r="A83" s="195">
        <f>'Données projet'!A97</f>
        <v>65</v>
      </c>
      <c r="B83" s="196">
        <f>'Données projet'!D97</f>
        <v>44</v>
      </c>
      <c r="C83" s="208">
        <v>15</v>
      </c>
      <c r="D83" s="194">
        <f t="shared" si="7"/>
        <v>660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6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5">
      <c r="A84" s="195">
        <f>'Données projet'!A98</f>
        <v>70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6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5">
      <c r="A85" s="195">
        <f>'Données projet'!A99</f>
        <v>75</v>
      </c>
      <c r="B85" s="196">
        <f>'Données projet'!D99</f>
        <v>42</v>
      </c>
      <c r="C85" s="208">
        <v>20</v>
      </c>
      <c r="D85" s="194">
        <f t="shared" si="7"/>
        <v>840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6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5">
      <c r="A86" s="195">
        <f>'Données projet'!A100</f>
        <v>85</v>
      </c>
      <c r="B86" s="196">
        <f>'Données projet'!D100</f>
        <v>40</v>
      </c>
      <c r="C86" s="208">
        <v>25</v>
      </c>
      <c r="D86" s="194">
        <f t="shared" si="7"/>
        <v>1000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6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5">
      <c r="A87" s="195">
        <f>'Données projet'!A101</f>
        <v>95</v>
      </c>
      <c r="B87" s="196">
        <f>'Données projet'!D101</f>
        <v>37</v>
      </c>
      <c r="C87" s="208">
        <v>30</v>
      </c>
      <c r="D87" s="194">
        <f t="shared" si="7"/>
        <v>1110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6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5">
      <c r="A88" s="195">
        <f>'Données projet'!A102</f>
        <v>105</v>
      </c>
      <c r="B88" s="196">
        <f>'Données projet'!D102</f>
        <v>35</v>
      </c>
      <c r="C88" s="208">
        <v>30</v>
      </c>
      <c r="D88" s="194">
        <f t="shared" si="7"/>
        <v>1050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6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5">
      <c r="A89" s="195">
        <f>'Données projet'!A103</f>
        <v>115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6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5">
      <c r="A90" s="195">
        <f>'Données projet'!A104</f>
        <v>120</v>
      </c>
      <c r="B90" s="196">
        <f>'Données projet'!D104</f>
        <v>409</v>
      </c>
      <c r="C90" s="208">
        <v>40</v>
      </c>
      <c r="D90" s="194">
        <f t="shared" si="7"/>
        <v>16360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5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5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5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5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25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5">
      <c r="A96" s="49" t="s">
        <v>168</v>
      </c>
      <c r="B96" s="189" t="str">
        <f>IF('Données projet'!B12="","",'Données projet'!B12)</f>
        <v>Pin maritime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5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25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25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5">
      <c r="A100" s="195">
        <f>'Données projet'!A114</f>
        <v>12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5">
      <c r="A101" s="195">
        <f>'Données projet'!A115</f>
        <v>13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5">
      <c r="A102" s="195">
        <f>'Données projet'!A116</f>
        <v>14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5">
      <c r="A103" s="195">
        <f>'Données projet'!A117</f>
        <v>15</v>
      </c>
      <c r="B103" s="196">
        <f>'Données projet'!D117</f>
        <v>23.3</v>
      </c>
      <c r="C103" s="208">
        <v>15</v>
      </c>
      <c r="D103" s="194">
        <f t="shared" si="10"/>
        <v>349.5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5">
      <c r="A104" s="195">
        <f>'Données projet'!A118</f>
        <v>16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5">
      <c r="A105" s="195">
        <f>'Données projet'!A119</f>
        <v>17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5">
      <c r="A106" s="195">
        <f>'Données projet'!A120</f>
        <v>18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5">
      <c r="A107" s="195">
        <f>'Données projet'!A121</f>
        <v>19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5">
      <c r="A108" s="195">
        <f>'Données projet'!A122</f>
        <v>20</v>
      </c>
      <c r="B108" s="196">
        <f>'Données projet'!D122</f>
        <v>34.1</v>
      </c>
      <c r="C108" s="208">
        <v>25</v>
      </c>
      <c r="D108" s="194">
        <f t="shared" si="10"/>
        <v>852.5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5">
      <c r="A109" s="195">
        <f>'Données projet'!A123</f>
        <v>21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5">
      <c r="A110" s="195">
        <f>'Données projet'!A124</f>
        <v>22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5">
      <c r="A111" s="195">
        <f>'Données projet'!A125</f>
        <v>23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5">
      <c r="A112" s="195">
        <f>'Données projet'!A126</f>
        <v>24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5">
      <c r="A113" s="195">
        <f>'Données projet'!A127</f>
        <v>25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150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25">
      <c r="A114" s="195">
        <f>'Données projet'!A128</f>
        <v>26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150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25">
      <c r="A115" s="195">
        <f>'Données projet'!A129</f>
        <v>27</v>
      </c>
      <c r="B115" s="196">
        <f>'Données projet'!D129</f>
        <v>54.5</v>
      </c>
      <c r="C115" s="208">
        <v>35</v>
      </c>
      <c r="D115" s="194">
        <f t="shared" si="10"/>
        <v>1907.5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150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25">
      <c r="A116" s="195">
        <f>'Données projet'!A130</f>
        <v>28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150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25">
      <c r="A117" s="195">
        <f>'Données projet'!A131</f>
        <v>29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150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25">
      <c r="A118" s="195">
        <f>'Données projet'!A132</f>
        <v>30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150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25">
      <c r="A119" s="195">
        <f>'Données projet'!A133</f>
        <v>44</v>
      </c>
      <c r="B119" s="196">
        <f>'Données projet'!D133</f>
        <v>400.7</v>
      </c>
      <c r="C119" s="208">
        <v>45</v>
      </c>
      <c r="D119" s="194">
        <f t="shared" si="10"/>
        <v>18031.5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150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25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150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5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150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25">
      <c r="A122" s="49" t="s">
        <v>169</v>
      </c>
      <c r="B122" s="189" t="str">
        <f>IF('Données projet'!B13="","",'Données projet'!B13)</f>
        <v>Pin laricio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150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25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150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25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150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25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150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25">
      <c r="A126" s="45">
        <f>'Données projet'!A140</f>
        <v>25</v>
      </c>
      <c r="B126" s="190">
        <f>'Données projet'!D140</f>
        <v>33</v>
      </c>
      <c r="C126" s="208">
        <v>10</v>
      </c>
      <c r="D126" s="197">
        <f>B126*C126</f>
        <v>330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150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25">
      <c r="A127" s="45">
        <f>'Données projet'!A141</f>
        <v>30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150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25">
      <c r="A128" s="45">
        <f>'Données projet'!A142</f>
        <v>35</v>
      </c>
      <c r="B128" s="190">
        <f>'Données projet'!D142</f>
        <v>75</v>
      </c>
      <c r="C128" s="208">
        <v>10</v>
      </c>
      <c r="D128" s="197">
        <f t="shared" si="11"/>
        <v>750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150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25">
      <c r="A129" s="45">
        <f>'Données projet'!A143</f>
        <v>40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25">
      <c r="A130" s="45">
        <f>'Données projet'!A144</f>
        <v>45</v>
      </c>
      <c r="B130" s="190">
        <f>'Données projet'!D144</f>
        <v>94</v>
      </c>
      <c r="C130" s="208">
        <v>20</v>
      </c>
      <c r="D130" s="197">
        <f t="shared" si="11"/>
        <v>1880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25">
      <c r="A131" s="45">
        <f>'Données projet'!A145</f>
        <v>50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25">
      <c r="A132" s="45">
        <f>'Données projet'!A146</f>
        <v>58</v>
      </c>
      <c r="B132" s="190">
        <f>'Données projet'!D146</f>
        <v>131</v>
      </c>
      <c r="C132" s="208">
        <v>30</v>
      </c>
      <c r="D132" s="197">
        <f t="shared" si="11"/>
        <v>3930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25">
      <c r="A133" s="45">
        <f>'Données projet'!A147</f>
        <v>66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5">
      <c r="A134" s="45">
        <f>'Données projet'!A148</f>
        <v>74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5">
      <c r="A135" s="45">
        <f>'Données projet'!A149</f>
        <v>82</v>
      </c>
      <c r="B135" s="190">
        <f>'Données projet'!D149</f>
        <v>643</v>
      </c>
      <c r="C135" s="208">
        <v>40</v>
      </c>
      <c r="D135" s="197">
        <f t="shared" si="11"/>
        <v>25720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5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5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5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5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5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5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5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5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5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5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5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5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5">
      <c r="A148" s="49" t="s">
        <v>170</v>
      </c>
      <c r="B148" s="189" t="str">
        <f>IF('Données projet'!B14="","",'Données projet'!B14)</f>
        <v>Douglas</v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5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25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25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5">
      <c r="A152" s="195">
        <f>'Données projet'!A166</f>
        <v>21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5">
      <c r="A153" s="195">
        <f>'Données projet'!A167</f>
        <v>28</v>
      </c>
      <c r="B153" s="196">
        <f>'Données projet'!D167</f>
        <v>64</v>
      </c>
      <c r="C153" s="210">
        <v>20</v>
      </c>
      <c r="D153" s="194">
        <f t="shared" ref="D153:D171" si="12">B153*C153</f>
        <v>1280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5">
      <c r="A154" s="195">
        <f>'Données projet'!A168</f>
        <v>35</v>
      </c>
      <c r="B154" s="196">
        <f>'Données projet'!D168</f>
        <v>73</v>
      </c>
      <c r="C154" s="210">
        <v>20</v>
      </c>
      <c r="D154" s="194">
        <f t="shared" si="12"/>
        <v>1460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5">
      <c r="A155" s="195">
        <f>'Données projet'!A169</f>
        <v>42</v>
      </c>
      <c r="B155" s="196">
        <f>'Données projet'!D169</f>
        <v>77</v>
      </c>
      <c r="C155" s="210">
        <v>20</v>
      </c>
      <c r="D155" s="194">
        <f t="shared" si="12"/>
        <v>1540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5">
      <c r="A156" s="195">
        <f>'Données projet'!A170</f>
        <v>49</v>
      </c>
      <c r="B156" s="196">
        <f>'Données projet'!D170</f>
        <v>0</v>
      </c>
      <c r="C156" s="210">
        <v>20</v>
      </c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5">
      <c r="A157" s="195">
        <f>'Données projet'!A171</f>
        <v>56</v>
      </c>
      <c r="B157" s="196">
        <f>'Données projet'!D171</f>
        <v>165</v>
      </c>
      <c r="C157" s="210">
        <v>30</v>
      </c>
      <c r="D157" s="194">
        <f t="shared" si="12"/>
        <v>4950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5">
      <c r="A158" s="195">
        <f>'Données projet'!A172</f>
        <v>63</v>
      </c>
      <c r="B158" s="196">
        <f>'Données projet'!D172</f>
        <v>0</v>
      </c>
      <c r="C158" s="210">
        <v>40</v>
      </c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5">
      <c r="A159" s="195">
        <f>'Données projet'!A173</f>
        <v>70</v>
      </c>
      <c r="B159" s="196">
        <f>'Données projet'!D173</f>
        <v>635</v>
      </c>
      <c r="C159" s="210">
        <v>60</v>
      </c>
      <c r="D159" s="194">
        <f t="shared" si="12"/>
        <v>38100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5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5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5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5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5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5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5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5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5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5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5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5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5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5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5">
      <c r="A174" s="49" t="s">
        <v>171</v>
      </c>
      <c r="B174" s="189" t="str">
        <f>IF('Données projet'!$B$15="","",'Données projet'!$B$15)</f>
        <v>Erable champêtre</v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5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25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25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5">
      <c r="A178" s="195">
        <f>'Données projet'!A192</f>
        <v>20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5">
      <c r="A179" s="195">
        <f>'Données projet'!A193</f>
        <v>25</v>
      </c>
      <c r="B179" s="196">
        <f>'Données projet'!D193</f>
        <v>17.3</v>
      </c>
      <c r="C179" s="210">
        <v>10</v>
      </c>
      <c r="D179" s="194">
        <f t="shared" ref="D179:D197" si="13">B179*C179</f>
        <v>173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5">
      <c r="A180" s="195">
        <f>'Données projet'!A194</f>
        <v>30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5">
      <c r="A181" s="195">
        <f>'Données projet'!A195</f>
        <v>35</v>
      </c>
      <c r="B181" s="196">
        <f>'Données projet'!D195</f>
        <v>28</v>
      </c>
      <c r="C181" s="210">
        <v>10</v>
      </c>
      <c r="D181" s="194">
        <f t="shared" si="13"/>
        <v>280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5">
      <c r="A182" s="195">
        <f>'Données projet'!A196</f>
        <v>40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5">
      <c r="A183" s="195">
        <f>'Données projet'!A197</f>
        <v>45</v>
      </c>
      <c r="B183" s="196">
        <f>'Données projet'!D197</f>
        <v>28</v>
      </c>
      <c r="C183" s="210">
        <v>20</v>
      </c>
      <c r="D183" s="194">
        <f t="shared" si="13"/>
        <v>560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5">
      <c r="A184" s="195">
        <f>'Données projet'!A198</f>
        <v>50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5">
      <c r="A185" s="195">
        <f>'Données projet'!A199</f>
        <v>55</v>
      </c>
      <c r="B185" s="196">
        <f>'Données projet'!D199</f>
        <v>19.7</v>
      </c>
      <c r="C185" s="210">
        <v>30</v>
      </c>
      <c r="D185" s="194">
        <f t="shared" si="13"/>
        <v>591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5">
      <c r="A186" s="195">
        <f>'Données projet'!A200</f>
        <v>60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5">
      <c r="A187" s="195">
        <f>'Données projet'!A201</f>
        <v>65</v>
      </c>
      <c r="B187" s="196">
        <f>'Données projet'!D201</f>
        <v>12.7</v>
      </c>
      <c r="C187" s="210">
        <v>40</v>
      </c>
      <c r="D187" s="194">
        <f t="shared" si="13"/>
        <v>508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5">
      <c r="A188" s="195">
        <f>'Données projet'!A202</f>
        <v>70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5">
      <c r="A189" s="195">
        <f>'Données projet'!A203</f>
        <v>75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5">
      <c r="A190" s="195">
        <f>'Données projet'!A204</f>
        <v>80</v>
      </c>
      <c r="B190" s="196">
        <f>'Données projet'!D204</f>
        <v>168.6</v>
      </c>
      <c r="C190" s="210">
        <v>60</v>
      </c>
      <c r="D190" s="194">
        <f t="shared" si="13"/>
        <v>10116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5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5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5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5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5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5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5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5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5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5">
      <c r="A200" s="49" t="s">
        <v>172</v>
      </c>
      <c r="B200" s="189" t="str">
        <f>IF('Données projet'!$B$16="","",'Données projet'!$B$16)</f>
        <v>Alisier torminal</v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5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25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25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5">
      <c r="A204" s="195">
        <f>'Données projet'!A218</f>
        <v>20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5">
      <c r="A205" s="195">
        <f>'Données projet'!A219</f>
        <v>25</v>
      </c>
      <c r="B205" s="196">
        <f>'Données projet'!D219</f>
        <v>8</v>
      </c>
      <c r="C205" s="210">
        <v>10</v>
      </c>
      <c r="D205" s="194">
        <f t="shared" ref="D205:D223" si="14">B205*C205</f>
        <v>80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5">
      <c r="A206" s="195">
        <f>'Données projet'!A220</f>
        <v>30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5">
      <c r="A207" s="195">
        <f>'Données projet'!A221</f>
        <v>35</v>
      </c>
      <c r="B207" s="196">
        <f>'Données projet'!D221</f>
        <v>42</v>
      </c>
      <c r="C207" s="210">
        <v>10</v>
      </c>
      <c r="D207" s="194">
        <f t="shared" si="14"/>
        <v>420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5">
      <c r="A208" s="195">
        <f>'Données projet'!A222</f>
        <v>40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5">
      <c r="A209" s="195">
        <f>'Données projet'!A223</f>
        <v>45</v>
      </c>
      <c r="B209" s="196">
        <f>'Données projet'!D223</f>
        <v>42</v>
      </c>
      <c r="C209" s="210">
        <v>10</v>
      </c>
      <c r="D209" s="194">
        <f t="shared" si="14"/>
        <v>420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5">
      <c r="A210" s="195">
        <f>'Données projet'!A224</f>
        <v>50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5">
      <c r="A211" s="195">
        <f>'Données projet'!A225</f>
        <v>55</v>
      </c>
      <c r="B211" s="196">
        <f>'Données projet'!D225</f>
        <v>42</v>
      </c>
      <c r="C211" s="210">
        <v>20</v>
      </c>
      <c r="D211" s="194">
        <f t="shared" si="14"/>
        <v>840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5">
      <c r="A212" s="195">
        <f>'Données projet'!A226</f>
        <v>60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5">
      <c r="A213" s="195">
        <f>'Données projet'!A227</f>
        <v>65</v>
      </c>
      <c r="B213" s="196">
        <f>'Données projet'!D227</f>
        <v>42</v>
      </c>
      <c r="C213" s="210">
        <v>20</v>
      </c>
      <c r="D213" s="194">
        <f t="shared" si="14"/>
        <v>840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5">
      <c r="A214" s="195">
        <f>'Données projet'!A228</f>
        <v>70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5">
      <c r="A215" s="195">
        <f>'Données projet'!A229</f>
        <v>75</v>
      </c>
      <c r="B215" s="196">
        <f>'Données projet'!D229</f>
        <v>42</v>
      </c>
      <c r="C215" s="210">
        <v>25</v>
      </c>
      <c r="D215" s="194">
        <f t="shared" si="14"/>
        <v>1050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5">
      <c r="A216" s="195">
        <f>'Données projet'!A230</f>
        <v>85</v>
      </c>
      <c r="B216" s="196">
        <f>'Données projet'!D230</f>
        <v>42</v>
      </c>
      <c r="C216" s="210">
        <v>30</v>
      </c>
      <c r="D216" s="194">
        <f t="shared" si="14"/>
        <v>1260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5">
      <c r="A217" s="195">
        <f>'Données projet'!A231</f>
        <v>95</v>
      </c>
      <c r="B217" s="196">
        <f>'Données projet'!D231</f>
        <v>42</v>
      </c>
      <c r="C217" s="210">
        <v>30</v>
      </c>
      <c r="D217" s="194">
        <f t="shared" si="14"/>
        <v>1260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5">
      <c r="A218" s="195">
        <f>'Données projet'!A232</f>
        <v>105</v>
      </c>
      <c r="B218" s="196">
        <f>'Données projet'!D232</f>
        <v>41</v>
      </c>
      <c r="C218" s="210">
        <v>30</v>
      </c>
      <c r="D218" s="194">
        <f t="shared" si="14"/>
        <v>1230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5">
      <c r="A219" s="195">
        <f>'Données projet'!A233</f>
        <v>115</v>
      </c>
      <c r="B219" s="196">
        <f>'Données projet'!D233</f>
        <v>37</v>
      </c>
      <c r="C219" s="210">
        <v>35</v>
      </c>
      <c r="D219" s="194">
        <f t="shared" si="14"/>
        <v>1295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5">
      <c r="A220" s="195">
        <f>'Données projet'!A234</f>
        <v>125</v>
      </c>
      <c r="B220" s="196">
        <f>'Données projet'!D234</f>
        <v>33</v>
      </c>
      <c r="C220" s="210">
        <v>40</v>
      </c>
      <c r="D220" s="194">
        <f t="shared" si="14"/>
        <v>1320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5">
      <c r="A221" s="195">
        <f>'Données projet'!A235</f>
        <v>135</v>
      </c>
      <c r="B221" s="196">
        <f>'Données projet'!D235</f>
        <v>29</v>
      </c>
      <c r="C221" s="210">
        <v>45</v>
      </c>
      <c r="D221" s="194">
        <f t="shared" si="14"/>
        <v>1305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5">
      <c r="A222" s="195">
        <f>'Données projet'!A236</f>
        <v>145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5">
      <c r="A223" s="195">
        <f>'Données projet'!A237</f>
        <v>150</v>
      </c>
      <c r="B223" s="196">
        <f>'Données projet'!D237</f>
        <v>306</v>
      </c>
      <c r="C223" s="210">
        <v>60</v>
      </c>
      <c r="D223" s="194">
        <f t="shared" si="14"/>
        <v>18360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5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5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5">
      <c r="A226" s="49" t="s">
        <v>173</v>
      </c>
      <c r="B226" s="189" t="str">
        <f>IF('Données projet'!$B$17="","",'Données projet'!$B$17)</f>
        <v>Cormier</v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5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25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25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5">
      <c r="A230" s="195">
        <f>'Données projet'!A244</f>
        <v>20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5">
      <c r="A231" s="195">
        <f>'Données projet'!A245</f>
        <v>25</v>
      </c>
      <c r="B231" s="196">
        <f>'Données projet'!D245</f>
        <v>8</v>
      </c>
      <c r="C231" s="210">
        <v>10</v>
      </c>
      <c r="D231" s="194">
        <f t="shared" ref="D231:D249" si="15">B231*C231</f>
        <v>80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5">
      <c r="A232" s="195">
        <f>'Données projet'!A246</f>
        <v>30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5">
      <c r="A233" s="195">
        <f>'Données projet'!A247</f>
        <v>35</v>
      </c>
      <c r="B233" s="196">
        <f>'Données projet'!D247</f>
        <v>42</v>
      </c>
      <c r="C233" s="210">
        <v>10</v>
      </c>
      <c r="D233" s="194">
        <f t="shared" si="15"/>
        <v>420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5">
      <c r="A234" s="195">
        <f>'Données projet'!A248</f>
        <v>40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5">
      <c r="A235" s="195">
        <f>'Données projet'!A249</f>
        <v>45</v>
      </c>
      <c r="B235" s="196">
        <f>'Données projet'!D249</f>
        <v>42</v>
      </c>
      <c r="C235" s="210">
        <v>10</v>
      </c>
      <c r="D235" s="194">
        <f t="shared" si="15"/>
        <v>420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5">
      <c r="A236" s="195">
        <f>'Données projet'!A250</f>
        <v>50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5">
      <c r="A237" s="195">
        <f>'Données projet'!A251</f>
        <v>55</v>
      </c>
      <c r="B237" s="196">
        <f>'Données projet'!D251</f>
        <v>42</v>
      </c>
      <c r="C237" s="210">
        <v>20</v>
      </c>
      <c r="D237" s="194">
        <f t="shared" si="15"/>
        <v>840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5">
      <c r="A238" s="195">
        <f>'Données projet'!A252</f>
        <v>60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5">
      <c r="A239" s="195">
        <f>'Données projet'!A253</f>
        <v>65</v>
      </c>
      <c r="B239" s="196">
        <f>'Données projet'!D253</f>
        <v>42</v>
      </c>
      <c r="C239" s="210">
        <v>20</v>
      </c>
      <c r="D239" s="194">
        <f t="shared" si="15"/>
        <v>840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5">
      <c r="A240" s="195">
        <f>'Données projet'!A254</f>
        <v>70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5">
      <c r="A241" s="195">
        <f>'Données projet'!A255</f>
        <v>75</v>
      </c>
      <c r="B241" s="196">
        <f>'Données projet'!D255</f>
        <v>42</v>
      </c>
      <c r="C241" s="210">
        <v>25</v>
      </c>
      <c r="D241" s="194">
        <f t="shared" si="15"/>
        <v>1050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5">
      <c r="A242" s="195">
        <f>'Données projet'!A256</f>
        <v>85</v>
      </c>
      <c r="B242" s="196">
        <f>'Données projet'!D256</f>
        <v>42</v>
      </c>
      <c r="C242" s="210">
        <v>30</v>
      </c>
      <c r="D242" s="194">
        <f t="shared" si="15"/>
        <v>1260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5">
      <c r="A243" s="195">
        <f>'Données projet'!A257</f>
        <v>95</v>
      </c>
      <c r="B243" s="196">
        <f>'Données projet'!D257</f>
        <v>42</v>
      </c>
      <c r="C243" s="210">
        <v>30</v>
      </c>
      <c r="D243" s="194">
        <f t="shared" si="15"/>
        <v>1260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5">
      <c r="A244" s="195">
        <f>'Données projet'!A258</f>
        <v>105</v>
      </c>
      <c r="B244" s="196">
        <f>'Données projet'!D258</f>
        <v>41</v>
      </c>
      <c r="C244" s="210">
        <v>30</v>
      </c>
      <c r="D244" s="194">
        <f t="shared" si="15"/>
        <v>1230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5">
      <c r="A245" s="195">
        <f>'Données projet'!A259</f>
        <v>115</v>
      </c>
      <c r="B245" s="196">
        <f>'Données projet'!D259</f>
        <v>37</v>
      </c>
      <c r="C245" s="210">
        <v>35</v>
      </c>
      <c r="D245" s="194">
        <f t="shared" si="15"/>
        <v>1295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5">
      <c r="A246" s="195">
        <f>'Données projet'!A260</f>
        <v>125</v>
      </c>
      <c r="B246" s="196">
        <f>'Données projet'!D260</f>
        <v>33</v>
      </c>
      <c r="C246" s="210">
        <v>40</v>
      </c>
      <c r="D246" s="194">
        <f t="shared" si="15"/>
        <v>1320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5">
      <c r="A247" s="195">
        <f>'Données projet'!A261</f>
        <v>135</v>
      </c>
      <c r="B247" s="196">
        <f>'Données projet'!D261</f>
        <v>29</v>
      </c>
      <c r="C247" s="210">
        <v>45</v>
      </c>
      <c r="D247" s="194">
        <f t="shared" si="15"/>
        <v>1305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5">
      <c r="A248" s="195">
        <f>'Données projet'!A262</f>
        <v>145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5">
      <c r="A249" s="195">
        <f>'Données projet'!A263</f>
        <v>150</v>
      </c>
      <c r="B249" s="196">
        <f>'Données projet'!D263</f>
        <v>306</v>
      </c>
      <c r="C249" s="210">
        <v>60</v>
      </c>
      <c r="D249" s="194">
        <f t="shared" si="15"/>
        <v>18360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5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5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5">
      <c r="A252" s="49" t="s">
        <v>174</v>
      </c>
      <c r="B252" s="189" t="str">
        <f>IF('Données projet'!$B$18="","",'Données projet'!$B$18)</f>
        <v>Chêne chevelu</v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5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25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25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5">
      <c r="A256" s="195">
        <f>'Données projet'!A270</f>
        <v>20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25">
      <c r="A257" s="195">
        <f>'Données projet'!A271</f>
        <v>25</v>
      </c>
      <c r="B257" s="196">
        <f>'Données projet'!D271</f>
        <v>34</v>
      </c>
      <c r="C257" s="208">
        <v>10</v>
      </c>
      <c r="D257" s="197">
        <f t="shared" ref="D257:D275" si="16">B257*C257</f>
        <v>340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25">
      <c r="A258" s="195">
        <f>'Données projet'!A272</f>
        <v>30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25">
      <c r="A259" s="195">
        <f>'Données projet'!A273</f>
        <v>35</v>
      </c>
      <c r="B259" s="196">
        <f>'Données projet'!D273</f>
        <v>56</v>
      </c>
      <c r="C259" s="208">
        <v>15</v>
      </c>
      <c r="D259" s="197">
        <f t="shared" si="16"/>
        <v>840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25">
      <c r="A260" s="195">
        <f>'Données projet'!A274</f>
        <v>40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25">
      <c r="A261" s="195">
        <f>'Données projet'!A275</f>
        <v>45</v>
      </c>
      <c r="B261" s="196">
        <f>'Données projet'!D275</f>
        <v>56</v>
      </c>
      <c r="C261" s="208">
        <v>15</v>
      </c>
      <c r="D261" s="197">
        <f t="shared" si="16"/>
        <v>840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25">
      <c r="A262" s="195">
        <f>'Données projet'!A276</f>
        <v>50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25">
      <c r="A263" s="195">
        <f>'Données projet'!A277</f>
        <v>55</v>
      </c>
      <c r="B263" s="196">
        <f>'Données projet'!D277</f>
        <v>56</v>
      </c>
      <c r="C263" s="208">
        <v>20</v>
      </c>
      <c r="D263" s="197">
        <f t="shared" si="16"/>
        <v>1120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25">
      <c r="A264" s="195">
        <f>'Données projet'!A278</f>
        <v>60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25">
      <c r="A265" s="195">
        <f>'Données projet'!A279</f>
        <v>65</v>
      </c>
      <c r="B265" s="196">
        <f>'Données projet'!D279</f>
        <v>56</v>
      </c>
      <c r="C265" s="208">
        <v>25</v>
      </c>
      <c r="D265" s="197">
        <f t="shared" si="16"/>
        <v>1400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25">
      <c r="A266" s="195">
        <f>'Données projet'!A280</f>
        <v>70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25">
      <c r="A267" s="195">
        <f>'Données projet'!A281</f>
        <v>75</v>
      </c>
      <c r="B267" s="196">
        <f>'Données projet'!D281</f>
        <v>56</v>
      </c>
      <c r="C267" s="208">
        <v>30</v>
      </c>
      <c r="D267" s="197">
        <f t="shared" si="16"/>
        <v>1680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25">
      <c r="A268" s="195">
        <f>'Données projet'!A282</f>
        <v>85</v>
      </c>
      <c r="B268" s="196">
        <f>'Données projet'!D282</f>
        <v>56</v>
      </c>
      <c r="C268" s="208">
        <v>35</v>
      </c>
      <c r="D268" s="197">
        <f t="shared" si="16"/>
        <v>1960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25">
      <c r="A269" s="195">
        <f>'Données projet'!A283</f>
        <v>95</v>
      </c>
      <c r="B269" s="196">
        <f>'Données projet'!D283</f>
        <v>56</v>
      </c>
      <c r="C269" s="208">
        <v>40</v>
      </c>
      <c r="D269" s="197">
        <f t="shared" si="16"/>
        <v>2240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25">
      <c r="A270" s="195">
        <f>'Données projet'!A284</f>
        <v>105</v>
      </c>
      <c r="B270" s="196">
        <f>'Données projet'!D284</f>
        <v>53</v>
      </c>
      <c r="C270" s="208">
        <v>45</v>
      </c>
      <c r="D270" s="197">
        <f t="shared" si="16"/>
        <v>2385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25">
      <c r="A271" s="195">
        <f>'Données projet'!A285</f>
        <v>115</v>
      </c>
      <c r="B271" s="196">
        <f>'Données projet'!D285</f>
        <v>49</v>
      </c>
      <c r="C271" s="208">
        <v>50</v>
      </c>
      <c r="D271" s="197">
        <f t="shared" si="16"/>
        <v>2450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25">
      <c r="A272" s="195">
        <f>'Données projet'!A286</f>
        <v>125</v>
      </c>
      <c r="B272" s="196">
        <f>'Données projet'!D286</f>
        <v>45</v>
      </c>
      <c r="C272" s="208">
        <v>60</v>
      </c>
      <c r="D272" s="197">
        <f t="shared" si="16"/>
        <v>2700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5">
      <c r="A273" s="195">
        <f>'Données projet'!A287</f>
        <v>135</v>
      </c>
      <c r="B273" s="196">
        <f>'Données projet'!D287</f>
        <v>43</v>
      </c>
      <c r="C273" s="208">
        <v>70</v>
      </c>
      <c r="D273" s="197">
        <f t="shared" si="16"/>
        <v>3010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5">
      <c r="A274" s="195">
        <f>'Données projet'!A288</f>
        <v>145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5">
      <c r="A275" s="195">
        <f>'Données projet'!A289</f>
        <v>150</v>
      </c>
      <c r="B275" s="196">
        <f>'Données projet'!D289</f>
        <v>355</v>
      </c>
      <c r="C275" s="213">
        <v>100</v>
      </c>
      <c r="D275" s="197">
        <f t="shared" si="16"/>
        <v>35500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5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5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5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5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5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5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5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5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5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5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5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5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5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5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5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5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5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5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5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5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5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5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5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5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5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5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5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5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5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5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5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5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5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5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5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5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5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5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5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5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5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5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5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5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5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5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5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5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5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5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5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5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5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5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5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5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5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5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5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5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5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5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5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5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5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5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5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5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5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5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5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5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5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25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25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25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25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25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2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2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2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2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2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2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2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2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2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2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2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25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25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25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25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25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25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25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25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25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25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PERDEREAU Chloé</cp:lastModifiedBy>
  <dcterms:created xsi:type="dcterms:W3CDTF">2021-02-01T08:22:39Z</dcterms:created>
  <dcterms:modified xsi:type="dcterms:W3CDTF">2021-10-13T07:50:40Z</dcterms:modified>
</cp:coreProperties>
</file>